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omments1.xml" ContentType="application/vnd.openxmlformats-officedocument.spreadsheetml.comments+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ASUS\Desktop\1. pindah asus\1. Desktop\FINANCE\FORM KEUANGAN PIUTANG SANTRI PIAT6\TP. 2025-2026\12. JUNI 2026\1. LK_0626\"/>
    </mc:Choice>
  </mc:AlternateContent>
  <bookViews>
    <workbookView xWindow="-110" yWindow="-110" windowWidth="19420" windowHeight="11020" firstSheet="4" activeTab="6"/>
  </bookViews>
  <sheets>
    <sheet name="IN" sheetId="1" r:id="rId1"/>
    <sheet name="Cover Dp" sheetId="2" r:id="rId2"/>
    <sheet name="Cover Blkg" sheetId="3" r:id="rId3"/>
    <sheet name="TC" sheetId="4" r:id="rId4"/>
    <sheet name="Grafik" sheetId="10" r:id="rId5"/>
    <sheet name="NRC" sheetId="5" r:id="rId6"/>
    <sheet name="LR" sheetId="6" r:id="rId7"/>
    <sheet name="PAB" sheetId="7" r:id="rId8"/>
    <sheet name="AK" sheetId="8" r:id="rId9"/>
    <sheet name="CLK" sheetId="9" r:id="rId10"/>
    <sheet name="1" sheetId="12" r:id="rId11"/>
    <sheet name="2" sheetId="13" r:id="rId12"/>
    <sheet name="3" sheetId="14" r:id="rId13"/>
    <sheet name="4" sheetId="15" r:id="rId14"/>
    <sheet name="5" sheetId="16" r:id="rId15"/>
    <sheet name="6" sheetId="17" r:id="rId16"/>
    <sheet name="7" sheetId="18" r:id="rId17"/>
    <sheet name="8" sheetId="19" r:id="rId18"/>
    <sheet name="9" sheetId="20" r:id="rId19"/>
    <sheet name="10" sheetId="23" r:id="rId20"/>
    <sheet name="11" sheetId="27" r:id="rId21"/>
    <sheet name="12" sheetId="28" r:id="rId22"/>
    <sheet name="13" sheetId="29" r:id="rId23"/>
    <sheet name="14" sheetId="30" r:id="rId24"/>
    <sheet name="16" sheetId="31" r:id="rId25"/>
    <sheet name="20" sheetId="32" r:id="rId26"/>
    <sheet name="21" sheetId="33" r:id="rId27"/>
    <sheet name="BS" sheetId="11" r:id="rId28"/>
    <sheet name="RL" sheetId="21" r:id="rId29"/>
    <sheet name="GL" sheetId="22" r:id="rId30"/>
    <sheet name="CR" sheetId="24" r:id="rId31"/>
    <sheet name="CD" sheetId="25" r:id="rId32"/>
    <sheet name="JM" sheetId="26"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_xlnm._FilterDatabase" localSheetId="24" hidden="1">'16'!$L$8:$T$188</definedName>
    <definedName name="_xlnm._FilterDatabase" localSheetId="13" hidden="1">'4'!$L$11:$T$608</definedName>
    <definedName name="_xlnm._FilterDatabase" localSheetId="31" hidden="1">CD!$A$11:$I$628</definedName>
    <definedName name="_xlnm._FilterDatabase" localSheetId="30" hidden="1">CR!$A$11:$I$144</definedName>
    <definedName name="_xlnm._FilterDatabase" localSheetId="29" hidden="1">GL!$K$11:$K$3041</definedName>
    <definedName name="_xlnm._FilterDatabase" localSheetId="0" hidden="1">IN!$A$5:$B$17</definedName>
    <definedName name="_xlnm._FilterDatabase" localSheetId="32" hidden="1">JM!$A$11:$I$323</definedName>
    <definedName name="AdministrasiS">GL!$G$2864:$G$2865</definedName>
    <definedName name="Aktkeu">GL!$G$2214:$G$2267</definedName>
    <definedName name="ASF">GL!$G$2436:$G$2485</definedName>
    <definedName name="Audio">GL!$G$1406:$G$1460</definedName>
    <definedName name="Bakademik1">GL!$K$842:$K$1089</definedName>
    <definedName name="Bakademik2">GL!$G$842:$G$1089</definedName>
    <definedName name="BBantuan1">GL!$K$2856:$K$2865</definedName>
    <definedName name="BBantuan2">GL!$G$2856:$G$2865</definedName>
    <definedName name="BDaksos1">GL!$K$1090:$K$1355</definedName>
    <definedName name="BDaksos2">GL!$G$1090:$G$1355</definedName>
    <definedName name="BDepresiasi1">GL!$K$2808:$K$2855</definedName>
    <definedName name="BDepresiasi2">GL!$G$2808:$G$2855</definedName>
    <definedName name="BDukunganAka1">GL!$K$1356:$K$1460</definedName>
    <definedName name="BDukunganAka2">GL!$G$1356:$G$1460</definedName>
    <definedName name="BeasiswaSa">GL!$G$2862:$G$2863</definedName>
    <definedName name="Bimbangankonseling">GL!$G$1703:$G$1752</definedName>
    <definedName name="BKegiatanSantri1">GL!$K$1461:$K$2090</definedName>
    <definedName name="BKegiatanSantri2">GL!$G$1461:$G$2090</definedName>
    <definedName name="BLayananAsrama1">GL!$K$2874:$K$3039</definedName>
    <definedName name="BlayananAsrama2">GL!$G$2874:$G$3039</definedName>
    <definedName name="BPemeliharaan1">GL!$K$2436:$K$2807</definedName>
    <definedName name="BPemeliharaan2">GL!$G$2436:$G$2807</definedName>
    <definedName name="BPenjualan1">GL!$K$2866:$K$2873</definedName>
    <definedName name="BPenjualan2">GL!$G$2866:$G$2873</definedName>
    <definedName name="Buku">GL!$G$2868:$G$2870</definedName>
    <definedName name="CDAK1">CD!$I$12:$I$1989</definedName>
    <definedName name="CDAK2">CD!$F$12:$F$1989</definedName>
    <definedName name="COA">[1]NASo!$A$8:$F$282</definedName>
    <definedName name="CRAK1">CR!$I$12:$I$1000</definedName>
    <definedName name="CRAK2">CR!$G$12:$G$1000</definedName>
    <definedName name="_xlnm.Criteria" localSheetId="0">IN!$B$5</definedName>
    <definedName name="Daksan">GL!$G$2036:$G$2042</definedName>
    <definedName name="Dakwah">GL!$G$1090:$G$1149</definedName>
    <definedName name="DepB">GL!$G$2808:$G$2816</definedName>
    <definedName name="DepEq">GL!$G$2827:$G$2835</definedName>
    <definedName name="DepFu">GL!$G$2836:$G$2845</definedName>
    <definedName name="DepInf">GL!$G$2817:$G$2826</definedName>
    <definedName name="DepLi">GL!$G$2850:$G$2853</definedName>
    <definedName name="Depoth">GL!$G$2854:$G$2855</definedName>
    <definedName name="Depv">GL!$G$2846:$G$2849</definedName>
    <definedName name="DukunganInstitusi1">GL!$K$2091:$K$2435</definedName>
    <definedName name="DukunganInstitusi2">GL!$G$2091:$G$2435</definedName>
    <definedName name="Executive">GL!$G$2091:$G$2148</definedName>
    <definedName name="Humas">GL!$G$1283:$G$1355</definedName>
    <definedName name="InformasiTeknologi">GL!$G$2384:$G$2435</definedName>
    <definedName name="JMAK1">JM!$I$12:$I$1005</definedName>
    <definedName name="JMAK2">JM!$G$12:$G$1005</definedName>
    <definedName name="JMAK3">JM!$F$12:$F$1005</definedName>
    <definedName name="Jummiyah">GL!$G$1812:$G$2035</definedName>
    <definedName name="Keamanan">GL!$G$2700:$G$2753</definedName>
    <definedName name="KepengasuhanMA">GL!$G$1621:$G$1702</definedName>
    <definedName name="Kepengasuhanmts">GL!$G$1541:$G$1620</definedName>
    <definedName name="KepengasuhanSDITQ">GL!$G$1461:$G$1540</definedName>
    <definedName name="Kesehatansantri">GL!$G$1753:$G$1811</definedName>
    <definedName name="KK">GL!$G$2486:$G$2545</definedName>
    <definedName name="KODEAK">CD!$I$12:$I$989</definedName>
    <definedName name="Layanankamar">GL!$G$2989:$G$3039</definedName>
    <definedName name="layananlaundry">GL!$G$2933:$G$2988</definedName>
    <definedName name="Layananmakanan">GL!$G$2874:$G$2932</definedName>
    <definedName name="Ledger">'[1]Buku Besar'!$A$7:$J$134</definedName>
    <definedName name="Litbang">GL!$G$2149:$G$2213</definedName>
    <definedName name="Logistik">GL!$G$2754:$G$2807</definedName>
    <definedName name="Lomba">GL!$G$2052:$G$2071</definedName>
    <definedName name="MA">GL!$G$1007:$G$1089</definedName>
    <definedName name="MTS">GL!$G$924:$G$1006</definedName>
    <definedName name="ORsan">GL!$G$2043:$G$2071</definedName>
    <definedName name="PemeliharaanGedung">GL!$G$2546:$G$2622</definedName>
    <definedName name="PemeliharaanInfrastruktur">GL!$G$2623:$G$2653</definedName>
    <definedName name="PemeliharaanNonge">GL!$G$2654:$G$2684</definedName>
    <definedName name="Perpustakaan">GL!$G$1356:$G$1405</definedName>
    <definedName name="Personalia">GL!$G$2268:$G$2324</definedName>
    <definedName name="PKL">GL!$G$2856:$G$2861</definedName>
    <definedName name="_xlnm.Print_Area" localSheetId="22">'13'!$A$1:$H$52</definedName>
    <definedName name="_xlnm.Print_Area" localSheetId="23">'14'!$A$1:$D$108</definedName>
    <definedName name="_xlnm.Print_Area" localSheetId="25">'20'!$A$1:$J$81</definedName>
    <definedName name="_xlnm.Print_Area" localSheetId="26">'21'!$A$1:$G$20</definedName>
    <definedName name="_xlnm.Print_Area" localSheetId="14">'5'!$A$1:$I$200</definedName>
    <definedName name="_xlnm.Print_Area" localSheetId="17">'8'!$A$1:$Q$73</definedName>
    <definedName name="_xlnm.Print_Area" localSheetId="8">AK!$B$3:$J$64</definedName>
    <definedName name="_xlnm.Print_Area" localSheetId="2">'Cover Blkg'!$A$2:$H$46</definedName>
    <definedName name="_xlnm.Print_Area" localSheetId="1">'Cover Dp'!$A$2:$J$39</definedName>
    <definedName name="_xlnm.Print_Area" localSheetId="6">LR!$B$2:$O$88</definedName>
    <definedName name="_xlnm.Print_Area" localSheetId="5">NRC!$B$2:$K$79</definedName>
    <definedName name="_xlnm.Print_Area" localSheetId="7">PAB!$B$2:$L$75</definedName>
    <definedName name="PSB">GL!$G$2072:$G$2090</definedName>
    <definedName name="Radio">GL!$G$1226:$G$1282</definedName>
    <definedName name="Rumahtangga">GL!$G$2325:$G$2383</definedName>
    <definedName name="SalesOth">GL!$G$2866:$G$2867</definedName>
    <definedName name="SDITQ">GL!$G$842:$G$923</definedName>
    <definedName name="Seragam">GL!$G$2871:$G$2873</definedName>
    <definedName name="Sosial">GL!$G$1150:$G$1225</definedName>
    <definedName name="TANGGAL_NERACA">IN!$J$6:$J$17</definedName>
    <definedName name="Utilitas">GL!$G$2685:$G$2699</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49" i="9" l="1"/>
  <c r="I350" i="9"/>
  <c r="I351" i="9"/>
  <c r="I352" i="9"/>
  <c r="I353" i="9"/>
  <c r="O349" i="9"/>
  <c r="O350" i="9"/>
  <c r="O351" i="9"/>
  <c r="O352" i="9"/>
  <c r="O353" i="9"/>
  <c r="E26" i="8" l="1"/>
  <c r="E17" i="8"/>
  <c r="Q499" i="15" l="1"/>
  <c r="P177" i="31"/>
  <c r="P137" i="31"/>
  <c r="P20" i="31"/>
  <c r="E40" i="5" l="1"/>
  <c r="Q450" i="9"/>
  <c r="J221" i="15"/>
  <c r="M221" i="15"/>
  <c r="D29" i="11" l="1"/>
  <c r="D30" i="11"/>
  <c r="D101" i="11"/>
  <c r="D143" i="11"/>
  <c r="E143" i="11" s="1"/>
  <c r="D195" i="11"/>
  <c r="E195" i="11"/>
  <c r="E408" i="11"/>
  <c r="E409" i="11"/>
  <c r="E410" i="11"/>
  <c r="E423" i="11"/>
  <c r="E447" i="11"/>
  <c r="E497" i="11"/>
  <c r="D537" i="11"/>
  <c r="D771" i="11"/>
  <c r="E771" i="11"/>
  <c r="D57" i="13" l="1"/>
  <c r="F38" i="17" l="1"/>
  <c r="S429" i="15"/>
  <c r="T429" i="15"/>
  <c r="S428" i="15"/>
  <c r="Q429" i="15"/>
  <c r="J429" i="15"/>
  <c r="J428" i="15"/>
  <c r="M429" i="15"/>
  <c r="O429" i="15"/>
  <c r="D50" i="13"/>
  <c r="E50" i="13"/>
  <c r="K237" i="12" l="1"/>
  <c r="L58" i="8"/>
  <c r="F31" i="8"/>
  <c r="F38" i="8"/>
  <c r="F52" i="8" s="1"/>
  <c r="R87" i="6"/>
  <c r="AC154" i="27"/>
  <c r="N105" i="23"/>
  <c r="F104" i="23"/>
  <c r="O70" i="20"/>
  <c r="G69" i="20"/>
  <c r="Q333" i="15"/>
  <c r="Q271" i="15"/>
  <c r="Q270" i="15"/>
  <c r="Q122" i="15"/>
  <c r="P494" i="15"/>
  <c r="P488" i="15"/>
  <c r="P478" i="15"/>
  <c r="P466" i="15"/>
  <c r="P457" i="15"/>
  <c r="P442" i="15"/>
  <c r="P432" i="15"/>
  <c r="P400" i="15"/>
  <c r="P372" i="15"/>
  <c r="P356" i="15"/>
  <c r="P327" i="15"/>
  <c r="P314" i="15"/>
  <c r="P257" i="15"/>
  <c r="P243" i="15"/>
  <c r="P223" i="15"/>
  <c r="P133" i="15"/>
  <c r="P118" i="15"/>
  <c r="P109" i="15"/>
  <c r="P103" i="15"/>
  <c r="P91" i="15"/>
  <c r="P80" i="15"/>
  <c r="P69" i="15"/>
  <c r="P63" i="15"/>
  <c r="P52" i="15"/>
  <c r="P44" i="15"/>
  <c r="P38" i="15"/>
  <c r="P33" i="15"/>
  <c r="P71" i="15" s="1"/>
  <c r="L514" i="15"/>
  <c r="L463" i="15"/>
  <c r="L239" i="15"/>
  <c r="L220" i="15"/>
  <c r="AS820" i="9"/>
  <c r="AT820" i="9"/>
  <c r="AS821" i="9"/>
  <c r="AT821" i="9"/>
  <c r="AS822" i="9"/>
  <c r="AT822" i="9"/>
  <c r="P480" i="15" l="1"/>
  <c r="P496" i="15"/>
  <c r="P329" i="15"/>
  <c r="Q296" i="9" l="1"/>
  <c r="Q292" i="9"/>
  <c r="Q551" i="9"/>
  <c r="J463" i="15" l="1"/>
  <c r="J239" i="15"/>
  <c r="J220" i="15"/>
  <c r="F57" i="8" l="1"/>
  <c r="F103" i="23"/>
  <c r="W59" i="19"/>
  <c r="X24" i="19"/>
  <c r="W24" i="19"/>
  <c r="T26" i="19"/>
  <c r="L428" i="15"/>
  <c r="L396" i="15"/>
  <c r="L352" i="15"/>
  <c r="X826" i="9"/>
  <c r="X827" i="9"/>
  <c r="X828" i="9"/>
  <c r="X825" i="9"/>
  <c r="C106" i="30" l="1"/>
  <c r="F51" i="29" l="1"/>
  <c r="E51" i="29"/>
  <c r="E53" i="29" l="1"/>
  <c r="E54" i="29" s="1"/>
  <c r="Q444" i="9" l="1"/>
  <c r="Q295" i="9"/>
  <c r="Q294" i="9"/>
  <c r="J396" i="15" l="1"/>
  <c r="J352" i="15"/>
  <c r="F310" i="14"/>
  <c r="F17" i="14"/>
  <c r="F18" i="14"/>
  <c r="I17" i="14"/>
  <c r="I18" i="14"/>
  <c r="K61" i="12" l="1"/>
  <c r="K62" i="12"/>
  <c r="K63" i="12"/>
  <c r="K64" i="12"/>
  <c r="AT164" i="9" l="1"/>
  <c r="AT163" i="9"/>
  <c r="S17" i="19"/>
  <c r="AT792" i="9" l="1"/>
  <c r="AS792" i="9"/>
  <c r="AT790" i="9"/>
  <c r="AT789" i="9"/>
  <c r="AS790" i="9"/>
  <c r="AS789" i="9"/>
  <c r="AT783" i="9"/>
  <c r="AS783" i="9"/>
  <c r="AS782" i="9"/>
  <c r="AT782" i="9"/>
  <c r="AT781" i="9"/>
  <c r="AS781" i="9"/>
  <c r="AT777" i="9"/>
  <c r="AS777" i="9"/>
  <c r="AT775" i="9"/>
  <c r="AT776" i="9"/>
  <c r="AT774" i="9"/>
  <c r="AS775" i="9"/>
  <c r="AS776" i="9"/>
  <c r="AS774" i="9"/>
  <c r="AT849" i="9"/>
  <c r="AS849" i="9"/>
  <c r="AT847" i="9"/>
  <c r="AT846" i="9"/>
  <c r="AS847" i="9"/>
  <c r="AS846" i="9"/>
  <c r="AT839" i="9" l="1"/>
  <c r="AS839" i="9"/>
  <c r="AT838" i="9"/>
  <c r="AT837" i="9"/>
  <c r="AS838" i="9"/>
  <c r="AS837" i="9"/>
  <c r="AT834" i="9"/>
  <c r="AS834" i="9"/>
  <c r="AT832" i="9"/>
  <c r="AT831" i="9"/>
  <c r="AS832" i="9"/>
  <c r="AS831" i="9"/>
  <c r="AT826" i="9"/>
  <c r="AT769" i="9" s="1"/>
  <c r="AT827" i="9"/>
  <c r="AT770" i="9" s="1"/>
  <c r="AT828" i="9"/>
  <c r="AT771" i="9" s="1"/>
  <c r="AT825" i="9"/>
  <c r="AT768" i="9" s="1"/>
  <c r="AS826" i="9"/>
  <c r="AS769" i="9" s="1"/>
  <c r="AS827" i="9"/>
  <c r="AS770" i="9" s="1"/>
  <c r="AS828" i="9"/>
  <c r="AS771" i="9" s="1"/>
  <c r="AS825" i="9"/>
  <c r="AS768" i="9" s="1"/>
  <c r="AT764" i="9"/>
  <c r="AT765" i="9"/>
  <c r="AT763" i="9"/>
  <c r="AS764" i="9"/>
  <c r="AS765" i="9"/>
  <c r="AS763" i="9"/>
  <c r="AS772" i="9" l="1"/>
  <c r="AT766" i="9"/>
  <c r="AT829" i="9"/>
  <c r="AT772" i="9"/>
  <c r="AT779" i="9" s="1"/>
  <c r="AT785" i="9" s="1"/>
  <c r="AT794" i="9" s="1"/>
  <c r="AS829" i="9"/>
  <c r="AS766" i="9"/>
  <c r="AS779" i="9" s="1"/>
  <c r="AS785" i="9" s="1"/>
  <c r="AS794" i="9" s="1"/>
  <c r="AS823" i="9"/>
  <c r="AS841" i="9" s="1"/>
  <c r="AS851" i="9" s="1"/>
  <c r="AT823" i="9"/>
  <c r="AT841" i="9" s="1"/>
  <c r="AT851" i="9" s="1"/>
  <c r="T17" i="19"/>
  <c r="U17" i="19" s="1"/>
  <c r="L462" i="15" l="1"/>
  <c r="L351" i="15"/>
  <c r="L254" i="15"/>
  <c r="S32" i="19" l="1"/>
  <c r="X32" i="19"/>
  <c r="X34" i="19" s="1"/>
  <c r="W32" i="19"/>
  <c r="W34" i="19"/>
  <c r="X40" i="19"/>
  <c r="W40" i="19"/>
  <c r="X44" i="19"/>
  <c r="W44" i="19"/>
  <c r="X59" i="19"/>
  <c r="X61" i="19" s="1"/>
  <c r="W61" i="19"/>
  <c r="U53" i="19"/>
  <c r="U54" i="19"/>
  <c r="T53" i="19"/>
  <c r="T54" i="19"/>
  <c r="T55" i="19"/>
  <c r="T56" i="19"/>
  <c r="T57" i="19"/>
  <c r="T58" i="19"/>
  <c r="S53" i="19"/>
  <c r="S54" i="19"/>
  <c r="S55" i="19"/>
  <c r="U55" i="19" s="1"/>
  <c r="S56" i="19"/>
  <c r="U56" i="19" s="1"/>
  <c r="S57" i="19"/>
  <c r="U57" i="19" s="1"/>
  <c r="S58" i="19"/>
  <c r="U58" i="19" s="1"/>
  <c r="U49" i="19"/>
  <c r="T49" i="19"/>
  <c r="S49" i="19"/>
  <c r="U44" i="19"/>
  <c r="U43" i="19"/>
  <c r="U42" i="19"/>
  <c r="T44" i="19"/>
  <c r="T43" i="19"/>
  <c r="T42" i="19"/>
  <c r="S44" i="19"/>
  <c r="S43" i="19"/>
  <c r="S42" i="19"/>
  <c r="T40" i="19"/>
  <c r="U40" i="19"/>
  <c r="S40" i="19"/>
  <c r="U38" i="19"/>
  <c r="U39" i="19"/>
  <c r="U37" i="19"/>
  <c r="T38" i="19"/>
  <c r="T39" i="19"/>
  <c r="T37" i="19"/>
  <c r="S38" i="19"/>
  <c r="S39" i="19"/>
  <c r="S37" i="19"/>
  <c r="T29" i="19"/>
  <c r="T30" i="19"/>
  <c r="T32" i="19" s="1"/>
  <c r="T31" i="19"/>
  <c r="T27" i="19"/>
  <c r="S29" i="19"/>
  <c r="U29" i="19" s="1"/>
  <c r="S30" i="19"/>
  <c r="S31" i="19"/>
  <c r="U31" i="19" s="1"/>
  <c r="S26" i="19"/>
  <c r="S27" i="19"/>
  <c r="U27" i="19" s="1"/>
  <c r="U24" i="19"/>
  <c r="U23" i="19"/>
  <c r="U22" i="19"/>
  <c r="T24" i="19"/>
  <c r="T23" i="19"/>
  <c r="T22" i="19"/>
  <c r="S23" i="19"/>
  <c r="S22" i="19"/>
  <c r="S24" i="19" s="1"/>
  <c r="U26" i="19" l="1"/>
  <c r="U32" i="19"/>
  <c r="U30" i="19"/>
  <c r="J171" i="15" l="1"/>
  <c r="Q463" i="15" l="1"/>
  <c r="S463" i="15" s="1"/>
  <c r="Q465" i="15"/>
  <c r="S465" i="15" s="1"/>
  <c r="O463" i="15"/>
  <c r="O465" i="15"/>
  <c r="J462" i="15"/>
  <c r="Q462" i="15" s="1"/>
  <c r="S462" i="15" s="1"/>
  <c r="O462" i="15"/>
  <c r="Q352" i="15"/>
  <c r="S352" i="15" s="1"/>
  <c r="Q353" i="15"/>
  <c r="S353" i="15" s="1"/>
  <c r="Q354" i="15"/>
  <c r="S354" i="15" s="1"/>
  <c r="O352" i="15"/>
  <c r="O353" i="15"/>
  <c r="O354" i="15"/>
  <c r="J351" i="15"/>
  <c r="Q351" i="15" s="1"/>
  <c r="S351" i="15" s="1"/>
  <c r="O351" i="15"/>
  <c r="K351" i="15"/>
  <c r="O255" i="15"/>
  <c r="O256" i="15"/>
  <c r="Q256" i="15"/>
  <c r="S256" i="15" s="1"/>
  <c r="Q255" i="15"/>
  <c r="S255" i="15" s="1"/>
  <c r="O254" i="15"/>
  <c r="J254" i="15"/>
  <c r="Q254" i="15" s="1"/>
  <c r="S254" i="15" s="1"/>
  <c r="T463" i="15" l="1"/>
  <c r="T462" i="15"/>
  <c r="T465" i="15"/>
  <c r="T351" i="15"/>
  <c r="T352" i="15"/>
  <c r="T256" i="15"/>
  <c r="T354" i="15"/>
  <c r="T353" i="15"/>
  <c r="T255" i="15"/>
  <c r="T254" i="15"/>
  <c r="S28" i="19"/>
  <c r="L127" i="31" l="1"/>
  <c r="L172" i="31" l="1"/>
  <c r="L171" i="31"/>
  <c r="L170" i="31"/>
  <c r="L440" i="15"/>
  <c r="L237" i="15"/>
  <c r="L219" i="15"/>
  <c r="L218" i="15"/>
  <c r="L217" i="15"/>
  <c r="L216" i="15"/>
  <c r="D15" i="20" l="1"/>
  <c r="D16" i="20"/>
  <c r="D17" i="20"/>
  <c r="D18" i="20"/>
  <c r="D19" i="20"/>
  <c r="D20" i="20"/>
  <c r="D21" i="20"/>
  <c r="D24" i="20"/>
  <c r="D27" i="20"/>
  <c r="D28" i="20"/>
  <c r="D29" i="20"/>
  <c r="D30" i="20"/>
  <c r="D31" i="20"/>
  <c r="D32" i="20"/>
  <c r="D33" i="20"/>
  <c r="D34" i="20"/>
  <c r="D35" i="20"/>
  <c r="D37" i="20"/>
  <c r="D39" i="20"/>
  <c r="D40" i="20"/>
  <c r="D41" i="20"/>
  <c r="D42" i="20"/>
  <c r="D47" i="20"/>
  <c r="D54" i="20" s="1"/>
  <c r="D57" i="20"/>
  <c r="D58" i="20"/>
  <c r="D59" i="20"/>
  <c r="D60" i="20"/>
  <c r="D61" i="20"/>
  <c r="D62" i="20"/>
  <c r="D63" i="20"/>
  <c r="D64" i="20"/>
  <c r="D22" i="20" l="1"/>
  <c r="D25" i="20" s="1"/>
  <c r="D44" i="20"/>
  <c r="D36" i="20"/>
  <c r="D65" i="20"/>
  <c r="S170" i="31"/>
  <c r="S171" i="31"/>
  <c r="S172" i="31"/>
  <c r="S173" i="31"/>
  <c r="T173" i="31" s="1"/>
  <c r="Q170" i="31"/>
  <c r="Q171" i="31"/>
  <c r="Q172" i="31"/>
  <c r="Q173" i="31"/>
  <c r="O170" i="31"/>
  <c r="L169" i="31"/>
  <c r="O172" i="31"/>
  <c r="O173" i="31"/>
  <c r="O141" i="31"/>
  <c r="O142" i="31"/>
  <c r="O143" i="31"/>
  <c r="O144" i="31"/>
  <c r="O145" i="31"/>
  <c r="O146" i="31"/>
  <c r="O147" i="31"/>
  <c r="O148" i="31"/>
  <c r="O149" i="31"/>
  <c r="O150" i="31"/>
  <c r="O151" i="31"/>
  <c r="O152" i="31"/>
  <c r="O153" i="31"/>
  <c r="O154" i="31"/>
  <c r="O155" i="31"/>
  <c r="O156" i="31"/>
  <c r="O157" i="31"/>
  <c r="O158" i="31"/>
  <c r="O159" i="31"/>
  <c r="O160" i="31"/>
  <c r="O161" i="31"/>
  <c r="O162" i="31"/>
  <c r="O163" i="31"/>
  <c r="O164" i="31"/>
  <c r="O165" i="31"/>
  <c r="O166" i="31"/>
  <c r="O167" i="31"/>
  <c r="O168" i="31"/>
  <c r="O169" i="31"/>
  <c r="O171" i="31"/>
  <c r="O140" i="31"/>
  <c r="J170" i="31"/>
  <c r="J171" i="31"/>
  <c r="J172" i="31"/>
  <c r="I172" i="31"/>
  <c r="I171" i="31"/>
  <c r="I170" i="31"/>
  <c r="Q127" i="31"/>
  <c r="S127" i="31" s="1"/>
  <c r="Q128" i="31"/>
  <c r="S128" i="31" s="1"/>
  <c r="T128" i="31" s="1"/>
  <c r="O127" i="31"/>
  <c r="L128" i="31"/>
  <c r="J127" i="31"/>
  <c r="T172" i="31" l="1"/>
  <c r="T171" i="31"/>
  <c r="T170" i="31"/>
  <c r="T127" i="31"/>
  <c r="K309" i="15" l="1"/>
  <c r="K238" i="15"/>
  <c r="Q220" i="15"/>
  <c r="S220" i="15" s="1"/>
  <c r="Q221" i="15"/>
  <c r="S221" i="15" s="1"/>
  <c r="O218" i="15"/>
  <c r="O219" i="15"/>
  <c r="O220" i="15"/>
  <c r="O221" i="15"/>
  <c r="O217" i="15"/>
  <c r="O216" i="15"/>
  <c r="J216" i="15"/>
  <c r="Q216" i="15" s="1"/>
  <c r="S216" i="15" s="1"/>
  <c r="J217" i="15"/>
  <c r="Q217" i="15" s="1"/>
  <c r="S217" i="15" s="1"/>
  <c r="J218" i="15"/>
  <c r="Q218" i="15" s="1"/>
  <c r="S218" i="15" s="1"/>
  <c r="J219" i="15"/>
  <c r="Q219" i="15" s="1"/>
  <c r="S219" i="15" s="1"/>
  <c r="Q240" i="15"/>
  <c r="S240" i="15" s="1"/>
  <c r="Q241" i="15"/>
  <c r="S241" i="15" s="1"/>
  <c r="T241" i="15" s="1"/>
  <c r="O239" i="15"/>
  <c r="M240" i="15"/>
  <c r="O240" i="15" s="1"/>
  <c r="Q239" i="15"/>
  <c r="S239" i="15" s="1"/>
  <c r="O440" i="15"/>
  <c r="J440" i="15"/>
  <c r="Q440" i="15" s="1"/>
  <c r="S440" i="15" s="1"/>
  <c r="J237" i="15"/>
  <c r="L238" i="15" l="1"/>
  <c r="J238" i="15"/>
  <c r="T218" i="15"/>
  <c r="T221" i="15"/>
  <c r="J309" i="15"/>
  <c r="Q309" i="15" s="1"/>
  <c r="S309" i="15" s="1"/>
  <c r="L309" i="15"/>
  <c r="T440" i="15"/>
  <c r="O309" i="15"/>
  <c r="T217" i="15"/>
  <c r="T220" i="15"/>
  <c r="T216" i="15"/>
  <c r="T219" i="15"/>
  <c r="T240" i="15"/>
  <c r="T239" i="15"/>
  <c r="T309" i="15" l="1"/>
  <c r="L126" i="31" l="1"/>
  <c r="L116" i="15"/>
  <c r="L492" i="15"/>
  <c r="L491" i="15"/>
  <c r="L485" i="15"/>
  <c r="L484" i="15"/>
  <c r="L455" i="15"/>
  <c r="L370" i="15"/>
  <c r="L369" i="15"/>
  <c r="L368" i="15"/>
  <c r="L325" i="15"/>
  <c r="L215" i="15"/>
  <c r="O126" i="31" l="1"/>
  <c r="O369" i="15" l="1"/>
  <c r="O370" i="15"/>
  <c r="J369" i="15"/>
  <c r="Q369" i="15" s="1"/>
  <c r="S369" i="15" s="1"/>
  <c r="J370" i="15"/>
  <c r="Q370" i="15" s="1"/>
  <c r="S370" i="15" s="1"/>
  <c r="T369" i="15" l="1"/>
  <c r="T370" i="15"/>
  <c r="O492" i="15" l="1"/>
  <c r="O491" i="15"/>
  <c r="I492" i="15"/>
  <c r="J492" i="15" s="1"/>
  <c r="Q492" i="15" s="1"/>
  <c r="S492" i="15" s="1"/>
  <c r="I491" i="15"/>
  <c r="J491" i="15" s="1"/>
  <c r="Q491" i="15" s="1"/>
  <c r="O486" i="15"/>
  <c r="Q486" i="15"/>
  <c r="S486" i="15" s="1"/>
  <c r="O485" i="15"/>
  <c r="J485" i="15"/>
  <c r="Q485" i="15" s="1"/>
  <c r="S485" i="15" s="1"/>
  <c r="S487" i="15"/>
  <c r="O487" i="15"/>
  <c r="J484" i="15"/>
  <c r="Q484" i="15" s="1"/>
  <c r="O484" i="15"/>
  <c r="O215" i="15"/>
  <c r="J215" i="15"/>
  <c r="T487" i="15" l="1"/>
  <c r="T492" i="15"/>
  <c r="T485" i="15"/>
  <c r="T486" i="15"/>
  <c r="S491" i="15"/>
  <c r="T491" i="15" s="1"/>
  <c r="Q494" i="15"/>
  <c r="S484" i="15"/>
  <c r="T484" i="15" s="1"/>
  <c r="Q488" i="15"/>
  <c r="O455" i="15"/>
  <c r="J455" i="15"/>
  <c r="Q455" i="15" s="1"/>
  <c r="S455" i="15" s="1"/>
  <c r="O368" i="15"/>
  <c r="J368" i="15"/>
  <c r="S326" i="15"/>
  <c r="T326" i="15" s="1"/>
  <c r="J325" i="15"/>
  <c r="Q325" i="15" s="1"/>
  <c r="S325" i="15" s="1"/>
  <c r="O325" i="15"/>
  <c r="K325" i="15"/>
  <c r="O116" i="15"/>
  <c r="J116" i="15"/>
  <c r="Q116" i="15" s="1"/>
  <c r="S116" i="15" s="1"/>
  <c r="K116" i="15"/>
  <c r="T325" i="15" l="1"/>
  <c r="T455" i="15"/>
  <c r="T116" i="15"/>
  <c r="L454" i="15"/>
  <c r="L427" i="15"/>
  <c r="L367" i="15"/>
  <c r="L236" i="15"/>
  <c r="L60" i="15"/>
  <c r="L49" i="15"/>
  <c r="I20" i="14"/>
  <c r="I19" i="14"/>
  <c r="P24" i="32" l="1"/>
  <c r="P26" i="32"/>
  <c r="P27" i="32"/>
  <c r="P28" i="32"/>
  <c r="P33" i="32"/>
  <c r="P35" i="32"/>
  <c r="P37" i="32"/>
  <c r="P38" i="32"/>
  <c r="P47" i="32"/>
  <c r="P50" i="32"/>
  <c r="P52" i="32"/>
  <c r="P54" i="32"/>
  <c r="P55" i="32"/>
  <c r="P56" i="32"/>
  <c r="P57" i="32"/>
  <c r="P58" i="32"/>
  <c r="P59" i="32"/>
  <c r="P60" i="32"/>
  <c r="P61" i="32"/>
  <c r="P62" i="32"/>
  <c r="P63" i="32"/>
  <c r="P68" i="32"/>
  <c r="P69" i="32"/>
  <c r="P70" i="32"/>
  <c r="P71" i="32"/>
  <c r="P72" i="32"/>
  <c r="P73" i="32"/>
  <c r="P75" i="32"/>
  <c r="M23" i="32" l="1"/>
  <c r="M24" i="32"/>
  <c r="M26" i="32"/>
  <c r="M27" i="32"/>
  <c r="M28" i="32"/>
  <c r="M37" i="32"/>
  <c r="M38" i="32"/>
  <c r="M44" i="32"/>
  <c r="M47" i="32"/>
  <c r="M50" i="32"/>
  <c r="M52" i="32"/>
  <c r="M53" i="32"/>
  <c r="M54" i="32"/>
  <c r="M55" i="32"/>
  <c r="M56" i="32"/>
  <c r="M57" i="32"/>
  <c r="M58" i="32"/>
  <c r="M59" i="32"/>
  <c r="M60" i="32"/>
  <c r="M61" i="32"/>
  <c r="M62" i="32"/>
  <c r="M63" i="32"/>
  <c r="M64" i="32"/>
  <c r="M65" i="32"/>
  <c r="M66" i="32"/>
  <c r="M67" i="32"/>
  <c r="M68" i="32"/>
  <c r="M73" i="32"/>
  <c r="M75" i="32"/>
  <c r="E9" i="30" l="1"/>
  <c r="L23" i="32"/>
  <c r="L24" i="32"/>
  <c r="L26" i="32"/>
  <c r="L27" i="32"/>
  <c r="L28" i="32"/>
  <c r="L37" i="32"/>
  <c r="L38" i="32"/>
  <c r="L44" i="32"/>
  <c r="L47" i="32"/>
  <c r="L50" i="32"/>
  <c r="L52" i="32"/>
  <c r="L53" i="32"/>
  <c r="L54" i="32"/>
  <c r="L55" i="32"/>
  <c r="L56" i="32"/>
  <c r="L57" i="32"/>
  <c r="L58" i="32"/>
  <c r="L59" i="32"/>
  <c r="L60" i="32"/>
  <c r="L61" i="32"/>
  <c r="L62" i="32"/>
  <c r="L63" i="32"/>
  <c r="L64" i="32"/>
  <c r="L65" i="32"/>
  <c r="L66" i="32"/>
  <c r="L67" i="32"/>
  <c r="L68" i="32"/>
  <c r="L73" i="32"/>
  <c r="L75" i="32"/>
  <c r="Q446" i="9" l="1"/>
  <c r="Q522" i="9"/>
  <c r="E105" i="30"/>
  <c r="E104" i="30"/>
  <c r="J454" i="15" l="1"/>
  <c r="Q454" i="15" s="1"/>
  <c r="J427" i="15"/>
  <c r="Q427" i="15" s="1"/>
  <c r="S427" i="15" s="1"/>
  <c r="Q428" i="15"/>
  <c r="Q431" i="15"/>
  <c r="S431" i="15" s="1"/>
  <c r="O427" i="15"/>
  <c r="O428" i="15"/>
  <c r="O431" i="15"/>
  <c r="K427" i="15"/>
  <c r="Q368" i="15"/>
  <c r="S368" i="15" s="1"/>
  <c r="O367" i="15"/>
  <c r="J367" i="15"/>
  <c r="Q367" i="15" s="1"/>
  <c r="S367" i="15" s="1"/>
  <c r="Q237" i="15"/>
  <c r="S237" i="15" s="1"/>
  <c r="Q238" i="15"/>
  <c r="S238" i="15" s="1"/>
  <c r="O237" i="15"/>
  <c r="O238" i="15"/>
  <c r="O236" i="15"/>
  <c r="J236" i="15"/>
  <c r="Q236" i="15" s="1"/>
  <c r="S236" i="15" s="1"/>
  <c r="Q61" i="15"/>
  <c r="S61" i="15" s="1"/>
  <c r="J60" i="15"/>
  <c r="Q60" i="15" s="1"/>
  <c r="S60" i="15" s="1"/>
  <c r="O61" i="15"/>
  <c r="O60" i="15"/>
  <c r="T50" i="15"/>
  <c r="J49" i="15"/>
  <c r="Q49" i="15" s="1"/>
  <c r="S49" i="15" s="1"/>
  <c r="O49" i="15"/>
  <c r="T431" i="15" l="1"/>
  <c r="T367" i="15"/>
  <c r="T428" i="15"/>
  <c r="T368" i="15"/>
  <c r="T427" i="15"/>
  <c r="T237" i="15"/>
  <c r="T236" i="15"/>
  <c r="T238" i="15"/>
  <c r="T61" i="15"/>
  <c r="T60" i="15"/>
  <c r="T49" i="15"/>
  <c r="F20" i="14"/>
  <c r="F19" i="14"/>
  <c r="F88" i="32" l="1"/>
  <c r="E88" i="32"/>
  <c r="H72" i="6" l="1"/>
  <c r="L214" i="15" l="1"/>
  <c r="L439" i="15"/>
  <c r="L438" i="15"/>
  <c r="E61" i="30" l="1"/>
  <c r="E20" i="30"/>
  <c r="E15" i="30"/>
  <c r="E25" i="8" l="1"/>
  <c r="G32" i="29" l="1"/>
  <c r="Q552" i="9" l="1"/>
  <c r="Q291" i="9"/>
  <c r="F79" i="17"/>
  <c r="O512" i="15"/>
  <c r="J438" i="15"/>
  <c r="Q438" i="15" s="1"/>
  <c r="J439" i="15"/>
  <c r="Q439" i="15" s="1"/>
  <c r="S439" i="15" s="1"/>
  <c r="Q441" i="15"/>
  <c r="S441" i="15" s="1"/>
  <c r="O441" i="15"/>
  <c r="T441" i="15" l="1"/>
  <c r="O439" i="15"/>
  <c r="T439" i="15" s="1"/>
  <c r="Q215" i="15" l="1"/>
  <c r="S215" i="15" s="1"/>
  <c r="T215" i="15" s="1"/>
  <c r="O214" i="15"/>
  <c r="J214" i="15"/>
  <c r="Q214" i="15" s="1"/>
  <c r="S214" i="15" s="1"/>
  <c r="T214" i="15" l="1"/>
  <c r="K135" i="12"/>
  <c r="K136" i="12"/>
  <c r="K137" i="12"/>
  <c r="K138" i="12"/>
  <c r="K139" i="12"/>
  <c r="K140" i="12"/>
  <c r="K141" i="12"/>
  <c r="K142" i="12"/>
  <c r="K143" i="12"/>
  <c r="K144" i="12"/>
  <c r="K145" i="12"/>
  <c r="K146" i="12"/>
  <c r="K147" i="12"/>
  <c r="K148" i="12"/>
  <c r="K149" i="12"/>
  <c r="K150" i="12"/>
  <c r="AA710" i="9" l="1"/>
  <c r="O711" i="9"/>
  <c r="U615" i="9"/>
  <c r="H20" i="6" l="1"/>
  <c r="U711" i="9" l="1"/>
  <c r="O715" i="9" l="1"/>
  <c r="AA709" i="9"/>
  <c r="O613" i="9" s="1"/>
  <c r="AA613" i="9" l="1"/>
  <c r="AA615" i="9" s="1"/>
  <c r="O615" i="9"/>
  <c r="X527" i="9"/>
  <c r="G50" i="5" s="1"/>
  <c r="Q521" i="9"/>
  <c r="L453" i="15" l="1"/>
  <c r="L308" i="15"/>
  <c r="L213" i="15"/>
  <c r="L48" i="15"/>
  <c r="S454" i="15" l="1"/>
  <c r="O454" i="15"/>
  <c r="J213" i="15"/>
  <c r="Q213" i="15" s="1"/>
  <c r="S213" i="15" s="1"/>
  <c r="J308" i="15"/>
  <c r="Q308" i="15" s="1"/>
  <c r="S308" i="15" s="1"/>
  <c r="E20" i="6"/>
  <c r="Q527" i="9"/>
  <c r="E50" i="5" s="1"/>
  <c r="Q487" i="9"/>
  <c r="Q285" i="9"/>
  <c r="T454" i="15" l="1"/>
  <c r="T512" i="15"/>
  <c r="J48" i="15"/>
  <c r="Q48" i="15" s="1"/>
  <c r="S48" i="15" s="1"/>
  <c r="O48" i="15"/>
  <c r="O47" i="15"/>
  <c r="S46" i="15"/>
  <c r="F40" i="17"/>
  <c r="T48" i="15" l="1"/>
  <c r="O453" i="15" l="1"/>
  <c r="J453" i="15"/>
  <c r="Q453" i="15" s="1"/>
  <c r="S453" i="15" s="1"/>
  <c r="O308" i="15"/>
  <c r="T308" i="15" s="1"/>
  <c r="K307" i="15"/>
  <c r="L307" i="15" s="1"/>
  <c r="J307" i="15" l="1"/>
  <c r="Q307" i="15" s="1"/>
  <c r="S307" i="15" s="1"/>
  <c r="O213" i="15"/>
  <c r="T213" i="15" s="1"/>
  <c r="T453" i="15"/>
  <c r="O307" i="15"/>
  <c r="G68" i="20"/>
  <c r="T307" i="15" l="1"/>
  <c r="L426" i="15" l="1"/>
  <c r="L211" i="15"/>
  <c r="L209" i="15"/>
  <c r="L89" i="15"/>
  <c r="G7" i="29" l="1"/>
  <c r="G8" i="29"/>
  <c r="G9" i="29"/>
  <c r="G10" i="29"/>
  <c r="G11" i="29"/>
  <c r="G12" i="29"/>
  <c r="G15" i="29"/>
  <c r="G16" i="29"/>
  <c r="G17" i="29"/>
  <c r="G18" i="29"/>
  <c r="G19" i="29"/>
  <c r="G20" i="29"/>
  <c r="G21" i="29"/>
  <c r="G25" i="29"/>
  <c r="G26" i="29"/>
  <c r="G27" i="29"/>
  <c r="G28" i="29"/>
  <c r="G29" i="29"/>
  <c r="G30" i="29"/>
  <c r="G31" i="29"/>
  <c r="G33" i="29"/>
  <c r="G34" i="29"/>
  <c r="G35" i="29"/>
  <c r="G36" i="29"/>
  <c r="G37" i="29"/>
  <c r="G38" i="29"/>
  <c r="G39" i="29"/>
  <c r="G40" i="29"/>
  <c r="G41" i="29"/>
  <c r="G42" i="29"/>
  <c r="G43" i="29"/>
  <c r="G44" i="29"/>
  <c r="G45" i="29"/>
  <c r="G46" i="29"/>
  <c r="G47" i="29"/>
  <c r="G49" i="29" l="1"/>
  <c r="G13" i="29"/>
  <c r="G22" i="29"/>
  <c r="D26" i="23"/>
  <c r="Q293" i="9"/>
  <c r="S52" i="19"/>
  <c r="G23" i="29" l="1"/>
  <c r="G50" i="29" s="1"/>
  <c r="Q18" i="19"/>
  <c r="G155" i="16"/>
  <c r="H155" i="16" s="1"/>
  <c r="G156" i="16"/>
  <c r="H156" i="16" s="1"/>
  <c r="K212" i="15" l="1"/>
  <c r="L212" i="15" s="1"/>
  <c r="O212" i="15" s="1"/>
  <c r="J426" i="15"/>
  <c r="Q426" i="15" s="1"/>
  <c r="S426" i="15" s="1"/>
  <c r="O426" i="15"/>
  <c r="K306" i="15"/>
  <c r="J306" i="15" s="1"/>
  <c r="Q306" i="15" s="1"/>
  <c r="S306" i="15" s="1"/>
  <c r="O211" i="15"/>
  <c r="J211" i="15"/>
  <c r="Q211" i="15" s="1"/>
  <c r="S211" i="15" s="1"/>
  <c r="K210" i="15"/>
  <c r="O209" i="15"/>
  <c r="J209" i="15"/>
  <c r="Q209" i="15" s="1"/>
  <c r="S209" i="15" s="1"/>
  <c r="J196" i="15"/>
  <c r="J89" i="15"/>
  <c r="Q89" i="15" s="1"/>
  <c r="S89" i="15" s="1"/>
  <c r="O89" i="15"/>
  <c r="J212" i="15" l="1"/>
  <c r="Q212" i="15" s="1"/>
  <c r="S212" i="15" s="1"/>
  <c r="T212" i="15" s="1"/>
  <c r="J210" i="15"/>
  <c r="Q210" i="15" s="1"/>
  <c r="S210" i="15" s="1"/>
  <c r="L210" i="15"/>
  <c r="O210" i="15" s="1"/>
  <c r="L306" i="15"/>
  <c r="O306" i="15" s="1"/>
  <c r="T306" i="15" s="1"/>
  <c r="T426" i="15"/>
  <c r="T211" i="15"/>
  <c r="T209" i="15"/>
  <c r="T89" i="15"/>
  <c r="N68" i="19"/>
  <c r="N59" i="19"/>
  <c r="N44" i="19"/>
  <c r="N40" i="19"/>
  <c r="N32" i="19"/>
  <c r="N24" i="19"/>
  <c r="N19" i="19"/>
  <c r="G82" i="17"/>
  <c r="G77" i="17"/>
  <c r="G71" i="17"/>
  <c r="G69" i="17"/>
  <c r="G62" i="17"/>
  <c r="G56" i="17"/>
  <c r="G46" i="17"/>
  <c r="G47" i="17" s="1"/>
  <c r="G33" i="17"/>
  <c r="P519" i="15"/>
  <c r="P515" i="15"/>
  <c r="L461" i="15"/>
  <c r="L460" i="15"/>
  <c r="L425" i="15"/>
  <c r="L366" i="15"/>
  <c r="L365" i="15"/>
  <c r="L350" i="15"/>
  <c r="L305" i="15"/>
  <c r="L304" i="15"/>
  <c r="L235" i="15"/>
  <c r="L208" i="15"/>
  <c r="L207" i="15"/>
  <c r="L206" i="15"/>
  <c r="L205" i="15"/>
  <c r="L204" i="15"/>
  <c r="L72" i="5"/>
  <c r="L55" i="5"/>
  <c r="L49" i="5"/>
  <c r="L36" i="5"/>
  <c r="L31" i="5"/>
  <c r="L25" i="5"/>
  <c r="L18" i="5"/>
  <c r="N34" i="19" l="1"/>
  <c r="N46" i="19"/>
  <c r="N63" i="19" s="1"/>
  <c r="N70" i="19" s="1"/>
  <c r="G84" i="17"/>
  <c r="T210" i="15"/>
  <c r="P521" i="15"/>
  <c r="L65" i="5"/>
  <c r="L68" i="5" l="1"/>
  <c r="Q127" i="9" l="1"/>
  <c r="Q129" i="9"/>
  <c r="Q131" i="9"/>
  <c r="Q132" i="9"/>
  <c r="Q133" i="9"/>
  <c r="E12" i="33" l="1"/>
  <c r="E25" i="30" l="1"/>
  <c r="E10" i="30"/>
  <c r="E11" i="30"/>
  <c r="E12" i="30"/>
  <c r="E13" i="30"/>
  <c r="E17" i="30"/>
  <c r="E62" i="30" s="1"/>
  <c r="E106" i="30" s="1"/>
  <c r="P188" i="31" l="1"/>
  <c r="P499" i="15" s="1"/>
  <c r="P506" i="15" s="1"/>
  <c r="P523" i="15" s="1"/>
  <c r="O149" i="27"/>
  <c r="I15" i="20" l="1"/>
  <c r="D20" i="23" l="1"/>
  <c r="H150" i="27"/>
  <c r="D228" i="21"/>
  <c r="E15" i="6"/>
  <c r="Q283" i="9"/>
  <c r="Q297" i="9"/>
  <c r="J366" i="15"/>
  <c r="Q366" i="15" s="1"/>
  <c r="S366" i="15" s="1"/>
  <c r="O366" i="15"/>
  <c r="O350" i="15"/>
  <c r="J350" i="15"/>
  <c r="Q350" i="15" s="1"/>
  <c r="S350" i="15" s="1"/>
  <c r="K57" i="12"/>
  <c r="K58" i="12"/>
  <c r="T350" i="15" l="1"/>
  <c r="T366" i="15"/>
  <c r="O461" i="15"/>
  <c r="J461" i="15"/>
  <c r="Q461" i="15" s="1"/>
  <c r="S461" i="15" s="1"/>
  <c r="J460" i="15"/>
  <c r="Q460" i="15" s="1"/>
  <c r="S460" i="15" s="1"/>
  <c r="O460" i="15"/>
  <c r="O425" i="15"/>
  <c r="J425" i="15"/>
  <c r="Q425" i="15" s="1"/>
  <c r="S425" i="15" s="1"/>
  <c r="J365" i="15"/>
  <c r="O305" i="15"/>
  <c r="J305" i="15"/>
  <c r="Q305" i="15" s="1"/>
  <c r="S305" i="15" s="1"/>
  <c r="J304" i="15"/>
  <c r="J235" i="15"/>
  <c r="J208" i="15"/>
  <c r="O207" i="15"/>
  <c r="J207" i="15"/>
  <c r="Q207" i="15" s="1"/>
  <c r="S207" i="15" s="1"/>
  <c r="O206" i="15"/>
  <c r="J206" i="15"/>
  <c r="Q206" i="15" s="1"/>
  <c r="S206" i="15" s="1"/>
  <c r="J205" i="15"/>
  <c r="Q205" i="15" s="1"/>
  <c r="S205" i="15" s="1"/>
  <c r="O205" i="15"/>
  <c r="O204" i="15"/>
  <c r="J204" i="15"/>
  <c r="Q204" i="15" s="1"/>
  <c r="S204" i="15" s="1"/>
  <c r="D15" i="23"/>
  <c r="D16" i="23"/>
  <c r="D17" i="23"/>
  <c r="D21" i="23"/>
  <c r="D22" i="23"/>
  <c r="D23" i="23"/>
  <c r="D27" i="23"/>
  <c r="D30" i="23"/>
  <c r="D31" i="23"/>
  <c r="D32" i="23"/>
  <c r="D34" i="23"/>
  <c r="D35" i="23"/>
  <c r="D36" i="23"/>
  <c r="D37" i="23"/>
  <c r="D39" i="23"/>
  <c r="D40" i="23"/>
  <c r="D41" i="23"/>
  <c r="D44" i="23"/>
  <c r="D45" i="23"/>
  <c r="D46" i="23"/>
  <c r="D47" i="23"/>
  <c r="D48" i="23"/>
  <c r="D49" i="23"/>
  <c r="D52" i="23"/>
  <c r="D53" i="23"/>
  <c r="D54" i="23"/>
  <c r="D55" i="23"/>
  <c r="D56" i="23"/>
  <c r="D57" i="23"/>
  <c r="D58" i="23"/>
  <c r="D59" i="23"/>
  <c r="D62" i="23"/>
  <c r="D63" i="23"/>
  <c r="D64" i="23"/>
  <c r="D67" i="23"/>
  <c r="D68" i="23"/>
  <c r="D69" i="23"/>
  <c r="D72" i="23"/>
  <c r="D73" i="23"/>
  <c r="D74" i="23"/>
  <c r="D79" i="23"/>
  <c r="D80" i="23"/>
  <c r="D81" i="23"/>
  <c r="D82" i="23"/>
  <c r="D83" i="23"/>
  <c r="D84" i="23"/>
  <c r="D85" i="23"/>
  <c r="D88" i="23"/>
  <c r="D101" i="23"/>
  <c r="L395" i="15"/>
  <c r="L394" i="15"/>
  <c r="L393" i="15"/>
  <c r="L392" i="15"/>
  <c r="L391" i="15"/>
  <c r="L364" i="15"/>
  <c r="L349" i="15"/>
  <c r="L303" i="15"/>
  <c r="L234" i="15"/>
  <c r="L233" i="15"/>
  <c r="G60" i="7"/>
  <c r="H73" i="6"/>
  <c r="H71" i="6"/>
  <c r="H69" i="6"/>
  <c r="H68" i="6"/>
  <c r="H67" i="6"/>
  <c r="H66" i="6"/>
  <c r="H65" i="6"/>
  <c r="H64" i="6"/>
  <c r="H63" i="6"/>
  <c r="H62" i="6"/>
  <c r="H61" i="6"/>
  <c r="H55" i="6"/>
  <c r="H30" i="6"/>
  <c r="H36" i="6" s="1"/>
  <c r="H27" i="6"/>
  <c r="H25" i="6"/>
  <c r="H23" i="6"/>
  <c r="H21" i="6"/>
  <c r="H19" i="6"/>
  <c r="H18" i="6"/>
  <c r="H17" i="6"/>
  <c r="H16" i="6"/>
  <c r="H15" i="6"/>
  <c r="D93" i="23" l="1"/>
  <c r="D111" i="23" s="1"/>
  <c r="H88" i="23"/>
  <c r="H22" i="6"/>
  <c r="H24" i="6" s="1"/>
  <c r="H48" i="6" s="1"/>
  <c r="H58" i="6" s="1"/>
  <c r="T204" i="15"/>
  <c r="T207" i="15"/>
  <c r="T206" i="15"/>
  <c r="T205" i="15"/>
  <c r="T461" i="15"/>
  <c r="D86" i="23"/>
  <c r="F110" i="23" s="1"/>
  <c r="D65" i="23"/>
  <c r="D28" i="23"/>
  <c r="D70" i="23"/>
  <c r="D42" i="23"/>
  <c r="D18" i="23"/>
  <c r="D75" i="23"/>
  <c r="D50" i="23"/>
  <c r="D24" i="23"/>
  <c r="D60" i="23"/>
  <c r="T425" i="15"/>
  <c r="H70" i="6"/>
  <c r="H75" i="6" s="1"/>
  <c r="T305" i="15"/>
  <c r="T460" i="15"/>
  <c r="D77" i="23" l="1"/>
  <c r="D103" i="23" s="1"/>
  <c r="D110" i="23" s="1"/>
  <c r="H78" i="6"/>
  <c r="H85" i="6" s="1"/>
  <c r="E81" i="6" s="1"/>
  <c r="Q140" i="9"/>
  <c r="Q141" i="9"/>
  <c r="Q142" i="9"/>
  <c r="Q143" i="9"/>
  <c r="E38" i="23" l="1"/>
  <c r="E64" i="23"/>
  <c r="E39" i="23"/>
  <c r="E46" i="23"/>
  <c r="E83" i="23"/>
  <c r="E79" i="23"/>
  <c r="E16" i="23"/>
  <c r="E57" i="23"/>
  <c r="E36" i="23"/>
  <c r="E58" i="23"/>
  <c r="E56" i="23"/>
  <c r="E44" i="23"/>
  <c r="E54" i="23"/>
  <c r="E80" i="23"/>
  <c r="E47" i="23"/>
  <c r="E72" i="23"/>
  <c r="E81" i="23"/>
  <c r="E63" i="23"/>
  <c r="E48" i="23"/>
  <c r="E53" i="23"/>
  <c r="E55" i="23"/>
  <c r="E74" i="23"/>
  <c r="E45" i="23"/>
  <c r="E40" i="23"/>
  <c r="E17" i="23"/>
  <c r="E82" i="23"/>
  <c r="E41" i="23"/>
  <c r="E62" i="23"/>
  <c r="E73" i="23"/>
  <c r="E49" i="23"/>
  <c r="E37" i="23"/>
  <c r="D112" i="23"/>
  <c r="H110" i="23"/>
  <c r="H20" i="27"/>
  <c r="E50" i="23" l="1"/>
  <c r="E42" i="23"/>
  <c r="G38" i="27"/>
  <c r="X880" i="9" l="1"/>
  <c r="X878" i="9"/>
  <c r="X879" i="9"/>
  <c r="X877" i="9"/>
  <c r="X876" i="9"/>
  <c r="X875" i="9"/>
  <c r="X874" i="9"/>
  <c r="X873" i="9"/>
  <c r="X872" i="9"/>
  <c r="X871" i="9"/>
  <c r="X870" i="9"/>
  <c r="X869" i="9"/>
  <c r="X868" i="9"/>
  <c r="X867" i="9"/>
  <c r="X866" i="9"/>
  <c r="X865" i="9"/>
  <c r="X864" i="9"/>
  <c r="X863" i="9"/>
  <c r="X862" i="9"/>
  <c r="X861" i="9"/>
  <c r="E23" i="6" l="1"/>
  <c r="F16" i="7" s="1"/>
  <c r="K80" i="27"/>
  <c r="F80" i="27"/>
  <c r="K166" i="12"/>
  <c r="K167" i="12"/>
  <c r="K168" i="12"/>
  <c r="K169" i="12"/>
  <c r="K170" i="12"/>
  <c r="K151" i="12"/>
  <c r="K152" i="12"/>
  <c r="K128" i="12"/>
  <c r="K122" i="12"/>
  <c r="K123" i="12"/>
  <c r="K124" i="12"/>
  <c r="K125" i="12"/>
  <c r="K126" i="12"/>
  <c r="K127" i="12"/>
  <c r="K129" i="12"/>
  <c r="K130" i="12"/>
  <c r="K131" i="12"/>
  <c r="K132" i="12"/>
  <c r="M14" i="22" l="1"/>
  <c r="F37" i="17" l="1"/>
  <c r="F36" i="17"/>
  <c r="J395" i="15" l="1"/>
  <c r="Q395" i="15" s="1"/>
  <c r="S395" i="15" s="1"/>
  <c r="J392" i="15"/>
  <c r="Q392" i="15" s="1"/>
  <c r="S392" i="15" s="1"/>
  <c r="J393" i="15"/>
  <c r="Q393" i="15" s="1"/>
  <c r="S393" i="15" s="1"/>
  <c r="J394" i="15"/>
  <c r="Q394" i="15" s="1"/>
  <c r="S394" i="15" s="1"/>
  <c r="J391" i="15"/>
  <c r="Q391" i="15" s="1"/>
  <c r="S391" i="15" s="1"/>
  <c r="Q396" i="15"/>
  <c r="S396" i="15" s="1"/>
  <c r="O395" i="15"/>
  <c r="O396" i="15"/>
  <c r="O399" i="15"/>
  <c r="O391" i="15"/>
  <c r="O392" i="15"/>
  <c r="O393" i="15"/>
  <c r="O394" i="15"/>
  <c r="J364" i="15"/>
  <c r="Q364" i="15" s="1"/>
  <c r="S364" i="15" s="1"/>
  <c r="Q365" i="15"/>
  <c r="S365" i="15" s="1"/>
  <c r="Q371" i="15"/>
  <c r="S371" i="15" s="1"/>
  <c r="O365" i="15"/>
  <c r="O364" i="15"/>
  <c r="J349" i="15"/>
  <c r="Q349" i="15" s="1"/>
  <c r="S349" i="15" s="1"/>
  <c r="J348" i="15"/>
  <c r="Q304" i="15"/>
  <c r="S304" i="15" s="1"/>
  <c r="O303" i="15"/>
  <c r="J303" i="15"/>
  <c r="Q303" i="15" s="1"/>
  <c r="S303" i="15" s="1"/>
  <c r="L302" i="15"/>
  <c r="O304" i="15"/>
  <c r="Q235" i="15"/>
  <c r="S235" i="15" s="1"/>
  <c r="Q242" i="15"/>
  <c r="S242" i="15" s="1"/>
  <c r="O235" i="15"/>
  <c r="O234" i="15"/>
  <c r="J234" i="15"/>
  <c r="Q234" i="15" s="1"/>
  <c r="S234" i="15" s="1"/>
  <c r="J233" i="15"/>
  <c r="X299" i="9"/>
  <c r="T393" i="15" l="1"/>
  <c r="T392" i="15"/>
  <c r="T391" i="15"/>
  <c r="T235" i="15"/>
  <c r="T394" i="15"/>
  <c r="T365" i="15"/>
  <c r="T396" i="15"/>
  <c r="T364" i="15"/>
  <c r="T304" i="15"/>
  <c r="T395" i="15"/>
  <c r="T303" i="15"/>
  <c r="T234" i="15"/>
  <c r="O510" i="15" l="1"/>
  <c r="O511" i="15"/>
  <c r="O513" i="15"/>
  <c r="L348" i="15"/>
  <c r="L203" i="15"/>
  <c r="L115" i="15"/>
  <c r="L114" i="15"/>
  <c r="L105" i="15"/>
  <c r="O105" i="15" s="1"/>
  <c r="S834" i="9" l="1"/>
  <c r="X167" i="9"/>
  <c r="K81" i="6"/>
  <c r="Q84" i="15" l="1"/>
  <c r="Q504" i="9" l="1"/>
  <c r="Q299" i="9" l="1"/>
  <c r="O349" i="15" l="1"/>
  <c r="T349" i="15" s="1"/>
  <c r="O348" i="15"/>
  <c r="Q348" i="15"/>
  <c r="S348" i="15" s="1"/>
  <c r="J203" i="15"/>
  <c r="Q203" i="15" s="1"/>
  <c r="S203" i="15" s="1"/>
  <c r="Q208" i="15"/>
  <c r="S208" i="15" s="1"/>
  <c r="O208" i="15"/>
  <c r="O203" i="15"/>
  <c r="J115" i="15"/>
  <c r="Q115" i="15" s="1"/>
  <c r="S115" i="15" s="1"/>
  <c r="O115" i="15"/>
  <c r="L113" i="15"/>
  <c r="O114" i="15"/>
  <c r="J114" i="15"/>
  <c r="Q114" i="15" s="1"/>
  <c r="S114" i="15" s="1"/>
  <c r="Q76" i="15"/>
  <c r="Q77" i="15"/>
  <c r="Q78" i="15"/>
  <c r="Q75" i="15"/>
  <c r="J105" i="15"/>
  <c r="Q105" i="15" s="1"/>
  <c r="S105" i="15" s="1"/>
  <c r="S109" i="15" s="1"/>
  <c r="L109" i="15"/>
  <c r="M109" i="15"/>
  <c r="N109" i="15"/>
  <c r="O109" i="15"/>
  <c r="R109" i="15"/>
  <c r="K109" i="15"/>
  <c r="F50" i="7"/>
  <c r="F57" i="7" s="1"/>
  <c r="F63" i="7" s="1"/>
  <c r="F68" i="7" s="1"/>
  <c r="T208" i="15" l="1"/>
  <c r="T105" i="15"/>
  <c r="T109" i="15" s="1"/>
  <c r="T115" i="15"/>
  <c r="Q109" i="15"/>
  <c r="S540" i="15" s="1"/>
  <c r="U581" i="15" s="1"/>
  <c r="T348" i="15"/>
  <c r="T203" i="15"/>
  <c r="T114" i="15"/>
  <c r="L390" i="15" l="1"/>
  <c r="L301" i="15"/>
  <c r="L300" i="15"/>
  <c r="L232" i="15"/>
  <c r="E64" i="28" l="1"/>
  <c r="L125" i="31" l="1"/>
  <c r="L124" i="31"/>
  <c r="Q485" i="9"/>
  <c r="J390" i="15" l="1"/>
  <c r="Q390" i="15" s="1"/>
  <c r="S390" i="15" s="1"/>
  <c r="O390" i="15"/>
  <c r="J302" i="15"/>
  <c r="Q302" i="15" s="1"/>
  <c r="S302" i="15" s="1"/>
  <c r="J301" i="15"/>
  <c r="Q301" i="15" s="1"/>
  <c r="S301" i="15" s="1"/>
  <c r="J300" i="15"/>
  <c r="Q300" i="15" s="1"/>
  <c r="S300" i="15" s="1"/>
  <c r="O301" i="15"/>
  <c r="O302" i="15"/>
  <c r="O300" i="15"/>
  <c r="S117" i="15"/>
  <c r="O233" i="15"/>
  <c r="Q233" i="15"/>
  <c r="S233" i="15" s="1"/>
  <c r="J232" i="15"/>
  <c r="Q232" i="15" s="1"/>
  <c r="S232" i="15" s="1"/>
  <c r="O232" i="15"/>
  <c r="J113" i="15"/>
  <c r="Q113" i="15" s="1"/>
  <c r="S113" i="15" s="1"/>
  <c r="O113" i="15"/>
  <c r="L112" i="15"/>
  <c r="K118" i="15"/>
  <c r="K202" i="15"/>
  <c r="K201" i="15"/>
  <c r="J201" i="15" s="1"/>
  <c r="L131" i="15"/>
  <c r="L130" i="15"/>
  <c r="T113" i="15" l="1"/>
  <c r="T233" i="15"/>
  <c r="T301" i="15"/>
  <c r="T302" i="15"/>
  <c r="T232" i="15"/>
  <c r="T390" i="15"/>
  <c r="T300" i="15"/>
  <c r="B9" i="1" l="1"/>
  <c r="C5" i="1"/>
  <c r="T28" i="19"/>
  <c r="U28" i="19" s="1"/>
  <c r="U34" i="19" s="1"/>
  <c r="C589" i="9" l="1"/>
  <c r="AC756" i="9"/>
  <c r="T34" i="19"/>
  <c r="S34" i="19"/>
  <c r="Q126" i="31"/>
  <c r="S126" i="31" s="1"/>
  <c r="T126" i="31" s="1"/>
  <c r="Q136" i="31"/>
  <c r="S136" i="31" s="1"/>
  <c r="J125" i="31"/>
  <c r="Q125" i="31" s="1"/>
  <c r="S125" i="31" s="1"/>
  <c r="O125" i="31"/>
  <c r="J124" i="31"/>
  <c r="Q124" i="31" s="1"/>
  <c r="T125" i="31" l="1"/>
  <c r="S132" i="15"/>
  <c r="T132" i="15" s="1"/>
  <c r="J131" i="15" l="1"/>
  <c r="Q131" i="15" s="1"/>
  <c r="S131" i="15" s="1"/>
  <c r="J130" i="15"/>
  <c r="Q130" i="15" s="1"/>
  <c r="O131" i="15"/>
  <c r="O130" i="15"/>
  <c r="K133" i="15"/>
  <c r="O201" i="15"/>
  <c r="O202" i="15"/>
  <c r="J202" i="15"/>
  <c r="Q202" i="15" s="1"/>
  <c r="S202" i="15" s="1"/>
  <c r="Q201" i="15"/>
  <c r="S201" i="15" s="1"/>
  <c r="J200" i="15"/>
  <c r="Q200" i="15" s="1"/>
  <c r="AA722" i="9"/>
  <c r="S94" i="15"/>
  <c r="R91" i="15"/>
  <c r="Q91" i="15"/>
  <c r="L424" i="15"/>
  <c r="L299" i="15"/>
  <c r="L200" i="15"/>
  <c r="E35" i="6"/>
  <c r="E73" i="6"/>
  <c r="O629" i="9" l="1"/>
  <c r="T131" i="15"/>
  <c r="Q133" i="15"/>
  <c r="S130" i="15"/>
  <c r="T130" i="15" s="1"/>
  <c r="T202" i="15"/>
  <c r="T201" i="15"/>
  <c r="S543" i="15" l="1"/>
  <c r="J299" i="15" l="1"/>
  <c r="Q299" i="15" s="1"/>
  <c r="O424" i="15"/>
  <c r="J424" i="15"/>
  <c r="Q424" i="15" s="1"/>
  <c r="O324" i="15"/>
  <c r="S324" i="15"/>
  <c r="O117" i="15"/>
  <c r="T117" i="15" s="1"/>
  <c r="O112" i="15"/>
  <c r="J112" i="15"/>
  <c r="Q112" i="15" s="1"/>
  <c r="S112" i="15" s="1"/>
  <c r="T324" i="15" l="1"/>
  <c r="T112" i="15"/>
  <c r="O32" i="19"/>
  <c r="L475" i="15"/>
  <c r="L423" i="15"/>
  <c r="L111" i="15"/>
  <c r="Q28" i="15"/>
  <c r="E44" i="6" l="1"/>
  <c r="E45" i="6" s="1"/>
  <c r="O475" i="15" l="1"/>
  <c r="J475" i="15"/>
  <c r="S424" i="15"/>
  <c r="T424" i="15" s="1"/>
  <c r="O423" i="15"/>
  <c r="J423" i="15"/>
  <c r="Q423" i="15" s="1"/>
  <c r="S423" i="15" s="1"/>
  <c r="L118" i="15"/>
  <c r="N118" i="15"/>
  <c r="R118" i="15"/>
  <c r="J111" i="15"/>
  <c r="Q111" i="15" s="1"/>
  <c r="Q118" i="15" s="1"/>
  <c r="L452" i="15"/>
  <c r="L347" i="15"/>
  <c r="L199" i="15"/>
  <c r="L198" i="15"/>
  <c r="T423" i="15" l="1"/>
  <c r="S111" i="15"/>
  <c r="S542" i="15"/>
  <c r="O111" i="15"/>
  <c r="O118" i="15" s="1"/>
  <c r="M118" i="15"/>
  <c r="T111" i="15" l="1"/>
  <c r="T118" i="15" s="1"/>
  <c r="S118" i="15"/>
  <c r="F14" i="28"/>
  <c r="F15" i="28"/>
  <c r="F16" i="28"/>
  <c r="F17" i="28"/>
  <c r="F18" i="28"/>
  <c r="F19" i="28"/>
  <c r="F20" i="28"/>
  <c r="F21" i="28"/>
  <c r="F22" i="28"/>
  <c r="F29" i="28"/>
  <c r="F30" i="28"/>
  <c r="F31" i="28"/>
  <c r="F32" i="28"/>
  <c r="F39" i="28"/>
  <c r="F41" i="28"/>
  <c r="F42" i="28"/>
  <c r="F43" i="28"/>
  <c r="F45" i="28"/>
  <c r="F49" i="28"/>
  <c r="F53" i="28"/>
  <c r="F62" i="28"/>
  <c r="F65" i="28"/>
  <c r="F66" i="28" s="1"/>
  <c r="F25" i="28" l="1"/>
  <c r="F46" i="28"/>
  <c r="F51" i="28" s="1"/>
  <c r="F69" i="28"/>
  <c r="F71" i="28" s="1"/>
  <c r="F34" i="28"/>
  <c r="F36" i="28" s="1"/>
  <c r="E77" i="8"/>
  <c r="E76" i="8"/>
  <c r="F73" i="28" l="1"/>
  <c r="F76" i="8"/>
  <c r="Q501" i="9"/>
  <c r="G28" i="16" l="1"/>
  <c r="G29" i="16"/>
  <c r="G30" i="16"/>
  <c r="J452" i="15" l="1"/>
  <c r="Q452" i="15" s="1"/>
  <c r="J347" i="15"/>
  <c r="J198" i="15"/>
  <c r="J199" i="15"/>
  <c r="Q199" i="15" s="1"/>
  <c r="S199" i="15" s="1"/>
  <c r="S200" i="15"/>
  <c r="Q222" i="15"/>
  <c r="S222" i="15" s="1"/>
  <c r="O199" i="15"/>
  <c r="O200" i="15"/>
  <c r="O222" i="15"/>
  <c r="T222" i="15" l="1"/>
  <c r="T200" i="15"/>
  <c r="T199" i="15"/>
  <c r="L451" i="15"/>
  <c r="L197" i="15"/>
  <c r="L196" i="15"/>
  <c r="L195" i="15"/>
  <c r="E16" i="6" l="1"/>
  <c r="E17" i="6"/>
  <c r="E18" i="6"/>
  <c r="E19" i="6"/>
  <c r="E21" i="6"/>
  <c r="E25" i="6"/>
  <c r="E27" i="6"/>
  <c r="E30" i="6"/>
  <c r="E36" i="6" s="1"/>
  <c r="O695" i="9"/>
  <c r="D78" i="20" l="1"/>
  <c r="D68" i="20"/>
  <c r="E228" i="21" s="1"/>
  <c r="E22" i="6"/>
  <c r="D77" i="20" l="1"/>
  <c r="D114" i="23" s="1"/>
  <c r="E24" i="6"/>
  <c r="F15" i="7"/>
  <c r="L123" i="31"/>
  <c r="Q66" i="19"/>
  <c r="Q65" i="19"/>
  <c r="E48" i="6" l="1"/>
  <c r="D69" i="20" s="1"/>
  <c r="Q68" i="19"/>
  <c r="O198" i="15"/>
  <c r="O452" i="15"/>
  <c r="S452" i="15"/>
  <c r="O451" i="15"/>
  <c r="J451" i="15"/>
  <c r="Q451" i="15" s="1"/>
  <c r="S451" i="15" s="1"/>
  <c r="O196" i="15"/>
  <c r="O197" i="15"/>
  <c r="J197" i="15"/>
  <c r="O195" i="15"/>
  <c r="J195" i="15"/>
  <c r="T452" i="15" l="1"/>
  <c r="T451" i="15"/>
  <c r="Q195" i="15"/>
  <c r="S195" i="15" s="1"/>
  <c r="T195" i="15" s="1"/>
  <c r="Q196" i="15"/>
  <c r="S196" i="15" s="1"/>
  <c r="T196" i="15" s="1"/>
  <c r="Q197" i="15"/>
  <c r="S197" i="15" s="1"/>
  <c r="T197" i="15" s="1"/>
  <c r="Q198" i="15"/>
  <c r="S198" i="15" s="1"/>
  <c r="T198" i="15" s="1"/>
  <c r="I60" i="7" l="1"/>
  <c r="L372" i="15" l="1"/>
  <c r="O509" i="15"/>
  <c r="L450" i="15"/>
  <c r="L422" i="15"/>
  <c r="L298" i="15"/>
  <c r="L297" i="15"/>
  <c r="L296" i="15"/>
  <c r="L194" i="15"/>
  <c r="L193" i="15"/>
  <c r="L59" i="15"/>
  <c r="L41" i="15"/>
  <c r="O41" i="15" s="1"/>
  <c r="L35" i="15"/>
  <c r="L38" i="15" s="1"/>
  <c r="L30" i="15"/>
  <c r="L33" i="15" s="1"/>
  <c r="F12" i="33"/>
  <c r="G12" i="33" s="1"/>
  <c r="F9" i="33"/>
  <c r="E9" i="33"/>
  <c r="E15" i="33" s="1"/>
  <c r="F15" i="33" l="1"/>
  <c r="L223" i="15"/>
  <c r="G9" i="33"/>
  <c r="G15" i="33" l="1"/>
  <c r="P142" i="27"/>
  <c r="Q486" i="9" l="1"/>
  <c r="M20" i="31"/>
  <c r="N20" i="31"/>
  <c r="R20" i="31"/>
  <c r="S124" i="31"/>
  <c r="O123" i="31"/>
  <c r="O124" i="31"/>
  <c r="J123" i="31"/>
  <c r="Q123" i="31" s="1"/>
  <c r="S123" i="31" s="1"/>
  <c r="L137" i="31"/>
  <c r="T124" i="31" l="1"/>
  <c r="T123" i="31"/>
  <c r="J450" i="15"/>
  <c r="J422" i="15"/>
  <c r="S299" i="15" l="1"/>
  <c r="O299" i="15"/>
  <c r="O298" i="15"/>
  <c r="J298" i="15"/>
  <c r="Q298" i="15" s="1"/>
  <c r="S298" i="15" s="1"/>
  <c r="O297" i="15"/>
  <c r="J297" i="15"/>
  <c r="Q297" i="15" s="1"/>
  <c r="S297" i="15" s="1"/>
  <c r="J296" i="15"/>
  <c r="O194" i="15"/>
  <c r="J194" i="15"/>
  <c r="Q194" i="15" s="1"/>
  <c r="S194" i="15" s="1"/>
  <c r="J193" i="15"/>
  <c r="T299" i="15" l="1"/>
  <c r="T298" i="15"/>
  <c r="T297" i="15"/>
  <c r="T194" i="15"/>
  <c r="J35" i="15" l="1"/>
  <c r="J38" i="15" s="1"/>
  <c r="J30" i="15"/>
  <c r="Q30" i="15" s="1"/>
  <c r="O59" i="15" l="1"/>
  <c r="J59" i="15"/>
  <c r="Q42" i="15"/>
  <c r="S42" i="15" s="1"/>
  <c r="O42" i="15"/>
  <c r="L40" i="15"/>
  <c r="L44" i="15" s="1"/>
  <c r="J41" i="15"/>
  <c r="Q41" i="15" s="1"/>
  <c r="S41" i="15" s="1"/>
  <c r="L515" i="15"/>
  <c r="J63" i="15" l="1"/>
  <c r="Q59" i="15"/>
  <c r="S59" i="15" s="1"/>
  <c r="T59" i="15" s="1"/>
  <c r="T42" i="15"/>
  <c r="T41" i="15"/>
  <c r="M44" i="15" l="1"/>
  <c r="N44" i="15"/>
  <c r="R44" i="15"/>
  <c r="K44" i="15"/>
  <c r="Q515" i="15" l="1"/>
  <c r="R515" i="15"/>
  <c r="S515" i="15"/>
  <c r="N515" i="15"/>
  <c r="M515" i="15"/>
  <c r="O514" i="15"/>
  <c r="T514" i="15" s="1"/>
  <c r="J474" i="15"/>
  <c r="Q474" i="15" s="1"/>
  <c r="S474" i="15" s="1"/>
  <c r="Q475" i="15"/>
  <c r="S475" i="15" s="1"/>
  <c r="T475" i="15" s="1"/>
  <c r="Q476" i="15"/>
  <c r="S476" i="15" s="1"/>
  <c r="O474" i="15"/>
  <c r="O476" i="15"/>
  <c r="O477" i="15"/>
  <c r="J449" i="15"/>
  <c r="Q449" i="15" s="1"/>
  <c r="S449" i="15" s="1"/>
  <c r="J448" i="15"/>
  <c r="Q448" i="15" s="1"/>
  <c r="S448" i="15" s="1"/>
  <c r="Q450" i="15"/>
  <c r="S450" i="15" s="1"/>
  <c r="Q456" i="15"/>
  <c r="S456" i="15" s="1"/>
  <c r="L457" i="15"/>
  <c r="O456" i="15"/>
  <c r="O448" i="15"/>
  <c r="O449" i="15"/>
  <c r="O450" i="15"/>
  <c r="J421" i="15"/>
  <c r="Q421" i="15" s="1"/>
  <c r="S421" i="15" s="1"/>
  <c r="J420" i="15"/>
  <c r="Q420" i="15" s="1"/>
  <c r="S420" i="15" s="1"/>
  <c r="J419" i="15"/>
  <c r="Q419" i="15" s="1"/>
  <c r="S419" i="15" s="1"/>
  <c r="Q422" i="15"/>
  <c r="S422" i="15" s="1"/>
  <c r="O419" i="15"/>
  <c r="O420" i="15"/>
  <c r="O421" i="15"/>
  <c r="O422" i="15"/>
  <c r="J294" i="15"/>
  <c r="Q294" i="15" s="1"/>
  <c r="S294" i="15" s="1"/>
  <c r="Q296" i="15"/>
  <c r="S296" i="15" s="1"/>
  <c r="O294" i="15"/>
  <c r="O295" i="15"/>
  <c r="O296" i="15"/>
  <c r="J295" i="15"/>
  <c r="Q295" i="15" s="1"/>
  <c r="S295" i="15" s="1"/>
  <c r="J192" i="15"/>
  <c r="L521" i="15"/>
  <c r="T419" i="15" l="1"/>
  <c r="T456" i="15"/>
  <c r="T449" i="15"/>
  <c r="T422" i="15"/>
  <c r="T476" i="15"/>
  <c r="T450" i="15"/>
  <c r="T474" i="15"/>
  <c r="T448" i="15"/>
  <c r="T421" i="15"/>
  <c r="T420" i="15"/>
  <c r="T295" i="15"/>
  <c r="T296" i="15"/>
  <c r="T294" i="15"/>
  <c r="AA713" i="9" l="1"/>
  <c r="AA714" i="9"/>
  <c r="I839" i="9" l="1"/>
  <c r="N839" i="9"/>
  <c r="S839" i="9"/>
  <c r="X839" i="9"/>
  <c r="O732" i="9"/>
  <c r="O37" i="31" l="1"/>
  <c r="O121" i="31" l="1"/>
  <c r="O122" i="31"/>
  <c r="J122" i="31"/>
  <c r="Q122" i="31" s="1"/>
  <c r="S122" i="31"/>
  <c r="I121" i="31"/>
  <c r="J121" i="31" s="1"/>
  <c r="Q121" i="31" s="1"/>
  <c r="S121" i="31" s="1"/>
  <c r="T121" i="31" s="1"/>
  <c r="E55" i="8"/>
  <c r="T122" i="31" l="1"/>
  <c r="T509" i="15"/>
  <c r="Q427" i="9"/>
  <c r="K473" i="15" l="1"/>
  <c r="J473" i="15" s="1"/>
  <c r="Q473" i="15" s="1"/>
  <c r="S473" i="15" s="1"/>
  <c r="S438" i="15"/>
  <c r="O438" i="15"/>
  <c r="K437" i="15"/>
  <c r="O293" i="15"/>
  <c r="J293" i="15"/>
  <c r="Q293" i="15" s="1"/>
  <c r="S293" i="15" s="1"/>
  <c r="K284" i="15"/>
  <c r="J284" i="15" s="1"/>
  <c r="Q284" i="15" s="1"/>
  <c r="Q272" i="15"/>
  <c r="Q273" i="15"/>
  <c r="Q274" i="15"/>
  <c r="Q275" i="15"/>
  <c r="Q276" i="15"/>
  <c r="Q277" i="15"/>
  <c r="Q279" i="15"/>
  <c r="Q280" i="15"/>
  <c r="Q281" i="15"/>
  <c r="Q282" i="15"/>
  <c r="Q283" i="15"/>
  <c r="O192" i="15"/>
  <c r="O193" i="15"/>
  <c r="O191" i="15"/>
  <c r="J191" i="15"/>
  <c r="Q191" i="15" s="1"/>
  <c r="S191" i="15" s="1"/>
  <c r="Q192" i="15"/>
  <c r="S192" i="15" s="1"/>
  <c r="Q193" i="15"/>
  <c r="S193" i="15" s="1"/>
  <c r="J190" i="15"/>
  <c r="K389" i="15"/>
  <c r="J389" i="15" s="1"/>
  <c r="L494" i="15"/>
  <c r="L488" i="15"/>
  <c r="L478" i="15"/>
  <c r="L466" i="15"/>
  <c r="L442" i="15"/>
  <c r="L432" i="15"/>
  <c r="L400" i="15"/>
  <c r="L356" i="15"/>
  <c r="L327" i="15"/>
  <c r="L314" i="15"/>
  <c r="L257" i="15"/>
  <c r="L243" i="15"/>
  <c r="L133" i="15"/>
  <c r="L103" i="15"/>
  <c r="L91" i="15"/>
  <c r="L80" i="15"/>
  <c r="L69" i="15"/>
  <c r="L63" i="15"/>
  <c r="L52" i="15"/>
  <c r="L25" i="15"/>
  <c r="K292" i="15"/>
  <c r="T193" i="15" l="1"/>
  <c r="L71" i="15"/>
  <c r="L496" i="15"/>
  <c r="T192" i="15"/>
  <c r="T438" i="15"/>
  <c r="T191" i="15"/>
  <c r="L136" i="15"/>
  <c r="T293" i="15"/>
  <c r="O437" i="15"/>
  <c r="J437" i="15"/>
  <c r="Q437" i="15" s="1"/>
  <c r="S437" i="15" s="1"/>
  <c r="L329" i="15"/>
  <c r="L480" i="15"/>
  <c r="T437" i="15" l="1"/>
  <c r="A73" i="20"/>
  <c r="M15" i="22" l="1"/>
  <c r="E23" i="8" l="1"/>
  <c r="M139" i="27"/>
  <c r="M140" i="27"/>
  <c r="M141" i="27"/>
  <c r="M142" i="27"/>
  <c r="M143" i="27"/>
  <c r="M144" i="27"/>
  <c r="M145" i="27"/>
  <c r="N57" i="27"/>
  <c r="N58" i="27"/>
  <c r="N59" i="27"/>
  <c r="N60" i="27"/>
  <c r="N61" i="27"/>
  <c r="N55" i="27"/>
  <c r="N56" i="27"/>
  <c r="N54" i="27"/>
  <c r="M33" i="27"/>
  <c r="J447" i="15" l="1"/>
  <c r="Q447" i="15" s="1"/>
  <c r="S447" i="15" s="1"/>
  <c r="J292" i="15"/>
  <c r="K346" i="15"/>
  <c r="J346" i="15" s="1"/>
  <c r="J189" i="15"/>
  <c r="Q190" i="15"/>
  <c r="S190" i="15" s="1"/>
  <c r="O190" i="15"/>
  <c r="N15" i="8"/>
  <c r="T190" i="15" l="1"/>
  <c r="O447" i="15"/>
  <c r="T447" i="15" s="1"/>
  <c r="S28" i="15" l="1"/>
  <c r="F73" i="7"/>
  <c r="F37" i="7" s="1"/>
  <c r="G50" i="7"/>
  <c r="G57" i="7" s="1"/>
  <c r="H50" i="7"/>
  <c r="H57" i="7" s="1"/>
  <c r="G63" i="7" l="1"/>
  <c r="G68" i="7" s="1"/>
  <c r="G73" i="7" s="1"/>
  <c r="I71" i="6"/>
  <c r="X821" i="9" l="1"/>
  <c r="I764" i="9" s="1"/>
  <c r="M186" i="31" l="1"/>
  <c r="N186" i="31"/>
  <c r="R186" i="31"/>
  <c r="S186" i="31"/>
  <c r="L186" i="31"/>
  <c r="K177" i="31"/>
  <c r="M177" i="31"/>
  <c r="N177" i="31"/>
  <c r="O177" i="31"/>
  <c r="R177" i="31"/>
  <c r="R499" i="15" s="1"/>
  <c r="M137" i="31"/>
  <c r="N137" i="31"/>
  <c r="R137" i="31"/>
  <c r="R188" i="31" l="1"/>
  <c r="N188" i="31"/>
  <c r="M188" i="31"/>
  <c r="M499" i="15" s="1"/>
  <c r="L141" i="31"/>
  <c r="L142" i="31"/>
  <c r="L143" i="31"/>
  <c r="L144" i="31"/>
  <c r="L145" i="31"/>
  <c r="L146" i="31"/>
  <c r="L147" i="31"/>
  <c r="L148" i="31"/>
  <c r="L149" i="31"/>
  <c r="L150" i="31"/>
  <c r="L151" i="31"/>
  <c r="L152" i="31"/>
  <c r="L153" i="31"/>
  <c r="L154" i="31"/>
  <c r="L155" i="31"/>
  <c r="L156" i="31"/>
  <c r="L157" i="31"/>
  <c r="L158" i="31"/>
  <c r="L159" i="31"/>
  <c r="L160" i="31"/>
  <c r="L161" i="31"/>
  <c r="L162" i="31"/>
  <c r="L163" i="31"/>
  <c r="L164" i="31"/>
  <c r="L165" i="31"/>
  <c r="L166" i="31"/>
  <c r="L167" i="31"/>
  <c r="L168" i="31"/>
  <c r="L140" i="31"/>
  <c r="I141" i="31"/>
  <c r="J141" i="31" s="1"/>
  <c r="I142" i="31"/>
  <c r="J142" i="31" s="1"/>
  <c r="Q142" i="31" s="1"/>
  <c r="S142" i="31" s="1"/>
  <c r="T142" i="31" s="1"/>
  <c r="I143" i="31"/>
  <c r="J143" i="31" s="1"/>
  <c r="Q143" i="31" s="1"/>
  <c r="S143" i="31" s="1"/>
  <c r="T143" i="31" s="1"/>
  <c r="I144" i="31"/>
  <c r="J144" i="31" s="1"/>
  <c r="Q144" i="31" s="1"/>
  <c r="S144" i="31" s="1"/>
  <c r="T144" i="31" s="1"/>
  <c r="I145" i="31"/>
  <c r="J145" i="31" s="1"/>
  <c r="Q145" i="31" s="1"/>
  <c r="S145" i="31" s="1"/>
  <c r="T145" i="31" s="1"/>
  <c r="I146" i="31"/>
  <c r="J146" i="31" s="1"/>
  <c r="Q146" i="31" s="1"/>
  <c r="S146" i="31" s="1"/>
  <c r="T146" i="31" s="1"/>
  <c r="I147" i="31"/>
  <c r="J147" i="31" s="1"/>
  <c r="Q147" i="31" s="1"/>
  <c r="S147" i="31" s="1"/>
  <c r="T147" i="31" s="1"/>
  <c r="I148" i="31"/>
  <c r="J148" i="31" s="1"/>
  <c r="Q148" i="31" s="1"/>
  <c r="S148" i="31" s="1"/>
  <c r="T148" i="31" s="1"/>
  <c r="I149" i="31"/>
  <c r="J149" i="31" s="1"/>
  <c r="Q149" i="31" s="1"/>
  <c r="S149" i="31" s="1"/>
  <c r="T149" i="31" s="1"/>
  <c r="I150" i="31"/>
  <c r="J150" i="31" s="1"/>
  <c r="Q150" i="31" s="1"/>
  <c r="S150" i="31" s="1"/>
  <c r="T150" i="31" s="1"/>
  <c r="I151" i="31"/>
  <c r="J151" i="31" s="1"/>
  <c r="Q151" i="31" s="1"/>
  <c r="S151" i="31" s="1"/>
  <c r="T151" i="31" s="1"/>
  <c r="I152" i="31"/>
  <c r="J152" i="31" s="1"/>
  <c r="Q152" i="31" s="1"/>
  <c r="S152" i="31" s="1"/>
  <c r="T152" i="31" s="1"/>
  <c r="I153" i="31"/>
  <c r="J153" i="31" s="1"/>
  <c r="Q153" i="31" s="1"/>
  <c r="S153" i="31" s="1"/>
  <c r="T153" i="31" s="1"/>
  <c r="I154" i="31"/>
  <c r="J154" i="31" s="1"/>
  <c r="Q154" i="31" s="1"/>
  <c r="S154" i="31" s="1"/>
  <c r="T154" i="31" s="1"/>
  <c r="I155" i="31"/>
  <c r="J155" i="31" s="1"/>
  <c r="Q155" i="31" s="1"/>
  <c r="S155" i="31" s="1"/>
  <c r="T155" i="31" s="1"/>
  <c r="I156" i="31"/>
  <c r="J156" i="31" s="1"/>
  <c r="Q156" i="31" s="1"/>
  <c r="S156" i="31" s="1"/>
  <c r="T156" i="31" s="1"/>
  <c r="I157" i="31"/>
  <c r="J157" i="31" s="1"/>
  <c r="Q157" i="31" s="1"/>
  <c r="S157" i="31" s="1"/>
  <c r="T157" i="31" s="1"/>
  <c r="I158" i="31"/>
  <c r="J158" i="31" s="1"/>
  <c r="Q158" i="31" s="1"/>
  <c r="S158" i="31" s="1"/>
  <c r="T158" i="31" s="1"/>
  <c r="I159" i="31"/>
  <c r="J159" i="31" s="1"/>
  <c r="Q159" i="31" s="1"/>
  <c r="S159" i="31" s="1"/>
  <c r="T159" i="31" s="1"/>
  <c r="I160" i="31"/>
  <c r="J160" i="31" s="1"/>
  <c r="Q160" i="31" s="1"/>
  <c r="S160" i="31" s="1"/>
  <c r="T160" i="31" s="1"/>
  <c r="I161" i="31"/>
  <c r="J161" i="31" s="1"/>
  <c r="Q161" i="31" s="1"/>
  <c r="S161" i="31" s="1"/>
  <c r="T161" i="31" s="1"/>
  <c r="I162" i="31"/>
  <c r="J162" i="31" s="1"/>
  <c r="Q162" i="31" s="1"/>
  <c r="S162" i="31" s="1"/>
  <c r="T162" i="31" s="1"/>
  <c r="I163" i="31"/>
  <c r="J163" i="31" s="1"/>
  <c r="Q163" i="31" s="1"/>
  <c r="S163" i="31" s="1"/>
  <c r="T163" i="31" s="1"/>
  <c r="I164" i="31"/>
  <c r="J164" i="31" s="1"/>
  <c r="Q164" i="31" s="1"/>
  <c r="S164" i="31" s="1"/>
  <c r="T164" i="31" s="1"/>
  <c r="I165" i="31"/>
  <c r="J165" i="31" s="1"/>
  <c r="Q165" i="31" s="1"/>
  <c r="S165" i="31" s="1"/>
  <c r="T165" i="31" s="1"/>
  <c r="I166" i="31"/>
  <c r="J166" i="31" s="1"/>
  <c r="Q166" i="31" s="1"/>
  <c r="S166" i="31" s="1"/>
  <c r="T166" i="31" s="1"/>
  <c r="I167" i="31"/>
  <c r="J167" i="31" s="1"/>
  <c r="Q167" i="31" s="1"/>
  <c r="S167" i="31" s="1"/>
  <c r="T167" i="31" s="1"/>
  <c r="I168" i="31"/>
  <c r="J168" i="31" s="1"/>
  <c r="Q168" i="31" s="1"/>
  <c r="S168" i="31" s="1"/>
  <c r="T168" i="31" s="1"/>
  <c r="I169" i="31"/>
  <c r="J169" i="31" s="1"/>
  <c r="Q169" i="31" s="1"/>
  <c r="S169" i="31" s="1"/>
  <c r="T169" i="31" s="1"/>
  <c r="L20" i="31"/>
  <c r="I29" i="31"/>
  <c r="J29" i="31" s="1"/>
  <c r="Q29" i="31" s="1"/>
  <c r="S29" i="31" s="1"/>
  <c r="I30" i="31"/>
  <c r="J30" i="31" s="1"/>
  <c r="Q30" i="31" s="1"/>
  <c r="S30" i="31" s="1"/>
  <c r="I31" i="31"/>
  <c r="J31" i="31" s="1"/>
  <c r="Q31" i="31" s="1"/>
  <c r="S31" i="31" s="1"/>
  <c r="I32" i="31"/>
  <c r="J32" i="31" s="1"/>
  <c r="Q32" i="31" s="1"/>
  <c r="S32" i="31" s="1"/>
  <c r="I33" i="31"/>
  <c r="J33" i="31" s="1"/>
  <c r="Q33" i="31" s="1"/>
  <c r="S33" i="31" s="1"/>
  <c r="I34" i="31"/>
  <c r="J34" i="31" s="1"/>
  <c r="Q34" i="31" s="1"/>
  <c r="S34" i="31" s="1"/>
  <c r="I35" i="31"/>
  <c r="J35" i="31" s="1"/>
  <c r="Q35" i="31" s="1"/>
  <c r="S35" i="31" s="1"/>
  <c r="I36" i="31"/>
  <c r="J36" i="31" s="1"/>
  <c r="Q36" i="31" s="1"/>
  <c r="S36" i="31" s="1"/>
  <c r="I37" i="31"/>
  <c r="J37" i="31" s="1"/>
  <c r="I38" i="31"/>
  <c r="J38" i="31" s="1"/>
  <c r="I39" i="31"/>
  <c r="J39" i="31" s="1"/>
  <c r="Q39" i="31" s="1"/>
  <c r="S39" i="31" s="1"/>
  <c r="I40" i="31"/>
  <c r="J40" i="31" s="1"/>
  <c r="Q40" i="31" s="1"/>
  <c r="S40" i="31" s="1"/>
  <c r="I41" i="31"/>
  <c r="J41" i="31" s="1"/>
  <c r="Q41" i="31" s="1"/>
  <c r="S41" i="31" s="1"/>
  <c r="I42" i="31"/>
  <c r="J42" i="31" s="1"/>
  <c r="Q42" i="31" s="1"/>
  <c r="S42" i="31" s="1"/>
  <c r="I43" i="31"/>
  <c r="J43" i="31" s="1"/>
  <c r="Q43" i="31" s="1"/>
  <c r="S43" i="31" s="1"/>
  <c r="I44" i="31"/>
  <c r="J44" i="31" s="1"/>
  <c r="Q44" i="31" s="1"/>
  <c r="S44" i="31" s="1"/>
  <c r="I45" i="31"/>
  <c r="J45" i="31" s="1"/>
  <c r="Q45" i="31" s="1"/>
  <c r="S45" i="31" s="1"/>
  <c r="I46" i="31"/>
  <c r="J46" i="31" s="1"/>
  <c r="Q46" i="31" s="1"/>
  <c r="S46" i="31" s="1"/>
  <c r="I47" i="31"/>
  <c r="J47" i="31" s="1"/>
  <c r="Q47" i="31" s="1"/>
  <c r="S47" i="31" s="1"/>
  <c r="I48" i="31"/>
  <c r="J48" i="31" s="1"/>
  <c r="Q48" i="31" s="1"/>
  <c r="S48" i="31" s="1"/>
  <c r="I49" i="31"/>
  <c r="J49" i="31" s="1"/>
  <c r="Q49" i="31" s="1"/>
  <c r="S49" i="31" s="1"/>
  <c r="I50" i="31"/>
  <c r="J50" i="31" s="1"/>
  <c r="Q50" i="31" s="1"/>
  <c r="S50" i="31" s="1"/>
  <c r="I51" i="31"/>
  <c r="J51" i="31" s="1"/>
  <c r="Q51" i="31" s="1"/>
  <c r="S51" i="31" s="1"/>
  <c r="I52" i="31"/>
  <c r="J52" i="31" s="1"/>
  <c r="Q52" i="31" s="1"/>
  <c r="S52" i="31" s="1"/>
  <c r="I53" i="31"/>
  <c r="J53" i="31" s="1"/>
  <c r="Q53" i="31" s="1"/>
  <c r="S53" i="31" s="1"/>
  <c r="I54" i="31"/>
  <c r="J54" i="31" s="1"/>
  <c r="Q54" i="31" s="1"/>
  <c r="S54" i="31" s="1"/>
  <c r="I55" i="31"/>
  <c r="J55" i="31" s="1"/>
  <c r="Q55" i="31" s="1"/>
  <c r="S55" i="31" s="1"/>
  <c r="I56" i="31"/>
  <c r="J56" i="31" s="1"/>
  <c r="Q56" i="31" s="1"/>
  <c r="S56" i="31" s="1"/>
  <c r="I57" i="31"/>
  <c r="J57" i="31" s="1"/>
  <c r="Q57" i="31" s="1"/>
  <c r="S57" i="31" s="1"/>
  <c r="I58" i="31"/>
  <c r="J58" i="31" s="1"/>
  <c r="Q58" i="31" s="1"/>
  <c r="S58" i="31" s="1"/>
  <c r="I59" i="31"/>
  <c r="J59" i="31" s="1"/>
  <c r="Q59" i="31" s="1"/>
  <c r="S59" i="31" s="1"/>
  <c r="I60" i="31"/>
  <c r="J60" i="31" s="1"/>
  <c r="Q60" i="31" s="1"/>
  <c r="S60" i="31" s="1"/>
  <c r="I61" i="31"/>
  <c r="J61" i="31" s="1"/>
  <c r="Q61" i="31" s="1"/>
  <c r="S61" i="31" s="1"/>
  <c r="I62" i="31"/>
  <c r="J62" i="31" s="1"/>
  <c r="Q62" i="31" s="1"/>
  <c r="S62" i="31" s="1"/>
  <c r="I63" i="31"/>
  <c r="J63" i="31" s="1"/>
  <c r="Q63" i="31" s="1"/>
  <c r="S63" i="31" s="1"/>
  <c r="I64" i="31"/>
  <c r="J64" i="31" s="1"/>
  <c r="Q64" i="31" s="1"/>
  <c r="S64" i="31" s="1"/>
  <c r="I65" i="31"/>
  <c r="J65" i="31" s="1"/>
  <c r="Q65" i="31" s="1"/>
  <c r="S65" i="31" s="1"/>
  <c r="I66" i="31"/>
  <c r="J66" i="31" s="1"/>
  <c r="Q66" i="31" s="1"/>
  <c r="S66" i="31" s="1"/>
  <c r="I67" i="31"/>
  <c r="J67" i="31" s="1"/>
  <c r="Q67" i="31" s="1"/>
  <c r="S67" i="31" s="1"/>
  <c r="I68" i="31"/>
  <c r="J68" i="31" s="1"/>
  <c r="Q68" i="31" s="1"/>
  <c r="S68" i="31" s="1"/>
  <c r="I69" i="31"/>
  <c r="J69" i="31" s="1"/>
  <c r="Q69" i="31" s="1"/>
  <c r="S69" i="31" s="1"/>
  <c r="I70" i="31"/>
  <c r="J70" i="31" s="1"/>
  <c r="Q70" i="31" s="1"/>
  <c r="S70" i="31" s="1"/>
  <c r="I71" i="31"/>
  <c r="J71" i="31" s="1"/>
  <c r="Q71" i="31" s="1"/>
  <c r="S71" i="31" s="1"/>
  <c r="I72" i="31"/>
  <c r="J72" i="31" s="1"/>
  <c r="Q72" i="31" s="1"/>
  <c r="S72" i="31" s="1"/>
  <c r="I73" i="31"/>
  <c r="J73" i="31" s="1"/>
  <c r="Q73" i="31" s="1"/>
  <c r="S73" i="31" s="1"/>
  <c r="I74" i="31"/>
  <c r="J74" i="31" s="1"/>
  <c r="Q74" i="31" s="1"/>
  <c r="S74" i="31" s="1"/>
  <c r="I75" i="31"/>
  <c r="J75" i="31" s="1"/>
  <c r="Q75" i="31" s="1"/>
  <c r="S75" i="31" s="1"/>
  <c r="I76" i="31"/>
  <c r="J76" i="31" s="1"/>
  <c r="Q76" i="31" s="1"/>
  <c r="S76" i="31" s="1"/>
  <c r="I77" i="31"/>
  <c r="J77" i="31" s="1"/>
  <c r="Q77" i="31" s="1"/>
  <c r="S77" i="31" s="1"/>
  <c r="I78" i="31"/>
  <c r="J78" i="31" s="1"/>
  <c r="Q78" i="31" s="1"/>
  <c r="S78" i="31" s="1"/>
  <c r="I79" i="31"/>
  <c r="J79" i="31" s="1"/>
  <c r="Q79" i="31" s="1"/>
  <c r="S79" i="31" s="1"/>
  <c r="I80" i="31"/>
  <c r="J80" i="31" s="1"/>
  <c r="Q80" i="31" s="1"/>
  <c r="S80" i="31" s="1"/>
  <c r="I81" i="31"/>
  <c r="J81" i="31" s="1"/>
  <c r="Q81" i="31" s="1"/>
  <c r="S81" i="31" s="1"/>
  <c r="I82" i="31"/>
  <c r="J82" i="31" s="1"/>
  <c r="Q82" i="31" s="1"/>
  <c r="S82" i="31" s="1"/>
  <c r="I83" i="31"/>
  <c r="J83" i="31" s="1"/>
  <c r="Q83" i="31" s="1"/>
  <c r="S83" i="31" s="1"/>
  <c r="I84" i="31"/>
  <c r="J84" i="31" s="1"/>
  <c r="Q84" i="31" s="1"/>
  <c r="S84" i="31" s="1"/>
  <c r="I85" i="31"/>
  <c r="J85" i="31" s="1"/>
  <c r="Q85" i="31" s="1"/>
  <c r="S85" i="31" s="1"/>
  <c r="I86" i="31"/>
  <c r="J86" i="31" s="1"/>
  <c r="Q86" i="31" s="1"/>
  <c r="S86" i="31" s="1"/>
  <c r="I87" i="31"/>
  <c r="J87" i="31" s="1"/>
  <c r="Q87" i="31" s="1"/>
  <c r="S87" i="31" s="1"/>
  <c r="I88" i="31"/>
  <c r="J88" i="31" s="1"/>
  <c r="Q88" i="31" s="1"/>
  <c r="S88" i="31" s="1"/>
  <c r="I89" i="31"/>
  <c r="J89" i="31" s="1"/>
  <c r="Q89" i="31" s="1"/>
  <c r="S89" i="31" s="1"/>
  <c r="I90" i="31"/>
  <c r="J90" i="31" s="1"/>
  <c r="Q90" i="31" s="1"/>
  <c r="S90" i="31" s="1"/>
  <c r="I91" i="31"/>
  <c r="J91" i="31" s="1"/>
  <c r="Q91" i="31" s="1"/>
  <c r="S91" i="31" s="1"/>
  <c r="I92" i="31"/>
  <c r="J92" i="31" s="1"/>
  <c r="Q92" i="31" s="1"/>
  <c r="S92" i="31" s="1"/>
  <c r="I93" i="31"/>
  <c r="J93" i="31" s="1"/>
  <c r="Q93" i="31" s="1"/>
  <c r="S93" i="31" s="1"/>
  <c r="I94" i="31"/>
  <c r="J94" i="31" s="1"/>
  <c r="Q94" i="31" s="1"/>
  <c r="S94" i="31" s="1"/>
  <c r="I95" i="31"/>
  <c r="J95" i="31" s="1"/>
  <c r="Q95" i="31" s="1"/>
  <c r="S95" i="31" s="1"/>
  <c r="I96" i="31"/>
  <c r="J96" i="31" s="1"/>
  <c r="Q96" i="31" s="1"/>
  <c r="S96" i="31" s="1"/>
  <c r="I97" i="31"/>
  <c r="J97" i="31" s="1"/>
  <c r="Q97" i="31" s="1"/>
  <c r="S97" i="31" s="1"/>
  <c r="I98" i="31"/>
  <c r="J98" i="31" s="1"/>
  <c r="Q98" i="31" s="1"/>
  <c r="S98" i="31" s="1"/>
  <c r="I99" i="31"/>
  <c r="J99" i="31" s="1"/>
  <c r="Q99" i="31" s="1"/>
  <c r="S99" i="31" s="1"/>
  <c r="I100" i="31"/>
  <c r="J100" i="31" s="1"/>
  <c r="Q100" i="31" s="1"/>
  <c r="S100" i="31" s="1"/>
  <c r="I101" i="31"/>
  <c r="J101" i="31" s="1"/>
  <c r="Q101" i="31" s="1"/>
  <c r="S101" i="31" s="1"/>
  <c r="I102" i="31"/>
  <c r="J102" i="31" s="1"/>
  <c r="Q102" i="31" s="1"/>
  <c r="S102" i="31" s="1"/>
  <c r="I103" i="31"/>
  <c r="J103" i="31" s="1"/>
  <c r="Q103" i="31" s="1"/>
  <c r="S103" i="31" s="1"/>
  <c r="I104" i="31"/>
  <c r="J104" i="31" s="1"/>
  <c r="Q104" i="31" s="1"/>
  <c r="S104" i="31" s="1"/>
  <c r="I105" i="31"/>
  <c r="J105" i="31" s="1"/>
  <c r="Q105" i="31" s="1"/>
  <c r="S105" i="31" s="1"/>
  <c r="I106" i="31"/>
  <c r="J106" i="31" s="1"/>
  <c r="Q106" i="31" s="1"/>
  <c r="S106" i="31" s="1"/>
  <c r="I107" i="31"/>
  <c r="J107" i="31" s="1"/>
  <c r="Q107" i="31" s="1"/>
  <c r="S107" i="31" s="1"/>
  <c r="I108" i="31"/>
  <c r="J108" i="31" s="1"/>
  <c r="Q108" i="31" s="1"/>
  <c r="S108" i="31" s="1"/>
  <c r="I109" i="31"/>
  <c r="J109" i="31" s="1"/>
  <c r="Q109" i="31" s="1"/>
  <c r="S109" i="31" s="1"/>
  <c r="I110" i="31"/>
  <c r="J110" i="31" s="1"/>
  <c r="Q110" i="31" s="1"/>
  <c r="S110" i="31" s="1"/>
  <c r="I111" i="31"/>
  <c r="J111" i="31" s="1"/>
  <c r="Q111" i="31" s="1"/>
  <c r="S111" i="31" s="1"/>
  <c r="I112" i="31"/>
  <c r="J112" i="31" s="1"/>
  <c r="Q112" i="31" s="1"/>
  <c r="S112" i="31" s="1"/>
  <c r="I113" i="31"/>
  <c r="J113" i="31" s="1"/>
  <c r="Q113" i="31" s="1"/>
  <c r="S113" i="31" s="1"/>
  <c r="I114" i="31"/>
  <c r="J114" i="31" s="1"/>
  <c r="Q114" i="31" s="1"/>
  <c r="S114" i="31" s="1"/>
  <c r="I115" i="31"/>
  <c r="J115" i="31" s="1"/>
  <c r="Q115" i="31" s="1"/>
  <c r="S115" i="31" s="1"/>
  <c r="I116" i="31"/>
  <c r="J116" i="31" s="1"/>
  <c r="Q116" i="31" s="1"/>
  <c r="S116" i="31" s="1"/>
  <c r="I117" i="31"/>
  <c r="J117" i="31" s="1"/>
  <c r="Q117" i="31" s="1"/>
  <c r="S117" i="31" s="1"/>
  <c r="I118" i="31"/>
  <c r="J118" i="31" s="1"/>
  <c r="Q118" i="31" s="1"/>
  <c r="S118" i="31" s="1"/>
  <c r="I119" i="31"/>
  <c r="J119" i="31" s="1"/>
  <c r="Q119" i="31" s="1"/>
  <c r="S119" i="31" s="1"/>
  <c r="I120" i="31"/>
  <c r="J120" i="31" s="1"/>
  <c r="Q120" i="31" s="1"/>
  <c r="S120" i="31" s="1"/>
  <c r="O29" i="31"/>
  <c r="O30" i="31"/>
  <c r="O31" i="31"/>
  <c r="O32" i="31"/>
  <c r="O33" i="31"/>
  <c r="O34" i="31"/>
  <c r="O35" i="31"/>
  <c r="O36" i="31"/>
  <c r="O38" i="31"/>
  <c r="O39" i="31"/>
  <c r="O40" i="31"/>
  <c r="O41" i="31"/>
  <c r="O42" i="31"/>
  <c r="O43" i="31"/>
  <c r="O44" i="31"/>
  <c r="O45" i="31"/>
  <c r="O46" i="31"/>
  <c r="O47" i="31"/>
  <c r="O48" i="31"/>
  <c r="O49" i="31"/>
  <c r="O50" i="31"/>
  <c r="O51" i="31"/>
  <c r="O52" i="31"/>
  <c r="O53" i="31"/>
  <c r="O54" i="31"/>
  <c r="O55" i="31"/>
  <c r="O56" i="31"/>
  <c r="O57" i="31"/>
  <c r="O58" i="31"/>
  <c r="O59" i="31"/>
  <c r="O60" i="31"/>
  <c r="O61" i="31"/>
  <c r="O62" i="31"/>
  <c r="O63" i="31"/>
  <c r="O64" i="31"/>
  <c r="O65" i="31"/>
  <c r="O66" i="31"/>
  <c r="O67" i="31"/>
  <c r="O68" i="31"/>
  <c r="O69" i="31"/>
  <c r="O70" i="31"/>
  <c r="O71" i="31"/>
  <c r="O72" i="31"/>
  <c r="O73" i="31"/>
  <c r="O74" i="31"/>
  <c r="O75" i="31"/>
  <c r="O76" i="31"/>
  <c r="O77" i="31"/>
  <c r="O78" i="31"/>
  <c r="O79" i="31"/>
  <c r="O80" i="31"/>
  <c r="O81" i="31"/>
  <c r="O82" i="31"/>
  <c r="O83" i="31"/>
  <c r="O84" i="31"/>
  <c r="O85" i="31"/>
  <c r="O86" i="31"/>
  <c r="O87" i="31"/>
  <c r="O88" i="31"/>
  <c r="O89" i="31"/>
  <c r="O90" i="31"/>
  <c r="O91" i="31"/>
  <c r="O92" i="31"/>
  <c r="O93" i="31"/>
  <c r="O94" i="31"/>
  <c r="O95" i="31"/>
  <c r="O96" i="31"/>
  <c r="O97" i="31"/>
  <c r="O98" i="31"/>
  <c r="O99" i="31"/>
  <c r="O100" i="31"/>
  <c r="O101" i="31"/>
  <c r="O102" i="31"/>
  <c r="O103" i="31"/>
  <c r="O104" i="31"/>
  <c r="O105" i="31"/>
  <c r="O106" i="31"/>
  <c r="O107" i="31"/>
  <c r="O108" i="31"/>
  <c r="O109" i="31"/>
  <c r="O110" i="31"/>
  <c r="O111" i="31"/>
  <c r="O112" i="31"/>
  <c r="O113" i="31"/>
  <c r="O114" i="31"/>
  <c r="O115" i="31"/>
  <c r="O116" i="31"/>
  <c r="O117" i="31"/>
  <c r="O118" i="31"/>
  <c r="O119" i="31"/>
  <c r="O120" i="31"/>
  <c r="O136" i="31"/>
  <c r="T136" i="31" s="1"/>
  <c r="O341" i="9" l="1"/>
  <c r="M506" i="15"/>
  <c r="L177" i="31"/>
  <c r="L188" i="31" s="1"/>
  <c r="L499" i="15" s="1"/>
  <c r="O499" i="15" s="1"/>
  <c r="T120" i="31"/>
  <c r="Q38" i="31"/>
  <c r="S38" i="31" s="1"/>
  <c r="T38" i="31" s="1"/>
  <c r="Q141" i="31"/>
  <c r="S141" i="31" s="1"/>
  <c r="T141" i="31" s="1"/>
  <c r="S37" i="31"/>
  <c r="T37" i="31" s="1"/>
  <c r="T119" i="31"/>
  <c r="T118" i="31"/>
  <c r="T117" i="31"/>
  <c r="T116" i="31"/>
  <c r="T115" i="31"/>
  <c r="T114" i="31"/>
  <c r="T113" i="31"/>
  <c r="T112" i="31"/>
  <c r="T111" i="31"/>
  <c r="T110" i="31"/>
  <c r="T109" i="31"/>
  <c r="T108" i="31"/>
  <c r="T107" i="31"/>
  <c r="T106" i="31"/>
  <c r="T105" i="31"/>
  <c r="T104" i="31"/>
  <c r="T103" i="31"/>
  <c r="T102" i="31"/>
  <c r="T101" i="31"/>
  <c r="T100" i="31"/>
  <c r="T99" i="31"/>
  <c r="T98" i="31"/>
  <c r="T97" i="31"/>
  <c r="T96" i="31"/>
  <c r="T95" i="31"/>
  <c r="T94" i="31"/>
  <c r="T93" i="31"/>
  <c r="T92" i="31"/>
  <c r="T91" i="31"/>
  <c r="T90" i="31"/>
  <c r="T89" i="31"/>
  <c r="T88" i="31"/>
  <c r="T87" i="31"/>
  <c r="T86" i="31"/>
  <c r="T85" i="31"/>
  <c r="T84" i="31"/>
  <c r="T83" i="31"/>
  <c r="T82" i="31"/>
  <c r="T81" i="31"/>
  <c r="T80" i="31"/>
  <c r="T79" i="31"/>
  <c r="T78" i="31"/>
  <c r="T77" i="31"/>
  <c r="T76" i="31"/>
  <c r="T75" i="31"/>
  <c r="T74" i="31"/>
  <c r="T73" i="31"/>
  <c r="T72" i="31"/>
  <c r="T71" i="31"/>
  <c r="T70" i="31"/>
  <c r="T69" i="31"/>
  <c r="T68" i="31"/>
  <c r="T67" i="31"/>
  <c r="T66" i="31"/>
  <c r="T65" i="31"/>
  <c r="T64" i="31"/>
  <c r="T63" i="31"/>
  <c r="T62" i="31"/>
  <c r="T61" i="31"/>
  <c r="T60" i="31"/>
  <c r="T59" i="31"/>
  <c r="T58" i="31"/>
  <c r="T57" i="31"/>
  <c r="T56" i="31"/>
  <c r="T55" i="31"/>
  <c r="T54" i="31"/>
  <c r="T53" i="31"/>
  <c r="T52" i="31"/>
  <c r="T51" i="31"/>
  <c r="T50" i="31"/>
  <c r="T49" i="31"/>
  <c r="T48" i="31"/>
  <c r="T47" i="31"/>
  <c r="T46" i="31"/>
  <c r="T45" i="31"/>
  <c r="T44" i="31"/>
  <c r="T43" i="31"/>
  <c r="T42" i="31"/>
  <c r="T41" i="31"/>
  <c r="T40" i="31"/>
  <c r="T39" i="31"/>
  <c r="T36" i="31"/>
  <c r="T35" i="31"/>
  <c r="T34" i="31"/>
  <c r="T33" i="31"/>
  <c r="T32" i="31"/>
  <c r="T31" i="31"/>
  <c r="T30" i="31"/>
  <c r="T29" i="31"/>
  <c r="O506" i="15" l="1"/>
  <c r="L506" i="15"/>
  <c r="L523" i="15" s="1"/>
  <c r="K44" i="6"/>
  <c r="E74" i="8" l="1"/>
  <c r="E34" i="8" l="1"/>
  <c r="E33" i="8"/>
  <c r="E71" i="8" s="1"/>
  <c r="E15" i="8"/>
  <c r="G15" i="8" l="1"/>
  <c r="F21" i="27"/>
  <c r="F22" i="27"/>
  <c r="F23" i="27"/>
  <c r="F20" i="27"/>
  <c r="U572" i="15" l="1"/>
  <c r="U576" i="15"/>
  <c r="U582" i="15"/>
  <c r="U583" i="15"/>
  <c r="U584" i="15"/>
  <c r="U585" i="15"/>
  <c r="U586" i="15"/>
  <c r="U591" i="15"/>
  <c r="U593" i="15"/>
  <c r="U594" i="15"/>
  <c r="U595" i="15"/>
  <c r="U604" i="15"/>
  <c r="U605" i="15"/>
  <c r="U608" i="15"/>
  <c r="J291" i="15"/>
  <c r="Q291" i="15" s="1"/>
  <c r="S291" i="15" s="1"/>
  <c r="Q292" i="15"/>
  <c r="S292" i="15" s="1"/>
  <c r="Q313" i="15"/>
  <c r="S313" i="15" s="1"/>
  <c r="O291" i="15"/>
  <c r="O292" i="15"/>
  <c r="O313" i="15"/>
  <c r="J290" i="15"/>
  <c r="Q290" i="15" s="1"/>
  <c r="S290" i="15" s="1"/>
  <c r="O290" i="15"/>
  <c r="T290" i="15" l="1"/>
  <c r="T292" i="15"/>
  <c r="T313" i="15"/>
  <c r="T291" i="15"/>
  <c r="Q399" i="15" l="1"/>
  <c r="S399" i="15" s="1"/>
  <c r="T399" i="15" s="1"/>
  <c r="O389" i="15"/>
  <c r="Q389" i="15"/>
  <c r="S389" i="15" s="1"/>
  <c r="O371" i="15"/>
  <c r="T371" i="15" s="1"/>
  <c r="K363" i="15"/>
  <c r="Q346" i="15"/>
  <c r="S346" i="15" s="1"/>
  <c r="Q347" i="15"/>
  <c r="S347" i="15" s="1"/>
  <c r="Q355" i="15"/>
  <c r="S355" i="15" s="1"/>
  <c r="O346" i="15"/>
  <c r="O347" i="15"/>
  <c r="O355" i="15"/>
  <c r="K345" i="15"/>
  <c r="O344" i="15"/>
  <c r="J344" i="15"/>
  <c r="Q344" i="15" s="1"/>
  <c r="S344" i="15" s="1"/>
  <c r="Q477" i="15"/>
  <c r="S477" i="15" s="1"/>
  <c r="T477" i="15" s="1"/>
  <c r="O472" i="15"/>
  <c r="O473" i="15"/>
  <c r="T473" i="15" s="1"/>
  <c r="J472" i="15"/>
  <c r="Q472" i="15" s="1"/>
  <c r="S472" i="15" s="1"/>
  <c r="Q189" i="15"/>
  <c r="S189" i="15" s="1"/>
  <c r="O189" i="15"/>
  <c r="O188" i="15"/>
  <c r="J188" i="15"/>
  <c r="Q188" i="15" s="1"/>
  <c r="S188" i="15" s="1"/>
  <c r="O242" i="15"/>
  <c r="T242" i="15" s="1"/>
  <c r="J231" i="15"/>
  <c r="Q231" i="15" s="1"/>
  <c r="S231" i="15" s="1"/>
  <c r="O231" i="15"/>
  <c r="K230" i="15"/>
  <c r="O186" i="15"/>
  <c r="O187" i="15"/>
  <c r="O184" i="15"/>
  <c r="J186" i="15"/>
  <c r="Q186" i="15" s="1"/>
  <c r="S186" i="15" s="1"/>
  <c r="J187" i="15"/>
  <c r="Q187" i="15" s="1"/>
  <c r="S187" i="15" s="1"/>
  <c r="K185" i="15"/>
  <c r="T188" i="15" l="1"/>
  <c r="T355" i="15"/>
  <c r="T347" i="15"/>
  <c r="T231" i="15"/>
  <c r="T346" i="15"/>
  <c r="T189" i="15"/>
  <c r="J363" i="15"/>
  <c r="Q363" i="15" s="1"/>
  <c r="S363" i="15" s="1"/>
  <c r="O363" i="15"/>
  <c r="T389" i="15"/>
  <c r="J345" i="15"/>
  <c r="Q345" i="15" s="1"/>
  <c r="S345" i="15" s="1"/>
  <c r="O345" i="15"/>
  <c r="T344" i="15"/>
  <c r="T472" i="15"/>
  <c r="J230" i="15"/>
  <c r="Q230" i="15" s="1"/>
  <c r="S230" i="15" s="1"/>
  <c r="O230" i="15"/>
  <c r="J185" i="15"/>
  <c r="Q185" i="15" s="1"/>
  <c r="S185" i="15" s="1"/>
  <c r="O185" i="15"/>
  <c r="T187" i="15"/>
  <c r="T186" i="15"/>
  <c r="T185" i="15" l="1"/>
  <c r="T230" i="15"/>
  <c r="T345" i="15"/>
  <c r="T363" i="15"/>
  <c r="F193" i="16"/>
  <c r="H193" i="16"/>
  <c r="E193" i="16"/>
  <c r="G191" i="16"/>
  <c r="G192" i="16"/>
  <c r="G190" i="16"/>
  <c r="F187" i="16"/>
  <c r="H187" i="16"/>
  <c r="E187" i="16"/>
  <c r="F176" i="16"/>
  <c r="E176" i="16"/>
  <c r="F150" i="16"/>
  <c r="E150" i="16"/>
  <c r="F128" i="16"/>
  <c r="E128" i="16"/>
  <c r="F106" i="16"/>
  <c r="E106" i="16"/>
  <c r="F81" i="16"/>
  <c r="E81" i="16"/>
  <c r="F59" i="16"/>
  <c r="E59" i="16"/>
  <c r="F38" i="16"/>
  <c r="E38" i="16"/>
  <c r="G18" i="16"/>
  <c r="G19" i="16"/>
  <c r="H19" i="16" s="1"/>
  <c r="G20" i="16"/>
  <c r="H20" i="16" s="1"/>
  <c r="G21" i="16"/>
  <c r="H21" i="16" s="1"/>
  <c r="G22" i="16"/>
  <c r="H22" i="16" s="1"/>
  <c r="G23" i="16"/>
  <c r="H23" i="16" s="1"/>
  <c r="G24" i="16"/>
  <c r="H24" i="16" s="1"/>
  <c r="G25" i="16"/>
  <c r="H25" i="16" s="1"/>
  <c r="G26" i="16"/>
  <c r="H26" i="16" s="1"/>
  <c r="G27" i="16"/>
  <c r="H27" i="16" s="1"/>
  <c r="H28" i="16"/>
  <c r="H29" i="16"/>
  <c r="H30" i="16"/>
  <c r="G31" i="16"/>
  <c r="H31" i="16" s="1"/>
  <c r="G32" i="16"/>
  <c r="H32" i="16" s="1"/>
  <c r="F231" i="12"/>
  <c r="G231" i="12"/>
  <c r="H231" i="12"/>
  <c r="I231" i="12"/>
  <c r="J231" i="12"/>
  <c r="E231" i="12"/>
  <c r="F224" i="12"/>
  <c r="G224" i="12"/>
  <c r="H224" i="12"/>
  <c r="I224" i="12"/>
  <c r="J224" i="12"/>
  <c r="E224" i="12"/>
  <c r="F216" i="12"/>
  <c r="G216" i="12"/>
  <c r="H216" i="12"/>
  <c r="I216" i="12"/>
  <c r="J216" i="12"/>
  <c r="E216" i="12"/>
  <c r="F190" i="12"/>
  <c r="G190" i="12"/>
  <c r="H190" i="12"/>
  <c r="I190" i="12"/>
  <c r="J190" i="12"/>
  <c r="E190" i="12"/>
  <c r="F183" i="12"/>
  <c r="G183" i="12"/>
  <c r="H183" i="12"/>
  <c r="I183" i="12"/>
  <c r="J183" i="12"/>
  <c r="E183" i="12"/>
  <c r="E192" i="12" s="1"/>
  <c r="F172" i="12"/>
  <c r="G172" i="12"/>
  <c r="H172" i="12"/>
  <c r="I172" i="12"/>
  <c r="J172" i="12"/>
  <c r="E172" i="12"/>
  <c r="F161" i="12"/>
  <c r="G161" i="12"/>
  <c r="H161" i="12"/>
  <c r="I161" i="12"/>
  <c r="J161" i="12"/>
  <c r="E161" i="12"/>
  <c r="F133" i="12"/>
  <c r="G133" i="12"/>
  <c r="H133" i="12"/>
  <c r="I133" i="12"/>
  <c r="J133" i="12"/>
  <c r="E133" i="12"/>
  <c r="F106" i="12"/>
  <c r="G106" i="12"/>
  <c r="H106" i="12"/>
  <c r="I106" i="12"/>
  <c r="J106" i="12"/>
  <c r="E106" i="12"/>
  <c r="F81" i="12"/>
  <c r="G81" i="12"/>
  <c r="H81" i="12"/>
  <c r="I81" i="12"/>
  <c r="J81" i="12"/>
  <c r="E81" i="12"/>
  <c r="F59" i="12"/>
  <c r="G59" i="12"/>
  <c r="H59" i="12"/>
  <c r="I59" i="12"/>
  <c r="J59" i="12"/>
  <c r="E59" i="12"/>
  <c r="F37" i="12"/>
  <c r="G37" i="12"/>
  <c r="H37" i="12"/>
  <c r="I37" i="12"/>
  <c r="I82" i="12" s="1"/>
  <c r="J37" i="12"/>
  <c r="E37" i="12"/>
  <c r="E162" i="12" l="1"/>
  <c r="H194" i="16"/>
  <c r="I233" i="12"/>
  <c r="G192" i="12"/>
  <c r="E233" i="12"/>
  <c r="G233" i="12"/>
  <c r="J233" i="12"/>
  <c r="F233" i="12"/>
  <c r="G162" i="12"/>
  <c r="F151" i="16"/>
  <c r="I192" i="12"/>
  <c r="H192" i="12"/>
  <c r="F82" i="16"/>
  <c r="E194" i="16"/>
  <c r="E151" i="16"/>
  <c r="I162" i="12"/>
  <c r="I173" i="12" s="1"/>
  <c r="I236" i="12" s="1"/>
  <c r="H162" i="12"/>
  <c r="E82" i="12"/>
  <c r="G82" i="12"/>
  <c r="J82" i="12"/>
  <c r="F82" i="12"/>
  <c r="H82" i="12"/>
  <c r="J162" i="12"/>
  <c r="F162" i="12"/>
  <c r="J192" i="12"/>
  <c r="F192" i="12"/>
  <c r="H233" i="12"/>
  <c r="E82" i="16"/>
  <c r="F194" i="16"/>
  <c r="G193" i="16"/>
  <c r="H18" i="16"/>
  <c r="E173" i="12" l="1"/>
  <c r="E236" i="12" s="1"/>
  <c r="G173" i="12"/>
  <c r="G236" i="12" s="1"/>
  <c r="H173" i="12"/>
  <c r="H236" i="12" s="1"/>
  <c r="F178" i="16"/>
  <c r="F197" i="16" s="1"/>
  <c r="J173" i="12"/>
  <c r="J236" i="12" s="1"/>
  <c r="E178" i="16"/>
  <c r="E197" i="16" s="1"/>
  <c r="F173" i="12"/>
  <c r="F236" i="12" s="1"/>
  <c r="M28" i="27"/>
  <c r="M21" i="27"/>
  <c r="G74" i="27"/>
  <c r="E18" i="8" l="1"/>
  <c r="M18" i="22"/>
  <c r="M17" i="22"/>
  <c r="M26" i="22"/>
  <c r="M25" i="22"/>
  <c r="M24" i="22"/>
  <c r="E73" i="8" l="1"/>
  <c r="F73" i="8" s="1"/>
  <c r="E27" i="8"/>
  <c r="Q550" i="9" l="1"/>
  <c r="N506" i="15" l="1"/>
  <c r="J416" i="15"/>
  <c r="Q416" i="15" s="1"/>
  <c r="S416" i="15" s="1"/>
  <c r="O418" i="15"/>
  <c r="J418" i="15"/>
  <c r="Q418" i="15" s="1"/>
  <c r="S418" i="15" s="1"/>
  <c r="O417" i="15"/>
  <c r="K417" i="15"/>
  <c r="J417" i="15" s="1"/>
  <c r="O388" i="15"/>
  <c r="K388" i="15"/>
  <c r="J388" i="15" s="1"/>
  <c r="Q388" i="15" s="1"/>
  <c r="S388" i="15" s="1"/>
  <c r="O362" i="15"/>
  <c r="K362" i="15"/>
  <c r="J362" i="15" s="1"/>
  <c r="Q362" i="15" s="1"/>
  <c r="S362" i="15" s="1"/>
  <c r="K289" i="15"/>
  <c r="J289" i="15" s="1"/>
  <c r="Q289" i="15" s="1"/>
  <c r="S289" i="15" s="1"/>
  <c r="O289" i="15"/>
  <c r="O253" i="15"/>
  <c r="J253" i="15"/>
  <c r="Q253" i="15" s="1"/>
  <c r="S253" i="15" s="1"/>
  <c r="J184" i="15"/>
  <c r="Q184" i="15" s="1"/>
  <c r="S184" i="15" s="1"/>
  <c r="Q417" i="15" l="1"/>
  <c r="S417" i="15" s="1"/>
  <c r="T417" i="15" s="1"/>
  <c r="T362" i="15"/>
  <c r="T418" i="15"/>
  <c r="T388" i="15"/>
  <c r="T289" i="15"/>
  <c r="T253" i="15"/>
  <c r="E48" i="32" l="1"/>
  <c r="P48" i="32" s="1"/>
  <c r="E40" i="32"/>
  <c r="P40" i="32" s="1"/>
  <c r="E44" i="32"/>
  <c r="P44" i="32" s="1"/>
  <c r="H44" i="32"/>
  <c r="E23" i="32"/>
  <c r="G66" i="32"/>
  <c r="F66" i="32"/>
  <c r="G62" i="32"/>
  <c r="F62" i="32"/>
  <c r="E62" i="32"/>
  <c r="H61" i="32"/>
  <c r="H60" i="32"/>
  <c r="H59" i="32"/>
  <c r="H58" i="32"/>
  <c r="H57" i="32"/>
  <c r="H56" i="32"/>
  <c r="H55" i="32"/>
  <c r="H54" i="32"/>
  <c r="G49" i="32"/>
  <c r="G46" i="32"/>
  <c r="G34" i="32"/>
  <c r="E32" i="32"/>
  <c r="P32" i="32" s="1"/>
  <c r="G25" i="32"/>
  <c r="H24" i="32"/>
  <c r="J8" i="32"/>
  <c r="B8" i="32"/>
  <c r="I188" i="31"/>
  <c r="O185" i="31"/>
  <c r="T185" i="31" s="1"/>
  <c r="Q183" i="31"/>
  <c r="Q186" i="31" s="1"/>
  <c r="O183" i="31"/>
  <c r="Q180" i="31"/>
  <c r="S180" i="31" s="1"/>
  <c r="O180" i="31"/>
  <c r="I179" i="31"/>
  <c r="I140" i="31"/>
  <c r="J140" i="31" s="1"/>
  <c r="O28" i="31"/>
  <c r="I28" i="31"/>
  <c r="J28" i="31" s="1"/>
  <c r="Q28" i="31" s="1"/>
  <c r="S28" i="31" s="1"/>
  <c r="T28" i="31" s="1"/>
  <c r="O27" i="31"/>
  <c r="I27" i="31"/>
  <c r="J27" i="31" s="1"/>
  <c r="Q27" i="31" s="1"/>
  <c r="S27" i="31" s="1"/>
  <c r="T27" i="31" s="1"/>
  <c r="O26" i="31"/>
  <c r="I26" i="31"/>
  <c r="J26" i="31" s="1"/>
  <c r="Q26" i="31" s="1"/>
  <c r="S26" i="31" s="1"/>
  <c r="T26" i="31" s="1"/>
  <c r="O25" i="31"/>
  <c r="I25" i="31"/>
  <c r="J25" i="31" s="1"/>
  <c r="Q25" i="31" s="1"/>
  <c r="S25" i="31" s="1"/>
  <c r="O24" i="31"/>
  <c r="I24" i="31"/>
  <c r="J24" i="31" s="1"/>
  <c r="Q24" i="31" s="1"/>
  <c r="S24" i="31" s="1"/>
  <c r="T24" i="31" s="1"/>
  <c r="O23" i="31"/>
  <c r="I23" i="31"/>
  <c r="I20" i="31"/>
  <c r="Q19" i="31"/>
  <c r="O19" i="31"/>
  <c r="O20" i="31" s="1"/>
  <c r="I18" i="31"/>
  <c r="J18" i="31" s="1"/>
  <c r="O15" i="31"/>
  <c r="T15" i="31" s="1"/>
  <c r="O14" i="31"/>
  <c r="U715" i="9"/>
  <c r="B103" i="30"/>
  <c r="B102" i="30"/>
  <c r="B100" i="30"/>
  <c r="E65" i="28"/>
  <c r="E65" i="32" s="1"/>
  <c r="B99" i="30"/>
  <c r="B98" i="30"/>
  <c r="B96" i="30"/>
  <c r="B95" i="30"/>
  <c r="B94" i="30"/>
  <c r="B93" i="30"/>
  <c r="B90" i="30"/>
  <c r="B89" i="30"/>
  <c r="B88" i="30"/>
  <c r="B87" i="30"/>
  <c r="B84" i="30"/>
  <c r="B83" i="30"/>
  <c r="B82" i="30"/>
  <c r="B81" i="30"/>
  <c r="E43" i="28"/>
  <c r="E43" i="32" s="1"/>
  <c r="P43" i="32" s="1"/>
  <c r="B79" i="30"/>
  <c r="B78" i="30"/>
  <c r="E42" i="28"/>
  <c r="E42" i="32" s="1"/>
  <c r="P42" i="32" s="1"/>
  <c r="B76" i="30"/>
  <c r="B75" i="30"/>
  <c r="B73" i="30"/>
  <c r="B72" i="30"/>
  <c r="B70" i="30"/>
  <c r="B69" i="30"/>
  <c r="E41" i="28"/>
  <c r="E41" i="32" s="1"/>
  <c r="P41" i="32" s="1"/>
  <c r="B67" i="30"/>
  <c r="B66" i="30"/>
  <c r="B65" i="30"/>
  <c r="B64" i="30"/>
  <c r="B63" i="30"/>
  <c r="B60" i="30"/>
  <c r="B59" i="30"/>
  <c r="B57" i="30"/>
  <c r="B56" i="30"/>
  <c r="B55" i="30"/>
  <c r="B54" i="30"/>
  <c r="B53" i="30"/>
  <c r="B52" i="30"/>
  <c r="B51" i="30"/>
  <c r="B50" i="30"/>
  <c r="B48" i="30"/>
  <c r="B47" i="30"/>
  <c r="B46" i="30"/>
  <c r="B45" i="30"/>
  <c r="B44" i="30"/>
  <c r="B43" i="30"/>
  <c r="B42" i="30"/>
  <c r="B41" i="30"/>
  <c r="B39" i="30"/>
  <c r="B38" i="30"/>
  <c r="B37" i="30"/>
  <c r="B36" i="30"/>
  <c r="B33" i="30"/>
  <c r="E20" i="28"/>
  <c r="E20" i="32" s="1"/>
  <c r="P20" i="32" s="1"/>
  <c r="B32" i="30"/>
  <c r="B31" i="30"/>
  <c r="B30" i="30"/>
  <c r="B28" i="30"/>
  <c r="E21" i="28"/>
  <c r="E21" i="32" s="1"/>
  <c r="P21" i="32" s="1"/>
  <c r="B27" i="30"/>
  <c r="B26" i="30"/>
  <c r="B24" i="30"/>
  <c r="B23" i="30"/>
  <c r="B22" i="30"/>
  <c r="B21" i="30"/>
  <c r="B19" i="30"/>
  <c r="X191" i="9"/>
  <c r="Q191" i="9"/>
  <c r="B18" i="30"/>
  <c r="B17" i="30"/>
  <c r="B16" i="30"/>
  <c r="B14" i="30"/>
  <c r="B13" i="30"/>
  <c r="B12" i="30"/>
  <c r="B11" i="30"/>
  <c r="B10" i="30"/>
  <c r="B9" i="30"/>
  <c r="B8" i="30"/>
  <c r="B7" i="30"/>
  <c r="B6" i="30"/>
  <c r="C47" i="29"/>
  <c r="C46" i="29"/>
  <c r="C45" i="29"/>
  <c r="C44" i="29"/>
  <c r="C43" i="29"/>
  <c r="C42" i="29"/>
  <c r="C41" i="29"/>
  <c r="C40" i="29"/>
  <c r="C37" i="29"/>
  <c r="C36" i="29"/>
  <c r="C35" i="29"/>
  <c r="C34" i="29"/>
  <c r="C33" i="29"/>
  <c r="C32" i="29"/>
  <c r="C31" i="29"/>
  <c r="C30" i="29"/>
  <c r="C29" i="29"/>
  <c r="C28" i="29"/>
  <c r="C27" i="29"/>
  <c r="C26" i="29"/>
  <c r="C25" i="29"/>
  <c r="C21" i="29"/>
  <c r="C20" i="29"/>
  <c r="C19" i="29"/>
  <c r="C18" i="29"/>
  <c r="C17" i="29"/>
  <c r="C16" i="29"/>
  <c r="C15" i="29"/>
  <c r="C12" i="29"/>
  <c r="C11" i="29"/>
  <c r="C10" i="29"/>
  <c r="C9" i="29"/>
  <c r="C8" i="29"/>
  <c r="C7" i="29"/>
  <c r="T25" i="31" l="1"/>
  <c r="H23" i="32"/>
  <c r="P23" i="32"/>
  <c r="H65" i="32"/>
  <c r="P65" i="32"/>
  <c r="H62" i="32"/>
  <c r="Q18" i="31"/>
  <c r="Q20" i="31" s="1"/>
  <c r="O137" i="31"/>
  <c r="O188" i="31" s="1"/>
  <c r="T183" i="31"/>
  <c r="T186" i="31" s="1"/>
  <c r="O186" i="31"/>
  <c r="Q140" i="31"/>
  <c r="Q177" i="31" s="1"/>
  <c r="J177" i="31"/>
  <c r="J23" i="31"/>
  <c r="Q23" i="31" s="1"/>
  <c r="E53" i="28"/>
  <c r="E53" i="32" s="1"/>
  <c r="E15" i="28"/>
  <c r="E15" i="32" s="1"/>
  <c r="P15" i="32" s="1"/>
  <c r="E45" i="28"/>
  <c r="E45" i="32" s="1"/>
  <c r="P45" i="32" s="1"/>
  <c r="E22" i="28"/>
  <c r="E22" i="32" s="1"/>
  <c r="P22" i="32" s="1"/>
  <c r="E14" i="28"/>
  <c r="E16" i="28"/>
  <c r="Q144" i="9" s="1"/>
  <c r="E17" i="28"/>
  <c r="Q192" i="9"/>
  <c r="E18" i="28"/>
  <c r="E18" i="32" s="1"/>
  <c r="P18" i="32" s="1"/>
  <c r="X192" i="9"/>
  <c r="E19" i="28"/>
  <c r="E29" i="28"/>
  <c r="E30" i="28"/>
  <c r="E30" i="32" s="1"/>
  <c r="P30" i="32" s="1"/>
  <c r="E39" i="28"/>
  <c r="T180" i="31"/>
  <c r="G36" i="32"/>
  <c r="G51" i="32"/>
  <c r="F67" i="32"/>
  <c r="G67" i="32"/>
  <c r="G74" i="32" s="1"/>
  <c r="E49" i="32"/>
  <c r="P49" i="32" s="1"/>
  <c r="G76" i="32"/>
  <c r="S19" i="31"/>
  <c r="T14" i="31"/>
  <c r="Q128" i="9" l="1"/>
  <c r="AS132" i="9" s="1"/>
  <c r="H53" i="32"/>
  <c r="P53" i="32"/>
  <c r="E39" i="32"/>
  <c r="Q460" i="9"/>
  <c r="Q137" i="31"/>
  <c r="T192" i="31" s="1"/>
  <c r="T193" i="31"/>
  <c r="S23" i="31"/>
  <c r="E29" i="32"/>
  <c r="P29" i="32" s="1"/>
  <c r="T191" i="31"/>
  <c r="S18" i="31"/>
  <c r="E72" i="6"/>
  <c r="K72" i="6" s="1"/>
  <c r="E19" i="32"/>
  <c r="P19" i="32" s="1"/>
  <c r="Q242" i="9"/>
  <c r="E17" i="32"/>
  <c r="P17" i="32" s="1"/>
  <c r="Q190" i="9"/>
  <c r="E16" i="32"/>
  <c r="P16" i="32" s="1"/>
  <c r="E14" i="32"/>
  <c r="P14" i="32" s="1"/>
  <c r="S140" i="31"/>
  <c r="D106" i="30"/>
  <c r="E64" i="32"/>
  <c r="P64" i="32" s="1"/>
  <c r="T19" i="31"/>
  <c r="O616" i="9"/>
  <c r="E9" i="32"/>
  <c r="E46" i="32" l="1"/>
  <c r="P39" i="32"/>
  <c r="E31" i="32"/>
  <c r="P31" i="32" s="1"/>
  <c r="E25" i="32"/>
  <c r="P25" i="32" s="1"/>
  <c r="Q188" i="31"/>
  <c r="S137" i="31"/>
  <c r="T23" i="31"/>
  <c r="T137" i="31" s="1"/>
  <c r="G51" i="29"/>
  <c r="T18" i="31"/>
  <c r="T20" i="31" s="1"/>
  <c r="S20" i="31"/>
  <c r="S177" i="31"/>
  <c r="T140" i="31"/>
  <c r="T177" i="31" s="1"/>
  <c r="AA616" i="9"/>
  <c r="H64" i="32"/>
  <c r="H66" i="32" s="1"/>
  <c r="H67" i="32" s="1"/>
  <c r="E66" i="32"/>
  <c r="E34" i="32" l="1"/>
  <c r="E36" i="32" s="1"/>
  <c r="P36" i="32" s="1"/>
  <c r="S188" i="31"/>
  <c r="E67" i="32"/>
  <c r="P67" i="32" s="1"/>
  <c r="P66" i="32"/>
  <c r="P46" i="32"/>
  <c r="E51" i="32"/>
  <c r="P51" i="32" s="1"/>
  <c r="T188" i="31"/>
  <c r="O357" i="9"/>
  <c r="Q506" i="15"/>
  <c r="S499" i="15"/>
  <c r="E87" i="28"/>
  <c r="E83" i="28"/>
  <c r="E66" i="28"/>
  <c r="E62" i="28"/>
  <c r="E49" i="28"/>
  <c r="E46" i="28"/>
  <c r="E32" i="28"/>
  <c r="E31" i="28"/>
  <c r="E25" i="28"/>
  <c r="E9" i="28"/>
  <c r="H8" i="28"/>
  <c r="B8" i="28"/>
  <c r="P34" i="32" l="1"/>
  <c r="E74" i="32"/>
  <c r="E76" i="32"/>
  <c r="P74" i="32"/>
  <c r="E77" i="32"/>
  <c r="E83" i="32" s="1"/>
  <c r="E89" i="32"/>
  <c r="T499" i="15"/>
  <c r="V499" i="15"/>
  <c r="E34" i="28"/>
  <c r="E36" i="28" s="1"/>
  <c r="E69" i="28"/>
  <c r="E71" i="28" s="1"/>
  <c r="E51" i="28"/>
  <c r="P76" i="32" l="1"/>
  <c r="E79" i="32"/>
  <c r="E73" i="28"/>
  <c r="E74" i="28" l="1"/>
  <c r="E79" i="28" s="1"/>
  <c r="F74" i="28"/>
  <c r="F79" i="28" s="1"/>
  <c r="F75" i="28"/>
  <c r="F86" i="28"/>
  <c r="E75" i="28"/>
  <c r="E86" i="28"/>
  <c r="Q549" i="9" l="1"/>
  <c r="Q491" i="9"/>
  <c r="X322" i="9" l="1"/>
  <c r="Q321" i="9"/>
  <c r="Q320" i="9"/>
  <c r="Q322" i="9" l="1"/>
  <c r="F22" i="32" s="1"/>
  <c r="F15" i="32"/>
  <c r="F14" i="32"/>
  <c r="M14" i="32" l="1"/>
  <c r="L14" i="32"/>
  <c r="M15" i="32"/>
  <c r="L15" i="32"/>
  <c r="H22" i="32"/>
  <c r="M22" i="32"/>
  <c r="L22" i="32"/>
  <c r="H15" i="32"/>
  <c r="H14" i="32"/>
  <c r="J287" i="15"/>
  <c r="Q287" i="15" s="1"/>
  <c r="O252" i="15"/>
  <c r="J252" i="15"/>
  <c r="Q252" i="15" s="1"/>
  <c r="S252" i="15" s="1"/>
  <c r="O229" i="15"/>
  <c r="J229" i="15"/>
  <c r="Q229" i="15" s="1"/>
  <c r="S229" i="15" s="1"/>
  <c r="T252" i="15" l="1"/>
  <c r="T229" i="15"/>
  <c r="S537" i="15" l="1"/>
  <c r="U578" i="15" s="1"/>
  <c r="O387" i="15"/>
  <c r="J387" i="15"/>
  <c r="Q387" i="15" s="1"/>
  <c r="S387" i="15" s="1"/>
  <c r="O287" i="15"/>
  <c r="O288" i="15"/>
  <c r="J285" i="15"/>
  <c r="Q285" i="15" s="1"/>
  <c r="J286" i="15"/>
  <c r="Q286" i="15" s="1"/>
  <c r="J288" i="15"/>
  <c r="Q288" i="15" s="1"/>
  <c r="S288" i="15" s="1"/>
  <c r="S287" i="15"/>
  <c r="O471" i="15"/>
  <c r="J471" i="15"/>
  <c r="Q471" i="15" s="1"/>
  <c r="Q478" i="15" s="1"/>
  <c r="J183" i="15"/>
  <c r="J223" i="15" s="1"/>
  <c r="O183" i="15"/>
  <c r="T184" i="15"/>
  <c r="Q183" i="15" l="1"/>
  <c r="S183" i="15" s="1"/>
  <c r="T183" i="15" s="1"/>
  <c r="S471" i="15"/>
  <c r="T471" i="15" s="1"/>
  <c r="T387" i="15"/>
  <c r="T288" i="15"/>
  <c r="T287" i="15"/>
  <c r="K16" i="6" l="1"/>
  <c r="H83" i="27"/>
  <c r="H64" i="27"/>
  <c r="T513" i="15"/>
  <c r="T511" i="15"/>
  <c r="O515" i="15"/>
  <c r="T510" i="15" l="1"/>
  <c r="T515" i="15" s="1"/>
  <c r="Q301" i="9"/>
  <c r="S129" i="15" l="1"/>
  <c r="S128" i="15"/>
  <c r="S127" i="15"/>
  <c r="S126" i="15"/>
  <c r="S125" i="15"/>
  <c r="S124" i="15"/>
  <c r="S123" i="15"/>
  <c r="S122" i="15"/>
  <c r="S121" i="15"/>
  <c r="S100" i="15"/>
  <c r="S99" i="15"/>
  <c r="S98" i="15"/>
  <c r="S97" i="15"/>
  <c r="S96" i="15"/>
  <c r="S95" i="15"/>
  <c r="S88" i="15"/>
  <c r="S87" i="15"/>
  <c r="S86" i="15"/>
  <c r="S78" i="15"/>
  <c r="S77" i="15"/>
  <c r="S76" i="15"/>
  <c r="S75" i="15"/>
  <c r="O129" i="15"/>
  <c r="O128" i="15"/>
  <c r="O127" i="15"/>
  <c r="O126" i="15"/>
  <c r="O125" i="15"/>
  <c r="O124" i="15"/>
  <c r="O123" i="15"/>
  <c r="O122" i="15"/>
  <c r="O121" i="15"/>
  <c r="O100" i="15"/>
  <c r="O99" i="15"/>
  <c r="O98" i="15"/>
  <c r="O97" i="15"/>
  <c r="O96" i="15"/>
  <c r="O95" i="15"/>
  <c r="O94" i="15"/>
  <c r="O88" i="15"/>
  <c r="O87" i="15"/>
  <c r="O86" i="15"/>
  <c r="O78" i="15"/>
  <c r="O77" i="15"/>
  <c r="O76" i="15"/>
  <c r="O75" i="15"/>
  <c r="S91" i="15" l="1"/>
  <c r="T75" i="15"/>
  <c r="T86" i="15"/>
  <c r="T95" i="15"/>
  <c r="T99" i="15"/>
  <c r="T123" i="15"/>
  <c r="T127" i="15"/>
  <c r="T76" i="15"/>
  <c r="T87" i="15"/>
  <c r="T96" i="15"/>
  <c r="T100" i="15"/>
  <c r="T124" i="15"/>
  <c r="T128" i="15"/>
  <c r="T77" i="15"/>
  <c r="T88" i="15"/>
  <c r="T97" i="15"/>
  <c r="T121" i="15"/>
  <c r="T125" i="15"/>
  <c r="T129" i="15"/>
  <c r="T78" i="15"/>
  <c r="T94" i="15"/>
  <c r="T98" i="15"/>
  <c r="T122" i="15"/>
  <c r="T126" i="15"/>
  <c r="S133" i="15"/>
  <c r="R133" i="15"/>
  <c r="O133" i="15"/>
  <c r="N133" i="15"/>
  <c r="M133" i="15"/>
  <c r="T91" i="15" l="1"/>
  <c r="T133" i="15"/>
  <c r="M103" i="15"/>
  <c r="N103" i="15"/>
  <c r="O103" i="15"/>
  <c r="Q103" i="15"/>
  <c r="R103" i="15"/>
  <c r="S103" i="15"/>
  <c r="T103" i="15"/>
  <c r="K103" i="15"/>
  <c r="M91" i="15"/>
  <c r="N91" i="15"/>
  <c r="O91" i="15"/>
  <c r="S538" i="15"/>
  <c r="U579" i="15" s="1"/>
  <c r="K91" i="15"/>
  <c r="K80" i="15"/>
  <c r="M80" i="15"/>
  <c r="N80" i="15"/>
  <c r="O80" i="15"/>
  <c r="Q80" i="15"/>
  <c r="R80" i="15"/>
  <c r="S80" i="15"/>
  <c r="T80" i="15"/>
  <c r="J80" i="15"/>
  <c r="K136" i="15" l="1"/>
  <c r="R136" i="15"/>
  <c r="Q136" i="15"/>
  <c r="O136" i="15"/>
  <c r="N136" i="15"/>
  <c r="M136" i="15"/>
  <c r="O334" i="9" s="1"/>
  <c r="S136" i="15"/>
  <c r="T136" i="15"/>
  <c r="S536" i="15"/>
  <c r="U577" i="15" s="1"/>
  <c r="S539" i="15"/>
  <c r="U580" i="15" s="1"/>
  <c r="S490" i="15"/>
  <c r="S483" i="15"/>
  <c r="O490" i="15"/>
  <c r="O483" i="15"/>
  <c r="T490" i="15" l="1"/>
  <c r="T483" i="15"/>
  <c r="S470" i="15"/>
  <c r="S469" i="15"/>
  <c r="S468" i="15"/>
  <c r="S459" i="15"/>
  <c r="S446" i="15"/>
  <c r="S445" i="15"/>
  <c r="S444" i="15"/>
  <c r="S436" i="15"/>
  <c r="S415" i="15"/>
  <c r="S414" i="15"/>
  <c r="S412" i="15"/>
  <c r="S411" i="15"/>
  <c r="S410" i="15"/>
  <c r="S409" i="15"/>
  <c r="S408" i="15"/>
  <c r="S407" i="15"/>
  <c r="S406" i="15"/>
  <c r="S405" i="15"/>
  <c r="S404" i="15"/>
  <c r="S403" i="15"/>
  <c r="S402" i="15"/>
  <c r="S386" i="15"/>
  <c r="S385" i="15"/>
  <c r="S384" i="15"/>
  <c r="S383" i="15"/>
  <c r="S382" i="15"/>
  <c r="S381" i="15"/>
  <c r="S380" i="15"/>
  <c r="S379" i="15"/>
  <c r="S378" i="15"/>
  <c r="S377" i="15"/>
  <c r="S376" i="15"/>
  <c r="S375" i="15"/>
  <c r="S374" i="15"/>
  <c r="S361" i="15"/>
  <c r="S360" i="15"/>
  <c r="S359" i="15"/>
  <c r="S358" i="15"/>
  <c r="S342" i="15"/>
  <c r="S341" i="15"/>
  <c r="S340" i="15"/>
  <c r="S339" i="15"/>
  <c r="S338" i="15"/>
  <c r="S337" i="15"/>
  <c r="S336" i="15"/>
  <c r="S335" i="15"/>
  <c r="S334" i="15"/>
  <c r="S333" i="15"/>
  <c r="O470" i="15"/>
  <c r="O469" i="15"/>
  <c r="O468" i="15"/>
  <c r="O459" i="15"/>
  <c r="O466" i="15" s="1"/>
  <c r="O446" i="15"/>
  <c r="O445" i="15"/>
  <c r="O444" i="15"/>
  <c r="O436" i="15"/>
  <c r="O435" i="15"/>
  <c r="O434" i="15"/>
  <c r="O416" i="15"/>
  <c r="T416" i="15" s="1"/>
  <c r="O415" i="15"/>
  <c r="O414" i="15"/>
  <c r="O413" i="15"/>
  <c r="O412" i="15"/>
  <c r="O411" i="15"/>
  <c r="O410" i="15"/>
  <c r="O409" i="15"/>
  <c r="O408" i="15"/>
  <c r="O407" i="15"/>
  <c r="O406" i="15"/>
  <c r="O405" i="15"/>
  <c r="O404" i="15"/>
  <c r="O403" i="15"/>
  <c r="O402" i="15"/>
  <c r="O386" i="15"/>
  <c r="O385" i="15"/>
  <c r="O384" i="15"/>
  <c r="O383" i="15"/>
  <c r="O382" i="15"/>
  <c r="O381" i="15"/>
  <c r="O380" i="15"/>
  <c r="O379" i="15"/>
  <c r="O378" i="15"/>
  <c r="O377" i="15"/>
  <c r="O376" i="15"/>
  <c r="O375" i="15"/>
  <c r="O374" i="15"/>
  <c r="O361" i="15"/>
  <c r="O360" i="15"/>
  <c r="O359" i="15"/>
  <c r="O358" i="15"/>
  <c r="O343" i="15"/>
  <c r="O342" i="15"/>
  <c r="O341" i="15"/>
  <c r="O340" i="15"/>
  <c r="O339" i="15"/>
  <c r="O338" i="15"/>
  <c r="O337" i="15"/>
  <c r="O336" i="15"/>
  <c r="O335" i="15"/>
  <c r="O334" i="15"/>
  <c r="O333" i="15"/>
  <c r="I413" i="15"/>
  <c r="J413" i="15" s="1"/>
  <c r="Q413" i="15" s="1"/>
  <c r="S413" i="15" s="1"/>
  <c r="I435" i="15"/>
  <c r="J435" i="15" s="1"/>
  <c r="S435" i="15" s="1"/>
  <c r="I434" i="15"/>
  <c r="J434" i="15" s="1"/>
  <c r="S434" i="15" s="1"/>
  <c r="O442" i="15" l="1"/>
  <c r="O356" i="15"/>
  <c r="O478" i="15"/>
  <c r="T444" i="15"/>
  <c r="O457" i="15"/>
  <c r="T434" i="15"/>
  <c r="T435" i="15"/>
  <c r="T459" i="15"/>
  <c r="T334" i="15"/>
  <c r="T338" i="15"/>
  <c r="T342" i="15"/>
  <c r="T360" i="15"/>
  <c r="T376" i="15"/>
  <c r="T380" i="15"/>
  <c r="T384" i="15"/>
  <c r="T403" i="15"/>
  <c r="T407" i="15"/>
  <c r="T411" i="15"/>
  <c r="T415" i="15"/>
  <c r="T436" i="15"/>
  <c r="T335" i="15"/>
  <c r="T339" i="15"/>
  <c r="T361" i="15"/>
  <c r="T377" i="15"/>
  <c r="T381" i="15"/>
  <c r="T385" i="15"/>
  <c r="T404" i="15"/>
  <c r="T408" i="15"/>
  <c r="T412" i="15"/>
  <c r="T446" i="15"/>
  <c r="T470" i="15"/>
  <c r="T336" i="15"/>
  <c r="T340" i="15"/>
  <c r="T358" i="15"/>
  <c r="T374" i="15"/>
  <c r="T378" i="15"/>
  <c r="T382" i="15"/>
  <c r="T386" i="15"/>
  <c r="T405" i="15"/>
  <c r="T409" i="15"/>
  <c r="T413" i="15"/>
  <c r="T468" i="15"/>
  <c r="T333" i="15"/>
  <c r="T337" i="15"/>
  <c r="T341" i="15"/>
  <c r="T359" i="15"/>
  <c r="T375" i="15"/>
  <c r="T379" i="15"/>
  <c r="T383" i="15"/>
  <c r="T402" i="15"/>
  <c r="T406" i="15"/>
  <c r="T410" i="15"/>
  <c r="T414" i="15"/>
  <c r="T445" i="15"/>
  <c r="T469" i="15"/>
  <c r="I343" i="15"/>
  <c r="J343" i="15" s="1"/>
  <c r="S343" i="15" s="1"/>
  <c r="T343" i="15" s="1"/>
  <c r="S323" i="15" l="1"/>
  <c r="S322" i="15"/>
  <c r="S321" i="15"/>
  <c r="S320" i="15"/>
  <c r="S319" i="15"/>
  <c r="S318" i="15"/>
  <c r="S317" i="15"/>
  <c r="S316" i="15"/>
  <c r="O323" i="15"/>
  <c r="O322" i="15"/>
  <c r="O321" i="15"/>
  <c r="O320" i="15"/>
  <c r="O319" i="15"/>
  <c r="O318" i="15"/>
  <c r="O317" i="15"/>
  <c r="O316" i="15"/>
  <c r="S286" i="15"/>
  <c r="S285" i="15"/>
  <c r="S284" i="15"/>
  <c r="S283" i="15"/>
  <c r="S282" i="15"/>
  <c r="S281" i="15"/>
  <c r="S280" i="15"/>
  <c r="S279" i="15"/>
  <c r="S278" i="15"/>
  <c r="S277" i="15"/>
  <c r="S276" i="15"/>
  <c r="S275" i="15"/>
  <c r="S274" i="15"/>
  <c r="S273" i="15"/>
  <c r="S272" i="15"/>
  <c r="S271" i="15"/>
  <c r="S270" i="15"/>
  <c r="S269" i="15"/>
  <c r="S268" i="15"/>
  <c r="S267" i="15"/>
  <c r="S266" i="15"/>
  <c r="S265" i="15"/>
  <c r="S264" i="15"/>
  <c r="S263" i="15"/>
  <c r="S262" i="15"/>
  <c r="S261" i="15"/>
  <c r="S260" i="15"/>
  <c r="S259" i="15"/>
  <c r="O286" i="15"/>
  <c r="O285" i="15"/>
  <c r="O284" i="15"/>
  <c r="O283" i="15"/>
  <c r="O282" i="15"/>
  <c r="O281" i="15"/>
  <c r="O280" i="15"/>
  <c r="O279" i="15"/>
  <c r="O278" i="15"/>
  <c r="O277" i="15"/>
  <c r="O276" i="15"/>
  <c r="O275" i="15"/>
  <c r="O274" i="15"/>
  <c r="O273" i="15"/>
  <c r="O272" i="15"/>
  <c r="O271" i="15"/>
  <c r="O270" i="15"/>
  <c r="O269" i="15"/>
  <c r="O268" i="15"/>
  <c r="O267" i="15"/>
  <c r="O266" i="15"/>
  <c r="O265" i="15"/>
  <c r="O264" i="15"/>
  <c r="O263" i="15"/>
  <c r="O262" i="15"/>
  <c r="O261" i="15"/>
  <c r="O260" i="15"/>
  <c r="O259" i="15"/>
  <c r="S251" i="15"/>
  <c r="S250" i="15"/>
  <c r="S249" i="15"/>
  <c r="S248" i="15"/>
  <c r="S247" i="15"/>
  <c r="S246" i="15"/>
  <c r="S245" i="15"/>
  <c r="O251" i="15"/>
  <c r="O250" i="15"/>
  <c r="O249" i="15"/>
  <c r="O248" i="15"/>
  <c r="O247" i="15"/>
  <c r="O246" i="15"/>
  <c r="O245" i="15"/>
  <c r="O228" i="15"/>
  <c r="O227" i="15"/>
  <c r="O226" i="15"/>
  <c r="O182" i="15"/>
  <c r="O181" i="15"/>
  <c r="O180" i="15"/>
  <c r="O179" i="15"/>
  <c r="O178" i="15"/>
  <c r="O177" i="15"/>
  <c r="O176" i="15"/>
  <c r="O175" i="15"/>
  <c r="O174" i="15"/>
  <c r="O173" i="15"/>
  <c r="O172" i="15"/>
  <c r="O171" i="15"/>
  <c r="O170" i="15"/>
  <c r="O169" i="15"/>
  <c r="O168" i="15"/>
  <c r="O167" i="15"/>
  <c r="O166" i="15"/>
  <c r="O165" i="15"/>
  <c r="O164" i="15"/>
  <c r="O163" i="15"/>
  <c r="O162" i="15"/>
  <c r="O161" i="15"/>
  <c r="O160" i="15"/>
  <c r="O159" i="15"/>
  <c r="O158" i="15"/>
  <c r="O157" i="15"/>
  <c r="O156" i="15"/>
  <c r="O155" i="15"/>
  <c r="O154" i="15"/>
  <c r="O153" i="15"/>
  <c r="O152" i="15"/>
  <c r="O151" i="15"/>
  <c r="O150" i="15"/>
  <c r="O149" i="15"/>
  <c r="O148" i="15"/>
  <c r="O147" i="15"/>
  <c r="O146" i="15"/>
  <c r="O145" i="15"/>
  <c r="O144" i="15"/>
  <c r="O143" i="15"/>
  <c r="O142" i="15"/>
  <c r="O141" i="15"/>
  <c r="S228" i="15"/>
  <c r="S227" i="15"/>
  <c r="S226" i="15"/>
  <c r="S182" i="15"/>
  <c r="S181" i="15"/>
  <c r="S180" i="15"/>
  <c r="S179" i="15"/>
  <c r="S178" i="15"/>
  <c r="S177" i="15"/>
  <c r="S176" i="15"/>
  <c r="S175" i="15"/>
  <c r="S174" i="15"/>
  <c r="S173" i="15"/>
  <c r="S172" i="15"/>
  <c r="S170" i="15"/>
  <c r="S169" i="15"/>
  <c r="S168" i="15"/>
  <c r="S167" i="15"/>
  <c r="S166" i="15"/>
  <c r="S165" i="15"/>
  <c r="S164" i="15"/>
  <c r="S163" i="15"/>
  <c r="S162" i="15"/>
  <c r="S161" i="15"/>
  <c r="S160" i="15"/>
  <c r="S159" i="15"/>
  <c r="S158" i="15"/>
  <c r="S157" i="15"/>
  <c r="S156" i="15"/>
  <c r="S155" i="15"/>
  <c r="S154" i="15"/>
  <c r="S153" i="15"/>
  <c r="S152" i="15"/>
  <c r="S151" i="15"/>
  <c r="S150" i="15"/>
  <c r="S149" i="15"/>
  <c r="S148" i="15"/>
  <c r="S147" i="15"/>
  <c r="S146" i="15"/>
  <c r="S145" i="15"/>
  <c r="S144" i="15"/>
  <c r="S143" i="15"/>
  <c r="S142" i="15"/>
  <c r="S141" i="15"/>
  <c r="T149" i="15" l="1"/>
  <c r="T157" i="15"/>
  <c r="T165" i="15"/>
  <c r="T160" i="15"/>
  <c r="T153" i="15"/>
  <c r="T168" i="15"/>
  <c r="T161" i="15"/>
  <c r="T152" i="15"/>
  <c r="T145" i="15"/>
  <c r="T169" i="15"/>
  <c r="O223" i="15"/>
  <c r="T141" i="15"/>
  <c r="T177" i="15"/>
  <c r="T181" i="15"/>
  <c r="T228" i="15"/>
  <c r="T144" i="15"/>
  <c r="T176" i="15"/>
  <c r="T227" i="15"/>
  <c r="T226" i="15"/>
  <c r="T246" i="15"/>
  <c r="T250" i="15"/>
  <c r="T317" i="15"/>
  <c r="T174" i="15"/>
  <c r="T178" i="15"/>
  <c r="T182" i="15"/>
  <c r="T321" i="15"/>
  <c r="T173" i="15"/>
  <c r="T142" i="15"/>
  <c r="T150" i="15"/>
  <c r="T162" i="15"/>
  <c r="T154" i="15"/>
  <c r="T166" i="15"/>
  <c r="T146" i="15"/>
  <c r="T158" i="15"/>
  <c r="T170" i="15"/>
  <c r="T247" i="15"/>
  <c r="T251" i="15"/>
  <c r="T261" i="15"/>
  <c r="T269" i="15"/>
  <c r="T277" i="15"/>
  <c r="T285" i="15"/>
  <c r="T270" i="15"/>
  <c r="T274" i="15"/>
  <c r="T282" i="15"/>
  <c r="T318" i="15"/>
  <c r="T148" i="15"/>
  <c r="T156" i="15"/>
  <c r="T164" i="15"/>
  <c r="T172" i="15"/>
  <c r="T180" i="15"/>
  <c r="T248" i="15"/>
  <c r="T259" i="15"/>
  <c r="T263" i="15"/>
  <c r="T267" i="15"/>
  <c r="T271" i="15"/>
  <c r="T275" i="15"/>
  <c r="T279" i="15"/>
  <c r="T283" i="15"/>
  <c r="T319" i="15"/>
  <c r="T323" i="15"/>
  <c r="T265" i="15"/>
  <c r="T273" i="15"/>
  <c r="T281" i="15"/>
  <c r="T262" i="15"/>
  <c r="T266" i="15"/>
  <c r="T278" i="15"/>
  <c r="T286" i="15"/>
  <c r="T322" i="15"/>
  <c r="T245" i="15"/>
  <c r="T249" i="15"/>
  <c r="T260" i="15"/>
  <c r="T264" i="15"/>
  <c r="T268" i="15"/>
  <c r="T272" i="15"/>
  <c r="T276" i="15"/>
  <c r="T280" i="15"/>
  <c r="T284" i="15"/>
  <c r="T316" i="15"/>
  <c r="T320" i="15"/>
  <c r="T147" i="15"/>
  <c r="T155" i="15"/>
  <c r="T163" i="15"/>
  <c r="T179" i="15"/>
  <c r="T143" i="15"/>
  <c r="T151" i="15"/>
  <c r="T159" i="15"/>
  <c r="T167" i="15"/>
  <c r="T175" i="15"/>
  <c r="Q171" i="15" l="1"/>
  <c r="S66" i="15"/>
  <c r="S65" i="15"/>
  <c r="S58" i="15"/>
  <c r="S47" i="15"/>
  <c r="O66" i="15"/>
  <c r="O65" i="15"/>
  <c r="O58" i="15"/>
  <c r="O46" i="15"/>
  <c r="O69" i="15" l="1"/>
  <c r="S171" i="15"/>
  <c r="T171" i="15" s="1"/>
  <c r="Q223" i="15"/>
  <c r="T65" i="15"/>
  <c r="T66" i="15"/>
  <c r="T58" i="15"/>
  <c r="T46" i="15"/>
  <c r="T47" i="15"/>
  <c r="O40" i="15"/>
  <c r="O44" i="15" s="1"/>
  <c r="I40" i="15"/>
  <c r="J40" i="15" s="1"/>
  <c r="O29" i="15"/>
  <c r="I29" i="15"/>
  <c r="J29" i="15" s="1"/>
  <c r="O28" i="15"/>
  <c r="T28" i="15" s="1"/>
  <c r="O18" i="15"/>
  <c r="T18" i="15" s="1"/>
  <c r="O19" i="15"/>
  <c r="T19" i="15" s="1"/>
  <c r="O20" i="15"/>
  <c r="T20" i="15" s="1"/>
  <c r="O21" i="15"/>
  <c r="T21" i="15" s="1"/>
  <c r="O22" i="15"/>
  <c r="T22" i="15" s="1"/>
  <c r="O23" i="15"/>
  <c r="T23" i="15" s="1"/>
  <c r="Q29" i="15" l="1"/>
  <c r="S29" i="15" s="1"/>
  <c r="T29" i="15" s="1"/>
  <c r="Q40" i="15"/>
  <c r="J44" i="15"/>
  <c r="T223" i="15"/>
  <c r="S223" i="15"/>
  <c r="S40" i="15" l="1"/>
  <c r="Q44" i="15"/>
  <c r="S44" i="15" l="1"/>
  <c r="T40" i="15"/>
  <c r="T44" i="15" s="1"/>
  <c r="N118" i="27"/>
  <c r="N150" i="27"/>
  <c r="N149" i="27"/>
  <c r="N146" i="27"/>
  <c r="N145" i="27"/>
  <c r="N144" i="27"/>
  <c r="N143" i="27"/>
  <c r="N142" i="27"/>
  <c r="N141" i="27"/>
  <c r="N140" i="27"/>
  <c r="N139" i="27"/>
  <c r="N136" i="27"/>
  <c r="N135" i="27"/>
  <c r="N134" i="27"/>
  <c r="N133" i="27"/>
  <c r="N132" i="27"/>
  <c r="N129" i="27"/>
  <c r="N128" i="27"/>
  <c r="N127" i="27"/>
  <c r="N126" i="27"/>
  <c r="N123" i="27"/>
  <c r="N122" i="27"/>
  <c r="N121" i="27"/>
  <c r="N117" i="27"/>
  <c r="N116" i="27"/>
  <c r="N115" i="27"/>
  <c r="N114" i="27"/>
  <c r="N113" i="27"/>
  <c r="N112" i="27"/>
  <c r="N109" i="27"/>
  <c r="N108" i="27"/>
  <c r="N107" i="27"/>
  <c r="N106" i="27"/>
  <c r="N103" i="27"/>
  <c r="N102" i="27"/>
  <c r="N101" i="27"/>
  <c r="N100" i="27"/>
  <c r="N99" i="27"/>
  <c r="N98" i="27"/>
  <c r="N95" i="27"/>
  <c r="N94" i="27"/>
  <c r="N93" i="27"/>
  <c r="N92" i="27"/>
  <c r="N91" i="27"/>
  <c r="N88" i="27"/>
  <c r="N87" i="27"/>
  <c r="N86" i="27"/>
  <c r="N85" i="27"/>
  <c r="N84" i="27"/>
  <c r="N83" i="27"/>
  <c r="N80" i="27"/>
  <c r="N79" i="27"/>
  <c r="N78" i="27"/>
  <c r="N77" i="27"/>
  <c r="N76" i="27"/>
  <c r="N75" i="27"/>
  <c r="N74" i="27"/>
  <c r="N71" i="27"/>
  <c r="N70" i="27"/>
  <c r="N67" i="27"/>
  <c r="N66" i="27"/>
  <c r="N65" i="27"/>
  <c r="N64" i="27"/>
  <c r="N51" i="27"/>
  <c r="N50" i="27"/>
  <c r="N49" i="27"/>
  <c r="N48" i="27"/>
  <c r="N47" i="27"/>
  <c r="N46" i="27"/>
  <c r="N45" i="27"/>
  <c r="N44" i="27"/>
  <c r="N41" i="27"/>
  <c r="N40" i="27"/>
  <c r="N39" i="27"/>
  <c r="N38" i="27"/>
  <c r="N37" i="27"/>
  <c r="N34" i="27"/>
  <c r="N33" i="27"/>
  <c r="N32" i="27"/>
  <c r="N31" i="27"/>
  <c r="N30" i="27"/>
  <c r="N29" i="27"/>
  <c r="N28" i="27"/>
  <c r="N27" i="27"/>
  <c r="N26" i="27"/>
  <c r="N23" i="27"/>
  <c r="N22" i="27"/>
  <c r="N21" i="27"/>
  <c r="N20" i="27"/>
  <c r="M150" i="27"/>
  <c r="M149" i="27"/>
  <c r="M146" i="27"/>
  <c r="M136" i="27"/>
  <c r="M135" i="27"/>
  <c r="M134" i="27"/>
  <c r="M133" i="27"/>
  <c r="M132" i="27"/>
  <c r="M129" i="27"/>
  <c r="M128" i="27"/>
  <c r="M127" i="27"/>
  <c r="M126" i="27"/>
  <c r="M123" i="27"/>
  <c r="M122" i="27"/>
  <c r="M121" i="27"/>
  <c r="M118" i="27"/>
  <c r="M117" i="27"/>
  <c r="M116" i="27"/>
  <c r="M115" i="27"/>
  <c r="M114" i="27"/>
  <c r="M113" i="27"/>
  <c r="M112" i="27"/>
  <c r="M109" i="27"/>
  <c r="M108" i="27"/>
  <c r="M107" i="27"/>
  <c r="M106" i="27"/>
  <c r="M103" i="27"/>
  <c r="M102" i="27"/>
  <c r="M101" i="27"/>
  <c r="M100" i="27"/>
  <c r="M99" i="27"/>
  <c r="M98" i="27"/>
  <c r="M95" i="27"/>
  <c r="M94" i="27"/>
  <c r="M93" i="27"/>
  <c r="M92" i="27"/>
  <c r="M91" i="27"/>
  <c r="M88" i="27"/>
  <c r="M87" i="27"/>
  <c r="M86" i="27"/>
  <c r="M85" i="27"/>
  <c r="M84" i="27"/>
  <c r="M83" i="27"/>
  <c r="M80" i="27"/>
  <c r="M79" i="27"/>
  <c r="M78" i="27"/>
  <c r="M77" i="27"/>
  <c r="M76" i="27"/>
  <c r="M75" i="27"/>
  <c r="M74" i="27"/>
  <c r="M71" i="27"/>
  <c r="M70" i="27"/>
  <c r="M67" i="27"/>
  <c r="M66" i="27"/>
  <c r="M65" i="27"/>
  <c r="M64" i="27"/>
  <c r="M61" i="27"/>
  <c r="M60" i="27"/>
  <c r="M59" i="27"/>
  <c r="M58" i="27"/>
  <c r="M57" i="27"/>
  <c r="M56" i="27"/>
  <c r="M55" i="27"/>
  <c r="M54" i="27"/>
  <c r="M51" i="27"/>
  <c r="M50" i="27"/>
  <c r="M49" i="27"/>
  <c r="M48" i="27"/>
  <c r="M47" i="27"/>
  <c r="M46" i="27"/>
  <c r="M45" i="27"/>
  <c r="M44" i="27"/>
  <c r="M41" i="27"/>
  <c r="M40" i="27"/>
  <c r="M39" i="27"/>
  <c r="M38" i="27"/>
  <c r="M37" i="27"/>
  <c r="M34" i="27"/>
  <c r="M32" i="27"/>
  <c r="M31" i="27"/>
  <c r="M30" i="27"/>
  <c r="M29" i="27"/>
  <c r="M27" i="27"/>
  <c r="M26" i="27"/>
  <c r="M23" i="27"/>
  <c r="M22" i="27"/>
  <c r="M20" i="27"/>
  <c r="L150" i="27"/>
  <c r="L149" i="27"/>
  <c r="L146" i="27"/>
  <c r="L145" i="27"/>
  <c r="L144" i="27"/>
  <c r="L143" i="27"/>
  <c r="L142" i="27"/>
  <c r="L141" i="27"/>
  <c r="L140" i="27"/>
  <c r="L139" i="27"/>
  <c r="L136" i="27"/>
  <c r="L135" i="27"/>
  <c r="L134" i="27"/>
  <c r="L133" i="27"/>
  <c r="L132" i="27"/>
  <c r="L129" i="27"/>
  <c r="L128" i="27"/>
  <c r="L127" i="27"/>
  <c r="L126" i="27"/>
  <c r="L123" i="27"/>
  <c r="L122" i="27"/>
  <c r="L121" i="27"/>
  <c r="L118" i="27"/>
  <c r="L117" i="27"/>
  <c r="L116" i="27"/>
  <c r="L115" i="27"/>
  <c r="L114" i="27"/>
  <c r="L113" i="27"/>
  <c r="L112" i="27"/>
  <c r="L109" i="27"/>
  <c r="L108" i="27"/>
  <c r="L107" i="27"/>
  <c r="L106" i="27"/>
  <c r="L103" i="27"/>
  <c r="L102" i="27"/>
  <c r="L101" i="27"/>
  <c r="L100" i="27"/>
  <c r="L99" i="27"/>
  <c r="L98" i="27"/>
  <c r="L95" i="27"/>
  <c r="L94" i="27"/>
  <c r="L93" i="27"/>
  <c r="L92" i="27"/>
  <c r="L91" i="27"/>
  <c r="L88" i="27"/>
  <c r="L87" i="27"/>
  <c r="L86" i="27"/>
  <c r="L85" i="27"/>
  <c r="L84" i="27"/>
  <c r="L83" i="27"/>
  <c r="L80" i="27"/>
  <c r="L79" i="27"/>
  <c r="L78" i="27"/>
  <c r="L77" i="27"/>
  <c r="L76" i="27"/>
  <c r="L75" i="27"/>
  <c r="L74" i="27"/>
  <c r="L71" i="27"/>
  <c r="L70" i="27"/>
  <c r="L67" i="27"/>
  <c r="L66" i="27"/>
  <c r="L65" i="27"/>
  <c r="L64" i="27"/>
  <c r="L61" i="27"/>
  <c r="L60" i="27"/>
  <c r="L59" i="27"/>
  <c r="L58" i="27"/>
  <c r="L57" i="27"/>
  <c r="L56" i="27"/>
  <c r="L55" i="27"/>
  <c r="L54" i="27"/>
  <c r="L51" i="27"/>
  <c r="L50" i="27"/>
  <c r="L49" i="27"/>
  <c r="L48" i="27"/>
  <c r="L47" i="27"/>
  <c r="L46" i="27"/>
  <c r="L45" i="27"/>
  <c r="L44" i="27"/>
  <c r="L41" i="27"/>
  <c r="L40" i="27"/>
  <c r="L39" i="27"/>
  <c r="L38" i="27"/>
  <c r="L37" i="27"/>
  <c r="L34" i="27"/>
  <c r="L33" i="27"/>
  <c r="L32" i="27"/>
  <c r="L31" i="27"/>
  <c r="L30" i="27"/>
  <c r="L29" i="27"/>
  <c r="L28" i="27"/>
  <c r="L27" i="27"/>
  <c r="L26" i="27"/>
  <c r="L23" i="27"/>
  <c r="L22" i="27"/>
  <c r="L21" i="27"/>
  <c r="L20" i="27"/>
  <c r="K150" i="27"/>
  <c r="K149" i="27"/>
  <c r="K146" i="27"/>
  <c r="K145" i="27"/>
  <c r="K144" i="27"/>
  <c r="K143" i="27"/>
  <c r="K142" i="27"/>
  <c r="K141" i="27"/>
  <c r="K140" i="27"/>
  <c r="K139" i="27"/>
  <c r="K136" i="27"/>
  <c r="K135" i="27"/>
  <c r="K134" i="27"/>
  <c r="K133" i="27"/>
  <c r="K132" i="27"/>
  <c r="K129" i="27"/>
  <c r="K128" i="27"/>
  <c r="K127" i="27"/>
  <c r="K126" i="27"/>
  <c r="K123" i="27"/>
  <c r="K122" i="27"/>
  <c r="K121" i="27"/>
  <c r="K118" i="27"/>
  <c r="K117" i="27"/>
  <c r="K116" i="27"/>
  <c r="K115" i="27"/>
  <c r="K114" i="27"/>
  <c r="K113" i="27"/>
  <c r="K112" i="27"/>
  <c r="K109" i="27"/>
  <c r="K108" i="27"/>
  <c r="K107" i="27"/>
  <c r="K106" i="27"/>
  <c r="K103" i="27"/>
  <c r="K102" i="27"/>
  <c r="K101" i="27"/>
  <c r="K100" i="27"/>
  <c r="K99" i="27"/>
  <c r="K98" i="27"/>
  <c r="K95" i="27"/>
  <c r="K94" i="27"/>
  <c r="K93" i="27"/>
  <c r="K92" i="27"/>
  <c r="K91" i="27"/>
  <c r="K88" i="27"/>
  <c r="K87" i="27"/>
  <c r="K86" i="27"/>
  <c r="K85" i="27"/>
  <c r="K84" i="27"/>
  <c r="K83" i="27"/>
  <c r="K79" i="27"/>
  <c r="K78" i="27"/>
  <c r="K77" i="27"/>
  <c r="K76" i="27"/>
  <c r="K75" i="27"/>
  <c r="K74" i="27"/>
  <c r="K71" i="27"/>
  <c r="K70" i="27"/>
  <c r="K67" i="27"/>
  <c r="K66" i="27"/>
  <c r="K65" i="27"/>
  <c r="K64" i="27"/>
  <c r="K61" i="27"/>
  <c r="K60" i="27"/>
  <c r="K59" i="27"/>
  <c r="K58" i="27"/>
  <c r="K57" i="27"/>
  <c r="K56" i="27"/>
  <c r="K55" i="27"/>
  <c r="K54" i="27"/>
  <c r="K51" i="27"/>
  <c r="K50" i="27"/>
  <c r="K49" i="27"/>
  <c r="K48" i="27"/>
  <c r="K47" i="27"/>
  <c r="K46" i="27"/>
  <c r="K45" i="27"/>
  <c r="K44" i="27"/>
  <c r="K41" i="27"/>
  <c r="K40" i="27"/>
  <c r="K39" i="27"/>
  <c r="K38" i="27"/>
  <c r="K37" i="27"/>
  <c r="K34" i="27"/>
  <c r="K33" i="27"/>
  <c r="K32" i="27"/>
  <c r="K31" i="27"/>
  <c r="K30" i="27"/>
  <c r="K29" i="27"/>
  <c r="K28" i="27"/>
  <c r="K27" i="27"/>
  <c r="K26" i="27"/>
  <c r="K23" i="27"/>
  <c r="K22" i="27"/>
  <c r="K21" i="27"/>
  <c r="K20" i="27"/>
  <c r="J150" i="27" l="1"/>
  <c r="J149" i="27"/>
  <c r="J146" i="27"/>
  <c r="J145" i="27"/>
  <c r="J144" i="27"/>
  <c r="J143" i="27"/>
  <c r="J142" i="27"/>
  <c r="J141" i="27"/>
  <c r="J140" i="27"/>
  <c r="J139" i="27"/>
  <c r="J136" i="27"/>
  <c r="J135" i="27"/>
  <c r="J134" i="27"/>
  <c r="J133" i="27"/>
  <c r="J132" i="27"/>
  <c r="J129" i="27"/>
  <c r="J128" i="27"/>
  <c r="J127" i="27"/>
  <c r="J126" i="27"/>
  <c r="J123" i="27"/>
  <c r="J122" i="27"/>
  <c r="J121" i="27"/>
  <c r="J118" i="27"/>
  <c r="J117" i="27"/>
  <c r="J116" i="27"/>
  <c r="J115" i="27"/>
  <c r="J114" i="27"/>
  <c r="J113" i="27"/>
  <c r="J112" i="27"/>
  <c r="J109" i="27"/>
  <c r="J108" i="27"/>
  <c r="J107" i="27"/>
  <c r="J106" i="27"/>
  <c r="J103" i="27"/>
  <c r="J102" i="27"/>
  <c r="J101" i="27"/>
  <c r="J100" i="27"/>
  <c r="J99" i="27"/>
  <c r="J98" i="27"/>
  <c r="J95" i="27"/>
  <c r="J94" i="27"/>
  <c r="J93" i="27"/>
  <c r="J92" i="27"/>
  <c r="J91" i="27"/>
  <c r="J88" i="27"/>
  <c r="J87" i="27"/>
  <c r="J86" i="27"/>
  <c r="J85" i="27"/>
  <c r="J84" i="27"/>
  <c r="J83" i="27"/>
  <c r="J80" i="27"/>
  <c r="J79" i="27"/>
  <c r="J78" i="27"/>
  <c r="J77" i="27"/>
  <c r="J76" i="27"/>
  <c r="J75" i="27"/>
  <c r="J74" i="27"/>
  <c r="J71" i="27"/>
  <c r="J70" i="27"/>
  <c r="J67" i="27"/>
  <c r="J66" i="27"/>
  <c r="J65" i="27"/>
  <c r="J64" i="27"/>
  <c r="J61" i="27"/>
  <c r="J60" i="27"/>
  <c r="J59" i="27"/>
  <c r="J58" i="27"/>
  <c r="J57" i="27"/>
  <c r="J56" i="27"/>
  <c r="J55" i="27"/>
  <c r="J54" i="27"/>
  <c r="J51" i="27"/>
  <c r="J50" i="27"/>
  <c r="J49" i="27"/>
  <c r="J48" i="27"/>
  <c r="J47" i="27"/>
  <c r="J46" i="27"/>
  <c r="J45" i="27"/>
  <c r="J44" i="27"/>
  <c r="J41" i="27"/>
  <c r="J40" i="27"/>
  <c r="J39" i="27"/>
  <c r="J38" i="27"/>
  <c r="J37" i="27"/>
  <c r="J34" i="27"/>
  <c r="J33" i="27"/>
  <c r="J32" i="27"/>
  <c r="J31" i="27"/>
  <c r="J30" i="27"/>
  <c r="J29" i="27"/>
  <c r="J28" i="27"/>
  <c r="J27" i="27"/>
  <c r="J26" i="27"/>
  <c r="J23" i="27"/>
  <c r="J22" i="27"/>
  <c r="J21" i="27"/>
  <c r="J20" i="27"/>
  <c r="I150" i="27" l="1"/>
  <c r="I149" i="27"/>
  <c r="I146" i="27"/>
  <c r="I145" i="27"/>
  <c r="I144" i="27"/>
  <c r="I143" i="27"/>
  <c r="I142" i="27"/>
  <c r="I141" i="27"/>
  <c r="I140" i="27"/>
  <c r="I139" i="27"/>
  <c r="I136" i="27"/>
  <c r="I135" i="27"/>
  <c r="I134" i="27"/>
  <c r="I133" i="27"/>
  <c r="I132" i="27"/>
  <c r="I129" i="27"/>
  <c r="I128" i="27"/>
  <c r="I127" i="27"/>
  <c r="I126" i="27"/>
  <c r="I123" i="27"/>
  <c r="I122" i="27"/>
  <c r="I121" i="27"/>
  <c r="I118" i="27"/>
  <c r="I117" i="27"/>
  <c r="I116" i="27"/>
  <c r="I115" i="27"/>
  <c r="I114" i="27"/>
  <c r="I113" i="27"/>
  <c r="I112" i="27"/>
  <c r="I109" i="27"/>
  <c r="I108" i="27"/>
  <c r="I107" i="27"/>
  <c r="I106" i="27"/>
  <c r="I103" i="27"/>
  <c r="I102" i="27"/>
  <c r="I101" i="27"/>
  <c r="I100" i="27"/>
  <c r="I99" i="27"/>
  <c r="I98" i="27"/>
  <c r="I95" i="27"/>
  <c r="I94" i="27"/>
  <c r="I93" i="27"/>
  <c r="I92" i="27"/>
  <c r="I91" i="27"/>
  <c r="I88" i="27"/>
  <c r="I87" i="27"/>
  <c r="I86" i="27"/>
  <c r="I85" i="27"/>
  <c r="I84" i="27"/>
  <c r="I83" i="27"/>
  <c r="I80" i="27"/>
  <c r="I79" i="27"/>
  <c r="I78" i="27"/>
  <c r="I77" i="27"/>
  <c r="I76" i="27"/>
  <c r="I75" i="27"/>
  <c r="I74" i="27"/>
  <c r="I71" i="27"/>
  <c r="I70" i="27"/>
  <c r="I67" i="27"/>
  <c r="I66" i="27"/>
  <c r="I65" i="27"/>
  <c r="I64" i="27"/>
  <c r="I61" i="27"/>
  <c r="I60" i="27"/>
  <c r="I59" i="27"/>
  <c r="I58" i="27"/>
  <c r="I57" i="27"/>
  <c r="I56" i="27"/>
  <c r="I55" i="27"/>
  <c r="I54" i="27"/>
  <c r="I51" i="27"/>
  <c r="I50" i="27"/>
  <c r="I49" i="27"/>
  <c r="I48" i="27"/>
  <c r="I47" i="27"/>
  <c r="I46" i="27"/>
  <c r="I45" i="27"/>
  <c r="I44" i="27"/>
  <c r="I41" i="27"/>
  <c r="I40" i="27"/>
  <c r="I39" i="27"/>
  <c r="I38" i="27"/>
  <c r="I37" i="27"/>
  <c r="I34" i="27"/>
  <c r="I33" i="27"/>
  <c r="I32" i="27"/>
  <c r="I31" i="27"/>
  <c r="I30" i="27"/>
  <c r="I29" i="27"/>
  <c r="I28" i="27"/>
  <c r="I27" i="27"/>
  <c r="I26" i="27"/>
  <c r="I23" i="27"/>
  <c r="I22" i="27"/>
  <c r="I21" i="27"/>
  <c r="I20" i="27"/>
  <c r="H149" i="27"/>
  <c r="H146" i="27"/>
  <c r="H145" i="27"/>
  <c r="H144" i="27"/>
  <c r="H143" i="27"/>
  <c r="H142" i="27"/>
  <c r="H141" i="27"/>
  <c r="H140" i="27"/>
  <c r="H139" i="27"/>
  <c r="H136" i="27"/>
  <c r="H135" i="27"/>
  <c r="H134" i="27"/>
  <c r="H133" i="27"/>
  <c r="H132" i="27"/>
  <c r="H129" i="27"/>
  <c r="H128" i="27"/>
  <c r="H127" i="27"/>
  <c r="H126" i="27"/>
  <c r="H123" i="27"/>
  <c r="H122" i="27"/>
  <c r="H121" i="27"/>
  <c r="H118" i="27"/>
  <c r="H117" i="27"/>
  <c r="H116" i="27"/>
  <c r="H115" i="27"/>
  <c r="H114" i="27"/>
  <c r="H113" i="27"/>
  <c r="H112" i="27"/>
  <c r="H109" i="27"/>
  <c r="H108" i="27"/>
  <c r="H107" i="27"/>
  <c r="H106" i="27"/>
  <c r="H103" i="27"/>
  <c r="H102" i="27"/>
  <c r="H101" i="27"/>
  <c r="H100" i="27"/>
  <c r="H99" i="27"/>
  <c r="H98" i="27"/>
  <c r="H95" i="27"/>
  <c r="H94" i="27"/>
  <c r="H93" i="27"/>
  <c r="H92" i="27"/>
  <c r="H91" i="27"/>
  <c r="H88" i="27"/>
  <c r="H87" i="27"/>
  <c r="H86" i="27"/>
  <c r="H85" i="27"/>
  <c r="H84" i="27"/>
  <c r="H80" i="27"/>
  <c r="H79" i="27"/>
  <c r="H78" i="27"/>
  <c r="H77" i="27"/>
  <c r="H76" i="27"/>
  <c r="H75" i="27"/>
  <c r="H74" i="27"/>
  <c r="H71" i="27"/>
  <c r="H70" i="27"/>
  <c r="H67" i="27"/>
  <c r="H66" i="27"/>
  <c r="H65" i="27"/>
  <c r="H61" i="27"/>
  <c r="H60" i="27"/>
  <c r="H59" i="27"/>
  <c r="H58" i="27"/>
  <c r="H57" i="27"/>
  <c r="H56" i="27"/>
  <c r="H55" i="27"/>
  <c r="H54" i="27"/>
  <c r="H51" i="27"/>
  <c r="H50" i="27"/>
  <c r="H49" i="27"/>
  <c r="H48" i="27"/>
  <c r="H47" i="27"/>
  <c r="H46" i="27"/>
  <c r="H45" i="27"/>
  <c r="H44" i="27"/>
  <c r="H41" i="27"/>
  <c r="H40" i="27"/>
  <c r="H39" i="27"/>
  <c r="H38" i="27"/>
  <c r="H37" i="27"/>
  <c r="H34" i="27"/>
  <c r="H33" i="27"/>
  <c r="H32" i="27"/>
  <c r="H31" i="27"/>
  <c r="H30" i="27"/>
  <c r="H29" i="27"/>
  <c r="H28" i="27"/>
  <c r="H27" i="27"/>
  <c r="H26" i="27"/>
  <c r="H23" i="27"/>
  <c r="H22" i="27"/>
  <c r="H21" i="27"/>
  <c r="G150" i="27"/>
  <c r="G149" i="27"/>
  <c r="G146" i="27"/>
  <c r="G145" i="27"/>
  <c r="G144" i="27"/>
  <c r="G143" i="27"/>
  <c r="G142" i="27"/>
  <c r="G141" i="27"/>
  <c r="G140" i="27"/>
  <c r="G139" i="27"/>
  <c r="G136" i="27"/>
  <c r="G135" i="27"/>
  <c r="G134" i="27"/>
  <c r="G133" i="27"/>
  <c r="G132" i="27"/>
  <c r="G129" i="27"/>
  <c r="G128" i="27"/>
  <c r="G127" i="27"/>
  <c r="G126" i="27"/>
  <c r="G123" i="27"/>
  <c r="G122" i="27"/>
  <c r="G121" i="27"/>
  <c r="G118" i="27"/>
  <c r="G117" i="27"/>
  <c r="G116" i="27"/>
  <c r="G115" i="27"/>
  <c r="G114" i="27"/>
  <c r="G113" i="27"/>
  <c r="G112" i="27"/>
  <c r="G109" i="27"/>
  <c r="G108" i="27"/>
  <c r="G107" i="27"/>
  <c r="G106" i="27"/>
  <c r="G103" i="27"/>
  <c r="G102" i="27"/>
  <c r="G101" i="27"/>
  <c r="G100" i="27"/>
  <c r="G99" i="27"/>
  <c r="G98" i="27"/>
  <c r="G95" i="27"/>
  <c r="G94" i="27"/>
  <c r="G93" i="27"/>
  <c r="G92" i="27"/>
  <c r="G91" i="27"/>
  <c r="G88" i="27"/>
  <c r="G87" i="27"/>
  <c r="G86" i="27"/>
  <c r="G85" i="27"/>
  <c r="G84" i="27"/>
  <c r="G83" i="27"/>
  <c r="G80" i="27"/>
  <c r="G79" i="27"/>
  <c r="G78" i="27"/>
  <c r="G77" i="27"/>
  <c r="G76" i="27"/>
  <c r="G75" i="27"/>
  <c r="G71" i="27"/>
  <c r="G70" i="27"/>
  <c r="G67" i="27"/>
  <c r="G66" i="27"/>
  <c r="G65" i="27"/>
  <c r="G64" i="27"/>
  <c r="G61" i="27"/>
  <c r="G60" i="27"/>
  <c r="G59" i="27"/>
  <c r="G58" i="27"/>
  <c r="G57" i="27"/>
  <c r="G56" i="27"/>
  <c r="G55" i="27"/>
  <c r="G54" i="27"/>
  <c r="G51" i="27"/>
  <c r="G50" i="27"/>
  <c r="G49" i="27"/>
  <c r="G48" i="27"/>
  <c r="G47" i="27"/>
  <c r="G46" i="27"/>
  <c r="G45" i="27"/>
  <c r="G44" i="27"/>
  <c r="G41" i="27"/>
  <c r="G40" i="27"/>
  <c r="G39" i="27"/>
  <c r="G37" i="27"/>
  <c r="G34" i="27"/>
  <c r="G33" i="27"/>
  <c r="G32" i="27"/>
  <c r="G31" i="27"/>
  <c r="G30" i="27"/>
  <c r="G29" i="27"/>
  <c r="G28" i="27"/>
  <c r="G27" i="27"/>
  <c r="G26" i="27"/>
  <c r="G23" i="27"/>
  <c r="G22" i="27"/>
  <c r="G21" i="27"/>
  <c r="G20" i="27"/>
  <c r="F150" i="27"/>
  <c r="F149" i="27"/>
  <c r="F146" i="27"/>
  <c r="F145" i="27"/>
  <c r="F144" i="27"/>
  <c r="F143" i="27"/>
  <c r="F142" i="27"/>
  <c r="F141" i="27"/>
  <c r="F140" i="27"/>
  <c r="F139" i="27"/>
  <c r="F136" i="27"/>
  <c r="F135" i="27"/>
  <c r="F134" i="27"/>
  <c r="F133" i="27"/>
  <c r="F132" i="27"/>
  <c r="F129" i="27"/>
  <c r="F128" i="27"/>
  <c r="F127" i="27"/>
  <c r="F126" i="27"/>
  <c r="F123" i="27"/>
  <c r="F122" i="27"/>
  <c r="F121" i="27"/>
  <c r="F118" i="27"/>
  <c r="F117" i="27"/>
  <c r="F116" i="27"/>
  <c r="F115" i="27"/>
  <c r="F114" i="27"/>
  <c r="F113" i="27"/>
  <c r="F112" i="27"/>
  <c r="F109" i="27"/>
  <c r="F108" i="27"/>
  <c r="F107" i="27"/>
  <c r="F106" i="27"/>
  <c r="F103" i="27"/>
  <c r="F102" i="27"/>
  <c r="F101" i="27"/>
  <c r="F100" i="27"/>
  <c r="F99" i="27"/>
  <c r="F98" i="27"/>
  <c r="F95" i="27"/>
  <c r="F94" i="27"/>
  <c r="F93" i="27"/>
  <c r="F92" i="27"/>
  <c r="F91" i="27"/>
  <c r="F88" i="27"/>
  <c r="F87" i="27"/>
  <c r="F86" i="27"/>
  <c r="F85" i="27"/>
  <c r="F84" i="27"/>
  <c r="F83" i="27"/>
  <c r="F79" i="27"/>
  <c r="F78" i="27"/>
  <c r="F77" i="27"/>
  <c r="F76" i="27"/>
  <c r="F75" i="27"/>
  <c r="F74" i="27"/>
  <c r="F71" i="27"/>
  <c r="F70" i="27"/>
  <c r="F67" i="27"/>
  <c r="F66" i="27"/>
  <c r="F65" i="27"/>
  <c r="F64" i="27"/>
  <c r="F61" i="27"/>
  <c r="F60" i="27"/>
  <c r="F59" i="27"/>
  <c r="F58" i="27"/>
  <c r="F57" i="27"/>
  <c r="F56" i="27"/>
  <c r="F55" i="27"/>
  <c r="F54" i="27"/>
  <c r="F51" i="27"/>
  <c r="F50" i="27"/>
  <c r="F49" i="27"/>
  <c r="F48" i="27"/>
  <c r="F47" i="27"/>
  <c r="F46" i="27"/>
  <c r="F45" i="27"/>
  <c r="F44" i="27"/>
  <c r="F41" i="27"/>
  <c r="F40" i="27"/>
  <c r="F39" i="27"/>
  <c r="F38" i="27"/>
  <c r="F37" i="27"/>
  <c r="F34" i="27"/>
  <c r="F33" i="27"/>
  <c r="F32" i="27"/>
  <c r="F31" i="27"/>
  <c r="F30" i="27"/>
  <c r="F29" i="27"/>
  <c r="F28" i="27"/>
  <c r="F27" i="27"/>
  <c r="F26" i="27"/>
  <c r="V171" i="27"/>
  <c r="T171" i="27"/>
  <c r="Z169" i="27"/>
  <c r="A169" i="27"/>
  <c r="A165" i="27"/>
  <c r="Q154" i="27"/>
  <c r="P154" i="27"/>
  <c r="V152" i="27"/>
  <c r="U151" i="27"/>
  <c r="S151" i="27"/>
  <c r="P151" i="27"/>
  <c r="Q151" i="27"/>
  <c r="O151" i="27"/>
  <c r="K151" i="27"/>
  <c r="H151" i="27"/>
  <c r="U147" i="27"/>
  <c r="P147" i="27"/>
  <c r="O147" i="27"/>
  <c r="U137" i="27"/>
  <c r="S137" i="27"/>
  <c r="P137" i="27"/>
  <c r="O137" i="27"/>
  <c r="J137" i="27"/>
  <c r="U130" i="27"/>
  <c r="S130" i="27"/>
  <c r="P130" i="27"/>
  <c r="O130" i="27"/>
  <c r="M130" i="27"/>
  <c r="U124" i="27"/>
  <c r="S124" i="27"/>
  <c r="P124" i="27"/>
  <c r="O124" i="27"/>
  <c r="N124" i="27"/>
  <c r="J124" i="27"/>
  <c r="U119" i="27"/>
  <c r="S119" i="27"/>
  <c r="P119" i="27"/>
  <c r="O119" i="27"/>
  <c r="U110" i="27"/>
  <c r="S110" i="27"/>
  <c r="P110" i="27"/>
  <c r="O110" i="27"/>
  <c r="U104" i="27"/>
  <c r="S104" i="27"/>
  <c r="P104" i="27"/>
  <c r="O104" i="27"/>
  <c r="J104" i="27"/>
  <c r="U96" i="27"/>
  <c r="P96" i="27"/>
  <c r="O96" i="27"/>
  <c r="V90" i="27"/>
  <c r="U89" i="27"/>
  <c r="P89" i="27"/>
  <c r="O89" i="27"/>
  <c r="L89" i="27"/>
  <c r="U81" i="27"/>
  <c r="S81" i="27"/>
  <c r="P81" i="27"/>
  <c r="O81" i="27"/>
  <c r="K81" i="27"/>
  <c r="Q81" i="27"/>
  <c r="U72" i="27"/>
  <c r="S72" i="27"/>
  <c r="P72" i="27"/>
  <c r="O72" i="27"/>
  <c r="U68" i="27"/>
  <c r="S68" i="27"/>
  <c r="P68" i="27"/>
  <c r="O68" i="27"/>
  <c r="U62" i="27"/>
  <c r="S62" i="27"/>
  <c r="P62" i="27"/>
  <c r="O62" i="27"/>
  <c r="U52" i="27"/>
  <c r="S52" i="27"/>
  <c r="P52" i="27"/>
  <c r="O52" i="27"/>
  <c r="N52" i="27"/>
  <c r="J52" i="27"/>
  <c r="U42" i="27"/>
  <c r="S42" i="27"/>
  <c r="P42" i="27"/>
  <c r="O42" i="27"/>
  <c r="Q42" i="27"/>
  <c r="K42" i="27"/>
  <c r="U35" i="27"/>
  <c r="S35" i="27"/>
  <c r="P35" i="27"/>
  <c r="O35" i="27"/>
  <c r="U24" i="27"/>
  <c r="P24" i="27"/>
  <c r="O24" i="27"/>
  <c r="D13" i="27"/>
  <c r="V12" i="27"/>
  <c r="T12" i="27"/>
  <c r="F12" i="27"/>
  <c r="D12" i="27"/>
  <c r="A8" i="27"/>
  <c r="A2" i="27"/>
  <c r="R67" i="27" l="1"/>
  <c r="V67" i="27" s="1"/>
  <c r="R41" i="27"/>
  <c r="V41" i="27" s="1"/>
  <c r="R75" i="27"/>
  <c r="V75" i="27" s="1"/>
  <c r="R118" i="27"/>
  <c r="V118" i="27" s="1"/>
  <c r="R135" i="27"/>
  <c r="V135" i="27" s="1"/>
  <c r="R103" i="27"/>
  <c r="V103" i="27" s="1"/>
  <c r="I89" i="27"/>
  <c r="R128" i="27"/>
  <c r="V128" i="27" s="1"/>
  <c r="R149" i="27"/>
  <c r="Q879" i="9" s="1"/>
  <c r="R101" i="27"/>
  <c r="V101" i="27" s="1"/>
  <c r="R117" i="27"/>
  <c r="V117" i="27" s="1"/>
  <c r="R129" i="27"/>
  <c r="V129" i="27" s="1"/>
  <c r="X882" i="9"/>
  <c r="X883" i="9" s="1"/>
  <c r="R34" i="27"/>
  <c r="V34" i="27" s="1"/>
  <c r="R40" i="27"/>
  <c r="V40" i="27" s="1"/>
  <c r="R56" i="27"/>
  <c r="V56" i="27" s="1"/>
  <c r="R60" i="27"/>
  <c r="V60" i="27" s="1"/>
  <c r="R88" i="27"/>
  <c r="V88" i="27" s="1"/>
  <c r="R122" i="27"/>
  <c r="V122" i="27" s="1"/>
  <c r="R144" i="27"/>
  <c r="V144" i="27" s="1"/>
  <c r="G62" i="27"/>
  <c r="H42" i="27"/>
  <c r="I52" i="27"/>
  <c r="I62" i="27"/>
  <c r="I137" i="27"/>
  <c r="I147" i="27"/>
  <c r="I81" i="27"/>
  <c r="I119" i="27"/>
  <c r="G35" i="27"/>
  <c r="H35" i="27"/>
  <c r="R61" i="27"/>
  <c r="V61" i="27" s="1"/>
  <c r="H104" i="27"/>
  <c r="H119" i="27"/>
  <c r="G42" i="27"/>
  <c r="G89" i="27"/>
  <c r="I42" i="27"/>
  <c r="I130" i="27"/>
  <c r="F35" i="27"/>
  <c r="F104" i="27"/>
  <c r="F110" i="27"/>
  <c r="G81" i="27"/>
  <c r="G119" i="27"/>
  <c r="G147" i="27"/>
  <c r="H52" i="27"/>
  <c r="H62" i="27"/>
  <c r="H81" i="27"/>
  <c r="I104" i="27"/>
  <c r="G24" i="27"/>
  <c r="I24" i="27"/>
  <c r="I35" i="27"/>
  <c r="F42" i="27"/>
  <c r="F62" i="27"/>
  <c r="F68" i="27"/>
  <c r="F72" i="27"/>
  <c r="F130" i="27"/>
  <c r="F137" i="27"/>
  <c r="M137" i="27"/>
  <c r="M110" i="27"/>
  <c r="M24" i="27"/>
  <c r="R23" i="27"/>
  <c r="V23" i="27" s="1"/>
  <c r="M52" i="27"/>
  <c r="K62" i="27"/>
  <c r="Q62" i="27"/>
  <c r="R57" i="27"/>
  <c r="V57" i="27" s="1"/>
  <c r="L72" i="27"/>
  <c r="M81" i="27"/>
  <c r="K119" i="27"/>
  <c r="Q119" i="27"/>
  <c r="L124" i="27"/>
  <c r="M151" i="27"/>
  <c r="Q89" i="27"/>
  <c r="L96" i="27"/>
  <c r="N104" i="27"/>
  <c r="M147" i="27"/>
  <c r="G68" i="27"/>
  <c r="G72" i="27"/>
  <c r="G96" i="27"/>
  <c r="R108" i="27"/>
  <c r="V108" i="27" s="1"/>
  <c r="G130" i="27"/>
  <c r="R136" i="27"/>
  <c r="V136" i="27" s="1"/>
  <c r="R87" i="27"/>
  <c r="V87" i="27" s="1"/>
  <c r="H124" i="27"/>
  <c r="H137" i="27"/>
  <c r="I68" i="27"/>
  <c r="I72" i="27"/>
  <c r="R22" i="27"/>
  <c r="V22" i="27" s="1"/>
  <c r="R30" i="27"/>
  <c r="V30" i="27" s="1"/>
  <c r="L35" i="27"/>
  <c r="M68" i="27"/>
  <c r="K72" i="27"/>
  <c r="Q72" i="27"/>
  <c r="N81" i="27"/>
  <c r="N96" i="27"/>
  <c r="R94" i="27"/>
  <c r="V94" i="27" s="1"/>
  <c r="N119" i="27"/>
  <c r="Q124" i="27"/>
  <c r="N137" i="27"/>
  <c r="K147" i="27"/>
  <c r="G124" i="27"/>
  <c r="J24" i="27"/>
  <c r="K52" i="27"/>
  <c r="Q52" i="27"/>
  <c r="M62" i="27"/>
  <c r="M72" i="27"/>
  <c r="M89" i="27"/>
  <c r="J96" i="27"/>
  <c r="L104" i="27"/>
  <c r="R59" i="27"/>
  <c r="V59" i="27" s="1"/>
  <c r="R98" i="27"/>
  <c r="V98" i="27" s="1"/>
  <c r="R102" i="27"/>
  <c r="V102" i="27" s="1"/>
  <c r="R86" i="27"/>
  <c r="V86" i="27" s="1"/>
  <c r="R142" i="27"/>
  <c r="V142" i="27" s="1"/>
  <c r="N24" i="27"/>
  <c r="L24" i="27"/>
  <c r="J35" i="27"/>
  <c r="N35" i="27"/>
  <c r="M42" i="27"/>
  <c r="K68" i="27"/>
  <c r="Q68" i="27"/>
  <c r="K24" i="27"/>
  <c r="Q24" i="27"/>
  <c r="K35" i="27"/>
  <c r="Q35" i="27"/>
  <c r="J42" i="27"/>
  <c r="L52" i="27"/>
  <c r="J62" i="27"/>
  <c r="N62" i="27"/>
  <c r="L68" i="27"/>
  <c r="J72" i="27"/>
  <c r="N72" i="27"/>
  <c r="L81" i="27"/>
  <c r="J89" i="27"/>
  <c r="N89" i="27"/>
  <c r="M96" i="27"/>
  <c r="M104" i="27"/>
  <c r="N110" i="27"/>
  <c r="L110" i="27"/>
  <c r="L119" i="27"/>
  <c r="J119" i="27"/>
  <c r="K124" i="27"/>
  <c r="J130" i="27"/>
  <c r="N130" i="27"/>
  <c r="J151" i="27"/>
  <c r="N151" i="27"/>
  <c r="G137" i="27"/>
  <c r="R65" i="27"/>
  <c r="V65" i="27" s="1"/>
  <c r="H110" i="27"/>
  <c r="R55" i="27"/>
  <c r="V55" i="27" s="1"/>
  <c r="R109" i="27"/>
  <c r="V109" i="27" s="1"/>
  <c r="I124" i="27"/>
  <c r="I151" i="27"/>
  <c r="K89" i="27"/>
  <c r="K110" i="27"/>
  <c r="Q110" i="27"/>
  <c r="M119" i="27"/>
  <c r="K130" i="27"/>
  <c r="Q130" i="27"/>
  <c r="L137" i="27"/>
  <c r="Q147" i="27"/>
  <c r="L147" i="27"/>
  <c r="R141" i="27"/>
  <c r="V141" i="27" s="1"/>
  <c r="M35" i="27"/>
  <c r="L42" i="27"/>
  <c r="N42" i="27"/>
  <c r="L62" i="27"/>
  <c r="J68" i="27"/>
  <c r="N68" i="27"/>
  <c r="J81" i="27"/>
  <c r="K96" i="27"/>
  <c r="Q96" i="27"/>
  <c r="K104" i="27"/>
  <c r="Q104" i="27"/>
  <c r="J110" i="27"/>
  <c r="M124" i="27"/>
  <c r="L130" i="27"/>
  <c r="K137" i="27"/>
  <c r="L151" i="27"/>
  <c r="R107" i="27"/>
  <c r="V107" i="27" s="1"/>
  <c r="H96" i="27"/>
  <c r="H130" i="27"/>
  <c r="I96" i="27"/>
  <c r="R113" i="27"/>
  <c r="V113" i="27" s="1"/>
  <c r="R140" i="27"/>
  <c r="V140" i="27" s="1"/>
  <c r="I110" i="27"/>
  <c r="R150" i="27"/>
  <c r="H89" i="27"/>
  <c r="H68" i="27"/>
  <c r="R44" i="27"/>
  <c r="V44" i="27" s="1"/>
  <c r="R48" i="27"/>
  <c r="V48" i="27" s="1"/>
  <c r="H24" i="27"/>
  <c r="R143" i="27"/>
  <c r="V143" i="27" s="1"/>
  <c r="R127" i="27"/>
  <c r="V127" i="27" s="1"/>
  <c r="R92" i="27"/>
  <c r="V92" i="27" s="1"/>
  <c r="R84" i="27"/>
  <c r="V84" i="27" s="1"/>
  <c r="R85" i="27"/>
  <c r="V85" i="27" s="1"/>
  <c r="R77" i="27"/>
  <c r="V77" i="27" s="1"/>
  <c r="G52" i="27"/>
  <c r="R20" i="27"/>
  <c r="V20" i="27" s="1"/>
  <c r="R134" i="27"/>
  <c r="V134" i="27" s="1"/>
  <c r="R106" i="27"/>
  <c r="V106" i="27" s="1"/>
  <c r="R99" i="27"/>
  <c r="V99" i="27" s="1"/>
  <c r="R100" i="27"/>
  <c r="V100" i="27" s="1"/>
  <c r="F89" i="27"/>
  <c r="R71" i="27"/>
  <c r="V71" i="27" s="1"/>
  <c r="R58" i="27"/>
  <c r="R37" i="27"/>
  <c r="V37" i="27" s="1"/>
  <c r="R31" i="27"/>
  <c r="V31" i="27" s="1"/>
  <c r="F24" i="27"/>
  <c r="R27" i="27"/>
  <c r="V27" i="27" s="1"/>
  <c r="R54" i="27"/>
  <c r="R29" i="27"/>
  <c r="V29" i="27" s="1"/>
  <c r="R33" i="27"/>
  <c r="V33" i="27" s="1"/>
  <c r="R38" i="27"/>
  <c r="V38" i="27" s="1"/>
  <c r="R46" i="27"/>
  <c r="V46" i="27" s="1"/>
  <c r="R51" i="27"/>
  <c r="V51" i="27" s="1"/>
  <c r="H72" i="27"/>
  <c r="R70" i="27"/>
  <c r="R21" i="27"/>
  <c r="V21" i="27" s="1"/>
  <c r="R28" i="27"/>
  <c r="V28" i="27" s="1"/>
  <c r="R32" i="27"/>
  <c r="V32" i="27" s="1"/>
  <c r="R45" i="27"/>
  <c r="V45" i="27" s="1"/>
  <c r="R49" i="27"/>
  <c r="V49" i="27" s="1"/>
  <c r="R50" i="27"/>
  <c r="V50" i="27" s="1"/>
  <c r="O153" i="27"/>
  <c r="R66" i="27"/>
  <c r="V66" i="27" s="1"/>
  <c r="R39" i="27"/>
  <c r="V39" i="27" s="1"/>
  <c r="R47" i="27"/>
  <c r="V47" i="27" s="1"/>
  <c r="R126" i="27"/>
  <c r="F151" i="27"/>
  <c r="R79" i="27"/>
  <c r="V79" i="27" s="1"/>
  <c r="R26" i="27"/>
  <c r="F52" i="27"/>
  <c r="R64" i="27"/>
  <c r="R74" i="27"/>
  <c r="R78" i="27"/>
  <c r="V78" i="27" s="1"/>
  <c r="R93" i="27"/>
  <c r="V93" i="27" s="1"/>
  <c r="G104" i="27"/>
  <c r="R114" i="27"/>
  <c r="V114" i="27" s="1"/>
  <c r="R116" i="27"/>
  <c r="V116" i="27" s="1"/>
  <c r="R121" i="27"/>
  <c r="U153" i="27"/>
  <c r="U154" i="27" s="1"/>
  <c r="G110" i="27"/>
  <c r="Q137" i="27"/>
  <c r="F147" i="27"/>
  <c r="R139" i="27"/>
  <c r="J147" i="27"/>
  <c r="N147" i="27"/>
  <c r="H147" i="27"/>
  <c r="R146" i="27"/>
  <c r="V146" i="27" s="1"/>
  <c r="P153" i="27"/>
  <c r="P171" i="27" s="1"/>
  <c r="G151" i="27"/>
  <c r="R148" i="27"/>
  <c r="Q878" i="9" s="1"/>
  <c r="F81" i="27"/>
  <c r="R76" i="27"/>
  <c r="V76" i="27" s="1"/>
  <c r="R80" i="27"/>
  <c r="V80" i="27" s="1"/>
  <c r="R83" i="27"/>
  <c r="R91" i="27"/>
  <c r="R95" i="27"/>
  <c r="V95" i="27" s="1"/>
  <c r="F96" i="27"/>
  <c r="R112" i="27"/>
  <c r="R115" i="27"/>
  <c r="V115" i="27" s="1"/>
  <c r="F119" i="27"/>
  <c r="R123" i="27"/>
  <c r="V123" i="27" s="1"/>
  <c r="R133" i="27"/>
  <c r="V133" i="27" s="1"/>
  <c r="F124" i="27"/>
  <c r="R132" i="27"/>
  <c r="H153" i="27" l="1"/>
  <c r="I153" i="27"/>
  <c r="V149" i="27"/>
  <c r="V150" i="27"/>
  <c r="Q880" i="9"/>
  <c r="AE880" i="9" s="1"/>
  <c r="M153" i="27"/>
  <c r="S87" i="27"/>
  <c r="S89" i="27" s="1"/>
  <c r="L153" i="27"/>
  <c r="K153" i="27"/>
  <c r="N153" i="27"/>
  <c r="Q153" i="27"/>
  <c r="Q171" i="27" s="1"/>
  <c r="V110" i="27"/>
  <c r="V104" i="27"/>
  <c r="J153" i="27"/>
  <c r="R110" i="27"/>
  <c r="Q872" i="9" s="1"/>
  <c r="R104" i="27"/>
  <c r="Q871" i="9" s="1"/>
  <c r="G153" i="27"/>
  <c r="S95" i="27"/>
  <c r="S96" i="27" s="1"/>
  <c r="S146" i="27"/>
  <c r="S147" i="27" s="1"/>
  <c r="V52" i="27"/>
  <c r="R42" i="27"/>
  <c r="Q863" i="9" s="1"/>
  <c r="AE863" i="9" s="1"/>
  <c r="V54" i="27"/>
  <c r="R62" i="27"/>
  <c r="Q865" i="9" s="1"/>
  <c r="R147" i="27"/>
  <c r="Q877" i="9" s="1"/>
  <c r="V139" i="27"/>
  <c r="V147" i="27" s="1"/>
  <c r="R35" i="27"/>
  <c r="Q862" i="9" s="1"/>
  <c r="V26" i="27"/>
  <c r="V35" i="27" s="1"/>
  <c r="R52" i="27"/>
  <c r="Q864" i="9" s="1"/>
  <c r="V70" i="27"/>
  <c r="V72" i="27" s="1"/>
  <c r="R72" i="27"/>
  <c r="Q867" i="9" s="1"/>
  <c r="V42" i="27"/>
  <c r="V112" i="27"/>
  <c r="V119" i="27" s="1"/>
  <c r="R119" i="27"/>
  <c r="Q873" i="9" s="1"/>
  <c r="R89" i="27"/>
  <c r="Q869" i="9" s="1"/>
  <c r="V83" i="27"/>
  <c r="V89" i="27" s="1"/>
  <c r="V148" i="27"/>
  <c r="R151" i="27"/>
  <c r="R124" i="27"/>
  <c r="Q874" i="9" s="1"/>
  <c r="V121" i="27"/>
  <c r="V124" i="27" s="1"/>
  <c r="F153" i="27"/>
  <c r="V74" i="27"/>
  <c r="V81" i="27" s="1"/>
  <c r="R81" i="27"/>
  <c r="Q868" i="9" s="1"/>
  <c r="R130" i="27"/>
  <c r="Q875" i="9" s="1"/>
  <c r="V126" i="27"/>
  <c r="V130" i="27" s="1"/>
  <c r="R24" i="27"/>
  <c r="Q861" i="9" s="1"/>
  <c r="AE861" i="9" s="1"/>
  <c r="R137" i="27"/>
  <c r="Q876" i="9" s="1"/>
  <c r="V132" i="27"/>
  <c r="V137" i="27" s="1"/>
  <c r="R96" i="27"/>
  <c r="Q870" i="9" s="1"/>
  <c r="V91" i="27"/>
  <c r="V96" i="27" s="1"/>
  <c r="R68" i="27"/>
  <c r="Q866" i="9" s="1"/>
  <c r="V64" i="27"/>
  <c r="V68" i="27" s="1"/>
  <c r="V24" i="27"/>
  <c r="Q882" i="9" l="1"/>
  <c r="V151" i="27"/>
  <c r="S153" i="27"/>
  <c r="R153" i="27"/>
  <c r="D2540" i="21" s="1"/>
  <c r="E2540" i="21" s="1"/>
  <c r="AE882" i="9" l="1"/>
  <c r="E20" i="8"/>
  <c r="E19" i="8"/>
  <c r="E16" i="8"/>
  <c r="F70" i="8" s="1"/>
  <c r="E24" i="8"/>
  <c r="E67" i="8" s="1"/>
  <c r="U618" i="9"/>
  <c r="F19" i="7"/>
  <c r="E66" i="8" l="1"/>
  <c r="F66" i="8" s="1"/>
  <c r="F78" i="8" s="1"/>
  <c r="H57" i="23" l="1"/>
  <c r="H56" i="23"/>
  <c r="H45" i="23"/>
  <c r="H38" i="23" l="1"/>
  <c r="I154" i="27" l="1"/>
  <c r="E64" i="6"/>
  <c r="H17" i="23"/>
  <c r="H16" i="23"/>
  <c r="H15" i="23"/>
  <c r="G103" i="23"/>
  <c r="E101" i="23"/>
  <c r="H100" i="23"/>
  <c r="H99" i="23"/>
  <c r="H98" i="23"/>
  <c r="H97" i="23"/>
  <c r="H96" i="23"/>
  <c r="H95" i="23"/>
  <c r="E93" i="23"/>
  <c r="H92" i="23"/>
  <c r="H91" i="23"/>
  <c r="H90" i="23"/>
  <c r="H89" i="23"/>
  <c r="E86" i="23"/>
  <c r="H85" i="23"/>
  <c r="H84" i="23"/>
  <c r="H83" i="23"/>
  <c r="H82" i="23"/>
  <c r="H81" i="23"/>
  <c r="H80" i="23"/>
  <c r="H79" i="23"/>
  <c r="E75" i="23"/>
  <c r="H74" i="23"/>
  <c r="H73" i="23"/>
  <c r="E70" i="23"/>
  <c r="H68" i="23"/>
  <c r="H67" i="23"/>
  <c r="E65" i="23"/>
  <c r="H64" i="23"/>
  <c r="H63" i="23"/>
  <c r="H62" i="23"/>
  <c r="E60" i="23"/>
  <c r="H59" i="23"/>
  <c r="H58" i="23"/>
  <c r="H55" i="23"/>
  <c r="H54" i="23"/>
  <c r="H53" i="23"/>
  <c r="H49" i="23"/>
  <c r="H48" i="23"/>
  <c r="H47" i="23"/>
  <c r="H46" i="23"/>
  <c r="H44" i="23"/>
  <c r="H41" i="23"/>
  <c r="H40" i="23"/>
  <c r="H39" i="23"/>
  <c r="H37" i="23"/>
  <c r="H36" i="23"/>
  <c r="H35" i="23"/>
  <c r="H34" i="23"/>
  <c r="H33" i="23"/>
  <c r="H32" i="23"/>
  <c r="H31" i="23"/>
  <c r="H27" i="23"/>
  <c r="H23" i="23"/>
  <c r="H22" i="23"/>
  <c r="H21" i="23"/>
  <c r="H20" i="23"/>
  <c r="E18" i="23"/>
  <c r="M505" i="22"/>
  <c r="S770" i="9"/>
  <c r="S769" i="9"/>
  <c r="S765" i="9"/>
  <c r="S764" i="9"/>
  <c r="S763" i="9"/>
  <c r="N770" i="9"/>
  <c r="N769" i="9"/>
  <c r="N764" i="9"/>
  <c r="N765" i="9"/>
  <c r="N763" i="9"/>
  <c r="I42" i="20"/>
  <c r="I18" i="20"/>
  <c r="I19" i="20"/>
  <c r="K15" i="6"/>
  <c r="I16" i="20"/>
  <c r="I70" i="7"/>
  <c r="Q53" i="19"/>
  <c r="Q54" i="19"/>
  <c r="Q55" i="19"/>
  <c r="Q56" i="19"/>
  <c r="A9" i="20"/>
  <c r="H65" i="20"/>
  <c r="F65" i="20"/>
  <c r="E65" i="20"/>
  <c r="I64" i="20"/>
  <c r="I63" i="20"/>
  <c r="I62" i="20"/>
  <c r="I61" i="20"/>
  <c r="I60" i="20"/>
  <c r="I59" i="20"/>
  <c r="I58" i="20"/>
  <c r="I57" i="20"/>
  <c r="H54" i="20"/>
  <c r="F54" i="20"/>
  <c r="E54" i="20"/>
  <c r="I53" i="20"/>
  <c r="I52" i="20"/>
  <c r="I51" i="20"/>
  <c r="I50" i="20"/>
  <c r="I49" i="20"/>
  <c r="I48" i="20"/>
  <c r="I47" i="20"/>
  <c r="I45" i="20"/>
  <c r="H44" i="20"/>
  <c r="E44" i="20"/>
  <c r="I41" i="20"/>
  <c r="I40" i="20"/>
  <c r="H36" i="20"/>
  <c r="F36" i="20"/>
  <c r="E36" i="20"/>
  <c r="I34" i="20"/>
  <c r="I33" i="20"/>
  <c r="I31" i="20"/>
  <c r="I30" i="20"/>
  <c r="I29" i="20"/>
  <c r="I28" i="20"/>
  <c r="I27" i="20"/>
  <c r="H22" i="20"/>
  <c r="H25" i="20" s="1"/>
  <c r="F22" i="20"/>
  <c r="F25" i="20" s="1"/>
  <c r="E22" i="20"/>
  <c r="E25" i="20" s="1"/>
  <c r="I21" i="20"/>
  <c r="I20" i="20"/>
  <c r="I17" i="20"/>
  <c r="L9" i="20"/>
  <c r="L8" i="20"/>
  <c r="A2" i="13"/>
  <c r="A2" i="14"/>
  <c r="A2" i="16"/>
  <c r="A1" i="18"/>
  <c r="A2" i="17"/>
  <c r="A1" i="19"/>
  <c r="F18" i="7" l="1"/>
  <c r="K25" i="6"/>
  <c r="I24" i="20"/>
  <c r="I35" i="20"/>
  <c r="E77" i="23"/>
  <c r="E103" i="23" s="1"/>
  <c r="H93" i="23"/>
  <c r="H101" i="23"/>
  <c r="E69" i="6"/>
  <c r="E63" i="6"/>
  <c r="E66" i="6"/>
  <c r="E68" i="6"/>
  <c r="H50" i="23"/>
  <c r="H86" i="23"/>
  <c r="H26" i="23"/>
  <c r="E65" i="6"/>
  <c r="H52" i="23"/>
  <c r="H60" i="23" s="1"/>
  <c r="H24" i="23"/>
  <c r="H70" i="23"/>
  <c r="H18" i="23"/>
  <c r="H65" i="23"/>
  <c r="E61" i="6"/>
  <c r="E62" i="6"/>
  <c r="E67" i="6"/>
  <c r="H72" i="23"/>
  <c r="H30" i="23"/>
  <c r="O72" i="23"/>
  <c r="I65" i="20"/>
  <c r="I54" i="20"/>
  <c r="F20" i="7"/>
  <c r="E68" i="20"/>
  <c r="F68" i="20"/>
  <c r="I39" i="20"/>
  <c r="I44" i="20" s="1"/>
  <c r="I22" i="20"/>
  <c r="I32" i="20"/>
  <c r="H75" i="23" l="1"/>
  <c r="H42" i="23"/>
  <c r="H28" i="23"/>
  <c r="H77" i="23" s="1"/>
  <c r="H103" i="23" s="1"/>
  <c r="H106" i="23" s="1"/>
  <c r="I36" i="20"/>
  <c r="I25" i="20"/>
  <c r="E71" i="6"/>
  <c r="K71" i="6" s="1"/>
  <c r="E70" i="6"/>
  <c r="L154" i="27"/>
  <c r="L171" i="27" s="1"/>
  <c r="M154" i="27"/>
  <c r="M171" i="27" s="1"/>
  <c r="I171" i="27"/>
  <c r="G154" i="27"/>
  <c r="G171" i="27" s="1"/>
  <c r="K154" i="27"/>
  <c r="K171" i="27" s="1"/>
  <c r="O154" i="27"/>
  <c r="O171" i="27" s="1"/>
  <c r="H154" i="27"/>
  <c r="H171" i="27" s="1"/>
  <c r="F154" i="27"/>
  <c r="F171" i="27" s="1"/>
  <c r="N154" i="27"/>
  <c r="N171" i="27" s="1"/>
  <c r="J154" i="27"/>
  <c r="J171" i="27" s="1"/>
  <c r="I69" i="23" l="1"/>
  <c r="I45" i="23"/>
  <c r="I56" i="23"/>
  <c r="I57" i="23"/>
  <c r="I38" i="23"/>
  <c r="I33" i="23"/>
  <c r="I17" i="23"/>
  <c r="I39" i="23"/>
  <c r="I73" i="23"/>
  <c r="I35" i="23"/>
  <c r="I32" i="23"/>
  <c r="I74" i="23"/>
  <c r="I79" i="23"/>
  <c r="I44" i="23"/>
  <c r="I68" i="23"/>
  <c r="I67" i="23"/>
  <c r="I20" i="23"/>
  <c r="I81" i="23"/>
  <c r="I63" i="23"/>
  <c r="I27" i="23"/>
  <c r="I83" i="23"/>
  <c r="I59" i="23"/>
  <c r="I82" i="23"/>
  <c r="I53" i="23"/>
  <c r="I16" i="23"/>
  <c r="I36" i="23"/>
  <c r="I40" i="23"/>
  <c r="I22" i="23"/>
  <c r="I46" i="23"/>
  <c r="I21" i="23"/>
  <c r="I34" i="23"/>
  <c r="I64" i="23"/>
  <c r="I31" i="23"/>
  <c r="I47" i="23"/>
  <c r="I41" i="23"/>
  <c r="I23" i="23"/>
  <c r="I55" i="23"/>
  <c r="I37" i="23"/>
  <c r="I48" i="23"/>
  <c r="I80" i="23"/>
  <c r="I49" i="23"/>
  <c r="I58" i="23"/>
  <c r="I54" i="23"/>
  <c r="I62" i="23"/>
  <c r="I72" i="23"/>
  <c r="I30" i="23"/>
  <c r="I26" i="23"/>
  <c r="I28" i="23" s="1"/>
  <c r="I68" i="20"/>
  <c r="E75" i="6"/>
  <c r="N51" i="10" s="1"/>
  <c r="O68" i="19"/>
  <c r="P68" i="19"/>
  <c r="O59" i="19"/>
  <c r="N782" i="9" s="1"/>
  <c r="P59" i="19"/>
  <c r="E53" i="6" s="1"/>
  <c r="D116" i="23" s="1"/>
  <c r="P40" i="19"/>
  <c r="S774" i="9" s="1"/>
  <c r="O40" i="19"/>
  <c r="N774" i="9" s="1"/>
  <c r="Q37" i="19"/>
  <c r="Q38" i="19"/>
  <c r="A7" i="19"/>
  <c r="Q58" i="19"/>
  <c r="Q57" i="19"/>
  <c r="Q52" i="19"/>
  <c r="P50" i="19"/>
  <c r="O50" i="19"/>
  <c r="Q49" i="19"/>
  <c r="Q50" i="19" s="1"/>
  <c r="P44" i="19"/>
  <c r="S775" i="9" s="1"/>
  <c r="O44" i="19"/>
  <c r="N775" i="9" s="1"/>
  <c r="Q43" i="19"/>
  <c r="Q42" i="19"/>
  <c r="P32" i="19"/>
  <c r="N771" i="9"/>
  <c r="Q31" i="19"/>
  <c r="Q30" i="19"/>
  <c r="Q28" i="19"/>
  <c r="Q26" i="19"/>
  <c r="P24" i="19"/>
  <c r="S768" i="9" s="1"/>
  <c r="O24" i="19"/>
  <c r="Q23" i="19"/>
  <c r="Q22" i="19"/>
  <c r="P19" i="19"/>
  <c r="O19" i="19"/>
  <c r="Q17" i="19"/>
  <c r="Q16" i="19"/>
  <c r="Q7" i="19"/>
  <c r="I790" i="9"/>
  <c r="X790" i="9" s="1"/>
  <c r="AH790" i="9"/>
  <c r="N849" i="9"/>
  <c r="S849" i="9"/>
  <c r="I849" i="9"/>
  <c r="N792" i="9"/>
  <c r="S792" i="9"/>
  <c r="I776" i="9"/>
  <c r="I60" i="23" l="1"/>
  <c r="I70" i="23"/>
  <c r="I75" i="23"/>
  <c r="I86" i="23"/>
  <c r="I50" i="23"/>
  <c r="I65" i="23"/>
  <c r="I42" i="23"/>
  <c r="I18" i="23"/>
  <c r="I24" i="23"/>
  <c r="Q883" i="9"/>
  <c r="Q59" i="19"/>
  <c r="Q61" i="19" s="1"/>
  <c r="N768" i="9"/>
  <c r="O34" i="19"/>
  <c r="O46" i="19" s="1"/>
  <c r="S771" i="9"/>
  <c r="P34" i="19"/>
  <c r="P46" i="19" s="1"/>
  <c r="O61" i="19"/>
  <c r="P61" i="19"/>
  <c r="S782" i="9" s="1"/>
  <c r="Q44" i="19"/>
  <c r="Q24" i="19"/>
  <c r="Q39" i="19"/>
  <c r="Q40" i="19" s="1"/>
  <c r="Q32" i="19"/>
  <c r="Q19" i="19"/>
  <c r="I77" i="23" l="1"/>
  <c r="I103" i="23"/>
  <c r="Q34" i="19"/>
  <c r="Q46" i="19" s="1"/>
  <c r="Q63" i="19" s="1"/>
  <c r="Q70" i="19" s="1"/>
  <c r="O63" i="19"/>
  <c r="O70" i="19" s="1"/>
  <c r="P63" i="19"/>
  <c r="P70" i="19" s="1"/>
  <c r="G5" i="18" l="1"/>
  <c r="A5" i="18"/>
  <c r="E57" i="5" l="1"/>
  <c r="G57" i="5"/>
  <c r="X583" i="9"/>
  <c r="Q583" i="9"/>
  <c r="F48" i="32" s="1"/>
  <c r="F49" i="18"/>
  <c r="X571" i="9" s="1"/>
  <c r="F41" i="18"/>
  <c r="X570" i="9"/>
  <c r="X569" i="9"/>
  <c r="F33" i="18"/>
  <c r="X568" i="9" s="1"/>
  <c r="X567" i="9"/>
  <c r="Q567" i="9"/>
  <c r="Q570" i="9"/>
  <c r="F27" i="18"/>
  <c r="E49" i="18"/>
  <c r="Q571" i="9" s="1"/>
  <c r="E41" i="18"/>
  <c r="E35" i="18"/>
  <c r="Q569" i="9" s="1"/>
  <c r="E33" i="18"/>
  <c r="Q568" i="9" s="1"/>
  <c r="E27" i="18"/>
  <c r="Q566" i="9" s="1"/>
  <c r="G46" i="5"/>
  <c r="E46" i="5"/>
  <c r="F33" i="17"/>
  <c r="I34" i="17" s="1"/>
  <c r="F46" i="17"/>
  <c r="F56" i="17"/>
  <c r="F62" i="17"/>
  <c r="F69" i="17"/>
  <c r="F77" i="17"/>
  <c r="F82" i="17"/>
  <c r="I46" i="17"/>
  <c r="M48" i="32" l="1"/>
  <c r="L48" i="32"/>
  <c r="J46" i="17"/>
  <c r="F47" i="17"/>
  <c r="Q500" i="9" s="1"/>
  <c r="F71" i="17"/>
  <c r="F49" i="32"/>
  <c r="H48" i="32"/>
  <c r="H49" i="32" s="1"/>
  <c r="F51" i="18"/>
  <c r="E51" i="18"/>
  <c r="Q502" i="9"/>
  <c r="M49" i="32" l="1"/>
  <c r="L49" i="32"/>
  <c r="F84" i="17"/>
  <c r="G186" i="16" l="1"/>
  <c r="G185" i="16"/>
  <c r="G184" i="16"/>
  <c r="G183" i="16"/>
  <c r="G182" i="16"/>
  <c r="G175" i="16"/>
  <c r="H175" i="16" s="1"/>
  <c r="G174" i="16"/>
  <c r="H174" i="16" s="1"/>
  <c r="G173" i="16"/>
  <c r="H173" i="16" s="1"/>
  <c r="G172" i="16"/>
  <c r="H172" i="16" s="1"/>
  <c r="G171" i="16"/>
  <c r="H171" i="16" s="1"/>
  <c r="G170" i="16"/>
  <c r="H170" i="16" s="1"/>
  <c r="G169" i="16"/>
  <c r="H169" i="16" s="1"/>
  <c r="G168" i="16"/>
  <c r="H168" i="16" s="1"/>
  <c r="G167" i="16"/>
  <c r="H167" i="16" s="1"/>
  <c r="G166" i="16"/>
  <c r="H166" i="16" s="1"/>
  <c r="G165" i="16"/>
  <c r="H165" i="16" s="1"/>
  <c r="G164" i="16"/>
  <c r="H164" i="16" s="1"/>
  <c r="G163" i="16"/>
  <c r="H163" i="16" s="1"/>
  <c r="G162" i="16"/>
  <c r="H162" i="16" s="1"/>
  <c r="G161" i="16"/>
  <c r="H161" i="16" s="1"/>
  <c r="G160" i="16"/>
  <c r="H160" i="16" s="1"/>
  <c r="G159" i="16"/>
  <c r="H159" i="16" s="1"/>
  <c r="G158" i="16"/>
  <c r="H158" i="16" s="1"/>
  <c r="G157" i="16"/>
  <c r="H157" i="16" s="1"/>
  <c r="G154" i="16"/>
  <c r="G149" i="16"/>
  <c r="H149" i="16" s="1"/>
  <c r="G148" i="16"/>
  <c r="H148" i="16" s="1"/>
  <c r="G147" i="16"/>
  <c r="H147" i="16" s="1"/>
  <c r="G146" i="16"/>
  <c r="H146" i="16" s="1"/>
  <c r="G145" i="16"/>
  <c r="H145" i="16" s="1"/>
  <c r="G144" i="16"/>
  <c r="H144" i="16" s="1"/>
  <c r="G143" i="16"/>
  <c r="H143" i="16" s="1"/>
  <c r="G142" i="16"/>
  <c r="H142" i="16" s="1"/>
  <c r="G141" i="16"/>
  <c r="H141" i="16" s="1"/>
  <c r="G140" i="16"/>
  <c r="H140" i="16" s="1"/>
  <c r="G139" i="16"/>
  <c r="H139" i="16" s="1"/>
  <c r="G138" i="16"/>
  <c r="H138" i="16" s="1"/>
  <c r="G137" i="16"/>
  <c r="H137" i="16" s="1"/>
  <c r="G136" i="16"/>
  <c r="H136" i="16" s="1"/>
  <c r="G135" i="16"/>
  <c r="H135" i="16" s="1"/>
  <c r="G134" i="16"/>
  <c r="H134" i="16" s="1"/>
  <c r="G133" i="16"/>
  <c r="H133" i="16" s="1"/>
  <c r="G132" i="16"/>
  <c r="H132" i="16" s="1"/>
  <c r="G131" i="16"/>
  <c r="H131" i="16" s="1"/>
  <c r="G130" i="16"/>
  <c r="G127" i="16"/>
  <c r="H127" i="16" s="1"/>
  <c r="G126" i="16"/>
  <c r="H126" i="16" s="1"/>
  <c r="G125" i="16"/>
  <c r="H125" i="16" s="1"/>
  <c r="G124" i="16"/>
  <c r="H124" i="16" s="1"/>
  <c r="G123" i="16"/>
  <c r="H123" i="16" s="1"/>
  <c r="G122" i="16"/>
  <c r="H122" i="16" s="1"/>
  <c r="G121" i="16"/>
  <c r="H121" i="16" s="1"/>
  <c r="G120" i="16"/>
  <c r="H120" i="16" s="1"/>
  <c r="G119" i="16"/>
  <c r="H119" i="16" s="1"/>
  <c r="G118" i="16"/>
  <c r="H118" i="16" s="1"/>
  <c r="G117" i="16"/>
  <c r="H117" i="16" s="1"/>
  <c r="G116" i="16"/>
  <c r="H116" i="16" s="1"/>
  <c r="G115" i="16"/>
  <c r="H115" i="16" s="1"/>
  <c r="G114" i="16"/>
  <c r="H114" i="16" s="1"/>
  <c r="G113" i="16"/>
  <c r="H113" i="16" s="1"/>
  <c r="G112" i="16"/>
  <c r="H112" i="16" s="1"/>
  <c r="G111" i="16"/>
  <c r="H111" i="16" s="1"/>
  <c r="G110" i="16"/>
  <c r="H110" i="16" s="1"/>
  <c r="G109" i="16"/>
  <c r="H109" i="16" s="1"/>
  <c r="G108" i="16"/>
  <c r="G105" i="16"/>
  <c r="H105" i="16" s="1"/>
  <c r="G104" i="16"/>
  <c r="H104" i="16" s="1"/>
  <c r="G103" i="16"/>
  <c r="H103" i="16" s="1"/>
  <c r="G102" i="16"/>
  <c r="H102" i="16" s="1"/>
  <c r="G101" i="16"/>
  <c r="H101" i="16" s="1"/>
  <c r="G100" i="16"/>
  <c r="H100" i="16" s="1"/>
  <c r="G99" i="16"/>
  <c r="H99" i="16" s="1"/>
  <c r="G98" i="16"/>
  <c r="H98" i="16" s="1"/>
  <c r="G97" i="16"/>
  <c r="H97" i="16" s="1"/>
  <c r="G96" i="16"/>
  <c r="H96" i="16" s="1"/>
  <c r="G95" i="16"/>
  <c r="H95" i="16" s="1"/>
  <c r="G94" i="16"/>
  <c r="H94" i="16" s="1"/>
  <c r="G93" i="16"/>
  <c r="H93" i="16" s="1"/>
  <c r="G92" i="16"/>
  <c r="H92" i="16" s="1"/>
  <c r="G91" i="16"/>
  <c r="H91" i="16" s="1"/>
  <c r="G90" i="16"/>
  <c r="H90" i="16" s="1"/>
  <c r="G89" i="16"/>
  <c r="H89" i="16" s="1"/>
  <c r="G88" i="16"/>
  <c r="H88" i="16" s="1"/>
  <c r="G87" i="16"/>
  <c r="H87" i="16" s="1"/>
  <c r="G86" i="16"/>
  <c r="G80" i="16"/>
  <c r="H80" i="16" s="1"/>
  <c r="G79" i="16"/>
  <c r="H79" i="16" s="1"/>
  <c r="G78" i="16"/>
  <c r="H78" i="16" s="1"/>
  <c r="G77" i="16"/>
  <c r="H77" i="16" s="1"/>
  <c r="G76" i="16"/>
  <c r="H76" i="16" s="1"/>
  <c r="G75" i="16"/>
  <c r="H75" i="16" s="1"/>
  <c r="G74" i="16"/>
  <c r="H74" i="16" s="1"/>
  <c r="G73" i="16"/>
  <c r="H73" i="16" s="1"/>
  <c r="G72" i="16"/>
  <c r="H72" i="16" s="1"/>
  <c r="G71" i="16"/>
  <c r="H71" i="16" s="1"/>
  <c r="G70" i="16"/>
  <c r="H70" i="16" s="1"/>
  <c r="G69" i="16"/>
  <c r="H69" i="16" s="1"/>
  <c r="G68" i="16"/>
  <c r="H68" i="16" s="1"/>
  <c r="G67" i="16"/>
  <c r="H67" i="16" s="1"/>
  <c r="G66" i="16"/>
  <c r="H66" i="16" s="1"/>
  <c r="G65" i="16"/>
  <c r="H65" i="16" s="1"/>
  <c r="G64" i="16"/>
  <c r="H64" i="16" s="1"/>
  <c r="G63" i="16"/>
  <c r="H63" i="16" s="1"/>
  <c r="G62" i="16"/>
  <c r="H62" i="16" s="1"/>
  <c r="G61" i="16"/>
  <c r="G58" i="16"/>
  <c r="H58" i="16" s="1"/>
  <c r="G57" i="16"/>
  <c r="H57" i="16" s="1"/>
  <c r="G56" i="16"/>
  <c r="H56" i="16" s="1"/>
  <c r="G55" i="16"/>
  <c r="H55" i="16" s="1"/>
  <c r="G54" i="16"/>
  <c r="H54" i="16" s="1"/>
  <c r="G53" i="16"/>
  <c r="H53" i="16" s="1"/>
  <c r="G52" i="16"/>
  <c r="H52" i="16" s="1"/>
  <c r="G51" i="16"/>
  <c r="H51" i="16" s="1"/>
  <c r="G50" i="16"/>
  <c r="H50" i="16" s="1"/>
  <c r="G49" i="16"/>
  <c r="H49" i="16" s="1"/>
  <c r="G48" i="16"/>
  <c r="H48" i="16" s="1"/>
  <c r="G47" i="16"/>
  <c r="H47" i="16" s="1"/>
  <c r="G46" i="16"/>
  <c r="H46" i="16" s="1"/>
  <c r="G45" i="16"/>
  <c r="H45" i="16" s="1"/>
  <c r="G44" i="16"/>
  <c r="H44" i="16" s="1"/>
  <c r="G43" i="16"/>
  <c r="H43" i="16" s="1"/>
  <c r="G42" i="16"/>
  <c r="H42" i="16" s="1"/>
  <c r="G41" i="16"/>
  <c r="H41" i="16" s="1"/>
  <c r="G40" i="16"/>
  <c r="G37" i="16"/>
  <c r="H37" i="16" s="1"/>
  <c r="G36" i="16"/>
  <c r="H36" i="16" s="1"/>
  <c r="G35" i="16"/>
  <c r="H35" i="16" s="1"/>
  <c r="G34" i="16"/>
  <c r="H34" i="16" s="1"/>
  <c r="G33" i="16"/>
  <c r="Q519" i="15"/>
  <c r="Q521" i="15" s="1"/>
  <c r="R519" i="15"/>
  <c r="S519" i="15"/>
  <c r="O517" i="15"/>
  <c r="O519" i="15" s="1"/>
  <c r="M519" i="15"/>
  <c r="N519" i="15"/>
  <c r="O343" i="9"/>
  <c r="U640" i="9" s="1"/>
  <c r="G187" i="16" l="1"/>
  <c r="G194" i="16" s="1"/>
  <c r="G106" i="16"/>
  <c r="H86" i="16"/>
  <c r="H106" i="16" s="1"/>
  <c r="G128" i="16"/>
  <c r="H108" i="16"/>
  <c r="H128" i="16" s="1"/>
  <c r="G150" i="16"/>
  <c r="H130" i="16"/>
  <c r="H150" i="16" s="1"/>
  <c r="G176" i="16"/>
  <c r="H154" i="16"/>
  <c r="H176" i="16" s="1"/>
  <c r="G59" i="16"/>
  <c r="H40" i="16"/>
  <c r="H59" i="16" s="1"/>
  <c r="G81" i="16"/>
  <c r="H61" i="16"/>
  <c r="H81" i="16" s="1"/>
  <c r="H33" i="16"/>
  <c r="H38" i="16" s="1"/>
  <c r="G38" i="16"/>
  <c r="O521" i="15"/>
  <c r="R521" i="15"/>
  <c r="M521" i="15"/>
  <c r="N521" i="15"/>
  <c r="S521" i="15"/>
  <c r="T517" i="15"/>
  <c r="T519" i="15" s="1"/>
  <c r="V506" i="15"/>
  <c r="R506" i="15"/>
  <c r="S506" i="15"/>
  <c r="T506" i="15"/>
  <c r="G82" i="16" l="1"/>
  <c r="H82" i="16"/>
  <c r="H151" i="16"/>
  <c r="G151" i="16"/>
  <c r="T521" i="15"/>
  <c r="H178" i="16" l="1"/>
  <c r="H197" i="16" s="1"/>
  <c r="G178" i="16"/>
  <c r="G197" i="16" s="1"/>
  <c r="Q484" i="9"/>
  <c r="R494" i="15" l="1"/>
  <c r="N494" i="15"/>
  <c r="M494" i="15"/>
  <c r="K494" i="15"/>
  <c r="R488" i="15"/>
  <c r="N488" i="15"/>
  <c r="M488" i="15"/>
  <c r="K488" i="15"/>
  <c r="I482" i="15"/>
  <c r="R327" i="15"/>
  <c r="N327" i="15"/>
  <c r="M327" i="15"/>
  <c r="K327" i="15"/>
  <c r="R314" i="15"/>
  <c r="N314" i="15"/>
  <c r="M314" i="15"/>
  <c r="K314" i="15"/>
  <c r="R257" i="15"/>
  <c r="N257" i="15"/>
  <c r="K257" i="15"/>
  <c r="R243" i="15"/>
  <c r="N243" i="15"/>
  <c r="M243" i="15"/>
  <c r="K243" i="15"/>
  <c r="J243" i="15"/>
  <c r="R223" i="15"/>
  <c r="N223" i="15"/>
  <c r="K223" i="15"/>
  <c r="K496" i="15" l="1"/>
  <c r="K329" i="15"/>
  <c r="N496" i="15"/>
  <c r="R496" i="15"/>
  <c r="M496" i="15"/>
  <c r="O494" i="15"/>
  <c r="J494" i="15"/>
  <c r="O488" i="15"/>
  <c r="J488" i="15"/>
  <c r="N329" i="15"/>
  <c r="R329" i="15"/>
  <c r="S314" i="15"/>
  <c r="Q327" i="15"/>
  <c r="S551" i="15" s="1"/>
  <c r="U592" i="15" s="1"/>
  <c r="J327" i="15"/>
  <c r="O327" i="15"/>
  <c r="O314" i="15"/>
  <c r="Q314" i="15"/>
  <c r="S549" i="15" s="1"/>
  <c r="U590" i="15" s="1"/>
  <c r="J314" i="15"/>
  <c r="J257" i="15"/>
  <c r="M257" i="15"/>
  <c r="Q257" i="15"/>
  <c r="S548" i="15" s="1"/>
  <c r="U589" i="15" s="1"/>
  <c r="O243" i="15"/>
  <c r="S243" i="15"/>
  <c r="Q243" i="15"/>
  <c r="M223" i="15"/>
  <c r="S547" i="15" l="1"/>
  <c r="U588" i="15" s="1"/>
  <c r="O337" i="9"/>
  <c r="J496" i="15"/>
  <c r="O496" i="15"/>
  <c r="S565" i="15"/>
  <c r="U606" i="15" s="1"/>
  <c r="S566" i="15"/>
  <c r="U607" i="15" s="1"/>
  <c r="M329" i="15"/>
  <c r="O335" i="9" s="1"/>
  <c r="T327" i="15"/>
  <c r="S327" i="15"/>
  <c r="T314" i="15"/>
  <c r="T257" i="15"/>
  <c r="T243" i="15"/>
  <c r="S257" i="15"/>
  <c r="O257" i="15"/>
  <c r="I523" i="15"/>
  <c r="I481" i="15"/>
  <c r="R478" i="15"/>
  <c r="N478" i="15"/>
  <c r="M478" i="15"/>
  <c r="K478" i="15"/>
  <c r="R466" i="15"/>
  <c r="N466" i="15"/>
  <c r="M466" i="15"/>
  <c r="K466" i="15"/>
  <c r="J466" i="15"/>
  <c r="R457" i="15"/>
  <c r="N457" i="15"/>
  <c r="M457" i="15"/>
  <c r="K457" i="15"/>
  <c r="J457" i="15"/>
  <c r="R442" i="15"/>
  <c r="N442" i="15"/>
  <c r="M442" i="15"/>
  <c r="K442" i="15"/>
  <c r="R432" i="15"/>
  <c r="N432" i="15"/>
  <c r="M432" i="15"/>
  <c r="K432" i="15"/>
  <c r="R400" i="15"/>
  <c r="N400" i="15"/>
  <c r="M400" i="15"/>
  <c r="K400" i="15"/>
  <c r="R372" i="15"/>
  <c r="N372" i="15"/>
  <c r="M372" i="15"/>
  <c r="K372" i="15"/>
  <c r="R356" i="15"/>
  <c r="N356" i="15"/>
  <c r="M356" i="15"/>
  <c r="K356" i="15"/>
  <c r="I72" i="15"/>
  <c r="R69" i="15"/>
  <c r="N69" i="15"/>
  <c r="M69" i="15"/>
  <c r="K69" i="15"/>
  <c r="R63" i="15"/>
  <c r="N63" i="15"/>
  <c r="M63" i="15"/>
  <c r="K63" i="15"/>
  <c r="R56" i="15"/>
  <c r="N56" i="15"/>
  <c r="M56" i="15"/>
  <c r="K56" i="15"/>
  <c r="R52" i="15"/>
  <c r="N52" i="15"/>
  <c r="M52" i="15"/>
  <c r="K52" i="15"/>
  <c r="J52" i="15"/>
  <c r="R38" i="15"/>
  <c r="N38" i="15"/>
  <c r="M38" i="15"/>
  <c r="K38" i="15"/>
  <c r="O37" i="15"/>
  <c r="Q37" i="15"/>
  <c r="S37" i="15" s="1"/>
  <c r="O35" i="15"/>
  <c r="Q35" i="15"/>
  <c r="S35" i="15" s="1"/>
  <c r="R33" i="15"/>
  <c r="N33" i="15"/>
  <c r="M33" i="15"/>
  <c r="K33" i="15"/>
  <c r="O32" i="15"/>
  <c r="Q32" i="15"/>
  <c r="S32" i="15" s="1"/>
  <c r="O31" i="15"/>
  <c r="Q31" i="15"/>
  <c r="S31" i="15" s="1"/>
  <c r="O30" i="15"/>
  <c r="S30" i="15"/>
  <c r="S25" i="15"/>
  <c r="R25" i="15"/>
  <c r="Q25" i="15"/>
  <c r="N25" i="15"/>
  <c r="M25" i="15"/>
  <c r="O332" i="9" s="1"/>
  <c r="O17" i="15"/>
  <c r="X246" i="9"/>
  <c r="X245" i="9"/>
  <c r="X244" i="9"/>
  <c r="X243" i="9"/>
  <c r="Q246" i="9"/>
  <c r="Q245" i="9"/>
  <c r="Q244" i="9"/>
  <c r="Q243" i="9"/>
  <c r="I309" i="14"/>
  <c r="D309" i="14"/>
  <c r="F303" i="14"/>
  <c r="E303" i="14"/>
  <c r="I300" i="14"/>
  <c r="F300" i="14"/>
  <c r="I295" i="14"/>
  <c r="F294" i="14"/>
  <c r="F295" i="14" s="1"/>
  <c r="H290" i="14"/>
  <c r="G290" i="14"/>
  <c r="E290" i="14"/>
  <c r="D290" i="14"/>
  <c r="I288" i="14"/>
  <c r="F288" i="14"/>
  <c r="I287" i="14"/>
  <c r="F287" i="14"/>
  <c r="I286" i="14"/>
  <c r="F286" i="14"/>
  <c r="I285" i="14"/>
  <c r="F285" i="14"/>
  <c r="I284" i="14"/>
  <c r="F284" i="14"/>
  <c r="I283" i="14"/>
  <c r="F283" i="14"/>
  <c r="I282" i="14"/>
  <c r="F282" i="14"/>
  <c r="I281" i="14"/>
  <c r="F281" i="14"/>
  <c r="I280" i="14"/>
  <c r="F280" i="14"/>
  <c r="I279" i="14"/>
  <c r="F279" i="14"/>
  <c r="I278" i="14"/>
  <c r="F278" i="14"/>
  <c r="I277" i="14"/>
  <c r="F277" i="14"/>
  <c r="I276" i="14"/>
  <c r="F276" i="14"/>
  <c r="I275" i="14"/>
  <c r="F275" i="14"/>
  <c r="I274" i="14"/>
  <c r="F274" i="14"/>
  <c r="I273" i="14"/>
  <c r="F273" i="14"/>
  <c r="I272" i="14"/>
  <c r="F272" i="14"/>
  <c r="I271" i="14"/>
  <c r="F271" i="14"/>
  <c r="I270" i="14"/>
  <c r="F270" i="14"/>
  <c r="I269" i="14"/>
  <c r="F269" i="14"/>
  <c r="I268" i="14"/>
  <c r="F268" i="14"/>
  <c r="I267" i="14"/>
  <c r="F267" i="14"/>
  <c r="I266" i="14"/>
  <c r="F266" i="14"/>
  <c r="I265" i="14"/>
  <c r="F265" i="14"/>
  <c r="I264" i="14"/>
  <c r="F264" i="14"/>
  <c r="I263" i="14"/>
  <c r="F263" i="14"/>
  <c r="I262" i="14"/>
  <c r="F262" i="14"/>
  <c r="I261" i="14"/>
  <c r="F261" i="14"/>
  <c r="I260" i="14"/>
  <c r="F260" i="14"/>
  <c r="I259" i="14"/>
  <c r="F259" i="14"/>
  <c r="I258" i="14"/>
  <c r="F258" i="14"/>
  <c r="I257" i="14"/>
  <c r="F257" i="14"/>
  <c r="I256" i="14"/>
  <c r="F256" i="14"/>
  <c r="I255" i="14"/>
  <c r="F255" i="14"/>
  <c r="I254" i="14"/>
  <c r="F254" i="14"/>
  <c r="I253" i="14"/>
  <c r="F253" i="14"/>
  <c r="I252" i="14"/>
  <c r="F252" i="14"/>
  <c r="I251" i="14"/>
  <c r="F251" i="14"/>
  <c r="I250" i="14"/>
  <c r="F250" i="14"/>
  <c r="I249" i="14"/>
  <c r="F249" i="14"/>
  <c r="I248" i="14"/>
  <c r="F248" i="14"/>
  <c r="I247" i="14"/>
  <c r="F247" i="14"/>
  <c r="I246" i="14"/>
  <c r="F246" i="14"/>
  <c r="I245" i="14"/>
  <c r="F245" i="14"/>
  <c r="I244" i="14"/>
  <c r="F244" i="14"/>
  <c r="I243" i="14"/>
  <c r="F243" i="14"/>
  <c r="I242" i="14"/>
  <c r="F242" i="14"/>
  <c r="I241" i="14"/>
  <c r="F241" i="14"/>
  <c r="I240" i="14"/>
  <c r="F240" i="14"/>
  <c r="I239" i="14"/>
  <c r="F239" i="14"/>
  <c r="I238" i="14"/>
  <c r="F238" i="14"/>
  <c r="I237" i="14"/>
  <c r="F237" i="14"/>
  <c r="I236" i="14"/>
  <c r="F236" i="14"/>
  <c r="I235" i="14"/>
  <c r="F235" i="14"/>
  <c r="I234" i="14"/>
  <c r="F234" i="14"/>
  <c r="I233" i="14"/>
  <c r="F233" i="14"/>
  <c r="I232" i="14"/>
  <c r="F232" i="14"/>
  <c r="I231" i="14"/>
  <c r="F231" i="14"/>
  <c r="I230" i="14"/>
  <c r="F230" i="14"/>
  <c r="I229" i="14"/>
  <c r="F229" i="14"/>
  <c r="I228" i="14"/>
  <c r="F228" i="14"/>
  <c r="I227" i="14"/>
  <c r="F227" i="14"/>
  <c r="I226" i="14"/>
  <c r="F226" i="14"/>
  <c r="I225" i="14"/>
  <c r="F225" i="14"/>
  <c r="I224" i="14"/>
  <c r="F224" i="14"/>
  <c r="I223" i="14"/>
  <c r="F223" i="14"/>
  <c r="I222" i="14"/>
  <c r="F222" i="14"/>
  <c r="I221" i="14"/>
  <c r="F221" i="14"/>
  <c r="I220" i="14"/>
  <c r="F220" i="14"/>
  <c r="I219" i="14"/>
  <c r="F219" i="14"/>
  <c r="I218" i="14"/>
  <c r="F218" i="14"/>
  <c r="I217" i="14"/>
  <c r="F217" i="14"/>
  <c r="I216" i="14"/>
  <c r="F216" i="14"/>
  <c r="I215" i="14"/>
  <c r="F215" i="14"/>
  <c r="I214" i="14"/>
  <c r="F214" i="14"/>
  <c r="I213" i="14"/>
  <c r="F213" i="14"/>
  <c r="I212" i="14"/>
  <c r="F212" i="14"/>
  <c r="I211" i="14"/>
  <c r="F211" i="14"/>
  <c r="I210" i="14"/>
  <c r="F210" i="14"/>
  <c r="I209" i="14"/>
  <c r="F209" i="14"/>
  <c r="I208" i="14"/>
  <c r="F208" i="14"/>
  <c r="I207" i="14"/>
  <c r="F207" i="14"/>
  <c r="I206" i="14"/>
  <c r="F206" i="14"/>
  <c r="L204" i="14"/>
  <c r="I201" i="14"/>
  <c r="F201" i="14"/>
  <c r="I200" i="14"/>
  <c r="F200" i="14"/>
  <c r="L201" i="14" s="1"/>
  <c r="H197" i="14"/>
  <c r="G197" i="14"/>
  <c r="E197" i="14"/>
  <c r="D197" i="14"/>
  <c r="I196" i="14"/>
  <c r="F196" i="14"/>
  <c r="I195" i="14"/>
  <c r="F195" i="14"/>
  <c r="I194" i="14"/>
  <c r="F194" i="14"/>
  <c r="I193" i="14"/>
  <c r="F193" i="14"/>
  <c r="I192" i="14"/>
  <c r="F192" i="14"/>
  <c r="I191" i="14"/>
  <c r="F191" i="14"/>
  <c r="I190" i="14"/>
  <c r="F190" i="14"/>
  <c r="I189" i="14"/>
  <c r="F189" i="14"/>
  <c r="I188" i="14"/>
  <c r="F188" i="14"/>
  <c r="I187" i="14"/>
  <c r="F187" i="14"/>
  <c r="I186" i="14"/>
  <c r="F186" i="14"/>
  <c r="H184" i="14"/>
  <c r="G184" i="14"/>
  <c r="E184" i="14"/>
  <c r="L185" i="14" s="1"/>
  <c r="D184" i="14"/>
  <c r="I182" i="14"/>
  <c r="F182" i="14"/>
  <c r="I181" i="14"/>
  <c r="F181" i="14"/>
  <c r="I180" i="14"/>
  <c r="F180" i="14"/>
  <c r="I179" i="14"/>
  <c r="F179" i="14"/>
  <c r="I178" i="14"/>
  <c r="F178" i="14"/>
  <c r="I177" i="14"/>
  <c r="F177" i="14"/>
  <c r="I176" i="14"/>
  <c r="F176" i="14"/>
  <c r="I175" i="14"/>
  <c r="F175" i="14"/>
  <c r="I174" i="14"/>
  <c r="F174" i="14"/>
  <c r="I173" i="14"/>
  <c r="F173" i="14"/>
  <c r="I172" i="14"/>
  <c r="F172" i="14"/>
  <c r="I171" i="14"/>
  <c r="F171" i="14"/>
  <c r="I170" i="14"/>
  <c r="F170" i="14"/>
  <c r="I169" i="14"/>
  <c r="F169" i="14"/>
  <c r="I168" i="14"/>
  <c r="F168" i="14"/>
  <c r="I167" i="14"/>
  <c r="F167" i="14"/>
  <c r="I166" i="14"/>
  <c r="F166" i="14"/>
  <c r="I165" i="14"/>
  <c r="F165" i="14"/>
  <c r="I164" i="14"/>
  <c r="F164" i="14"/>
  <c r="I163" i="14"/>
  <c r="F163" i="14"/>
  <c r="I162" i="14"/>
  <c r="F162" i="14"/>
  <c r="I161" i="14"/>
  <c r="F161" i="14"/>
  <c r="I160" i="14"/>
  <c r="F160" i="14"/>
  <c r="I159" i="14"/>
  <c r="F159" i="14"/>
  <c r="I158" i="14"/>
  <c r="F158" i="14"/>
  <c r="I157" i="14"/>
  <c r="F157" i="14"/>
  <c r="I156" i="14"/>
  <c r="F156" i="14"/>
  <c r="I155" i="14"/>
  <c r="F155" i="14"/>
  <c r="I154" i="14"/>
  <c r="F154" i="14"/>
  <c r="I153" i="14"/>
  <c r="F153" i="14"/>
  <c r="I152" i="14"/>
  <c r="F152" i="14"/>
  <c r="I151" i="14"/>
  <c r="F151" i="14"/>
  <c r="I150" i="14"/>
  <c r="F150" i="14"/>
  <c r="I149" i="14"/>
  <c r="F149" i="14"/>
  <c r="I148" i="14"/>
  <c r="F148" i="14"/>
  <c r="I147" i="14"/>
  <c r="F147" i="14"/>
  <c r="I146" i="14"/>
  <c r="F146" i="14"/>
  <c r="I145" i="14"/>
  <c r="F145" i="14"/>
  <c r="I144" i="14"/>
  <c r="F144" i="14"/>
  <c r="I143" i="14"/>
  <c r="F143" i="14"/>
  <c r="I142" i="14"/>
  <c r="F142" i="14"/>
  <c r="I141" i="14"/>
  <c r="F141" i="14"/>
  <c r="I140" i="14"/>
  <c r="F140" i="14"/>
  <c r="I139" i="14"/>
  <c r="F139" i="14"/>
  <c r="I138" i="14"/>
  <c r="F138" i="14"/>
  <c r="I137" i="14"/>
  <c r="F137" i="14"/>
  <c r="I136" i="14"/>
  <c r="F136" i="14"/>
  <c r="I135" i="14"/>
  <c r="F135" i="14"/>
  <c r="I134" i="14"/>
  <c r="F134" i="14"/>
  <c r="I133" i="14"/>
  <c r="F133" i="14"/>
  <c r="I132" i="14"/>
  <c r="F132" i="14"/>
  <c r="I131" i="14"/>
  <c r="F131" i="14"/>
  <c r="I130" i="14"/>
  <c r="F130" i="14"/>
  <c r="I129" i="14"/>
  <c r="F129" i="14"/>
  <c r="I128" i="14"/>
  <c r="F128" i="14"/>
  <c r="I127" i="14"/>
  <c r="F127" i="14"/>
  <c r="I126" i="14"/>
  <c r="F126" i="14"/>
  <c r="I125" i="14"/>
  <c r="F125" i="14"/>
  <c r="I124" i="14"/>
  <c r="F124" i="14"/>
  <c r="I123" i="14"/>
  <c r="F123" i="14"/>
  <c r="I122" i="14"/>
  <c r="F122" i="14"/>
  <c r="I121" i="14"/>
  <c r="F121" i="14"/>
  <c r="I120" i="14"/>
  <c r="F120" i="14"/>
  <c r="I119" i="14"/>
  <c r="F119" i="14"/>
  <c r="I118" i="14"/>
  <c r="F118" i="14"/>
  <c r="I117" i="14"/>
  <c r="F117" i="14"/>
  <c r="I116" i="14"/>
  <c r="F116" i="14"/>
  <c r="I115" i="14"/>
  <c r="F115" i="14"/>
  <c r="I114" i="14"/>
  <c r="F114" i="14"/>
  <c r="I113" i="14"/>
  <c r="F113" i="14"/>
  <c r="I112" i="14"/>
  <c r="F112" i="14"/>
  <c r="I111" i="14"/>
  <c r="F111" i="14"/>
  <c r="I110" i="14"/>
  <c r="F110" i="14"/>
  <c r="I109" i="14"/>
  <c r="F109" i="14"/>
  <c r="I108" i="14"/>
  <c r="F108" i="14"/>
  <c r="I107" i="14"/>
  <c r="F107" i="14"/>
  <c r="I106" i="14"/>
  <c r="F106" i="14"/>
  <c r="I105" i="14"/>
  <c r="F105" i="14"/>
  <c r="I104" i="14"/>
  <c r="F104" i="14"/>
  <c r="I103" i="14"/>
  <c r="F103" i="14"/>
  <c r="I102" i="14"/>
  <c r="F102" i="14"/>
  <c r="I101" i="14"/>
  <c r="F101" i="14"/>
  <c r="I100" i="14"/>
  <c r="F100" i="14"/>
  <c r="I99" i="14"/>
  <c r="F99" i="14"/>
  <c r="I98" i="14"/>
  <c r="F98" i="14"/>
  <c r="I97" i="14"/>
  <c r="F97" i="14"/>
  <c r="I96" i="14"/>
  <c r="F96" i="14"/>
  <c r="I95" i="14"/>
  <c r="F95" i="14"/>
  <c r="I94" i="14"/>
  <c r="F94" i="14"/>
  <c r="I93" i="14"/>
  <c r="F93" i="14"/>
  <c r="I92" i="14"/>
  <c r="F92" i="14"/>
  <c r="I91" i="14"/>
  <c r="F91" i="14"/>
  <c r="I90" i="14"/>
  <c r="F90" i="14"/>
  <c r="I89" i="14"/>
  <c r="F89" i="14"/>
  <c r="I88" i="14"/>
  <c r="F88" i="14"/>
  <c r="I87" i="14"/>
  <c r="F87" i="14"/>
  <c r="I86" i="14"/>
  <c r="F86" i="14"/>
  <c r="I85" i="14"/>
  <c r="F85" i="14"/>
  <c r="I84" i="14"/>
  <c r="F84" i="14"/>
  <c r="I83" i="14"/>
  <c r="F83" i="14"/>
  <c r="I82" i="14"/>
  <c r="F82" i="14"/>
  <c r="I81" i="14"/>
  <c r="F81" i="14"/>
  <c r="I80" i="14"/>
  <c r="F80" i="14"/>
  <c r="I79" i="14"/>
  <c r="F79" i="14"/>
  <c r="I78" i="14"/>
  <c r="F78" i="14"/>
  <c r="I77" i="14"/>
  <c r="F77" i="14"/>
  <c r="I76" i="14"/>
  <c r="F76" i="14"/>
  <c r="I75" i="14"/>
  <c r="F75" i="14"/>
  <c r="I74" i="14"/>
  <c r="F74" i="14"/>
  <c r="I73" i="14"/>
  <c r="F73" i="14"/>
  <c r="I72" i="14"/>
  <c r="F72" i="14"/>
  <c r="I71" i="14"/>
  <c r="F71" i="14"/>
  <c r="I70" i="14"/>
  <c r="F70" i="14"/>
  <c r="I69" i="14"/>
  <c r="F69" i="14"/>
  <c r="I68" i="14"/>
  <c r="F68" i="14"/>
  <c r="I67" i="14"/>
  <c r="F67" i="14"/>
  <c r="I66" i="14"/>
  <c r="F66" i="14"/>
  <c r="I65" i="14"/>
  <c r="F65" i="14"/>
  <c r="I64" i="14"/>
  <c r="F64" i="14"/>
  <c r="I63" i="14"/>
  <c r="F63" i="14"/>
  <c r="I62" i="14"/>
  <c r="F62" i="14"/>
  <c r="I61" i="14"/>
  <c r="F61" i="14"/>
  <c r="I60" i="14"/>
  <c r="F60" i="14"/>
  <c r="I59" i="14"/>
  <c r="F59" i="14"/>
  <c r="I58" i="14"/>
  <c r="F58" i="14"/>
  <c r="I57" i="14"/>
  <c r="F57" i="14"/>
  <c r="I56" i="14"/>
  <c r="F56" i="14"/>
  <c r="I55" i="14"/>
  <c r="F55" i="14"/>
  <c r="I54" i="14"/>
  <c r="F54" i="14"/>
  <c r="I53" i="14"/>
  <c r="F53" i="14"/>
  <c r="I52" i="14"/>
  <c r="F52" i="14"/>
  <c r="I51" i="14"/>
  <c r="F51" i="14"/>
  <c r="I50" i="14"/>
  <c r="F50" i="14"/>
  <c r="I49" i="14"/>
  <c r="F49" i="14"/>
  <c r="I48" i="14"/>
  <c r="F48" i="14"/>
  <c r="I47" i="14"/>
  <c r="F47" i="14"/>
  <c r="I46" i="14"/>
  <c r="F46" i="14"/>
  <c r="I45" i="14"/>
  <c r="F45" i="14"/>
  <c r="I44" i="14"/>
  <c r="F44" i="14"/>
  <c r="I43" i="14"/>
  <c r="F43" i="14"/>
  <c r="I42" i="14"/>
  <c r="F42" i="14"/>
  <c r="I41" i="14"/>
  <c r="F41" i="14"/>
  <c r="I40" i="14"/>
  <c r="F40" i="14"/>
  <c r="I39" i="14"/>
  <c r="F39" i="14"/>
  <c r="I38" i="14"/>
  <c r="F38" i="14"/>
  <c r="I37" i="14"/>
  <c r="F37" i="14"/>
  <c r="F35" i="14"/>
  <c r="E35" i="14"/>
  <c r="H34" i="14"/>
  <c r="G34" i="14"/>
  <c r="E34" i="14"/>
  <c r="D34" i="14"/>
  <c r="I32" i="14"/>
  <c r="F32" i="14"/>
  <c r="I31" i="14"/>
  <c r="F31" i="14"/>
  <c r="I30" i="14"/>
  <c r="F30" i="14"/>
  <c r="I29" i="14"/>
  <c r="F29" i="14"/>
  <c r="I28" i="14"/>
  <c r="F28" i="14"/>
  <c r="I27" i="14"/>
  <c r="F27" i="14"/>
  <c r="I26" i="14"/>
  <c r="F26" i="14"/>
  <c r="I25" i="14"/>
  <c r="F25" i="14"/>
  <c r="I24" i="14"/>
  <c r="F24" i="14"/>
  <c r="I23" i="14"/>
  <c r="F23" i="14"/>
  <c r="I21" i="14"/>
  <c r="F21" i="14"/>
  <c r="Q234" i="9" s="1"/>
  <c r="K14" i="14"/>
  <c r="I8" i="14"/>
  <c r="A8" i="14"/>
  <c r="L35" i="14" l="1"/>
  <c r="Q329" i="15"/>
  <c r="S546" i="15"/>
  <c r="U587" i="15" s="1"/>
  <c r="S488" i="15"/>
  <c r="T488" i="15"/>
  <c r="S494" i="15"/>
  <c r="T494" i="15"/>
  <c r="Q496" i="15"/>
  <c r="O63" i="15"/>
  <c r="T329" i="15"/>
  <c r="O329" i="15"/>
  <c r="S329" i="15"/>
  <c r="S466" i="15"/>
  <c r="K71" i="15"/>
  <c r="S56" i="15"/>
  <c r="R71" i="15"/>
  <c r="O56" i="15"/>
  <c r="J69" i="15"/>
  <c r="O52" i="15"/>
  <c r="N71" i="15"/>
  <c r="M480" i="15"/>
  <c r="T32" i="15"/>
  <c r="O33" i="15"/>
  <c r="S33" i="15"/>
  <c r="T30" i="15"/>
  <c r="T31" i="15"/>
  <c r="T17" i="15"/>
  <c r="T25" i="15" s="1"/>
  <c r="O25" i="15"/>
  <c r="Q38" i="15"/>
  <c r="T37" i="15"/>
  <c r="Q56" i="15"/>
  <c r="J33" i="15"/>
  <c r="M71" i="15"/>
  <c r="O333" i="9" s="1"/>
  <c r="Q33" i="15"/>
  <c r="S527" i="15" s="1"/>
  <c r="O38" i="15"/>
  <c r="J56" i="15"/>
  <c r="S400" i="15"/>
  <c r="J400" i="15"/>
  <c r="Q432" i="15"/>
  <c r="S558" i="15" s="1"/>
  <c r="U599" i="15" s="1"/>
  <c r="O432" i="15"/>
  <c r="J442" i="15"/>
  <c r="K480" i="15"/>
  <c r="O372" i="15"/>
  <c r="S38" i="15"/>
  <c r="Q52" i="15"/>
  <c r="S530" i="15" s="1"/>
  <c r="U571" i="15" s="1"/>
  <c r="Q356" i="15"/>
  <c r="S555" i="15" s="1"/>
  <c r="U596" i="15" s="1"/>
  <c r="Q372" i="15"/>
  <c r="S556" i="15" s="1"/>
  <c r="U597" i="15" s="1"/>
  <c r="J372" i="15"/>
  <c r="O400" i="15"/>
  <c r="J432" i="15"/>
  <c r="S562" i="15"/>
  <c r="U603" i="15" s="1"/>
  <c r="R480" i="15"/>
  <c r="J356" i="15"/>
  <c r="Q466" i="15"/>
  <c r="S561" i="15" s="1"/>
  <c r="U602" i="15" s="1"/>
  <c r="J478" i="15"/>
  <c r="N480" i="15"/>
  <c r="X240" i="9"/>
  <c r="Q240" i="9"/>
  <c r="I204" i="14"/>
  <c r="X238" i="9" s="1"/>
  <c r="I197" i="14"/>
  <c r="X237" i="9" s="1"/>
  <c r="F184" i="14"/>
  <c r="I184" i="14"/>
  <c r="X236" i="9" s="1"/>
  <c r="F34" i="14"/>
  <c r="K34" i="14" s="1"/>
  <c r="K21" i="14"/>
  <c r="F290" i="14"/>
  <c r="F197" i="14"/>
  <c r="K199" i="14" s="1"/>
  <c r="F204" i="14"/>
  <c r="Q238" i="9" s="1"/>
  <c r="I34" i="14"/>
  <c r="X235" i="9" s="1"/>
  <c r="I290" i="14"/>
  <c r="X239" i="9" s="1"/>
  <c r="F309" i="14"/>
  <c r="N523" i="15" l="1"/>
  <c r="R523" i="15"/>
  <c r="S532" i="15"/>
  <c r="U573" i="15" s="1"/>
  <c r="S528" i="15"/>
  <c r="U569" i="15" s="1"/>
  <c r="M523" i="15"/>
  <c r="M527" i="15" s="1"/>
  <c r="U568" i="15"/>
  <c r="X249" i="9"/>
  <c r="O336" i="9"/>
  <c r="T69" i="15"/>
  <c r="S496" i="15"/>
  <c r="T466" i="15"/>
  <c r="T496" i="15"/>
  <c r="T56" i="15"/>
  <c r="T400" i="15"/>
  <c r="Q400" i="15"/>
  <c r="S557" i="15" s="1"/>
  <c r="U598" i="15" s="1"/>
  <c r="Q69" i="15"/>
  <c r="S534" i="15" s="1"/>
  <c r="U575" i="15" s="1"/>
  <c r="O71" i="15"/>
  <c r="S69" i="15"/>
  <c r="Q442" i="15"/>
  <c r="S559" i="15" s="1"/>
  <c r="U600" i="15" s="1"/>
  <c r="T33" i="15"/>
  <c r="S529" i="15"/>
  <c r="S478" i="15"/>
  <c r="T478" i="15"/>
  <c r="J71" i="15"/>
  <c r="J480" i="15"/>
  <c r="Q457" i="15"/>
  <c r="S560" i="15" s="1"/>
  <c r="U601" i="15" s="1"/>
  <c r="S52" i="15"/>
  <c r="T52" i="15"/>
  <c r="T442" i="15"/>
  <c r="S356" i="15"/>
  <c r="Q63" i="15"/>
  <c r="S533" i="15" s="1"/>
  <c r="U574" i="15" s="1"/>
  <c r="O480" i="15"/>
  <c r="T35" i="15"/>
  <c r="T38" i="15" s="1"/>
  <c r="S457" i="15"/>
  <c r="T457" i="15"/>
  <c r="T372" i="15"/>
  <c r="S372" i="15"/>
  <c r="T356" i="15"/>
  <c r="T432" i="15"/>
  <c r="S432" i="15"/>
  <c r="S442" i="15"/>
  <c r="Q237" i="9"/>
  <c r="K303" i="14"/>
  <c r="Q239" i="9"/>
  <c r="K185" i="14"/>
  <c r="Q236" i="9"/>
  <c r="Q235" i="9"/>
  <c r="I310" i="14"/>
  <c r="Q249" i="9" l="1"/>
  <c r="F19" i="32" s="1"/>
  <c r="H19" i="32" s="1"/>
  <c r="O523" i="15"/>
  <c r="V531" i="15"/>
  <c r="U570" i="15"/>
  <c r="S611" i="15" s="1"/>
  <c r="S610" i="15"/>
  <c r="S613" i="15" s="1"/>
  <c r="Q480" i="15"/>
  <c r="Q71" i="15"/>
  <c r="S480" i="15"/>
  <c r="S63" i="15"/>
  <c r="T63" i="15"/>
  <c r="T480" i="15"/>
  <c r="K310" i="14"/>
  <c r="L19" i="32" l="1"/>
  <c r="M19" i="32"/>
  <c r="Q523" i="15"/>
  <c r="S612" i="15"/>
  <c r="U480" i="15"/>
  <c r="V480" i="15" s="1"/>
  <c r="S71" i="15"/>
  <c r="S523" i="15" s="1"/>
  <c r="T71" i="15"/>
  <c r="T523" i="15" s="1"/>
  <c r="S614" i="15" l="1"/>
  <c r="S615" i="15" s="1"/>
  <c r="Q525" i="15"/>
  <c r="V525" i="15" s="1"/>
  <c r="D167" i="13"/>
  <c r="D166" i="13"/>
  <c r="D145" i="13"/>
  <c r="E139" i="13"/>
  <c r="K130" i="13"/>
  <c r="K128" i="13"/>
  <c r="K127" i="13"/>
  <c r="K126" i="13"/>
  <c r="K124" i="13"/>
  <c r="K123" i="13"/>
  <c r="K122" i="13"/>
  <c r="K121" i="13"/>
  <c r="K120" i="13"/>
  <c r="K119" i="13"/>
  <c r="K118" i="13"/>
  <c r="K117" i="13"/>
  <c r="K116" i="13"/>
  <c r="E117" i="13"/>
  <c r="F110" i="13"/>
  <c r="E106" i="13"/>
  <c r="K85" i="13" s="1"/>
  <c r="D106" i="13"/>
  <c r="K96" i="13"/>
  <c r="K100" i="13" s="1"/>
  <c r="K92" i="13"/>
  <c r="E85" i="13"/>
  <c r="D85" i="13"/>
  <c r="Q216" i="9" s="1"/>
  <c r="E80" i="13"/>
  <c r="D80" i="13"/>
  <c r="Q215" i="9" s="1"/>
  <c r="H69" i="13"/>
  <c r="H66" i="13"/>
  <c r="E73" i="13"/>
  <c r="D73" i="13"/>
  <c r="Q214" i="9" s="1"/>
  <c r="H65" i="13"/>
  <c r="G61" i="13"/>
  <c r="I58" i="13"/>
  <c r="H58" i="13"/>
  <c r="G58" i="13"/>
  <c r="E64" i="13"/>
  <c r="D64" i="13"/>
  <c r="Q213" i="9" s="1"/>
  <c r="E55" i="13"/>
  <c r="D55" i="13"/>
  <c r="F8" i="13"/>
  <c r="A8" i="13"/>
  <c r="A2" i="12"/>
  <c r="K230" i="12"/>
  <c r="K229" i="12"/>
  <c r="K228" i="12"/>
  <c r="K227" i="12"/>
  <c r="K226" i="12"/>
  <c r="K223" i="12"/>
  <c r="K222" i="12"/>
  <c r="K221" i="12"/>
  <c r="K220" i="12"/>
  <c r="K219" i="12"/>
  <c r="K214" i="12"/>
  <c r="K213" i="12"/>
  <c r="K212" i="12"/>
  <c r="K211" i="12"/>
  <c r="K210" i="12"/>
  <c r="K209" i="12"/>
  <c r="K208" i="12"/>
  <c r="K207" i="12"/>
  <c r="K206" i="12"/>
  <c r="K205" i="12"/>
  <c r="K204" i="12"/>
  <c r="K203" i="12"/>
  <c r="K202" i="12"/>
  <c r="K201" i="12"/>
  <c r="K200" i="12"/>
  <c r="K199" i="12"/>
  <c r="K198" i="12"/>
  <c r="K197" i="12"/>
  <c r="K196" i="12"/>
  <c r="K195" i="12"/>
  <c r="K189" i="12"/>
  <c r="K188" i="12"/>
  <c r="K187" i="12"/>
  <c r="K186" i="12"/>
  <c r="K185" i="12"/>
  <c r="K182" i="12"/>
  <c r="K181" i="12"/>
  <c r="K180" i="12"/>
  <c r="K179" i="12"/>
  <c r="K178" i="12"/>
  <c r="K171" i="12"/>
  <c r="K165" i="12"/>
  <c r="K160" i="12"/>
  <c r="K159" i="12"/>
  <c r="K158" i="12"/>
  <c r="K157" i="12"/>
  <c r="K156" i="12"/>
  <c r="K155" i="12"/>
  <c r="K154" i="12"/>
  <c r="K153" i="12"/>
  <c r="K121" i="12"/>
  <c r="K120" i="12"/>
  <c r="K119" i="12"/>
  <c r="K118" i="12"/>
  <c r="K117" i="12"/>
  <c r="K116" i="12"/>
  <c r="K115" i="12"/>
  <c r="K114" i="12"/>
  <c r="K113" i="12"/>
  <c r="K112" i="12"/>
  <c r="K111" i="12"/>
  <c r="K110" i="12"/>
  <c r="K109" i="12"/>
  <c r="K108" i="12"/>
  <c r="K105" i="12"/>
  <c r="K104" i="12"/>
  <c r="K103" i="12"/>
  <c r="K102" i="12"/>
  <c r="K101" i="12"/>
  <c r="K100" i="12"/>
  <c r="K99" i="12"/>
  <c r="K98" i="12"/>
  <c r="K97" i="12"/>
  <c r="K96" i="12"/>
  <c r="K95" i="12"/>
  <c r="K94" i="12"/>
  <c r="K93" i="12"/>
  <c r="K92" i="12"/>
  <c r="K91" i="12"/>
  <c r="K90" i="12"/>
  <c r="K89" i="12"/>
  <c r="K88" i="12"/>
  <c r="K87" i="12"/>
  <c r="K86" i="12"/>
  <c r="K80" i="12"/>
  <c r="K79" i="12"/>
  <c r="K78" i="12"/>
  <c r="K77" i="12"/>
  <c r="K76" i="12"/>
  <c r="K75" i="12"/>
  <c r="K74" i="12"/>
  <c r="K73" i="12"/>
  <c r="K72" i="12"/>
  <c r="K71" i="12"/>
  <c r="K70" i="12"/>
  <c r="K69" i="12"/>
  <c r="K68" i="12"/>
  <c r="K67" i="12"/>
  <c r="K66" i="12"/>
  <c r="K65" i="12"/>
  <c r="K56" i="12"/>
  <c r="K55" i="12"/>
  <c r="K54" i="12"/>
  <c r="K53" i="12"/>
  <c r="K52" i="12"/>
  <c r="K51" i="12"/>
  <c r="K50" i="12"/>
  <c r="K49" i="12"/>
  <c r="K48" i="12"/>
  <c r="K47" i="12"/>
  <c r="K46" i="12"/>
  <c r="K45" i="12"/>
  <c r="K44" i="12"/>
  <c r="K43" i="12"/>
  <c r="K42" i="12"/>
  <c r="K41" i="12"/>
  <c r="K40" i="12"/>
  <c r="K39" i="12"/>
  <c r="K36" i="12"/>
  <c r="K35" i="12"/>
  <c r="K34" i="12"/>
  <c r="K33" i="12"/>
  <c r="K32" i="12"/>
  <c r="K31" i="12"/>
  <c r="K30" i="12"/>
  <c r="K29" i="12"/>
  <c r="K28" i="12"/>
  <c r="K27" i="12"/>
  <c r="K26" i="12"/>
  <c r="K25" i="12"/>
  <c r="K24" i="12"/>
  <c r="K23" i="12"/>
  <c r="K22" i="12"/>
  <c r="K21" i="12"/>
  <c r="K20" i="12"/>
  <c r="K19" i="12"/>
  <c r="K18" i="12"/>
  <c r="K17" i="12"/>
  <c r="Q146" i="9"/>
  <c r="Q145" i="9"/>
  <c r="Q148" i="9"/>
  <c r="Q147" i="9"/>
  <c r="K172" i="12" l="1"/>
  <c r="K183" i="12"/>
  <c r="K37" i="12"/>
  <c r="K59" i="12"/>
  <c r="K161" i="12"/>
  <c r="K190" i="12"/>
  <c r="K216" i="12"/>
  <c r="Q165" i="9" s="1"/>
  <c r="K224" i="12"/>
  <c r="K81" i="12"/>
  <c r="K106" i="12"/>
  <c r="K133" i="12"/>
  <c r="K231" i="12"/>
  <c r="D169" i="13"/>
  <c r="D139" i="13"/>
  <c r="D117" i="13"/>
  <c r="F116" i="13"/>
  <c r="K113" i="13"/>
  <c r="E141" i="13"/>
  <c r="K129" i="13"/>
  <c r="K112" i="13"/>
  <c r="E57" i="13"/>
  <c r="Q212" i="9"/>
  <c r="K192" i="12" l="1"/>
  <c r="Q164" i="9" s="1"/>
  <c r="K233" i="12"/>
  <c r="K162" i="12"/>
  <c r="K82" i="12"/>
  <c r="E143" i="13"/>
  <c r="E145" i="13" s="1"/>
  <c r="D141" i="13"/>
  <c r="K173" i="12" l="1"/>
  <c r="K236" i="12" s="1"/>
  <c r="K240" i="12" s="1"/>
  <c r="Q217" i="9"/>
  <c r="D143" i="13"/>
  <c r="Q163" i="9" l="1"/>
  <c r="A1" i="10"/>
  <c r="AE881" i="9" l="1"/>
  <c r="AQ880" i="9"/>
  <c r="C880" i="9"/>
  <c r="AQ879" i="9"/>
  <c r="C879" i="9"/>
  <c r="AQ878" i="9"/>
  <c r="C878" i="9"/>
  <c r="AQ877" i="9"/>
  <c r="C877" i="9"/>
  <c r="AQ876" i="9"/>
  <c r="C876" i="9"/>
  <c r="AQ875" i="9"/>
  <c r="C875" i="9"/>
  <c r="AQ874" i="9"/>
  <c r="C874" i="9"/>
  <c r="AQ873" i="9"/>
  <c r="C873" i="9"/>
  <c r="AQ872" i="9"/>
  <c r="C872" i="9"/>
  <c r="AQ871" i="9"/>
  <c r="C871" i="9"/>
  <c r="AQ870" i="9"/>
  <c r="C870" i="9"/>
  <c r="AQ869" i="9"/>
  <c r="C869" i="9"/>
  <c r="AQ868" i="9"/>
  <c r="C868" i="9"/>
  <c r="AQ867" i="9"/>
  <c r="C867" i="9"/>
  <c r="AQ866" i="9"/>
  <c r="C866" i="9"/>
  <c r="AQ865" i="9"/>
  <c r="C865" i="9"/>
  <c r="AQ864" i="9"/>
  <c r="C864" i="9"/>
  <c r="AQ863" i="9"/>
  <c r="C863" i="9"/>
  <c r="AQ862" i="9"/>
  <c r="C862" i="9"/>
  <c r="AQ861" i="9"/>
  <c r="C861" i="9"/>
  <c r="AC859" i="9"/>
  <c r="AB859" i="9"/>
  <c r="AA859" i="9"/>
  <c r="Z859" i="9"/>
  <c r="Y859" i="9"/>
  <c r="V859" i="9"/>
  <c r="U859" i="9"/>
  <c r="T859" i="9"/>
  <c r="S859" i="9"/>
  <c r="R859" i="9"/>
  <c r="AC858" i="9"/>
  <c r="AB858" i="9"/>
  <c r="AA858" i="9"/>
  <c r="Z858" i="9"/>
  <c r="Y858" i="9"/>
  <c r="V858" i="9"/>
  <c r="U858" i="9"/>
  <c r="T858" i="9"/>
  <c r="S858" i="9"/>
  <c r="R858" i="9"/>
  <c r="X853" i="9"/>
  <c r="AC781" i="9"/>
  <c r="I782" i="9"/>
  <c r="N834" i="9"/>
  <c r="I834" i="9"/>
  <c r="I775" i="9"/>
  <c r="S829" i="9"/>
  <c r="N829" i="9"/>
  <c r="I829" i="9"/>
  <c r="I771" i="9"/>
  <c r="I770" i="9"/>
  <c r="I769" i="9"/>
  <c r="I768" i="9"/>
  <c r="N823" i="9"/>
  <c r="I823" i="9"/>
  <c r="X822" i="9"/>
  <c r="I765" i="9" s="1"/>
  <c r="X764" i="9"/>
  <c r="X820" i="9"/>
  <c r="I763" i="9" s="1"/>
  <c r="X813" i="9"/>
  <c r="X809" i="9"/>
  <c r="N777" i="9"/>
  <c r="N772" i="9"/>
  <c r="AQ752" i="9"/>
  <c r="X751" i="9"/>
  <c r="O740" i="9"/>
  <c r="O744" i="9" s="1"/>
  <c r="U732" i="9"/>
  <c r="O736" i="9"/>
  <c r="AA731" i="9"/>
  <c r="AA730" i="9"/>
  <c r="AA729" i="9"/>
  <c r="O636" i="9" s="1"/>
  <c r="AA636" i="9" s="1"/>
  <c r="AA728" i="9"/>
  <c r="O635" i="9" s="1"/>
  <c r="AA635" i="9" s="1"/>
  <c r="AA727" i="9"/>
  <c r="O634" i="9" s="1"/>
  <c r="AA634" i="9" s="1"/>
  <c r="AA726" i="9"/>
  <c r="O633" i="9" s="1"/>
  <c r="AA633" i="9" s="1"/>
  <c r="AA725" i="9"/>
  <c r="O632" i="9" s="1"/>
  <c r="AA632" i="9" s="1"/>
  <c r="AA724" i="9"/>
  <c r="O631" i="9" s="1"/>
  <c r="AA631" i="9" s="1"/>
  <c r="AA723" i="9"/>
  <c r="AA717" i="9"/>
  <c r="AA716" i="9"/>
  <c r="O618" i="9"/>
  <c r="AA618" i="9" s="1"/>
  <c r="U718" i="9"/>
  <c r="U720" i="9" s="1"/>
  <c r="O718" i="9"/>
  <c r="O720" i="9" s="1"/>
  <c r="AA708" i="9"/>
  <c r="AA711" i="9" s="1"/>
  <c r="AA705" i="9"/>
  <c r="O700" i="9"/>
  <c r="O702" i="9" s="1"/>
  <c r="AA697" i="9"/>
  <c r="O602" i="9" s="1"/>
  <c r="U695" i="9"/>
  <c r="AA694" i="9"/>
  <c r="O599" i="9" s="1"/>
  <c r="AA693" i="9"/>
  <c r="O598" i="9" s="1"/>
  <c r="AF690" i="9"/>
  <c r="AE690" i="9"/>
  <c r="AD690" i="9"/>
  <c r="AC690" i="9"/>
  <c r="AB690" i="9"/>
  <c r="AF689" i="9"/>
  <c r="AE689" i="9"/>
  <c r="AD689" i="9"/>
  <c r="AC689" i="9"/>
  <c r="AB689" i="9"/>
  <c r="X684" i="9"/>
  <c r="AA654" i="9"/>
  <c r="U638" i="9"/>
  <c r="AA637" i="9"/>
  <c r="AA621" i="9"/>
  <c r="AA620" i="9"/>
  <c r="AS598" i="9"/>
  <c r="AF595" i="9"/>
  <c r="AE595" i="9"/>
  <c r="AD595" i="9"/>
  <c r="AC595" i="9"/>
  <c r="AB595" i="9"/>
  <c r="T595" i="9"/>
  <c r="S595" i="9"/>
  <c r="R595" i="9"/>
  <c r="Q595" i="9"/>
  <c r="P595" i="9"/>
  <c r="AF594" i="9"/>
  <c r="AE594" i="9"/>
  <c r="AD594" i="9"/>
  <c r="AC594" i="9"/>
  <c r="AB594" i="9"/>
  <c r="T594" i="9"/>
  <c r="S594" i="9"/>
  <c r="R594" i="9"/>
  <c r="Q594" i="9"/>
  <c r="P594" i="9"/>
  <c r="AQ589" i="9"/>
  <c r="X586" i="9"/>
  <c r="Z577" i="9"/>
  <c r="D577" i="9"/>
  <c r="AZ576" i="9"/>
  <c r="AY576" i="9"/>
  <c r="X576" i="9"/>
  <c r="X572" i="9"/>
  <c r="G53" i="5" s="1"/>
  <c r="Q572" i="9"/>
  <c r="X560" i="9"/>
  <c r="X555" i="9"/>
  <c r="G52" i="5" s="1"/>
  <c r="AV551" i="9"/>
  <c r="AC547" i="9"/>
  <c r="AB547" i="9"/>
  <c r="AA547" i="9"/>
  <c r="Z547" i="9"/>
  <c r="Y547" i="9"/>
  <c r="V547" i="9"/>
  <c r="U547" i="9"/>
  <c r="T547" i="9"/>
  <c r="S547" i="9"/>
  <c r="R547" i="9"/>
  <c r="AC546" i="9"/>
  <c r="AB546" i="9"/>
  <c r="AA546" i="9"/>
  <c r="Z546" i="9"/>
  <c r="Y546" i="9"/>
  <c r="V546" i="9"/>
  <c r="U546" i="9"/>
  <c r="T546" i="9"/>
  <c r="S546" i="9"/>
  <c r="R546" i="9"/>
  <c r="X543" i="9"/>
  <c r="X540" i="9"/>
  <c r="G51" i="5" s="1"/>
  <c r="Q540" i="9"/>
  <c r="X531" i="9"/>
  <c r="X515" i="9"/>
  <c r="X498" i="9"/>
  <c r="Q498" i="9"/>
  <c r="X488" i="9"/>
  <c r="G45" i="5" s="1"/>
  <c r="Q488" i="9"/>
  <c r="E45" i="5" s="1"/>
  <c r="AC482" i="9"/>
  <c r="AB482" i="9"/>
  <c r="AA482" i="9"/>
  <c r="Z482" i="9"/>
  <c r="Y482" i="9"/>
  <c r="V482" i="9"/>
  <c r="U482" i="9"/>
  <c r="T482" i="9"/>
  <c r="S482" i="9"/>
  <c r="R482" i="9"/>
  <c r="AC481" i="9"/>
  <c r="AB481" i="9"/>
  <c r="AA481" i="9"/>
  <c r="Z481" i="9"/>
  <c r="Y481" i="9"/>
  <c r="V481" i="9"/>
  <c r="U481" i="9"/>
  <c r="T481" i="9"/>
  <c r="S481" i="9"/>
  <c r="R481" i="9"/>
  <c r="X478" i="9"/>
  <c r="X472" i="9"/>
  <c r="G42" i="5" s="1"/>
  <c r="Q472" i="9"/>
  <c r="E42" i="5" s="1"/>
  <c r="X464" i="9"/>
  <c r="G41" i="5" s="1"/>
  <c r="Q459" i="9"/>
  <c r="Q464" i="9" s="1"/>
  <c r="E41" i="5" s="1"/>
  <c r="X453" i="9"/>
  <c r="Q453" i="9"/>
  <c r="X448" i="9"/>
  <c r="G40" i="5" s="1"/>
  <c r="Q448" i="9"/>
  <c r="X437" i="9"/>
  <c r="X432" i="9"/>
  <c r="Q432" i="9"/>
  <c r="X428" i="9"/>
  <c r="Q428" i="9"/>
  <c r="AS426" i="9"/>
  <c r="X422" i="9"/>
  <c r="Q422" i="9"/>
  <c r="X415" i="9"/>
  <c r="AF393" i="9"/>
  <c r="I357" i="9" s="1"/>
  <c r="Z392" i="9"/>
  <c r="Z394" i="9" s="1"/>
  <c r="U392" i="9"/>
  <c r="U394" i="9" s="1"/>
  <c r="O392" i="9"/>
  <c r="O394" i="9" s="1"/>
  <c r="I392" i="9"/>
  <c r="I394" i="9" s="1"/>
  <c r="AF391" i="9"/>
  <c r="AF390" i="9"/>
  <c r="I354" i="9" s="1"/>
  <c r="AS390" i="9" s="1"/>
  <c r="AF389" i="9"/>
  <c r="AS389" i="9" s="1"/>
  <c r="AF388" i="9"/>
  <c r="AF387" i="9"/>
  <c r="AF386" i="9"/>
  <c r="AF385" i="9"/>
  <c r="Z380" i="9"/>
  <c r="U380" i="9"/>
  <c r="O380" i="9"/>
  <c r="I380" i="9"/>
  <c r="AF379" i="9"/>
  <c r="I344" i="9" s="1"/>
  <c r="AF344" i="9" s="1"/>
  <c r="AF378" i="9"/>
  <c r="I343" i="9" s="1"/>
  <c r="AF376" i="9"/>
  <c r="I341" i="9" s="1"/>
  <c r="AF341" i="9" s="1"/>
  <c r="Z375" i="9"/>
  <c r="U375" i="9"/>
  <c r="O375" i="9"/>
  <c r="AF374" i="9"/>
  <c r="I339" i="9" s="1"/>
  <c r="AF373" i="9"/>
  <c r="I338" i="9" s="1"/>
  <c r="AF372" i="9"/>
  <c r="I337" i="9" s="1"/>
  <c r="AF371" i="9"/>
  <c r="I336" i="9" s="1"/>
  <c r="AF370" i="9"/>
  <c r="I335" i="9" s="1"/>
  <c r="AF369" i="9"/>
  <c r="I334" i="9" s="1"/>
  <c r="AF368" i="9"/>
  <c r="I333" i="9" s="1"/>
  <c r="AK365" i="9"/>
  <c r="AJ365" i="9"/>
  <c r="AI365" i="9"/>
  <c r="AH365" i="9"/>
  <c r="AG365" i="9"/>
  <c r="AK364" i="9"/>
  <c r="AJ364" i="9"/>
  <c r="AI364" i="9"/>
  <c r="AH364" i="9"/>
  <c r="AG364" i="9"/>
  <c r="X362" i="9"/>
  <c r="Z356" i="9"/>
  <c r="Z358" i="9" s="1"/>
  <c r="U355" i="9"/>
  <c r="U354" i="9"/>
  <c r="U353" i="9"/>
  <c r="U352" i="9"/>
  <c r="U351" i="9"/>
  <c r="U350" i="9"/>
  <c r="U349" i="9"/>
  <c r="Z345" i="9"/>
  <c r="O345" i="9"/>
  <c r="U345" i="9"/>
  <c r="Z340" i="9"/>
  <c r="AK330" i="9"/>
  <c r="AJ330" i="9"/>
  <c r="AI330" i="9"/>
  <c r="AH330" i="9"/>
  <c r="AG330" i="9"/>
  <c r="N330" i="9"/>
  <c r="M330" i="9"/>
  <c r="L330" i="9"/>
  <c r="K330" i="9"/>
  <c r="J330" i="9"/>
  <c r="AK329" i="9"/>
  <c r="AJ329" i="9"/>
  <c r="AI329" i="9"/>
  <c r="AH329" i="9"/>
  <c r="AG329" i="9"/>
  <c r="N329" i="9"/>
  <c r="M329" i="9"/>
  <c r="L329" i="9"/>
  <c r="K329" i="9"/>
  <c r="J329" i="9"/>
  <c r="X324" i="9"/>
  <c r="G23" i="5"/>
  <c r="E23" i="5"/>
  <c r="AC318" i="9"/>
  <c r="AB318" i="9"/>
  <c r="AA318" i="9"/>
  <c r="Z318" i="9"/>
  <c r="Y318" i="9"/>
  <c r="V318" i="9"/>
  <c r="U318" i="9"/>
  <c r="T318" i="9"/>
  <c r="S318" i="9"/>
  <c r="R318" i="9"/>
  <c r="AC317" i="9"/>
  <c r="AB317" i="9"/>
  <c r="AA317" i="9"/>
  <c r="Z317" i="9"/>
  <c r="Y317" i="9"/>
  <c r="V317" i="9"/>
  <c r="U317" i="9"/>
  <c r="T317" i="9"/>
  <c r="S317" i="9"/>
  <c r="R317" i="9"/>
  <c r="X314" i="9"/>
  <c r="X306" i="9"/>
  <c r="Q304" i="9"/>
  <c r="Q306" i="9" s="1"/>
  <c r="X302" i="9"/>
  <c r="Q302" i="9"/>
  <c r="AT300" i="9"/>
  <c r="X289" i="9"/>
  <c r="Q289" i="9"/>
  <c r="X286" i="9"/>
  <c r="Q286" i="9"/>
  <c r="AC280" i="9"/>
  <c r="AB280" i="9"/>
  <c r="AA280" i="9"/>
  <c r="Z280" i="9"/>
  <c r="Y280" i="9"/>
  <c r="V280" i="9"/>
  <c r="U280" i="9"/>
  <c r="T280" i="9"/>
  <c r="S280" i="9"/>
  <c r="R280" i="9"/>
  <c r="AC279" i="9"/>
  <c r="AB279" i="9"/>
  <c r="AA279" i="9"/>
  <c r="Z279" i="9"/>
  <c r="Y279" i="9"/>
  <c r="V279" i="9"/>
  <c r="U279" i="9"/>
  <c r="T279" i="9"/>
  <c r="S279" i="9"/>
  <c r="R279" i="9"/>
  <c r="X276" i="9"/>
  <c r="AT275" i="9"/>
  <c r="X264" i="9"/>
  <c r="G21" i="5" s="1"/>
  <c r="Q262" i="9"/>
  <c r="Q261" i="9"/>
  <c r="Q260" i="9"/>
  <c r="X254" i="9"/>
  <c r="Q247" i="9"/>
  <c r="G20" i="5"/>
  <c r="E20" i="5"/>
  <c r="D167" i="11" s="1"/>
  <c r="E167" i="11" s="1"/>
  <c r="AC232" i="9"/>
  <c r="AB232" i="9"/>
  <c r="AA232" i="9"/>
  <c r="Z232" i="9"/>
  <c r="Y232" i="9"/>
  <c r="V232" i="9"/>
  <c r="U232" i="9"/>
  <c r="T232" i="9"/>
  <c r="S232" i="9"/>
  <c r="R232" i="9"/>
  <c r="AC231" i="9"/>
  <c r="AB231" i="9"/>
  <c r="AA231" i="9"/>
  <c r="Z231" i="9"/>
  <c r="Y231" i="9"/>
  <c r="V231" i="9"/>
  <c r="U231" i="9"/>
  <c r="T231" i="9"/>
  <c r="S231" i="9"/>
  <c r="R231" i="9"/>
  <c r="X228" i="9"/>
  <c r="AY214" i="9"/>
  <c r="AC210" i="9"/>
  <c r="AB210" i="9"/>
  <c r="AA210" i="9"/>
  <c r="Z210" i="9"/>
  <c r="Y210" i="9"/>
  <c r="V210" i="9"/>
  <c r="U210" i="9"/>
  <c r="T210" i="9"/>
  <c r="S210" i="9"/>
  <c r="R210" i="9"/>
  <c r="AC209" i="9"/>
  <c r="AB209" i="9"/>
  <c r="AA209" i="9"/>
  <c r="Z209" i="9"/>
  <c r="Y209" i="9"/>
  <c r="V209" i="9"/>
  <c r="U209" i="9"/>
  <c r="T209" i="9"/>
  <c r="S209" i="9"/>
  <c r="R209" i="9"/>
  <c r="X206" i="9"/>
  <c r="X198" i="9"/>
  <c r="Q198" i="9"/>
  <c r="X194" i="9"/>
  <c r="Q194" i="9"/>
  <c r="X181" i="9"/>
  <c r="X184" i="9" s="1"/>
  <c r="G16" i="5" s="1"/>
  <c r="Q181" i="9"/>
  <c r="Q184" i="9" s="1"/>
  <c r="E16" i="5" s="1"/>
  <c r="X176" i="9"/>
  <c r="X170" i="9"/>
  <c r="G15" i="5" s="1"/>
  <c r="AT166" i="9"/>
  <c r="AT165" i="9"/>
  <c r="Q167" i="9"/>
  <c r="Q170" i="9" s="1"/>
  <c r="E15" i="5" s="1"/>
  <c r="AC160" i="9"/>
  <c r="AB160" i="9"/>
  <c r="AA160" i="9"/>
  <c r="Z160" i="9"/>
  <c r="Y160" i="9"/>
  <c r="AC159" i="9"/>
  <c r="AB159" i="9"/>
  <c r="AA159" i="9"/>
  <c r="Z159" i="9"/>
  <c r="Y159" i="9"/>
  <c r="V159" i="9"/>
  <c r="U159" i="9"/>
  <c r="T159" i="9"/>
  <c r="S159" i="9"/>
  <c r="R159" i="9"/>
  <c r="X156" i="9"/>
  <c r="X150" i="9"/>
  <c r="Q150" i="9"/>
  <c r="F16" i="32" s="1"/>
  <c r="X138" i="9"/>
  <c r="Q137" i="9"/>
  <c r="AC125" i="9"/>
  <c r="AB125" i="9"/>
  <c r="AA125" i="9"/>
  <c r="Z125" i="9"/>
  <c r="Y125" i="9"/>
  <c r="V125" i="9"/>
  <c r="U125" i="9"/>
  <c r="T125" i="9"/>
  <c r="S125" i="9"/>
  <c r="R125" i="9"/>
  <c r="AC124" i="9"/>
  <c r="AB124" i="9"/>
  <c r="AA124" i="9"/>
  <c r="Z124" i="9"/>
  <c r="Y124" i="9"/>
  <c r="V124" i="9"/>
  <c r="U124" i="9"/>
  <c r="T124" i="9"/>
  <c r="S124" i="9"/>
  <c r="R124" i="9"/>
  <c r="X121" i="9"/>
  <c r="Y16" i="9"/>
  <c r="Y15" i="9"/>
  <c r="X12" i="9"/>
  <c r="AQ8" i="9"/>
  <c r="B63" i="8"/>
  <c r="E43" i="8"/>
  <c r="E49" i="8" s="1"/>
  <c r="G42" i="8"/>
  <c r="G41" i="8"/>
  <c r="G36" i="8"/>
  <c r="G35" i="8"/>
  <c r="G34" i="8"/>
  <c r="E38" i="8"/>
  <c r="G27" i="8"/>
  <c r="G26" i="8"/>
  <c r="N25" i="8"/>
  <c r="N24" i="8"/>
  <c r="N23" i="8"/>
  <c r="E28" i="8"/>
  <c r="N20" i="8"/>
  <c r="G20" i="8"/>
  <c r="G19" i="8"/>
  <c r="N18" i="8"/>
  <c r="G18" i="8"/>
  <c r="G16" i="8"/>
  <c r="J9" i="8"/>
  <c r="B9" i="8"/>
  <c r="B7" i="8"/>
  <c r="H40" i="5" l="1"/>
  <c r="H23" i="5"/>
  <c r="H41" i="5"/>
  <c r="M16" i="32"/>
  <c r="L16" i="32"/>
  <c r="AA598" i="9"/>
  <c r="O630" i="9"/>
  <c r="AA630" i="9" s="1"/>
  <c r="AA732" i="9"/>
  <c r="F41" i="32"/>
  <c r="H20" i="5"/>
  <c r="O610" i="9"/>
  <c r="AA610" i="9" s="1"/>
  <c r="X823" i="9"/>
  <c r="O617" i="9"/>
  <c r="AF357" i="9"/>
  <c r="AS385" i="9"/>
  <c r="G43" i="8"/>
  <c r="G49" i="8" s="1"/>
  <c r="F17" i="32"/>
  <c r="AA715" i="9"/>
  <c r="H16" i="32"/>
  <c r="E51" i="5"/>
  <c r="F42" i="32"/>
  <c r="E53" i="5"/>
  <c r="H53" i="5" s="1"/>
  <c r="F45" i="32"/>
  <c r="AA738" i="9"/>
  <c r="I789" i="9"/>
  <c r="I792" i="9" s="1"/>
  <c r="G71" i="5" s="1"/>
  <c r="X849" i="9"/>
  <c r="X834" i="9"/>
  <c r="I774" i="9"/>
  <c r="X774" i="9" s="1"/>
  <c r="X308" i="9"/>
  <c r="G22" i="5" s="1"/>
  <c r="U382" i="9"/>
  <c r="U396" i="9" s="1"/>
  <c r="I345" i="9"/>
  <c r="AF351" i="9"/>
  <c r="AS387" i="9"/>
  <c r="AF349" i="9"/>
  <c r="AF354" i="9"/>
  <c r="AF392" i="9"/>
  <c r="AF394" i="9" s="1"/>
  <c r="G30" i="5" s="1"/>
  <c r="P524" i="15" s="1"/>
  <c r="P525" i="15" s="1"/>
  <c r="AS388" i="9"/>
  <c r="Z347" i="9"/>
  <c r="Z360" i="9" s="1"/>
  <c r="N841" i="9"/>
  <c r="N851" i="9" s="1"/>
  <c r="I355" i="9"/>
  <c r="AS391" i="9" s="1"/>
  <c r="Q555" i="9"/>
  <c r="AE876" i="9"/>
  <c r="X775" i="9"/>
  <c r="X152" i="9"/>
  <c r="G13" i="5" s="1"/>
  <c r="F58" i="8" s="1"/>
  <c r="AE865" i="9"/>
  <c r="AE873" i="9"/>
  <c r="AE864" i="9"/>
  <c r="AT426" i="9"/>
  <c r="AE877" i="9"/>
  <c r="AE868" i="9"/>
  <c r="AE871" i="9"/>
  <c r="AE872" i="9"/>
  <c r="O24" i="8"/>
  <c r="X506" i="9"/>
  <c r="N766" i="9"/>
  <c r="N779" i="9" s="1"/>
  <c r="I766" i="9"/>
  <c r="X765" i="9"/>
  <c r="X789" i="9"/>
  <c r="X792" i="9" s="1"/>
  <c r="S777" i="9"/>
  <c r="U340" i="9"/>
  <c r="U347" i="9" s="1"/>
  <c r="Q138" i="9"/>
  <c r="Q152" i="9" s="1"/>
  <c r="Q264" i="9"/>
  <c r="AF337" i="9"/>
  <c r="I772" i="9"/>
  <c r="X782" i="9"/>
  <c r="O18" i="8"/>
  <c r="AE869" i="9"/>
  <c r="AE874" i="9"/>
  <c r="O25" i="8"/>
  <c r="AE862" i="9"/>
  <c r="AE878" i="9"/>
  <c r="AE879" i="9"/>
  <c r="O340" i="9"/>
  <c r="O347" i="9" s="1"/>
  <c r="G25" i="8"/>
  <c r="X219" i="9"/>
  <c r="X222" i="9" s="1"/>
  <c r="G19" i="5" s="1"/>
  <c r="Q219" i="9"/>
  <c r="Q222" i="9" s="1"/>
  <c r="U356" i="9"/>
  <c r="U358" i="9" s="1"/>
  <c r="Q506" i="9"/>
  <c r="U645" i="9"/>
  <c r="AE867" i="9"/>
  <c r="AE875" i="9"/>
  <c r="AE870" i="9"/>
  <c r="AE866" i="9"/>
  <c r="I841" i="9"/>
  <c r="I851" i="9" s="1"/>
  <c r="X829" i="9"/>
  <c r="S841" i="9"/>
  <c r="S851" i="9" s="1"/>
  <c r="Q456" i="9"/>
  <c r="Q474" i="9" s="1"/>
  <c r="F39" i="32" s="1"/>
  <c r="M39" i="32" s="1"/>
  <c r="X456" i="9"/>
  <c r="X474" i="9" s="1"/>
  <c r="AF353" i="9"/>
  <c r="AF343" i="9"/>
  <c r="AF345" i="9" s="1"/>
  <c r="AF380" i="9"/>
  <c r="AF338" i="9"/>
  <c r="Q308" i="9"/>
  <c r="Q202" i="9"/>
  <c r="E17" i="5" s="1"/>
  <c r="E18" i="5" s="1"/>
  <c r="D98" i="11" s="1"/>
  <c r="E98" i="11" s="1"/>
  <c r="X202" i="9"/>
  <c r="Z382" i="9"/>
  <c r="Z396" i="9" s="1"/>
  <c r="I781" i="9"/>
  <c r="AF333" i="9"/>
  <c r="AF335" i="9"/>
  <c r="AF336" i="9"/>
  <c r="Q434" i="9"/>
  <c r="AS431" i="9"/>
  <c r="S772" i="9"/>
  <c r="AF334" i="9"/>
  <c r="AF339" i="9"/>
  <c r="O600" i="9"/>
  <c r="S766" i="9"/>
  <c r="X763" i="9"/>
  <c r="AH849" i="9"/>
  <c r="AH789" i="9"/>
  <c r="AH792" i="9" s="1"/>
  <c r="O356" i="9"/>
  <c r="AF352" i="9"/>
  <c r="O382" i="9"/>
  <c r="O396" i="9" s="1"/>
  <c r="X770" i="9"/>
  <c r="X434" i="9"/>
  <c r="G32" i="5" s="1"/>
  <c r="AA695" i="9"/>
  <c r="X769" i="9"/>
  <c r="N783" i="9"/>
  <c r="S783" i="9"/>
  <c r="O746" i="9"/>
  <c r="O612" i="9"/>
  <c r="X771" i="9"/>
  <c r="X768" i="9"/>
  <c r="O20" i="8"/>
  <c r="O15" i="8"/>
  <c r="E21" i="8"/>
  <c r="E31" i="8" s="1"/>
  <c r="E52" i="8" s="1"/>
  <c r="G23" i="8"/>
  <c r="G24" i="8"/>
  <c r="G17" i="8"/>
  <c r="G21" i="8" s="1"/>
  <c r="O23" i="8"/>
  <c r="G33" i="8"/>
  <c r="G38" i="8" s="1"/>
  <c r="K117" i="7"/>
  <c r="B117" i="7"/>
  <c r="I71" i="7"/>
  <c r="I69" i="7"/>
  <c r="I65" i="7"/>
  <c r="I56" i="7"/>
  <c r="I55" i="7"/>
  <c r="I54" i="7"/>
  <c r="I53" i="7"/>
  <c r="I52" i="7"/>
  <c r="I51" i="7"/>
  <c r="H63" i="7"/>
  <c r="H68" i="7" s="1"/>
  <c r="H73" i="7" s="1"/>
  <c r="G37" i="7"/>
  <c r="I49" i="7"/>
  <c r="I48" i="7"/>
  <c r="L43" i="7"/>
  <c r="I38" i="7"/>
  <c r="I20" i="7"/>
  <c r="I18" i="7"/>
  <c r="H17" i="7"/>
  <c r="H24" i="7" s="1"/>
  <c r="H30" i="7" s="1"/>
  <c r="H35" i="7" s="1"/>
  <c r="G17" i="7"/>
  <c r="I16" i="7"/>
  <c r="L10" i="7"/>
  <c r="L7" i="7"/>
  <c r="L5" i="7"/>
  <c r="E13" i="5" l="1"/>
  <c r="D45" i="11" s="1"/>
  <c r="E45" i="11" s="1"/>
  <c r="AT155" i="9"/>
  <c r="I50" i="7"/>
  <c r="U646" i="9"/>
  <c r="H17" i="32"/>
  <c r="M17" i="32"/>
  <c r="L17" i="32"/>
  <c r="H42" i="32"/>
  <c r="M42" i="32"/>
  <c r="L42" i="32"/>
  <c r="H45" i="32"/>
  <c r="M45" i="32"/>
  <c r="L45" i="32"/>
  <c r="H41" i="32"/>
  <c r="M41" i="32"/>
  <c r="L41" i="32"/>
  <c r="L39" i="32"/>
  <c r="O619" i="9"/>
  <c r="O622" i="9" s="1"/>
  <c r="I777" i="9"/>
  <c r="AA718" i="9"/>
  <c r="AA720" i="9" s="1"/>
  <c r="S785" i="9"/>
  <c r="S794" i="9" s="1"/>
  <c r="G27" i="7" s="1"/>
  <c r="I57" i="7"/>
  <c r="E71" i="5"/>
  <c r="F71" i="32"/>
  <c r="H71" i="32" s="1"/>
  <c r="O645" i="9"/>
  <c r="AA645" i="9" s="1"/>
  <c r="I356" i="9"/>
  <c r="U736" i="9"/>
  <c r="AA698" i="9" s="1"/>
  <c r="AA734" i="9"/>
  <c r="O640" i="9" s="1"/>
  <c r="AA640" i="9" s="1"/>
  <c r="F32" i="32"/>
  <c r="E32" i="5"/>
  <c r="H32" i="5" s="1"/>
  <c r="E22" i="5"/>
  <c r="F21" i="32"/>
  <c r="M21" i="32" s="1"/>
  <c r="H39" i="32"/>
  <c r="E19" i="5"/>
  <c r="F18" i="32"/>
  <c r="E21" i="5"/>
  <c r="F20" i="32"/>
  <c r="M20" i="32" s="1"/>
  <c r="E52" i="5"/>
  <c r="F43" i="32"/>
  <c r="E57" i="8"/>
  <c r="N785" i="9"/>
  <c r="H74" i="7"/>
  <c r="H37" i="7"/>
  <c r="H40" i="7" s="1"/>
  <c r="X777" i="9"/>
  <c r="Q509" i="9"/>
  <c r="F40" i="32" s="1"/>
  <c r="E48" i="5"/>
  <c r="E49" i="5" s="1"/>
  <c r="X509" i="9"/>
  <c r="G48" i="5"/>
  <c r="AF355" i="9"/>
  <c r="U360" i="9"/>
  <c r="AF350" i="9"/>
  <c r="AS386" i="9"/>
  <c r="I779" i="9"/>
  <c r="X204" i="9"/>
  <c r="G17" i="5"/>
  <c r="Q204" i="9"/>
  <c r="U642" i="9"/>
  <c r="U603" i="9" s="1"/>
  <c r="X841" i="9"/>
  <c r="X851" i="9" s="1"/>
  <c r="S779" i="9"/>
  <c r="E52" i="6" s="1"/>
  <c r="AS433" i="9"/>
  <c r="AA612" i="9"/>
  <c r="X766" i="9"/>
  <c r="I783" i="9"/>
  <c r="I785" i="9" s="1"/>
  <c r="X781" i="9"/>
  <c r="X783" i="9" s="1"/>
  <c r="X772" i="9"/>
  <c r="O358" i="9"/>
  <c r="AA629" i="9"/>
  <c r="AA638" i="9" s="1"/>
  <c r="O638" i="9"/>
  <c r="G28" i="8"/>
  <c r="G31" i="8" s="1"/>
  <c r="G52" i="8" s="1"/>
  <c r="G57" i="8" s="1"/>
  <c r="I63" i="7"/>
  <c r="G58" i="8" l="1"/>
  <c r="H13" i="5"/>
  <c r="E58" i="8"/>
  <c r="L1" i="8" s="1"/>
  <c r="X785" i="9"/>
  <c r="F70" i="32" s="1"/>
  <c r="O624" i="9"/>
  <c r="O626" i="9" s="1"/>
  <c r="G65" i="5" s="1"/>
  <c r="M65" i="5" s="1"/>
  <c r="H22" i="5"/>
  <c r="H43" i="32"/>
  <c r="M43" i="32"/>
  <c r="L43" i="32"/>
  <c r="N71" i="5"/>
  <c r="M71" i="32"/>
  <c r="L71" i="32"/>
  <c r="H32" i="32"/>
  <c r="M32" i="32"/>
  <c r="L32" i="32"/>
  <c r="M40" i="32"/>
  <c r="L40" i="32"/>
  <c r="M18" i="32"/>
  <c r="L18" i="32"/>
  <c r="H20" i="32"/>
  <c r="L20" i="32"/>
  <c r="H21" i="32"/>
  <c r="L21" i="32"/>
  <c r="AA736" i="9"/>
  <c r="G66" i="5" s="1"/>
  <c r="O642" i="9"/>
  <c r="O71" i="5"/>
  <c r="E55" i="6"/>
  <c r="E58" i="6" s="1"/>
  <c r="D115" i="23"/>
  <c r="D117" i="23" s="1"/>
  <c r="T52" i="19"/>
  <c r="H19" i="5"/>
  <c r="H41" i="7"/>
  <c r="H40" i="32"/>
  <c r="F46" i="32"/>
  <c r="M46" i="32" s="1"/>
  <c r="H18" i="32"/>
  <c r="F25" i="32"/>
  <c r="M25" i="32" s="1"/>
  <c r="I358" i="9"/>
  <c r="AA742" i="9"/>
  <c r="O649" i="9" s="1"/>
  <c r="O603" i="9"/>
  <c r="AA603" i="9" s="1"/>
  <c r="N794" i="9"/>
  <c r="G19" i="7"/>
  <c r="O360" i="9"/>
  <c r="U649" i="9"/>
  <c r="I794" i="9"/>
  <c r="G70" i="5"/>
  <c r="G72" i="5" s="1"/>
  <c r="AF356" i="9"/>
  <c r="AF358" i="9" s="1"/>
  <c r="E30" i="5" s="1"/>
  <c r="D332" i="11" s="1"/>
  <c r="E332" i="11" s="1"/>
  <c r="AS392" i="9"/>
  <c r="AA642" i="9"/>
  <c r="E66" i="5" s="1"/>
  <c r="U647" i="9"/>
  <c r="X779" i="9"/>
  <c r="I68" i="7"/>
  <c r="I73" i="7" s="1"/>
  <c r="M53" i="10" l="1"/>
  <c r="N49" i="10"/>
  <c r="N53" i="10" s="1"/>
  <c r="D229" i="21"/>
  <c r="E229" i="21" s="1"/>
  <c r="U651" i="9"/>
  <c r="H46" i="32"/>
  <c r="N55" i="5" s="1"/>
  <c r="U604" i="9"/>
  <c r="N70" i="5"/>
  <c r="M70" i="32"/>
  <c r="L70" i="32"/>
  <c r="H25" i="32"/>
  <c r="N25" i="5" s="1"/>
  <c r="L25" i="32"/>
  <c r="L46" i="32"/>
  <c r="G53" i="10"/>
  <c r="S524" i="15"/>
  <c r="T59" i="19"/>
  <c r="T61" i="19" s="1"/>
  <c r="U52" i="19"/>
  <c r="U59" i="19" s="1"/>
  <c r="U61" i="19" s="1"/>
  <c r="H70" i="32"/>
  <c r="E78" i="6"/>
  <c r="S59" i="19"/>
  <c r="S61" i="19" s="1"/>
  <c r="I37" i="7"/>
  <c r="F30" i="32"/>
  <c r="M30" i="32" s="1"/>
  <c r="F51" i="32"/>
  <c r="M51" i="32" s="1"/>
  <c r="AA649" i="9"/>
  <c r="I19" i="7"/>
  <c r="G24" i="7"/>
  <c r="G30" i="7" s="1"/>
  <c r="G35" i="7" s="1"/>
  <c r="G40" i="7" s="1"/>
  <c r="N71" i="19"/>
  <c r="G74" i="7"/>
  <c r="X794" i="9"/>
  <c r="E70" i="5"/>
  <c r="D765" i="11" s="1"/>
  <c r="E765" i="11" s="1"/>
  <c r="E92" i="6" l="1"/>
  <c r="E94" i="6" s="1"/>
  <c r="D2578" i="21"/>
  <c r="E2578" i="21" s="1"/>
  <c r="H51" i="32"/>
  <c r="K51" i="32" s="1"/>
  <c r="K46" i="32"/>
  <c r="H70" i="5"/>
  <c r="E72" i="5"/>
  <c r="Q71" i="19" s="1"/>
  <c r="L51" i="32"/>
  <c r="H30" i="32"/>
  <c r="L30" i="32"/>
  <c r="E85" i="6"/>
  <c r="O70" i="5"/>
  <c r="M72" i="5"/>
  <c r="G41" i="7"/>
  <c r="O130" i="6"/>
  <c r="C130" i="6"/>
  <c r="J84" i="6"/>
  <c r="J83" i="6"/>
  <c r="K82" i="6"/>
  <c r="J82" i="6"/>
  <c r="J80" i="6"/>
  <c r="J79" i="6"/>
  <c r="J77" i="6"/>
  <c r="J76" i="6"/>
  <c r="J74" i="6"/>
  <c r="K73" i="6"/>
  <c r="J73" i="6"/>
  <c r="J72" i="6"/>
  <c r="K68" i="6"/>
  <c r="K65" i="6"/>
  <c r="K64" i="6"/>
  <c r="J61" i="6"/>
  <c r="J60" i="6"/>
  <c r="J59" i="6"/>
  <c r="J57" i="6"/>
  <c r="J56" i="6"/>
  <c r="F27" i="7"/>
  <c r="I27" i="7" s="1"/>
  <c r="K54" i="6"/>
  <c r="J54" i="6"/>
  <c r="K53" i="6"/>
  <c r="J53" i="6"/>
  <c r="K52" i="6"/>
  <c r="J52" i="6"/>
  <c r="J51" i="6"/>
  <c r="J50" i="6"/>
  <c r="J49" i="6"/>
  <c r="J47" i="6"/>
  <c r="J46" i="6"/>
  <c r="F23" i="7"/>
  <c r="I23" i="7" s="1"/>
  <c r="K43" i="6"/>
  <c r="J43" i="6"/>
  <c r="K42" i="6"/>
  <c r="J42" i="6"/>
  <c r="K41" i="6"/>
  <c r="J41" i="6"/>
  <c r="K40" i="6"/>
  <c r="J40" i="6"/>
  <c r="K39" i="6"/>
  <c r="J39" i="6"/>
  <c r="K38" i="6"/>
  <c r="J38" i="6"/>
  <c r="J37" i="6"/>
  <c r="K34" i="6"/>
  <c r="J34" i="6"/>
  <c r="K33" i="6"/>
  <c r="J33" i="6"/>
  <c r="K32" i="6"/>
  <c r="J32" i="6"/>
  <c r="K31" i="6"/>
  <c r="J31" i="6"/>
  <c r="K30" i="6"/>
  <c r="J30" i="6"/>
  <c r="K29" i="6"/>
  <c r="J29" i="6"/>
  <c r="K27" i="6"/>
  <c r="K26" i="6"/>
  <c r="J26" i="6"/>
  <c r="K23" i="6"/>
  <c r="K21" i="6"/>
  <c r="K19" i="6"/>
  <c r="K18" i="6"/>
  <c r="K17" i="6"/>
  <c r="O8" i="6"/>
  <c r="H73" i="5"/>
  <c r="H71" i="5"/>
  <c r="H69" i="5"/>
  <c r="H66" i="5"/>
  <c r="G59" i="5"/>
  <c r="E59" i="5"/>
  <c r="H52" i="5"/>
  <c r="H48" i="5"/>
  <c r="H46" i="5"/>
  <c r="H45" i="5"/>
  <c r="G49" i="5"/>
  <c r="M49" i="5" s="1"/>
  <c r="G43" i="5"/>
  <c r="H17" i="5"/>
  <c r="H16" i="5"/>
  <c r="H15" i="5"/>
  <c r="G18" i="5"/>
  <c r="M18" i="5" s="1"/>
  <c r="AI53" i="4"/>
  <c r="AI52" i="4"/>
  <c r="AI51" i="4"/>
  <c r="AI50" i="4"/>
  <c r="AI49" i="4"/>
  <c r="AI48" i="4"/>
  <c r="AI47" i="4"/>
  <c r="AI46" i="4"/>
  <c r="AI45" i="4"/>
  <c r="AI44" i="4"/>
  <c r="AI43" i="4"/>
  <c r="AI42" i="4"/>
  <c r="AI41" i="4"/>
  <c r="AI40" i="4"/>
  <c r="AI39" i="4"/>
  <c r="AI38" i="4"/>
  <c r="AI37" i="4"/>
  <c r="AI36" i="4"/>
  <c r="AI35" i="4"/>
  <c r="AI34" i="4"/>
  <c r="AI33" i="4"/>
  <c r="AI32" i="4"/>
  <c r="AI31" i="4"/>
  <c r="AI30" i="4"/>
  <c r="AI29" i="4"/>
  <c r="AI28" i="4"/>
  <c r="AI27" i="4"/>
  <c r="AI26" i="4"/>
  <c r="AI25" i="4"/>
  <c r="AI24" i="4"/>
  <c r="AI23" i="4"/>
  <c r="D4" i="1"/>
  <c r="AI54" i="4" l="1"/>
  <c r="K55" i="6"/>
  <c r="S136" i="6" s="1"/>
  <c r="E18" i="33"/>
  <c r="AQ808" i="9"/>
  <c r="AQ683" i="9"/>
  <c r="AQ514" i="9"/>
  <c r="AQ414" i="9"/>
  <c r="AQ410" i="9"/>
  <c r="AQ275" i="9"/>
  <c r="AQ120" i="9"/>
  <c r="E25" i="5"/>
  <c r="D217" i="11" s="1"/>
  <c r="E217" i="11" s="1"/>
  <c r="F46" i="3"/>
  <c r="K79" i="5"/>
  <c r="O64" i="10"/>
  <c r="J81" i="32"/>
  <c r="D108" i="30"/>
  <c r="H52" i="29"/>
  <c r="H77" i="28"/>
  <c r="L107" i="23"/>
  <c r="L75" i="20"/>
  <c r="Q73" i="19"/>
  <c r="G54" i="18"/>
  <c r="H87" i="17"/>
  <c r="I200" i="16"/>
  <c r="I188" i="16"/>
  <c r="I83" i="16"/>
  <c r="I332" i="14"/>
  <c r="F148" i="13"/>
  <c r="L238" i="12"/>
  <c r="AQ890" i="9"/>
  <c r="J63" i="8"/>
  <c r="K20" i="6"/>
  <c r="K22" i="6" s="1"/>
  <c r="K24" i="6" s="1"/>
  <c r="S133" i="6" s="1"/>
  <c r="F22" i="7"/>
  <c r="I22" i="7" s="1"/>
  <c r="U617" i="9"/>
  <c r="U619" i="9" s="1"/>
  <c r="Z167" i="27"/>
  <c r="K75" i="7"/>
  <c r="K28" i="6"/>
  <c r="S134" i="6" s="1"/>
  <c r="F21" i="7"/>
  <c r="I21" i="7" s="1"/>
  <c r="J63" i="6"/>
  <c r="J67" i="6"/>
  <c r="J69" i="6"/>
  <c r="J19" i="6"/>
  <c r="H72" i="5"/>
  <c r="G85" i="5" s="1"/>
  <c r="H49" i="5"/>
  <c r="G55" i="5"/>
  <c r="N88" i="6"/>
  <c r="G25" i="5"/>
  <c r="J35" i="6"/>
  <c r="J44" i="6"/>
  <c r="K63" i="6"/>
  <c r="H30" i="5"/>
  <c r="J20" i="6"/>
  <c r="J21" i="6"/>
  <c r="J23" i="6"/>
  <c r="J25" i="6"/>
  <c r="E43" i="5"/>
  <c r="E55" i="5" s="1"/>
  <c r="K35" i="6"/>
  <c r="K67" i="6"/>
  <c r="J36" i="6"/>
  <c r="J62" i="6"/>
  <c r="K62" i="6"/>
  <c r="J65" i="6"/>
  <c r="K66" i="6"/>
  <c r="T154" i="27"/>
  <c r="J15" i="6"/>
  <c r="F17" i="7"/>
  <c r="J27" i="6"/>
  <c r="J28" i="6"/>
  <c r="K45" i="6"/>
  <c r="K61" i="6"/>
  <c r="J64" i="6"/>
  <c r="J68" i="6"/>
  <c r="K69" i="6"/>
  <c r="J66" i="6"/>
  <c r="J71" i="6"/>
  <c r="J55" i="6"/>
  <c r="H18" i="5"/>
  <c r="O25" i="5" l="1"/>
  <c r="K70" i="6"/>
  <c r="K75" i="6" s="1"/>
  <c r="H104" i="23" s="1"/>
  <c r="O55" i="5"/>
  <c r="K36" i="6"/>
  <c r="K48" i="6" s="1"/>
  <c r="I69" i="20" s="1"/>
  <c r="S135" i="6"/>
  <c r="G61" i="5"/>
  <c r="I68" i="6"/>
  <c r="AA617" i="9"/>
  <c r="AA619" i="9" s="1"/>
  <c r="R154" i="27"/>
  <c r="R171" i="27" s="1"/>
  <c r="D104" i="23"/>
  <c r="F32" i="7"/>
  <c r="I32" i="7" s="1"/>
  <c r="I15" i="7"/>
  <c r="F24" i="7"/>
  <c r="F30" i="7" s="1"/>
  <c r="I64" i="6"/>
  <c r="I63" i="6"/>
  <c r="H25" i="5"/>
  <c r="F71" i="6"/>
  <c r="F69" i="6"/>
  <c r="F62" i="6"/>
  <c r="F66" i="6"/>
  <c r="F65" i="6"/>
  <c r="F64" i="6"/>
  <c r="F61" i="6"/>
  <c r="F68" i="6"/>
  <c r="I67" i="6"/>
  <c r="J70" i="6"/>
  <c r="J45" i="6"/>
  <c r="J22" i="6"/>
  <c r="I73" i="6"/>
  <c r="I65" i="6"/>
  <c r="I61" i="6"/>
  <c r="I72" i="6"/>
  <c r="I69" i="6"/>
  <c r="I66" i="6"/>
  <c r="F72" i="6"/>
  <c r="J75" i="6"/>
  <c r="F73" i="6"/>
  <c r="F63" i="6"/>
  <c r="F67" i="6"/>
  <c r="I62" i="6"/>
  <c r="H55" i="5" l="1"/>
  <c r="S48" i="6"/>
  <c r="F35" i="7"/>
  <c r="F40" i="7" s="1"/>
  <c r="E61" i="5"/>
  <c r="D527" i="11" s="1"/>
  <c r="E527" i="11" s="1"/>
  <c r="I17" i="7"/>
  <c r="I24" i="7" s="1"/>
  <c r="U622" i="9"/>
  <c r="U624" i="9"/>
  <c r="U626" i="9" s="1"/>
  <c r="U602" i="9" s="1"/>
  <c r="AA622" i="9"/>
  <c r="AA624" i="9"/>
  <c r="AA626" i="9" s="1"/>
  <c r="E65" i="5" s="1"/>
  <c r="L61" i="6"/>
  <c r="O51" i="10"/>
  <c r="I30" i="7"/>
  <c r="K58" i="6"/>
  <c r="K78" i="6" s="1"/>
  <c r="I78" i="6"/>
  <c r="L69" i="6"/>
  <c r="L72" i="6"/>
  <c r="L73" i="6"/>
  <c r="L65" i="6"/>
  <c r="L63" i="6"/>
  <c r="L64" i="6"/>
  <c r="L68" i="6"/>
  <c r="L71" i="6"/>
  <c r="L67" i="6"/>
  <c r="J24" i="6"/>
  <c r="L62" i="6"/>
  <c r="L66" i="6"/>
  <c r="K85" i="6" l="1"/>
  <c r="K86" i="6" s="1"/>
  <c r="T79" i="6"/>
  <c r="O49" i="5"/>
  <c r="O50" i="5"/>
  <c r="H61" i="5"/>
  <c r="L32" i="6"/>
  <c r="L33" i="6"/>
  <c r="L34" i="6"/>
  <c r="L26" i="6"/>
  <c r="L27" i="6"/>
  <c r="L29" i="6"/>
  <c r="L30" i="6"/>
  <c r="L31" i="6"/>
  <c r="L25" i="6"/>
  <c r="L35" i="6"/>
  <c r="L28" i="6"/>
  <c r="L53" i="10"/>
  <c r="AA602" i="9"/>
  <c r="U605" i="9"/>
  <c r="I35" i="7"/>
  <c r="I40" i="7" s="1"/>
  <c r="J81" i="6"/>
  <c r="J48" i="6"/>
  <c r="L78" i="6"/>
  <c r="J53" i="10" l="1"/>
  <c r="K53" i="10"/>
  <c r="H53" i="10"/>
  <c r="I53" i="10"/>
  <c r="F53" i="10"/>
  <c r="E53" i="10"/>
  <c r="D53" i="10"/>
  <c r="H65" i="5"/>
  <c r="C53" i="10"/>
  <c r="J58" i="6"/>
  <c r="O49" i="10" l="1"/>
  <c r="U599" i="9"/>
  <c r="AA599" i="9" s="1"/>
  <c r="AA600" i="9" s="1"/>
  <c r="AS601" i="9" s="1"/>
  <c r="J78" i="6"/>
  <c r="U600" i="9" l="1"/>
  <c r="U607" i="9" s="1"/>
  <c r="U653" i="9" s="1"/>
  <c r="O53" i="10"/>
  <c r="O54" i="10" s="1"/>
  <c r="J85" i="6"/>
  <c r="C4" i="1" l="1"/>
  <c r="D5" i="1"/>
  <c r="R17" i="27" s="1"/>
  <c r="V16" i="27" s="1"/>
  <c r="G30" i="2"/>
  <c r="A30" i="2"/>
  <c r="C8" i="1"/>
  <c r="AC812" i="9" s="1"/>
  <c r="B18" i="33" l="1"/>
  <c r="B808" i="9"/>
  <c r="B683" i="9"/>
  <c r="B514" i="9"/>
  <c r="B414" i="9"/>
  <c r="B410" i="9"/>
  <c r="B275" i="9"/>
  <c r="B120" i="9"/>
  <c r="AQ327" i="9"/>
  <c r="C327" i="9"/>
  <c r="AQ326" i="9"/>
  <c r="C326" i="9"/>
  <c r="L11" i="15"/>
  <c r="P11" i="15" s="1"/>
  <c r="L8" i="31"/>
  <c r="P8" i="31" s="1"/>
  <c r="O11" i="15"/>
  <c r="S11" i="15" s="1"/>
  <c r="T11" i="15" s="1"/>
  <c r="R15" i="27"/>
  <c r="A4" i="31"/>
  <c r="O8" i="31" s="1"/>
  <c r="S8" i="31" s="1"/>
  <c r="T8" i="31" s="1"/>
  <c r="B75" i="7"/>
  <c r="B79" i="5"/>
  <c r="A64" i="10"/>
  <c r="B81" i="32"/>
  <c r="A108" i="30"/>
  <c r="A52" i="29"/>
  <c r="C77" i="28"/>
  <c r="A107" i="23"/>
  <c r="A167" i="27" s="1"/>
  <c r="A75" i="20"/>
  <c r="A73" i="19"/>
  <c r="A54" i="18"/>
  <c r="A87" i="17"/>
  <c r="A200" i="16"/>
  <c r="A188" i="16"/>
  <c r="A83" i="16"/>
  <c r="A332" i="14"/>
  <c r="A148" i="13"/>
  <c r="A238" i="12"/>
  <c r="B890" i="9"/>
  <c r="C63" i="8"/>
  <c r="C88" i="6"/>
  <c r="C590" i="9"/>
  <c r="E9" i="5"/>
  <c r="E11" i="12" s="1"/>
  <c r="C810" i="9"/>
  <c r="AC811" i="9" s="1"/>
  <c r="C686" i="9"/>
  <c r="A32" i="2"/>
  <c r="B5" i="5"/>
  <c r="B3" i="33" s="1"/>
  <c r="B15" i="33" s="1"/>
  <c r="F16" i="4"/>
  <c r="A46" i="3"/>
  <c r="C9" i="1"/>
  <c r="B43" i="7"/>
  <c r="G9" i="5"/>
  <c r="G32" i="2"/>
  <c r="K10" i="7"/>
  <c r="I6" i="6"/>
  <c r="P16" i="4"/>
  <c r="E10" i="5"/>
  <c r="K12" i="6" s="1"/>
  <c r="I5" i="5"/>
  <c r="D8" i="1"/>
  <c r="B9" i="33" l="1"/>
  <c r="B12" i="33"/>
  <c r="C363" i="9"/>
  <c r="G10" i="5"/>
  <c r="B7" i="32"/>
  <c r="C6" i="5"/>
  <c r="B7" i="28" s="1"/>
  <c r="I365" i="9"/>
  <c r="I364" i="9"/>
  <c r="A33" i="2"/>
  <c r="A5" i="31"/>
  <c r="I6" i="32"/>
  <c r="G6" i="28"/>
  <c r="Q859" i="9"/>
  <c r="E11" i="28"/>
  <c r="X858" i="9"/>
  <c r="F10" i="28"/>
  <c r="B6" i="32"/>
  <c r="B6" i="28"/>
  <c r="Q858" i="9"/>
  <c r="E10" i="28"/>
  <c r="L6" i="20"/>
  <c r="L6" i="23" s="1"/>
  <c r="Z6" i="27"/>
  <c r="Q11" i="19"/>
  <c r="S9" i="19" s="1"/>
  <c r="C754" i="9"/>
  <c r="X757" i="9"/>
  <c r="AC755" i="9" s="1"/>
  <c r="AA594" i="9"/>
  <c r="E8" i="18"/>
  <c r="P5" i="19"/>
  <c r="G3" i="18"/>
  <c r="C6" i="6"/>
  <c r="A6" i="27" s="1"/>
  <c r="A5" i="19"/>
  <c r="A3" i="18"/>
  <c r="Q12" i="19"/>
  <c r="S10" i="19" s="1"/>
  <c r="X758" i="9"/>
  <c r="AA595" i="9"/>
  <c r="E9" i="18"/>
  <c r="AA689" i="9"/>
  <c r="O594" i="9"/>
  <c r="N11" i="19"/>
  <c r="W11" i="19" s="1"/>
  <c r="I757" i="9"/>
  <c r="F8" i="18"/>
  <c r="L11" i="12"/>
  <c r="H11" i="16" s="1"/>
  <c r="E11" i="16" s="1"/>
  <c r="AF329" i="9"/>
  <c r="Q317" i="9"/>
  <c r="Q279" i="9"/>
  <c r="Q418" i="9" s="1"/>
  <c r="Q440" i="9" s="1"/>
  <c r="Q481" i="9" s="1"/>
  <c r="Q518" i="9" s="1"/>
  <c r="D11" i="14"/>
  <c r="Q231" i="9"/>
  <c r="Q257" i="9" s="1"/>
  <c r="D11" i="13"/>
  <c r="F11" i="17" s="1"/>
  <c r="Q124" i="9"/>
  <c r="L12" i="12"/>
  <c r="H12" i="16" s="1"/>
  <c r="AF330" i="9"/>
  <c r="Q318" i="9"/>
  <c r="Q280" i="9"/>
  <c r="Q419" i="9" s="1"/>
  <c r="Q441" i="9" s="1"/>
  <c r="Q482" i="9" s="1"/>
  <c r="Q519" i="9" s="1"/>
  <c r="Q232" i="9"/>
  <c r="Q258" i="9" s="1"/>
  <c r="D12" i="13"/>
  <c r="F12" i="17" s="1"/>
  <c r="Q125" i="9"/>
  <c r="I329" i="9"/>
  <c r="AF364" i="9"/>
  <c r="X317" i="9"/>
  <c r="X279" i="9"/>
  <c r="X418" i="9" s="1"/>
  <c r="X440" i="9" s="1"/>
  <c r="X481" i="9" s="1"/>
  <c r="X518" i="9" s="1"/>
  <c r="G11" i="14"/>
  <c r="X231" i="9"/>
  <c r="X257" i="9" s="1"/>
  <c r="E11" i="13"/>
  <c r="G11" i="17" s="1"/>
  <c r="X124" i="9"/>
  <c r="G6" i="17"/>
  <c r="I6" i="14"/>
  <c r="L6" i="12"/>
  <c r="I6" i="16" s="1"/>
  <c r="F6" i="13"/>
  <c r="AJ6" i="9"/>
  <c r="B6" i="9"/>
  <c r="A6" i="17"/>
  <c r="C328" i="9"/>
  <c r="A6" i="14"/>
  <c r="A6" i="12"/>
  <c r="A6" i="16" s="1"/>
  <c r="A6" i="13"/>
  <c r="E12" i="8"/>
  <c r="G12" i="8" s="1"/>
  <c r="E12" i="6"/>
  <c r="E6" i="29" s="1"/>
  <c r="F6" i="29" s="1"/>
  <c r="E11" i="8"/>
  <c r="G11" i="8" s="1"/>
  <c r="E11" i="6"/>
  <c r="K11" i="6" s="1"/>
  <c r="K43" i="7"/>
  <c r="C10" i="1"/>
  <c r="J7" i="32" s="1"/>
  <c r="F11" i="8"/>
  <c r="L11" i="8" s="1"/>
  <c r="H11" i="6"/>
  <c r="J6" i="8"/>
  <c r="K5" i="7"/>
  <c r="B17" i="4"/>
  <c r="I813" i="9" l="1"/>
  <c r="O689" i="9"/>
  <c r="I814" i="9"/>
  <c r="O690" i="9"/>
  <c r="D11" i="20"/>
  <c r="I11" i="20" s="1"/>
  <c r="G11" i="20"/>
  <c r="O11" i="20" s="1"/>
  <c r="R11" i="6"/>
  <c r="C7" i="6"/>
  <c r="C7" i="8" s="1"/>
  <c r="A7" i="17"/>
  <c r="A7" i="13"/>
  <c r="C5" i="30"/>
  <c r="D5" i="30"/>
  <c r="X859" i="9"/>
  <c r="F11" i="28"/>
  <c r="I758" i="9"/>
  <c r="N12" i="19"/>
  <c r="X814" i="9"/>
  <c r="AA690" i="9"/>
  <c r="O595" i="9"/>
  <c r="F9" i="18"/>
  <c r="A6" i="20"/>
  <c r="A6" i="23" s="1"/>
  <c r="B5" i="7"/>
  <c r="I12" i="20"/>
  <c r="H12" i="23" s="1"/>
  <c r="D12" i="20"/>
  <c r="D12" i="23" s="1"/>
  <c r="X159" i="9"/>
  <c r="X187" i="9"/>
  <c r="X209" i="9" s="1"/>
  <c r="X563" i="9"/>
  <c r="X578" i="9" s="1"/>
  <c r="X534" i="9"/>
  <c r="Q160" i="9"/>
  <c r="Q188" i="9"/>
  <c r="Q210" i="9" s="1"/>
  <c r="I330" i="9"/>
  <c r="AF365" i="9"/>
  <c r="X318" i="9"/>
  <c r="X280" i="9"/>
  <c r="X419" i="9" s="1"/>
  <c r="X441" i="9" s="1"/>
  <c r="X482" i="9" s="1"/>
  <c r="X519" i="9" s="1"/>
  <c r="X232" i="9"/>
  <c r="X258" i="9" s="1"/>
  <c r="E12" i="13"/>
  <c r="G12" i="17" s="1"/>
  <c r="X125" i="9"/>
  <c r="B7" i="9"/>
  <c r="A7" i="14"/>
  <c r="A7" i="12"/>
  <c r="A7" i="16" s="1"/>
  <c r="A4" i="18" s="1"/>
  <c r="A6" i="19" s="1"/>
  <c r="Q564" i="9"/>
  <c r="Q535" i="9"/>
  <c r="Q547" i="9" s="1"/>
  <c r="Q159" i="9"/>
  <c r="Q187" i="9"/>
  <c r="Q209" i="9" s="1"/>
  <c r="Q534" i="9"/>
  <c r="Q563" i="9"/>
  <c r="Q578" i="9" s="1"/>
  <c r="A34" i="2"/>
  <c r="B18" i="4"/>
  <c r="O7" i="6"/>
  <c r="K6" i="5"/>
  <c r="H7" i="28" s="1"/>
  <c r="F12" i="8"/>
  <c r="L12" i="8" s="1"/>
  <c r="H12" i="6"/>
  <c r="A7" i="27" l="1"/>
  <c r="A7" i="20"/>
  <c r="A7" i="23" s="1"/>
  <c r="B6" i="7"/>
  <c r="G12" i="20"/>
  <c r="F12" i="23" s="1"/>
  <c r="N12" i="23" s="1"/>
  <c r="R12" i="6"/>
  <c r="D11" i="23"/>
  <c r="H11" i="23"/>
  <c r="V13" i="27" s="1"/>
  <c r="F11" i="23"/>
  <c r="L7" i="20"/>
  <c r="L7" i="23" s="1"/>
  <c r="Z7" i="27"/>
  <c r="B10" i="7"/>
  <c r="C6" i="8"/>
  <c r="Q6" i="19"/>
  <c r="G4" i="18"/>
  <c r="X546" i="9"/>
  <c r="X579" i="9"/>
  <c r="X564" i="9"/>
  <c r="X535" i="9"/>
  <c r="X547" i="9" s="1"/>
  <c r="H7" i="17"/>
  <c r="I7" i="14"/>
  <c r="F7" i="13"/>
  <c r="AP7" i="9"/>
  <c r="L7" i="12"/>
  <c r="I7" i="16" s="1"/>
  <c r="Q546" i="9"/>
  <c r="Q579" i="9"/>
  <c r="X160" i="9"/>
  <c r="X188" i="9"/>
  <c r="X210" i="9" s="1"/>
  <c r="J7" i="8"/>
  <c r="L6" i="7"/>
  <c r="I375" i="9"/>
  <c r="I382" i="9" s="1"/>
  <c r="I396" i="9" s="1"/>
  <c r="AF367" i="9"/>
  <c r="T16" i="27" l="1"/>
  <c r="AC18" i="27" s="1"/>
  <c r="AF375" i="9"/>
  <c r="AF382" i="9" s="1"/>
  <c r="AF396" i="9" s="1"/>
  <c r="I332" i="9"/>
  <c r="N11" i="23"/>
  <c r="T15" i="27"/>
  <c r="AC17" i="27" s="1"/>
  <c r="G29" i="5" l="1"/>
  <c r="L524" i="15" s="1"/>
  <c r="L525" i="15" s="1"/>
  <c r="AF332" i="9"/>
  <c r="AF340" i="9" s="1"/>
  <c r="AF347" i="9" s="1"/>
  <c r="E29" i="5" s="1"/>
  <c r="D280" i="11" s="1"/>
  <c r="E280" i="11" s="1"/>
  <c r="I340" i="9"/>
  <c r="I347" i="9" s="1"/>
  <c r="I360" i="9" s="1"/>
  <c r="AS396" i="9" s="1"/>
  <c r="G31" i="5" l="1"/>
  <c r="G34" i="5" s="1"/>
  <c r="G36" i="5" s="1"/>
  <c r="G77" i="5" s="1"/>
  <c r="F29" i="32"/>
  <c r="AF360" i="9"/>
  <c r="O524" i="15"/>
  <c r="E31" i="5"/>
  <c r="H29" i="5"/>
  <c r="U740" i="9"/>
  <c r="AA739" i="9"/>
  <c r="AA740" i="9" s="1"/>
  <c r="AA744" i="9" s="1"/>
  <c r="T524" i="15" l="1"/>
  <c r="H31" i="5"/>
  <c r="F31" i="32"/>
  <c r="M31" i="32" s="1"/>
  <c r="M29" i="32"/>
  <c r="L29" i="32"/>
  <c r="H29" i="32"/>
  <c r="E34" i="5"/>
  <c r="O646" i="9"/>
  <c r="U744" i="9"/>
  <c r="L31" i="32" l="1"/>
  <c r="H31" i="32"/>
  <c r="H34" i="32" s="1"/>
  <c r="N34" i="5" s="1"/>
  <c r="O34" i="5" s="1"/>
  <c r="F34" i="32"/>
  <c r="E36" i="5"/>
  <c r="D363" i="11" s="1"/>
  <c r="E363" i="11" s="1"/>
  <c r="H34" i="5"/>
  <c r="U700" i="9"/>
  <c r="U702" i="9" s="1"/>
  <c r="U746" i="9" s="1"/>
  <c r="AA699" i="9"/>
  <c r="O647" i="9"/>
  <c r="O651" i="9" s="1"/>
  <c r="AA646" i="9"/>
  <c r="AA647" i="9" s="1"/>
  <c r="T77" i="6" l="1"/>
  <c r="O63" i="5"/>
  <c r="AA651" i="9"/>
  <c r="E67" i="5" s="1"/>
  <c r="H36" i="5"/>
  <c r="M34" i="32"/>
  <c r="L34" i="32"/>
  <c r="H36" i="32"/>
  <c r="F36" i="32"/>
  <c r="M36" i="32" s="1"/>
  <c r="AA700" i="9"/>
  <c r="AA702" i="9" s="1"/>
  <c r="G64" i="5" s="1"/>
  <c r="O604" i="9"/>
  <c r="K36" i="32" l="1"/>
  <c r="L36" i="32"/>
  <c r="AA746" i="9"/>
  <c r="G67" i="5"/>
  <c r="O605" i="9"/>
  <c r="O607" i="9" s="1"/>
  <c r="AA604" i="9"/>
  <c r="AA605" i="9" s="1"/>
  <c r="AA607" i="9" s="1"/>
  <c r="E64" i="5" l="1"/>
  <c r="AA653" i="9"/>
  <c r="F69" i="32" s="1"/>
  <c r="M69" i="32" s="1"/>
  <c r="O653" i="9"/>
  <c r="H67" i="5"/>
  <c r="G68" i="5"/>
  <c r="H86" i="6" s="1"/>
  <c r="O654" i="9"/>
  <c r="AU746" i="9"/>
  <c r="L69" i="32" l="1"/>
  <c r="F74" i="32"/>
  <c r="N68" i="5"/>
  <c r="F74" i="7"/>
  <c r="F72" i="32"/>
  <c r="M72" i="32" s="1"/>
  <c r="E68" i="5"/>
  <c r="D555" i="11" s="1"/>
  <c r="E555" i="11" s="1"/>
  <c r="G74" i="5"/>
  <c r="I74" i="7" s="1"/>
  <c r="H69" i="32"/>
  <c r="H64" i="5"/>
  <c r="F555" i="11" l="1"/>
  <c r="E74" i="5"/>
  <c r="M74" i="32"/>
  <c r="F76" i="32"/>
  <c r="F77" i="32" s="1"/>
  <c r="L74" i="32"/>
  <c r="L72" i="32"/>
  <c r="E86" i="6"/>
  <c r="O68" i="5"/>
  <c r="F41" i="7"/>
  <c r="G76" i="5"/>
  <c r="H72" i="32"/>
  <c r="H74" i="32" s="1"/>
  <c r="N74" i="5" s="1"/>
  <c r="H68" i="5"/>
  <c r="G84" i="5" s="1"/>
  <c r="E76" i="5" l="1"/>
  <c r="E77" i="5" s="1"/>
  <c r="O64" i="5"/>
  <c r="T78" i="6"/>
  <c r="O74" i="5"/>
  <c r="G81" i="5"/>
  <c r="M76" i="32"/>
  <c r="K74" i="32"/>
  <c r="H76" i="32"/>
  <c r="H77" i="32" s="1"/>
  <c r="H74" i="5"/>
  <c r="I41" i="7"/>
  <c r="F554" i="11" l="1"/>
  <c r="N76" i="5"/>
  <c r="O76" i="5" s="1"/>
  <c r="E81" i="5"/>
  <c r="L76" i="32"/>
  <c r="F89" i="32"/>
  <c r="F83" i="32"/>
  <c r="G83" i="32" s="1"/>
  <c r="F79" i="32"/>
  <c r="K76" i="32"/>
  <c r="H76" i="5"/>
  <c r="V58" i="27"/>
  <c r="V62" i="27" s="1"/>
  <c r="V173" i="27" l="1"/>
  <c r="V153" i="27"/>
  <c r="V172" i="27" s="1"/>
  <c r="V154" i="27" l="1"/>
  <c r="E134" i="6" l="1"/>
  <c r="E135" i="6" s="1"/>
  <c r="M25" i="5" l="1"/>
  <c r="M55" i="5"/>
  <c r="M31" i="5" l="1"/>
  <c r="M36" i="5" l="1"/>
  <c r="M68" i="5" l="1"/>
  <c r="W19" i="19" l="1"/>
  <c r="W46" i="19" s="1"/>
  <c r="W63" i="19" s="1"/>
  <c r="T18" i="19"/>
  <c r="X19" i="19"/>
  <c r="S18" i="19"/>
  <c r="S19" i="19" s="1"/>
  <c r="S46" i="19" s="1"/>
  <c r="S63" i="19" s="1"/>
  <c r="X63" i="19" l="1"/>
  <c r="X46" i="19"/>
  <c r="U18" i="19"/>
  <c r="U19" i="19" s="1"/>
  <c r="U46" i="19" s="1"/>
  <c r="U63" i="19" s="1"/>
  <c r="T19" i="19"/>
  <c r="T46" i="19" s="1"/>
  <c r="T63" i="19" s="1"/>
  <c r="AH781" i="9"/>
  <c r="AC849" i="9"/>
  <c r="AC789" i="9" l="1"/>
  <c r="AC792" i="9" s="1"/>
  <c r="AC790" i="9"/>
  <c r="AC768" i="9"/>
  <c r="AC769" i="9" l="1"/>
  <c r="AC770" i="9"/>
  <c r="AC829" i="9"/>
  <c r="AH829" i="9"/>
  <c r="AH771" i="9"/>
  <c r="AH768" i="9"/>
  <c r="AH770" i="9"/>
  <c r="AC771" i="9" l="1"/>
  <c r="AC772" i="9" s="1"/>
  <c r="AH769" i="9" l="1"/>
  <c r="AH772" i="9" s="1"/>
  <c r="AC839" i="9"/>
  <c r="AC782" i="9"/>
  <c r="AC783" i="9" s="1"/>
  <c r="AH839" i="9"/>
  <c r="AC774" i="9"/>
  <c r="AC775" i="9"/>
  <c r="AH774" i="9"/>
  <c r="AH775" i="9"/>
  <c r="AH782" i="9" l="1"/>
  <c r="AH783" i="9" s="1"/>
  <c r="AC763" i="9"/>
  <c r="AC764" i="9"/>
  <c r="AC823" i="9"/>
  <c r="AC765" i="9"/>
  <c r="AC766" i="9" l="1"/>
  <c r="AH763" i="9"/>
  <c r="AH823" i="9"/>
  <c r="AH765" i="9"/>
  <c r="AU765" i="9" s="1"/>
  <c r="AH764" i="9"/>
  <c r="AU764" i="9" s="1"/>
  <c r="AH766" i="9" l="1"/>
  <c r="AH833" i="9"/>
  <c r="AH834" i="9" s="1"/>
  <c r="AH841" i="9" s="1"/>
  <c r="AH851" i="9" s="1"/>
  <c r="AH776" i="9"/>
  <c r="AH777" i="9"/>
  <c r="AC833" i="9"/>
  <c r="AC834" i="9" s="1"/>
  <c r="AC841" i="9" s="1"/>
  <c r="AC851" i="9" s="1"/>
  <c r="AC776" i="9"/>
  <c r="AC777" i="9" s="1"/>
  <c r="AH785" i="9" l="1"/>
  <c r="AH794" i="9" s="1"/>
  <c r="AH779" i="9"/>
  <c r="AC785" i="9"/>
  <c r="AC794" i="9" s="1"/>
  <c r="AC779" i="9"/>
</calcChain>
</file>

<file path=xl/comments1.xml><?xml version="1.0" encoding="utf-8"?>
<comments xmlns="http://schemas.openxmlformats.org/spreadsheetml/2006/main">
  <authors>
    <author>05_KU</author>
    <author>HP</author>
    <author>ASUS</author>
  </authors>
  <commentList>
    <comment ref="E13" authorId="0" shapeId="0">
      <text>
        <r>
          <rPr>
            <b/>
            <sz val="9"/>
            <color indexed="81"/>
            <rFont val="Tahoma"/>
            <family val="2"/>
          </rPr>
          <t>1. Kas di Tangan
2. kas di Bank
3. Kas Tabungan
4. Kas Unit Usaha</t>
        </r>
      </text>
    </comment>
    <comment ref="E15" authorId="0" shapeId="0">
      <text>
        <r>
          <rPr>
            <b/>
            <sz val="9"/>
            <color indexed="81"/>
            <rFont val="Tahoma"/>
            <family val="2"/>
          </rPr>
          <t>piutang santri</t>
        </r>
        <r>
          <rPr>
            <sz val="9"/>
            <color indexed="81"/>
            <rFont val="Tahoma"/>
            <family val="2"/>
          </rPr>
          <t xml:space="preserve">
1. SPP
2. Pangkal
3. Daftar Ulang</t>
        </r>
      </text>
    </comment>
    <comment ref="E17" authorId="1" shapeId="0">
      <text>
        <r>
          <rPr>
            <sz val="9"/>
            <color indexed="81"/>
            <rFont val="Tahoma"/>
            <family val="2"/>
          </rPr>
          <t>Piutang Unit Usaha
Rinc. Di LK Unit Usaha</t>
        </r>
      </text>
    </comment>
    <comment ref="E19" authorId="0" shapeId="0">
      <text>
        <r>
          <rPr>
            <b/>
            <sz val="9"/>
            <color indexed="81"/>
            <rFont val="Tahoma"/>
            <family val="2"/>
          </rPr>
          <t>- piutang karyawan
- piutang yayasan (DU Ali Albar)</t>
        </r>
      </text>
    </comment>
    <comment ref="E20" authorId="0" shapeId="0">
      <text>
        <r>
          <rPr>
            <b/>
            <sz val="9"/>
            <rFont val="Tahoma"/>
            <family val="2"/>
          </rPr>
          <t>persediaan 
1. buku dan seragam
2. Persediaan Barang Unit Usaha</t>
        </r>
        <r>
          <rPr>
            <sz val="9"/>
            <rFont val="Tahoma"/>
            <family val="2"/>
          </rPr>
          <t xml:space="preserve">
</t>
        </r>
      </text>
    </comment>
    <comment ref="E22" authorId="2" shapeId="0">
      <text>
        <r>
          <rPr>
            <b/>
            <sz val="9"/>
            <color indexed="81"/>
            <rFont val="Tahoma"/>
            <family val="2"/>
          </rPr>
          <t>ASUS:</t>
        </r>
        <r>
          <rPr>
            <sz val="9"/>
            <color indexed="81"/>
            <rFont val="Tahoma"/>
            <family val="2"/>
          </rPr>
          <t xml:space="preserve">
Pembayaran dimuka Aset Tetap Dll.</t>
        </r>
      </text>
    </comment>
    <comment ref="E23" authorId="1" shapeId="0">
      <text>
        <r>
          <rPr>
            <b/>
            <sz val="9"/>
            <color indexed="81"/>
            <rFont val="Tahoma"/>
            <family val="2"/>
          </rPr>
          <t>HP:</t>
        </r>
        <r>
          <rPr>
            <sz val="9"/>
            <color indexed="81"/>
            <rFont val="Tahoma"/>
            <family val="2"/>
          </rPr>
          <t xml:space="preserve">
Sewa Rumah Asaridzah</t>
        </r>
      </text>
    </comment>
    <comment ref="E29" authorId="0" shapeId="0">
      <text>
        <r>
          <rPr>
            <b/>
            <sz val="9"/>
            <color indexed="81"/>
            <rFont val="Tahoma"/>
            <family val="2"/>
          </rPr>
          <t>Aset tetap</t>
        </r>
        <r>
          <rPr>
            <sz val="9"/>
            <color indexed="81"/>
            <rFont val="Tahoma"/>
            <family val="2"/>
          </rPr>
          <t xml:space="preserve">
</t>
        </r>
      </text>
    </comment>
    <comment ref="E30" authorId="0" shapeId="0">
      <text>
        <r>
          <rPr>
            <b/>
            <sz val="9"/>
            <rFont val="Tahoma"/>
            <family val="2"/>
          </rPr>
          <t>Akumulasi Depresiasi aset tetap
Untuk membuat saldo awal akan selisih sebesar penambahan depresiasi bulan lalu</t>
        </r>
        <r>
          <rPr>
            <sz val="9"/>
            <rFont val="Tahoma"/>
            <family val="2"/>
          </rPr>
          <t xml:space="preserve">
</t>
        </r>
      </text>
    </comment>
    <comment ref="E32" authorId="1" shapeId="0">
      <text>
        <r>
          <rPr>
            <b/>
            <sz val="9"/>
            <color indexed="81"/>
            <rFont val="Tahoma"/>
            <family val="2"/>
          </rPr>
          <t>Catatan 
Biaya PSB TA.26-27</t>
        </r>
      </text>
    </comment>
    <comment ref="E40" authorId="1" shapeId="0">
      <text>
        <r>
          <rPr>
            <b/>
            <sz val="9"/>
            <color indexed="81"/>
            <rFont val="Tahoma"/>
            <family val="2"/>
          </rPr>
          <t>HP:</t>
        </r>
        <r>
          <rPr>
            <sz val="9"/>
            <color indexed="81"/>
            <rFont val="Tahoma"/>
            <family val="2"/>
          </rPr>
          <t xml:space="preserve">
1. Hutang buku Syariah &amp; Seragam Pusat</t>
        </r>
      </text>
    </comment>
    <comment ref="E45" authorId="1" shapeId="0">
      <text>
        <r>
          <rPr>
            <b/>
            <sz val="9"/>
            <color indexed="81"/>
            <rFont val="Tahoma"/>
            <family val="2"/>
          </rPr>
          <t>HP:</t>
        </r>
        <r>
          <rPr>
            <sz val="9"/>
            <color indexed="81"/>
            <rFont val="Tahoma"/>
            <family val="2"/>
          </rPr>
          <t xml:space="preserve">
Titipan SPP</t>
        </r>
      </text>
    </comment>
    <comment ref="E48" authorId="1" shapeId="0">
      <text>
        <r>
          <rPr>
            <b/>
            <sz val="9"/>
            <color indexed="81"/>
            <rFont val="Tahoma"/>
            <family val="2"/>
          </rPr>
          <t>HP:</t>
        </r>
        <r>
          <rPr>
            <sz val="9"/>
            <color indexed="81"/>
            <rFont val="Tahoma"/>
            <family val="2"/>
          </rPr>
          <t xml:space="preserve">
1. Transfer Pending
2. Hutang Tabungan (Uang di Bank)
3. Titipan opr. yayasan</t>
        </r>
      </text>
    </comment>
    <comment ref="E50" authorId="1" shapeId="0">
      <text>
        <r>
          <rPr>
            <b/>
            <sz val="9"/>
            <color indexed="81"/>
            <rFont val="Tahoma"/>
            <family val="2"/>
          </rPr>
          <t>HP:</t>
        </r>
        <r>
          <rPr>
            <sz val="9"/>
            <color indexed="81"/>
            <rFont val="Tahoma"/>
            <family val="2"/>
          </rPr>
          <t xml:space="preserve">
1. Hutang Bagi Hasil Pusat
TA.19/20 s/d T.A 25/26</t>
        </r>
      </text>
    </comment>
    <comment ref="E52" authorId="1" shapeId="0">
      <text>
        <r>
          <rPr>
            <b/>
            <sz val="9"/>
            <color indexed="81"/>
            <rFont val="Tahoma"/>
            <family val="2"/>
          </rPr>
          <t xml:space="preserve">HP:
</t>
        </r>
        <r>
          <rPr>
            <sz val="8"/>
            <color indexed="81"/>
            <rFont val="Tahoma"/>
            <family val="2"/>
          </rPr>
          <t>1. Titipan Pendaftaran PSB
2. Titipan Pangkal 26-27</t>
        </r>
      </text>
    </comment>
    <comment ref="E53" authorId="2" shapeId="0">
      <text>
        <r>
          <rPr>
            <b/>
            <sz val="9"/>
            <color indexed="81"/>
            <rFont val="Tahoma"/>
            <family val="2"/>
          </rPr>
          <t>ASUS:</t>
        </r>
        <r>
          <rPr>
            <sz val="9"/>
            <color indexed="81"/>
            <rFont val="Tahoma"/>
            <family val="2"/>
          </rPr>
          <t xml:space="preserve">
1. Hutang Gaji Karyawan</t>
        </r>
      </text>
    </comment>
    <comment ref="E64" authorId="0" shapeId="0">
      <text>
        <r>
          <rPr>
            <b/>
            <sz val="9"/>
            <rFont val="Tahoma"/>
            <family val="2"/>
          </rPr>
          <t>untuk membuat saldo saldo awal akan selisih sebesar L/R bulan lalu</t>
        </r>
        <r>
          <rPr>
            <sz val="9"/>
            <rFont val="Tahoma"/>
            <family val="2"/>
          </rPr>
          <t xml:space="preserve">
</t>
        </r>
      </text>
    </comment>
    <comment ref="E77" authorId="0" shapeId="0">
      <text>
        <r>
          <rPr>
            <b/>
            <sz val="9"/>
            <rFont val="Tahoma"/>
            <family val="2"/>
          </rPr>
          <t>Untuk pembuatan saldo awal akan selisihsebesar minus depresiasi bulan lalu dikurangi besar L/R bulan lalu</t>
        </r>
        <r>
          <rPr>
            <sz val="9"/>
            <rFont val="Tahoma"/>
            <family val="2"/>
          </rPr>
          <t xml:space="preserve">
</t>
        </r>
      </text>
    </comment>
  </commentList>
</comments>
</file>

<file path=xl/comments2.xml><?xml version="1.0" encoding="utf-8"?>
<comments xmlns="http://schemas.openxmlformats.org/spreadsheetml/2006/main">
  <authors>
    <author>05_KU</author>
  </authors>
  <commentList>
    <comment ref="E58" authorId="0" shapeId="0">
      <text>
        <r>
          <rPr>
            <b/>
            <sz val="9"/>
            <rFont val="Tahoma"/>
            <family val="2"/>
          </rPr>
          <t>Untuk saldo awal nilanya sama dengan kas bersih yang diperoleh dari aktivitas operasi (E30)</t>
        </r>
      </text>
    </comment>
  </commentList>
</comments>
</file>

<file path=xl/comments3.xml><?xml version="1.0" encoding="utf-8"?>
<comments xmlns="http://schemas.openxmlformats.org/spreadsheetml/2006/main">
  <authors>
    <author>05_KU</author>
    <author>Keuangan02</author>
    <author>ASUS</author>
    <author>HP</author>
  </authors>
  <commentList>
    <comment ref="Q127" authorId="0" shapeId="0">
      <text>
        <r>
          <rPr>
            <b/>
            <sz val="9"/>
            <rFont val="Tahoma"/>
            <family val="2"/>
          </rPr>
          <t>cek di MYOb 1-1111,
pastikan tidak ada di selisih 
dengan saldo akhir tabungan PiaPi</t>
        </r>
        <r>
          <rPr>
            <sz val="9"/>
            <rFont val="Tahoma"/>
            <family val="2"/>
          </rPr>
          <t xml:space="preserve">
</t>
        </r>
      </text>
    </comment>
    <comment ref="Q129" authorId="0" shapeId="0">
      <text>
        <r>
          <rPr>
            <b/>
            <sz val="9"/>
            <rFont val="Tahoma"/>
            <family val="2"/>
          </rPr>
          <t>cek di MYOb 1-1112,
pastikan tidak ada di selisih 
dengan saldo akhir tabungan PiaPi</t>
        </r>
        <r>
          <rPr>
            <sz val="9"/>
            <rFont val="Tahoma"/>
            <family val="2"/>
          </rPr>
          <t xml:space="preserve">
</t>
        </r>
      </text>
    </comment>
    <comment ref="Q163" authorId="0" shapeId="0">
      <text>
        <r>
          <rPr>
            <b/>
            <sz val="9"/>
            <rFont val="Tahoma"/>
            <family val="2"/>
          </rPr>
          <t>Lihat kontrol piutang; Lihat Jumlah piutang santri di ending balance, 
pastikan tidak ada selisih antara myob 11312-12114 dengan ending balance kontrol piutang</t>
        </r>
        <r>
          <rPr>
            <sz val="9"/>
            <rFont val="Tahoma"/>
            <family val="2"/>
          </rPr>
          <t xml:space="preserve">
</t>
        </r>
      </text>
    </comment>
    <comment ref="Q212" authorId="0" shapeId="0">
      <text>
        <r>
          <rPr>
            <b/>
            <sz val="9"/>
            <color indexed="81"/>
            <rFont val="Tahoma"/>
            <family val="2"/>
          </rPr>
          <t>Sheet 2 VS cek MYOB 11411</t>
        </r>
      </text>
    </comment>
    <comment ref="X212" authorId="0" shapeId="0">
      <text>
        <r>
          <rPr>
            <b/>
            <sz val="9"/>
            <color indexed="81"/>
            <rFont val="Tahoma"/>
            <family val="2"/>
          </rPr>
          <t>Sheet 2 VS cek MYOB 12311</t>
        </r>
        <r>
          <rPr>
            <sz val="9"/>
            <color indexed="81"/>
            <rFont val="Tahoma"/>
            <family val="2"/>
          </rPr>
          <t xml:space="preserve">
</t>
        </r>
      </text>
    </comment>
    <comment ref="Q214" authorId="0" shapeId="0">
      <text>
        <r>
          <rPr>
            <b/>
            <sz val="9"/>
            <rFont val="Tahoma"/>
            <family val="2"/>
          </rPr>
          <t>Cek sheet 2 vs MYOB 12341</t>
        </r>
      </text>
    </comment>
    <comment ref="D215" authorId="0" shapeId="0">
      <text>
        <r>
          <rPr>
            <b/>
            <sz val="9"/>
            <color indexed="81"/>
            <rFont val="Tahoma"/>
            <family val="2"/>
          </rPr>
          <t>Piutang Pendapatan Investasi</t>
        </r>
        <r>
          <rPr>
            <sz val="9"/>
            <color indexed="81"/>
            <rFont val="Tahoma"/>
            <family val="2"/>
          </rPr>
          <t xml:space="preserve">
</t>
        </r>
      </text>
    </comment>
    <comment ref="Q217" authorId="0" shapeId="0">
      <text>
        <r>
          <rPr>
            <b/>
            <sz val="9"/>
            <rFont val="Tahoma"/>
            <family val="2"/>
          </rPr>
          <t>cek sheet 2 vs MYOB 12339</t>
        </r>
        <r>
          <rPr>
            <sz val="9"/>
            <rFont val="Tahoma"/>
            <family val="2"/>
          </rPr>
          <t xml:space="preserve">
</t>
        </r>
      </text>
    </comment>
    <comment ref="Q234" authorId="0" shapeId="0">
      <text>
        <r>
          <rPr>
            <b/>
            <sz val="9"/>
            <rFont val="Tahoma"/>
            <family val="2"/>
          </rPr>
          <t>sheet 3</t>
        </r>
      </text>
    </comment>
    <comment ref="Q285" authorId="1" shapeId="0">
      <text>
        <r>
          <rPr>
            <b/>
            <sz val="9"/>
            <rFont val="Tahoma"/>
            <family val="2"/>
          </rPr>
          <t>Keuangan02:</t>
        </r>
        <r>
          <rPr>
            <sz val="9"/>
            <rFont val="Tahoma"/>
            <family val="2"/>
          </rPr>
          <t xml:space="preserve">
Pembayaran 1 Bimbel</t>
        </r>
      </text>
    </comment>
    <comment ref="Q291" authorId="0" shapeId="0">
      <text>
        <r>
          <rPr>
            <b/>
            <sz val="9"/>
            <rFont val="Tahoma"/>
            <family val="2"/>
          </rPr>
          <t>Cek lagi</t>
        </r>
        <r>
          <rPr>
            <sz val="9"/>
            <rFont val="Tahoma"/>
            <family val="2"/>
          </rPr>
          <t xml:space="preserve">
</t>
        </r>
      </text>
    </comment>
    <comment ref="X291" authorId="0" shapeId="0">
      <text>
        <r>
          <rPr>
            <b/>
            <sz val="9"/>
            <rFont val="Tahoma"/>
            <family val="2"/>
          </rPr>
          <t>Cek lagi</t>
        </r>
        <r>
          <rPr>
            <sz val="9"/>
            <rFont val="Tahoma"/>
            <family val="2"/>
          </rPr>
          <t xml:space="preserve">
</t>
        </r>
      </text>
    </comment>
    <comment ref="Q294" authorId="2" shapeId="0">
      <text>
        <r>
          <rPr>
            <b/>
            <sz val="9"/>
            <color indexed="81"/>
            <rFont val="Tahoma"/>
            <family val="2"/>
          </rPr>
          <t>ASUS:</t>
        </r>
        <r>
          <rPr>
            <sz val="9"/>
            <color indexed="81"/>
            <rFont val="Tahoma"/>
            <family val="2"/>
          </rPr>
          <t xml:space="preserve">
K840225 = Rp. 5.000.000</t>
        </r>
      </text>
    </comment>
    <comment ref="Q301" authorId="0" shapeId="0">
      <text>
        <r>
          <rPr>
            <b/>
            <sz val="9"/>
            <rFont val="Tahoma"/>
            <family val="2"/>
          </rPr>
          <t>Cek Lagi</t>
        </r>
        <r>
          <rPr>
            <sz val="9"/>
            <rFont val="Tahoma"/>
            <family val="2"/>
          </rPr>
          <t xml:space="preserve">
</t>
        </r>
      </text>
    </comment>
    <comment ref="Q444" authorId="3" shapeId="0">
      <text>
        <r>
          <rPr>
            <b/>
            <sz val="9"/>
            <color indexed="81"/>
            <rFont val="Tahoma"/>
            <family val="2"/>
          </rPr>
          <t>Dibayar Desember</t>
        </r>
      </text>
    </comment>
    <comment ref="Q460" authorId="3" shapeId="0">
      <text>
        <r>
          <rPr>
            <b/>
            <sz val="9"/>
            <color indexed="81"/>
            <rFont val="Tahoma"/>
            <family val="2"/>
          </rPr>
          <t>HP:</t>
        </r>
        <r>
          <rPr>
            <sz val="9"/>
            <color indexed="81"/>
            <rFont val="Tahoma"/>
            <family val="2"/>
          </rPr>
          <t xml:space="preserve">
</t>
        </r>
      </text>
    </comment>
    <comment ref="Q484" authorId="0" shapeId="0">
      <text>
        <r>
          <rPr>
            <sz val="9"/>
            <rFont val="Tahoma"/>
            <family val="2"/>
          </rPr>
          <t>Lihat ending balance PPYD
 di kontrol piutang santri
cek MYOB 21212</t>
        </r>
      </text>
    </comment>
    <comment ref="Q500" authorId="0" shapeId="0">
      <text>
        <r>
          <rPr>
            <b/>
            <sz val="9"/>
            <rFont val="Tahoma"/>
            <family val="2"/>
          </rPr>
          <t>Lihat sheet 6 rincian titipan lain-lain:
Jumlah kiriman bank</t>
        </r>
        <r>
          <rPr>
            <sz val="9"/>
            <rFont val="Tahoma"/>
            <family val="2"/>
          </rPr>
          <t xml:space="preserve">
</t>
        </r>
      </text>
    </comment>
    <comment ref="X500" authorId="0" shapeId="0">
      <text>
        <r>
          <rPr>
            <b/>
            <sz val="9"/>
            <rFont val="Tahoma"/>
            <family val="2"/>
          </rPr>
          <t>Lihat sheet 6 rincian titipan lain-lain:
Jumlah kiriman bank</t>
        </r>
        <r>
          <rPr>
            <sz val="9"/>
            <rFont val="Tahoma"/>
            <family val="2"/>
          </rPr>
          <t xml:space="preserve">
</t>
        </r>
      </text>
    </comment>
    <comment ref="Q501" authorId="3" shapeId="0">
      <text>
        <r>
          <rPr>
            <b/>
            <sz val="9"/>
            <color indexed="81"/>
            <rFont val="Tahoma"/>
            <family val="2"/>
          </rPr>
          <t>HP:</t>
        </r>
        <r>
          <rPr>
            <sz val="9"/>
            <color indexed="81"/>
            <rFont val="Tahoma"/>
            <family val="2"/>
          </rPr>
          <t xml:space="preserve">
Tabungan santri di bank
belum di tarik tunai</t>
        </r>
      </text>
    </comment>
    <comment ref="Q504" authorId="0" shapeId="0">
      <text>
        <r>
          <rPr>
            <b/>
            <sz val="9"/>
            <rFont val="Tahoma"/>
            <family val="2"/>
          </rPr>
          <t>Lihat sheet 6 rincian titipan lain-lain:
Jumlah lain-lain</t>
        </r>
        <r>
          <rPr>
            <sz val="9"/>
            <rFont val="Tahoma"/>
            <family val="2"/>
          </rPr>
          <t xml:space="preserve">
</t>
        </r>
      </text>
    </comment>
  </commentList>
</comments>
</file>

<file path=xl/comments4.xml><?xml version="1.0" encoding="utf-8"?>
<comments xmlns="http://schemas.openxmlformats.org/spreadsheetml/2006/main">
  <authors>
    <author>Pesantren Al Irsyad</author>
  </authors>
  <commentList>
    <comment ref="B20" authorId="0" shapeId="0">
      <text>
        <r>
          <rPr>
            <b/>
            <sz val="9"/>
            <rFont val="Tahoma"/>
            <family val="2"/>
          </rPr>
          <t>Pesantren Al Irsyad:</t>
        </r>
        <r>
          <rPr>
            <sz val="9"/>
            <rFont val="Tahoma"/>
            <family val="2"/>
          </rPr>
          <t xml:space="preserve">
belum diakui di usaha</t>
        </r>
      </text>
    </comment>
  </commentList>
</comments>
</file>

<file path=xl/comments5.xml><?xml version="1.0" encoding="utf-8"?>
<comments xmlns="http://schemas.openxmlformats.org/spreadsheetml/2006/main">
  <authors>
    <author>USER</author>
  </authors>
  <commentList>
    <comment ref="K18" authorId="0" shapeId="0">
      <text>
        <r>
          <rPr>
            <b/>
            <sz val="9"/>
            <rFont val="Tahoma"/>
            <family val="2"/>
          </rPr>
          <t>USER:</t>
        </r>
        <r>
          <rPr>
            <sz val="9"/>
            <rFont val="Tahoma"/>
            <family val="2"/>
          </rPr>
          <t xml:space="preserve">
Revisi Nilai Tanah Setelah Pelunasan Maret 21</t>
        </r>
      </text>
    </comment>
  </commentList>
</comments>
</file>

<file path=xl/comments6.xml><?xml version="1.0" encoding="utf-8"?>
<comments xmlns="http://schemas.openxmlformats.org/spreadsheetml/2006/main">
  <authors>
    <author>HP</author>
  </authors>
  <commentList>
    <comment ref="D26" authorId="0" shapeId="0">
      <text>
        <r>
          <rPr>
            <b/>
            <sz val="9"/>
            <color indexed="81"/>
            <rFont val="Tahoma"/>
            <family val="2"/>
          </rPr>
          <t>HP:</t>
        </r>
        <r>
          <rPr>
            <sz val="9"/>
            <color indexed="81"/>
            <rFont val="Tahoma"/>
            <family val="2"/>
          </rPr>
          <t xml:space="preserve">
Kegiatan STS
Ditanggung Pesantren</t>
        </r>
      </text>
    </comment>
    <comment ref="D64" authorId="0" shapeId="0">
      <text>
        <r>
          <rPr>
            <b/>
            <sz val="9"/>
            <color indexed="81"/>
            <rFont val="Tahoma"/>
            <family val="2"/>
          </rPr>
          <t>HP:</t>
        </r>
        <r>
          <rPr>
            <sz val="9"/>
            <color indexed="81"/>
            <rFont val="Tahoma"/>
            <family val="2"/>
          </rPr>
          <t xml:space="preserve">
Kartu Santri</t>
        </r>
      </text>
    </comment>
  </commentList>
</comments>
</file>

<file path=xl/comments7.xml><?xml version="1.0" encoding="utf-8"?>
<comments xmlns="http://schemas.openxmlformats.org/spreadsheetml/2006/main">
  <authors>
    <author>HP</author>
    <author>Keuangan02</author>
  </authors>
  <commentList>
    <comment ref="N39" authorId="0" shapeId="0">
      <text>
        <r>
          <rPr>
            <b/>
            <sz val="9"/>
            <color indexed="81"/>
            <rFont val="Tahoma"/>
            <family val="2"/>
          </rPr>
          <t>HP:</t>
        </r>
        <r>
          <rPr>
            <sz val="9"/>
            <color indexed="81"/>
            <rFont val="Tahoma"/>
            <family val="2"/>
          </rPr>
          <t xml:space="preserve">
1. Layanan Tamu</t>
        </r>
      </text>
    </comment>
    <comment ref="I98" authorId="0" shapeId="0">
      <text>
        <r>
          <rPr>
            <b/>
            <sz val="9"/>
            <color indexed="81"/>
            <rFont val="Tahoma"/>
            <family val="2"/>
          </rPr>
          <t>HP:</t>
        </r>
        <r>
          <rPr>
            <sz val="9"/>
            <color indexed="81"/>
            <rFont val="Tahoma"/>
            <family val="2"/>
          </rPr>
          <t xml:space="preserve">
JT &amp; kepengasuhan
</t>
        </r>
      </text>
    </comment>
    <comment ref="J98" authorId="0" shapeId="0">
      <text>
        <r>
          <rPr>
            <b/>
            <sz val="9"/>
            <color indexed="81"/>
            <rFont val="Tahoma"/>
            <family val="2"/>
          </rPr>
          <t>HP:</t>
        </r>
        <r>
          <rPr>
            <sz val="9"/>
            <color indexed="81"/>
            <rFont val="Tahoma"/>
            <family val="2"/>
          </rPr>
          <t xml:space="preserve">
APV &amp; PICUP</t>
        </r>
      </text>
    </comment>
    <comment ref="K98" authorId="0" shapeId="0">
      <text>
        <r>
          <rPr>
            <b/>
            <sz val="9"/>
            <color indexed="81"/>
            <rFont val="Tahoma"/>
            <family val="2"/>
          </rPr>
          <t>HP:</t>
        </r>
        <r>
          <rPr>
            <sz val="9"/>
            <color indexed="81"/>
            <rFont val="Tahoma"/>
            <family val="2"/>
          </rPr>
          <t xml:space="preserve">
roda 3</t>
        </r>
      </text>
    </comment>
    <comment ref="F100" authorId="0" shapeId="0">
      <text>
        <r>
          <rPr>
            <b/>
            <sz val="9"/>
            <color indexed="81"/>
            <rFont val="Tahoma"/>
            <family val="2"/>
          </rPr>
          <t>HP:</t>
        </r>
        <r>
          <rPr>
            <sz val="9"/>
            <color indexed="81"/>
            <rFont val="Tahoma"/>
            <family val="2"/>
          </rPr>
          <t xml:space="preserve">
Akomodasi Pengajaran
</t>
        </r>
      </text>
    </comment>
    <comment ref="I100" authorId="0" shapeId="0">
      <text>
        <r>
          <rPr>
            <b/>
            <sz val="9"/>
            <color indexed="81"/>
            <rFont val="Tahoma"/>
            <family val="2"/>
          </rPr>
          <t>HP:</t>
        </r>
        <r>
          <rPr>
            <sz val="9"/>
            <color indexed="81"/>
            <rFont val="Tahoma"/>
            <family val="2"/>
          </rPr>
          <t xml:space="preserve">
kepengasuhan &amp; UKS
</t>
        </r>
      </text>
    </comment>
    <comment ref="J100" authorId="0" shapeId="0">
      <text>
        <r>
          <rPr>
            <b/>
            <sz val="9"/>
            <color indexed="81"/>
            <rFont val="Tahoma"/>
            <family val="2"/>
          </rPr>
          <t>HP:</t>
        </r>
        <r>
          <rPr>
            <sz val="9"/>
            <color indexed="81"/>
            <rFont val="Tahoma"/>
            <family val="2"/>
          </rPr>
          <t xml:space="preserve">
1. Perj. Dinas</t>
        </r>
      </text>
    </comment>
    <comment ref="G154" authorId="1" shapeId="0">
      <text>
        <r>
          <rPr>
            <b/>
            <sz val="9"/>
            <rFont val="Tahoma"/>
            <family val="2"/>
          </rPr>
          <t>Keuangan02:</t>
        </r>
        <r>
          <rPr>
            <sz val="9"/>
            <rFont val="Tahoma"/>
            <family val="2"/>
          </rPr>
          <t xml:space="preserve">
EDIT RUMUS DI GL</t>
        </r>
      </text>
    </comment>
    <comment ref="J154" authorId="1" shapeId="0">
      <text>
        <r>
          <rPr>
            <b/>
            <sz val="9"/>
            <rFont val="Tahoma"/>
            <family val="2"/>
          </rPr>
          <t>Keuangan02:</t>
        </r>
        <r>
          <rPr>
            <sz val="9"/>
            <rFont val="Tahoma"/>
            <family val="2"/>
          </rPr>
          <t xml:space="preserve">
EDIT RUMUS DI GL</t>
        </r>
      </text>
    </comment>
  </commentList>
</comments>
</file>

<file path=xl/comments8.xml><?xml version="1.0" encoding="utf-8"?>
<comments xmlns="http://schemas.openxmlformats.org/spreadsheetml/2006/main">
  <authors>
    <author>USER</author>
  </authors>
  <commentList>
    <comment ref="K15" authorId="0" shapeId="0">
      <text>
        <r>
          <rPr>
            <b/>
            <sz val="9"/>
            <rFont val="Tahoma"/>
            <family val="2"/>
          </rPr>
          <t>USER:</t>
        </r>
        <r>
          <rPr>
            <sz val="9"/>
            <rFont val="Tahoma"/>
            <family val="2"/>
          </rPr>
          <t xml:space="preserve">
Revisi Nilai Tanah Setelah Pelunasan Maret 21</t>
        </r>
      </text>
    </comment>
  </commentList>
</comments>
</file>

<file path=xl/sharedStrings.xml><?xml version="1.0" encoding="utf-8"?>
<sst xmlns="http://schemas.openxmlformats.org/spreadsheetml/2006/main" count="24010" uniqueCount="8536">
  <si>
    <t>INPUT LAPORAN KEUANGAN</t>
  </si>
  <si>
    <t>TANGGAL NERACA</t>
  </si>
  <si>
    <t>AWAL TAHUN PELAJARAN</t>
  </si>
  <si>
    <t>AKHIR TAHUN PELAJARAN</t>
  </si>
  <si>
    <t xml:space="preserve">PERBANDINGAN DENGAN </t>
  </si>
  <si>
    <t>PESANTREN ISLAM AL-IRSYAD</t>
  </si>
  <si>
    <t>/</t>
  </si>
  <si>
    <t xml:space="preserve">PESANTREN ISLAM AL-IRSYAD </t>
  </si>
  <si>
    <t>PESANTREN ISLAM AL-IRSYAD, TENGARAN</t>
  </si>
  <si>
    <r>
      <t xml:space="preserve">Laporan Keuangan / </t>
    </r>
    <r>
      <rPr>
        <b/>
        <i/>
        <sz val="12"/>
        <rFont val="Times New Roman"/>
        <family val="1"/>
      </rPr>
      <t>Financial Statements</t>
    </r>
  </si>
  <si>
    <r>
      <t xml:space="preserve">Untuk Bulan yang Berakhir / </t>
    </r>
    <r>
      <rPr>
        <b/>
        <i/>
        <sz val="12"/>
        <rFont val="Times New Roman"/>
        <family val="1"/>
      </rPr>
      <t>For the Month Ended</t>
    </r>
  </si>
  <si>
    <t>Daftar isi</t>
  </si>
  <si>
    <r>
      <t xml:space="preserve">Halaman / </t>
    </r>
    <r>
      <rPr>
        <b/>
        <i/>
        <sz val="10"/>
        <rFont val="Times New Roman"/>
        <family val="1"/>
      </rPr>
      <t>Page</t>
    </r>
  </si>
  <si>
    <t>Table contents</t>
  </si>
  <si>
    <t>Kata pengantar dari manajemen</t>
  </si>
  <si>
    <t>………………………………………………….</t>
  </si>
  <si>
    <t>Message from the management</t>
  </si>
  <si>
    <t>Grafik perubahan aset bersih tidak terikat</t>
  </si>
  <si>
    <t>………………………………………</t>
  </si>
  <si>
    <t>………………………………….</t>
  </si>
  <si>
    <t>Graphic of changes in unrestricted net assets</t>
  </si>
  <si>
    <t>Laporan posisi keuangan</t>
  </si>
  <si>
    <t>……………………………………………………….</t>
  </si>
  <si>
    <t>2</t>
  </si>
  <si>
    <t>Statements of financial position</t>
  </si>
  <si>
    <t>Laporan pendapatan, beban dan perubahan aset bersih tidak terikat</t>
  </si>
  <si>
    <t>……</t>
  </si>
  <si>
    <t>3</t>
  </si>
  <si>
    <t>...Statements of revenues, expenses and changes in unrestricted net assets</t>
  </si>
  <si>
    <t>Laporan perubahan aset bersih</t>
  </si>
  <si>
    <t>……………………………………………….</t>
  </si>
  <si>
    <t>4</t>
  </si>
  <si>
    <t>…………………………………………….</t>
  </si>
  <si>
    <t>Statements of changes in net assets</t>
  </si>
  <si>
    <t>Laporan arus kas</t>
  </si>
  <si>
    <t>…………………………………………………………………..</t>
  </si>
  <si>
    <t>5</t>
  </si>
  <si>
    <t>…………………………………………………………………</t>
  </si>
  <si>
    <t>Statements of cash flow</t>
  </si>
  <si>
    <t>Catatan atas laporan keuangan</t>
  </si>
  <si>
    <t>6 - 16</t>
  </si>
  <si>
    <t>…………………………………………………….</t>
  </si>
  <si>
    <t>Notes to financial statements</t>
  </si>
  <si>
    <t>Informasi tambahan</t>
  </si>
  <si>
    <t>Supplementary information</t>
  </si>
  <si>
    <t>Lampiran 1</t>
  </si>
  <si>
    <t>Rincian piutang uang pendidikan</t>
  </si>
  <si>
    <t>…………………………………..</t>
  </si>
  <si>
    <t>17 - 26</t>
  </si>
  <si>
    <t>……………………………….</t>
  </si>
  <si>
    <t>Details of tuition and fee receivable</t>
  </si>
  <si>
    <t>Appendix 1</t>
  </si>
  <si>
    <t>Lampiran 2</t>
  </si>
  <si>
    <t>Rincian piutang lain lain</t>
  </si>
  <si>
    <t>…………………………………………..</t>
  </si>
  <si>
    <t>27 - 26</t>
  </si>
  <si>
    <t>……………………………………..</t>
  </si>
  <si>
    <t>Details of others receivables</t>
  </si>
  <si>
    <t>Appendix 2</t>
  </si>
  <si>
    <t>Lampiran 3</t>
  </si>
  <si>
    <t>Rincian persediaan</t>
  </si>
  <si>
    <t>………………………………………………</t>
  </si>
  <si>
    <t>27 - 29</t>
  </si>
  <si>
    <t>Details of inventories</t>
  </si>
  <si>
    <t>Appendix 3</t>
  </si>
  <si>
    <t>Lampiran 4</t>
  </si>
  <si>
    <t>Rincian aset tetap</t>
  </si>
  <si>
    <t>……………………………………………</t>
  </si>
  <si>
    <t>30 - 40</t>
  </si>
  <si>
    <t>Details of fixed assets</t>
  </si>
  <si>
    <t>Appendix 4</t>
  </si>
  <si>
    <t>Lampiran 5</t>
  </si>
  <si>
    <t>Rincian titipan uang pendidikan</t>
  </si>
  <si>
    <t>…………………………………….</t>
  </si>
  <si>
    <t>41 - 43</t>
  </si>
  <si>
    <t>Details of tuition and fee deposits</t>
  </si>
  <si>
    <t>Appendix 5</t>
  </si>
  <si>
    <t>Lampiran 6</t>
  </si>
  <si>
    <t>Rincian titipan lain lain</t>
  </si>
  <si>
    <t>44 - 49</t>
  </si>
  <si>
    <t>………………………………………….</t>
  </si>
  <si>
    <t>Details of other deposits</t>
  </si>
  <si>
    <t>Appendix 6</t>
  </si>
  <si>
    <t>Lampiran 7</t>
  </si>
  <si>
    <t>Rincian hutang lain lain</t>
  </si>
  <si>
    <t>50</t>
  </si>
  <si>
    <t>Details of other paybles</t>
  </si>
  <si>
    <t>Appendix 7</t>
  </si>
  <si>
    <t>Rincian biaya masih harus dibayar</t>
  </si>
  <si>
    <t>51</t>
  </si>
  <si>
    <t>Details of accrued expenses</t>
  </si>
  <si>
    <t>Lampiran 8</t>
  </si>
  <si>
    <t>Rincian aset bersih terikat</t>
  </si>
  <si>
    <t>52</t>
  </si>
  <si>
    <t>Details of restricted net assets</t>
  </si>
  <si>
    <t>Appendix 8</t>
  </si>
  <si>
    <t>Lampiran 9</t>
  </si>
  <si>
    <t>Rincian pendapatan dan keuntungan tidak terikat</t>
  </si>
  <si>
    <t>53</t>
  </si>
  <si>
    <t>…………………..</t>
  </si>
  <si>
    <t>Details of unrestricted revenues and gains</t>
  </si>
  <si>
    <t>Appendix 9</t>
  </si>
  <si>
    <t>Lampiran 10</t>
  </si>
  <si>
    <t>Rincian beban dan kerugian</t>
  </si>
  <si>
    <t>54</t>
  </si>
  <si>
    <t>Details of expenses and loss</t>
  </si>
  <si>
    <t>Appendix 10</t>
  </si>
  <si>
    <t>Lampiran 11</t>
  </si>
  <si>
    <t xml:space="preserve">Rincian beban dan kerugian menurut klasifikasi sifat </t>
  </si>
  <si>
    <t>Details of expenses and loss by natural classification</t>
  </si>
  <si>
    <t>Appendix 11</t>
  </si>
  <si>
    <t>dengan fungsional</t>
  </si>
  <si>
    <t>………………………………………………..</t>
  </si>
  <si>
    <t>55 - 56</t>
  </si>
  <si>
    <t>with fuctional classification</t>
  </si>
  <si>
    <t>Informasi tambahan untuk usaha pelengkap</t>
  </si>
  <si>
    <t>Supplementary information for auxiliary enterprises</t>
  </si>
  <si>
    <t>Lampiran 12</t>
  </si>
  <si>
    <t>Laporan posisi keuangan usaha pelengkap</t>
  </si>
  <si>
    <t>………………………..</t>
  </si>
  <si>
    <t>57</t>
  </si>
  <si>
    <t>………..</t>
  </si>
  <si>
    <t>Statements of auxiliary enterprises financial position</t>
  </si>
  <si>
    <t>Appendix 12</t>
  </si>
  <si>
    <t>Lampiran 13</t>
  </si>
  <si>
    <t>Rincian pendapatan dan beban usaha pelengkap</t>
  </si>
  <si>
    <t>……………..</t>
  </si>
  <si>
    <t>58</t>
  </si>
  <si>
    <t>…….</t>
  </si>
  <si>
    <t>Details of auxiliary enterprises revenues and expenses</t>
  </si>
  <si>
    <t>Appendix 13</t>
  </si>
  <si>
    <t>Lampiran 14</t>
  </si>
  <si>
    <t>Rincian posisi keuangan - usaha pelengkap</t>
  </si>
  <si>
    <t>59 - 63</t>
  </si>
  <si>
    <t>….Details of statement financial position - auxiliary enterprises</t>
  </si>
  <si>
    <t>Appendix 14</t>
  </si>
  <si>
    <t>Lampiran 15</t>
  </si>
  <si>
    <t>Rincian piutang pembiayaan 1 - usaha pelengkap</t>
  </si>
  <si>
    <t>64</t>
  </si>
  <si>
    <t>Details of financing 1 account receivable - auxiliary enterprises</t>
  </si>
  <si>
    <t>Appendix 15</t>
  </si>
  <si>
    <t>Lampiran 16</t>
  </si>
  <si>
    <t>Rincian piutang pembiayaan 2 - usaha pelengkap</t>
  </si>
  <si>
    <t>65</t>
  </si>
  <si>
    <t>Details of financing 2 account receivable - auxiliary enterprises</t>
  </si>
  <si>
    <t>Appendix 16</t>
  </si>
  <si>
    <t>Lampiran 17</t>
  </si>
  <si>
    <t>Rincian aset tetap - usaha pelengkap</t>
  </si>
  <si>
    <t>66 - 67</t>
  </si>
  <si>
    <t>Details of fixed assets - auxiliary enterprises</t>
  </si>
  <si>
    <t>Appendix 17</t>
  </si>
  <si>
    <t>Lampiran 18</t>
  </si>
  <si>
    <t>Rincian titipan simpanan anggota - usaha pelengkap</t>
  </si>
  <si>
    <t>68</t>
  </si>
  <si>
    <t>....Details of member's saving deposit - auxiliary enterprises</t>
  </si>
  <si>
    <t>Appendix 18</t>
  </si>
  <si>
    <t>Lampiran 19</t>
  </si>
  <si>
    <t>Rincian hutang usaha Amin Mart - usaha pelengkap</t>
  </si>
  <si>
    <t>70</t>
  </si>
  <si>
    <t>...Details of Amin Mart account payables auxiliary enterprises</t>
  </si>
  <si>
    <t>Appendix 19</t>
  </si>
  <si>
    <t>Halaman kosong</t>
  </si>
  <si>
    <t>………………………………………………………………….</t>
  </si>
  <si>
    <t>71</t>
  </si>
  <si>
    <t>……………………………………………………………………………….</t>
  </si>
  <si>
    <t>Blank page</t>
  </si>
  <si>
    <t>6 - 17</t>
  </si>
  <si>
    <t>……………………….................</t>
  </si>
  <si>
    <t>18</t>
  </si>
  <si>
    <t>…………………........</t>
  </si>
  <si>
    <t>…………….......................</t>
  </si>
  <si>
    <t>19</t>
  </si>
  <si>
    <t>……………............</t>
  </si>
  <si>
    <t>20</t>
  </si>
  <si>
    <t>LAPORAN POSISI KEUANGAN</t>
  </si>
  <si>
    <t>STATEMENTS OF FINANCIAL POSITION</t>
  </si>
  <si>
    <t>(Disajikan dalam rupiah)</t>
  </si>
  <si>
    <t xml:space="preserve"> (Expressed in rupiah)</t>
  </si>
  <si>
    <t>Pos - pos</t>
  </si>
  <si>
    <t>Catatan /</t>
  </si>
  <si>
    <t>Accounts</t>
  </si>
  <si>
    <t>Notes</t>
  </si>
  <si>
    <t>Aset</t>
  </si>
  <si>
    <t>Assets</t>
  </si>
  <si>
    <t>Aset Lancar</t>
  </si>
  <si>
    <t>Current Assets</t>
  </si>
  <si>
    <t>Kas dan setara kas</t>
  </si>
  <si>
    <t>Cash and Cash Equivalents</t>
  </si>
  <si>
    <t>Piutang aktivitas - bersih</t>
  </si>
  <si>
    <t>Account receivable - net</t>
  </si>
  <si>
    <t>אּ</t>
  </si>
  <si>
    <t>Piutang uang pendidikan - bersih</t>
  </si>
  <si>
    <t>Tuition &amp; fee receivable - net</t>
  </si>
  <si>
    <t>Piutang sumbangan - bersih</t>
  </si>
  <si>
    <t>Contributions receivable - net</t>
  </si>
  <si>
    <t>Piutang usaha pelengkap - bersih</t>
  </si>
  <si>
    <t>Auxiliary enterprises receiable net</t>
  </si>
  <si>
    <t>Piutang lain lain - bersih</t>
  </si>
  <si>
    <t>Others receivables - net</t>
  </si>
  <si>
    <t>Persediaan</t>
  </si>
  <si>
    <t>Inventories</t>
  </si>
  <si>
    <t>Pajak dibayar dimuka</t>
  </si>
  <si>
    <t>Prepaid tax</t>
  </si>
  <si>
    <t xml:space="preserve">Uang muka </t>
  </si>
  <si>
    <t>Advance payments</t>
  </si>
  <si>
    <t>Beban dibayar dimuka</t>
  </si>
  <si>
    <t>Prepaid expenses</t>
  </si>
  <si>
    <t>Jumlah Aset Lancar</t>
  </si>
  <si>
    <t>Total Current Assets</t>
  </si>
  <si>
    <t>Aset Tidak Lancar</t>
  </si>
  <si>
    <t>Non Current Assets</t>
  </si>
  <si>
    <t>Investasi pada unit usaha pesantren</t>
  </si>
  <si>
    <t>Investment in Auxiliary Enterprises</t>
  </si>
  <si>
    <t>Aset tetap - bersih</t>
  </si>
  <si>
    <t>Fixed assets - net</t>
  </si>
  <si>
    <t>Harga Perolehan</t>
  </si>
  <si>
    <t>Acquisition cost</t>
  </si>
  <si>
    <t>Akumulasi Penyusutan</t>
  </si>
  <si>
    <t>Accumulated depreciation</t>
  </si>
  <si>
    <t>Aset lain lain</t>
  </si>
  <si>
    <t>Other assets</t>
  </si>
  <si>
    <t>Jumlah Aset Tidak Lancar</t>
  </si>
  <si>
    <t>Total Non Current Assets</t>
  </si>
  <si>
    <t>Jumlah Aset</t>
  </si>
  <si>
    <t>Total Assets</t>
  </si>
  <si>
    <t>Liabilitas dan Aset Bersih</t>
  </si>
  <si>
    <t>Liabilities and Net Assets</t>
  </si>
  <si>
    <t>Liabilitas Lancar</t>
  </si>
  <si>
    <t>Current Liabilities</t>
  </si>
  <si>
    <t>Hutang aktivitas</t>
  </si>
  <si>
    <t>Account payble</t>
  </si>
  <si>
    <t>Hutang  pendidikan</t>
  </si>
  <si>
    <t>Education payble</t>
  </si>
  <si>
    <t>Hutang usaha pelengkap</t>
  </si>
  <si>
    <t>Auxiliary enterprises payble</t>
  </si>
  <si>
    <t>Hutang perolehan aset tetap</t>
  </si>
  <si>
    <t>Fixed assets acquisition payble</t>
  </si>
  <si>
    <t>Hutang titipan</t>
  </si>
  <si>
    <t>Deposit paybles</t>
  </si>
  <si>
    <t>Titipan uang pendidikan</t>
  </si>
  <si>
    <t>Tuition &amp; fee deposits</t>
  </si>
  <si>
    <t>Tabungan santri</t>
  </si>
  <si>
    <t xml:space="preserve">Student saving </t>
  </si>
  <si>
    <t>Titipan usaha pelengkap</t>
  </si>
  <si>
    <t>Auxiliary enterprises deposit</t>
  </si>
  <si>
    <t>Titipan - lain lain</t>
  </si>
  <si>
    <t>Others deposits</t>
  </si>
  <si>
    <t>Hutang lain lain</t>
  </si>
  <si>
    <t>Other paybles</t>
  </si>
  <si>
    <t>Hutang pajak</t>
  </si>
  <si>
    <t>Tax payble</t>
  </si>
  <si>
    <t>Pendapatan diterima dimuka</t>
  </si>
  <si>
    <t>Unearned Revenue</t>
  </si>
  <si>
    <t>Biaya masih harus dibayar</t>
  </si>
  <si>
    <t>Accrued expenses</t>
  </si>
  <si>
    <t>Jumlah Liabilitas Lancar</t>
  </si>
  <si>
    <t>Total Current Liabilities</t>
  </si>
  <si>
    <t>Liabilitas Tidak Lancar</t>
  </si>
  <si>
    <t>Non Current Liabilities</t>
  </si>
  <si>
    <t>Pinjaman jangka panjang</t>
  </si>
  <si>
    <t>Long term loan</t>
  </si>
  <si>
    <t>LIABILITAS imbalan paska kerja</t>
  </si>
  <si>
    <t>Retirement benenfit obligation</t>
  </si>
  <si>
    <t>Jumlah Liabilitas Tidak Lancar</t>
  </si>
  <si>
    <t>Total Non Current Liabilities</t>
  </si>
  <si>
    <t>Jumlah Liabilitas</t>
  </si>
  <si>
    <t>Total  Liabilities</t>
  </si>
  <si>
    <t>Aset Bersih</t>
  </si>
  <si>
    <t>Net Assets</t>
  </si>
  <si>
    <t>Aset bersih tidak terikat</t>
  </si>
  <si>
    <t>Unrestricted net assets</t>
  </si>
  <si>
    <t>Tidak ditentukan penggunaanya</t>
  </si>
  <si>
    <t>Unappropriated</t>
  </si>
  <si>
    <t>Usaha pelengkap</t>
  </si>
  <si>
    <t>Auxiliary enterprises</t>
  </si>
  <si>
    <t>Dana pengembangan</t>
  </si>
  <si>
    <t>Development fund</t>
  </si>
  <si>
    <t>Dana gedung</t>
  </si>
  <si>
    <t>Building fund</t>
  </si>
  <si>
    <t>Diinvestasikan dalam aset tetap - bersih</t>
  </si>
  <si>
    <t>Net - investment in fixed assets</t>
  </si>
  <si>
    <t>Aset bersih terikat</t>
  </si>
  <si>
    <t>Restricted net assets</t>
  </si>
  <si>
    <t>Terikat temporer</t>
  </si>
  <si>
    <t>Temporarily restricted</t>
  </si>
  <si>
    <t>Terikat permanen</t>
  </si>
  <si>
    <t>Permanently restricted</t>
  </si>
  <si>
    <t>Jumlah Aset Bersih</t>
  </si>
  <si>
    <t>Total Net Assets</t>
  </si>
  <si>
    <t>Jumlah Liabilitas dan Aset Bersih</t>
  </si>
  <si>
    <t>Total Liabilities and Net Assets</t>
  </si>
  <si>
    <t xml:space="preserve">LAPORAN PENDAPATAN, BEBAN DAN </t>
  </si>
  <si>
    <t>STATEMENTS OF REVENUES, EXPENSES AND</t>
  </si>
  <si>
    <t>PERUBAHAN ASET BERSIH TIDAK TERIKAT</t>
  </si>
  <si>
    <t>CHANGES IN UNRESTRICTED NET ASSETS</t>
  </si>
  <si>
    <t>%</t>
  </si>
  <si>
    <t>Selisih</t>
  </si>
  <si>
    <t>Pendapatan dan keuntungan tidak terikat</t>
  </si>
  <si>
    <t>Unrestricted revenues &amp; gains</t>
  </si>
  <si>
    <t>Pendapatan uang pendidikan</t>
  </si>
  <si>
    <t>Tuition and fees</t>
  </si>
  <si>
    <t>SPP</t>
  </si>
  <si>
    <t>Tuition</t>
  </si>
  <si>
    <t>Ekstrakurikuler</t>
  </si>
  <si>
    <t>Extra curriculer</t>
  </si>
  <si>
    <t>Ujian akhir semester</t>
  </si>
  <si>
    <t>Examination fee</t>
  </si>
  <si>
    <t>Daftar ulang</t>
  </si>
  <si>
    <t>Enrollment fee</t>
  </si>
  <si>
    <t>Buku</t>
  </si>
  <si>
    <t>Books</t>
  </si>
  <si>
    <t>Seragam</t>
  </si>
  <si>
    <t>Uniform</t>
  </si>
  <si>
    <t>Deveopment fund</t>
  </si>
  <si>
    <t>Kegiatan santri</t>
  </si>
  <si>
    <t>Student activity</t>
  </si>
  <si>
    <t>Pendaftaran santri baru</t>
  </si>
  <si>
    <t>Admission fee</t>
  </si>
  <si>
    <t xml:space="preserve">Dikurangi : Potongan Pendidikan </t>
  </si>
  <si>
    <t xml:space="preserve">Less : scholarship </t>
  </si>
  <si>
    <t>Sumbangan</t>
  </si>
  <si>
    <t>Contributions</t>
  </si>
  <si>
    <t xml:space="preserve">Grants </t>
  </si>
  <si>
    <t>Sales &amp; services</t>
  </si>
  <si>
    <t>Investment income</t>
  </si>
  <si>
    <t xml:space="preserve">Financing </t>
  </si>
  <si>
    <t>Wartel</t>
  </si>
  <si>
    <t>Telphone cabin</t>
  </si>
  <si>
    <t xml:space="preserve">Kanten </t>
  </si>
  <si>
    <t xml:space="preserve">Canteen </t>
  </si>
  <si>
    <t>Foto copy</t>
  </si>
  <si>
    <t>Barber shop</t>
  </si>
  <si>
    <t>Mini market</t>
  </si>
  <si>
    <t>Kantor</t>
  </si>
  <si>
    <t>Office</t>
  </si>
  <si>
    <t>Penghasilan lain lain &amp; keuntungan</t>
  </si>
  <si>
    <t>Others income &amp; gains</t>
  </si>
  <si>
    <t>Keuntungan pelepasan Aset tetap</t>
  </si>
  <si>
    <t>Gains on disposal of fixed assets</t>
  </si>
  <si>
    <t>Keuntungan penjualan investasi</t>
  </si>
  <si>
    <t xml:space="preserve">Loss on sale invesment </t>
  </si>
  <si>
    <t>Keuntungan selisih kurs &amp; lain-lain</t>
  </si>
  <si>
    <t>Gains on foreign exchange</t>
  </si>
  <si>
    <t>Penerimaan dan pembulatan lebih</t>
  </si>
  <si>
    <t>Excess payment and rounded</t>
  </si>
  <si>
    <t>Penerimaan piutang yang dihapus</t>
  </si>
  <si>
    <t>Recovery of write off of receivable</t>
  </si>
  <si>
    <t>Bagi hasil dari UP</t>
  </si>
  <si>
    <t>Profit sharinf from AE</t>
  </si>
  <si>
    <t>Lain lain</t>
  </si>
  <si>
    <t>Others</t>
  </si>
  <si>
    <t xml:space="preserve">Jumlah pendapatan dan </t>
  </si>
  <si>
    <t>Total unrestricted revenues and</t>
  </si>
  <si>
    <t xml:space="preserve">   keuntungan tidak terikat</t>
  </si>
  <si>
    <t xml:space="preserve">gains   </t>
  </si>
  <si>
    <t>Aset bersih yang dibebaskan</t>
  </si>
  <si>
    <t>Net assets released</t>
  </si>
  <si>
    <t>dari pembatasan</t>
  </si>
  <si>
    <t>from restrictions</t>
  </si>
  <si>
    <t>Pembatasan program</t>
  </si>
  <si>
    <t>Program restriction</t>
  </si>
  <si>
    <t>Pembatasan perolehan Aset tetap</t>
  </si>
  <si>
    <t>Fixed assets acquisition restriction</t>
  </si>
  <si>
    <t>Pembatasan waktu</t>
  </si>
  <si>
    <t>Time restriction</t>
  </si>
  <si>
    <t>Jumlah pendapatan, keuntungan</t>
  </si>
  <si>
    <t xml:space="preserve">Total unrestricted revenues, gains </t>
  </si>
  <si>
    <t xml:space="preserve">   dan dukungan lain tidak terikat</t>
  </si>
  <si>
    <t xml:space="preserve"> and other support</t>
  </si>
  <si>
    <t>Beban dan kerugian</t>
  </si>
  <si>
    <t>Expenses and losses</t>
  </si>
  <si>
    <t>Pendidikan &amp; umum</t>
  </si>
  <si>
    <t>Education and general</t>
  </si>
  <si>
    <t>Akademik</t>
  </si>
  <si>
    <t>Academic</t>
  </si>
  <si>
    <t>Dakwah &amp; sosial</t>
  </si>
  <si>
    <t>Propaganda and social</t>
  </si>
  <si>
    <t>Dukungan akademik</t>
  </si>
  <si>
    <t>Academic support</t>
  </si>
  <si>
    <t>Kegiatan dan layanan santri</t>
  </si>
  <si>
    <t>Student activities and services</t>
  </si>
  <si>
    <t>Dukungan institusi</t>
  </si>
  <si>
    <t>Institutional support</t>
  </si>
  <si>
    <t xml:space="preserve">Pemeliharan &amp; operasional plant </t>
  </si>
  <si>
    <t>Maintenance and operation of plant</t>
  </si>
  <si>
    <t>Bantuan keuangan santri</t>
  </si>
  <si>
    <t>Student financial aid</t>
  </si>
  <si>
    <t>Penjualan dan jasa</t>
  </si>
  <si>
    <t>Sales and service</t>
  </si>
  <si>
    <t>Layanan asrama</t>
  </si>
  <si>
    <t>Boarding services</t>
  </si>
  <si>
    <t>Penyusutan</t>
  </si>
  <si>
    <t>Depreciation</t>
  </si>
  <si>
    <t xml:space="preserve">Usaha pelengkap </t>
  </si>
  <si>
    <t>Beban lain lain &amp; kerugian</t>
  </si>
  <si>
    <t>Other expenses &amp; losses</t>
  </si>
  <si>
    <t>Jumlah beban dan kerugian</t>
  </si>
  <si>
    <t>Total expenses and losses</t>
  </si>
  <si>
    <t>Kenaikan ( penurunan )</t>
  </si>
  <si>
    <t>Increase  ( decrease )</t>
  </si>
  <si>
    <t>in unrestricted net assets</t>
  </si>
  <si>
    <t xml:space="preserve">Aset bersih tidak terikat </t>
  </si>
  <si>
    <t xml:space="preserve">Unrestricted net assets </t>
  </si>
  <si>
    <t>pada awal bulan</t>
  </si>
  <si>
    <t>at beginning of month</t>
  </si>
  <si>
    <t>Reklasifikasi</t>
  </si>
  <si>
    <t>Reclassification</t>
  </si>
  <si>
    <t>pada akhir bulan</t>
  </si>
  <si>
    <t>at end of month</t>
  </si>
  <si>
    <t>Catatan atas laporan keuangan merupakan bagian yang tidak terpisahkan dari laporan keuangan</t>
  </si>
  <si>
    <t>The accompanying notes form an integral part of these financial statements</t>
  </si>
  <si>
    <t xml:space="preserve"> 3</t>
  </si>
  <si>
    <t xml:space="preserve">LAPORAN PERUBAHAN ASET BERSIH </t>
  </si>
  <si>
    <t>STATEMENTS OF CHANGES IN  NET ASSETS</t>
  </si>
  <si>
    <t>Tidak terikat /</t>
  </si>
  <si>
    <t>Terikat temporer /</t>
  </si>
  <si>
    <t>Terikat permanen /</t>
  </si>
  <si>
    <t>Jumlah /</t>
  </si>
  <si>
    <t>Unrestricted</t>
  </si>
  <si>
    <t xml:space="preserve">Temporarily </t>
  </si>
  <si>
    <t>Permanently</t>
  </si>
  <si>
    <t>Total</t>
  </si>
  <si>
    <t xml:space="preserve"> restricted</t>
  </si>
  <si>
    <t>restricted</t>
  </si>
  <si>
    <t xml:space="preserve">Pendapatan dan keuntungan </t>
  </si>
  <si>
    <t>Revenues &amp; gains</t>
  </si>
  <si>
    <t>Pendapatan pendidikan</t>
  </si>
  <si>
    <t xml:space="preserve">Dikurangi : beasiswa </t>
  </si>
  <si>
    <t xml:space="preserve">Bantuan </t>
  </si>
  <si>
    <t>Penjualan &amp; layanan</t>
  </si>
  <si>
    <t>Penghasilan investasi</t>
  </si>
  <si>
    <t>Jumlah pendapatan dan keuntungan</t>
  </si>
  <si>
    <t>Total Revenues and gains</t>
  </si>
  <si>
    <t xml:space="preserve">Total revenues, gains </t>
  </si>
  <si>
    <t xml:space="preserve">   dan dukungan lain </t>
  </si>
  <si>
    <t xml:space="preserve">Kenaikan ( penurunan ) </t>
  </si>
  <si>
    <t>Aset bersih</t>
  </si>
  <si>
    <t xml:space="preserve"> net assets</t>
  </si>
  <si>
    <t>Aset bersih awal bulan</t>
  </si>
  <si>
    <t>Net assets at beginning of month</t>
  </si>
  <si>
    <t>Aset bersih akhir bulan</t>
  </si>
  <si>
    <t>Net assets at end of month</t>
  </si>
  <si>
    <t xml:space="preserve">                 4</t>
  </si>
  <si>
    <t>FINANCIAL STATEMENT JULY TO AUGUST 2015</t>
  </si>
  <si>
    <t>LAPORAN ARUS KAS</t>
  </si>
  <si>
    <t>STATEMENTS OF CASH FLOWS</t>
  </si>
  <si>
    <t>Uraian</t>
  </si>
  <si>
    <t>Description</t>
  </si>
  <si>
    <t>Arus kas dari aktivitas operasi</t>
  </si>
  <si>
    <t>Cash flows from operating activities</t>
  </si>
  <si>
    <t>Penerimaan kas dari :</t>
  </si>
  <si>
    <t>Cash receipt from :</t>
  </si>
  <si>
    <t>Pendidikan santri</t>
  </si>
  <si>
    <t>M41</t>
  </si>
  <si>
    <t>Sumbangan dan bantuan</t>
  </si>
  <si>
    <t>Contributions and grants</t>
  </si>
  <si>
    <t>M42</t>
  </si>
  <si>
    <t>Kas masuk usaha pelengkap</t>
  </si>
  <si>
    <t>Auxiliary enterprises cash in</t>
  </si>
  <si>
    <t>M43</t>
  </si>
  <si>
    <t>Student saving</t>
  </si>
  <si>
    <t>M44</t>
  </si>
  <si>
    <t>Pelunasan piutang lain lain</t>
  </si>
  <si>
    <t>Other receivable collected</t>
  </si>
  <si>
    <t>M45</t>
  </si>
  <si>
    <t>Penerimaan lain lain</t>
  </si>
  <si>
    <t>Others receipts</t>
  </si>
  <si>
    <t>M46</t>
  </si>
  <si>
    <t>Pembayaran kas kepada :</t>
  </si>
  <si>
    <t>Cash payment to :</t>
  </si>
  <si>
    <t>Pemasok</t>
  </si>
  <si>
    <t>Suppliers</t>
  </si>
  <si>
    <t>K51</t>
  </si>
  <si>
    <t>Karyawan</t>
  </si>
  <si>
    <t>Employee</t>
  </si>
  <si>
    <t>K52</t>
  </si>
  <si>
    <t>Santri</t>
  </si>
  <si>
    <t>Student</t>
  </si>
  <si>
    <t>K53</t>
  </si>
  <si>
    <t>Kas keluar usaha pelengkap</t>
  </si>
  <si>
    <t>Auxiliary enterprises cash out</t>
  </si>
  <si>
    <t xml:space="preserve">Pembayaran lain lain </t>
  </si>
  <si>
    <t>Others payment</t>
  </si>
  <si>
    <t>K54</t>
  </si>
  <si>
    <t>Kas bersih yang diperoleh dari</t>
  </si>
  <si>
    <t>Net cash provided by</t>
  </si>
  <si>
    <t>( digunakan untuk ) aktivitas operasi</t>
  </si>
  <si>
    <t xml:space="preserve"> ( used in ) operating activities</t>
  </si>
  <si>
    <t>Arus kas dari aktivitas investasi</t>
  </si>
  <si>
    <t>Cash flows from investing activities</t>
  </si>
  <si>
    <t>Perolehan Aset tetap</t>
  </si>
  <si>
    <t>Acquisition o fixed assets</t>
  </si>
  <si>
    <t>K50</t>
  </si>
  <si>
    <t>Hasil penjualan Aset tetap</t>
  </si>
  <si>
    <t>Proceeds from sale of fixed assets</t>
  </si>
  <si>
    <t>Pembelian investasi</t>
  </si>
  <si>
    <t>Purchase of invesment</t>
  </si>
  <si>
    <t>Hasil penjualan investasi</t>
  </si>
  <si>
    <t>Proceeds from sale of invesment</t>
  </si>
  <si>
    <t>( digunakan untuk ) aktivitas investasi</t>
  </si>
  <si>
    <t xml:space="preserve"> ( used in ) investing activities</t>
  </si>
  <si>
    <t>Arus kas dari aktivitas pendanaan</t>
  </si>
  <si>
    <t>Cash flows from financing activities</t>
  </si>
  <si>
    <t>Penerimaan kas dari sumbangan terikat untuk :</t>
  </si>
  <si>
    <t>Cash receipt from restricted contributions for :</t>
  </si>
  <si>
    <t>Investasi Aset tetap</t>
  </si>
  <si>
    <t>Invesment in fixed assets</t>
  </si>
  <si>
    <t>Program jangka panjang</t>
  </si>
  <si>
    <t>Long term purpose</t>
  </si>
  <si>
    <t>Biaya Penyusutan</t>
  </si>
  <si>
    <t>Pendapatan investasi terikat untuk</t>
  </si>
  <si>
    <t>Invesment income restricted for</t>
  </si>
  <si>
    <t>program jangka panjang</t>
  </si>
  <si>
    <t>Penerimaan pinjaman jangka panjang</t>
  </si>
  <si>
    <t>Cash receipts from long term loan</t>
  </si>
  <si>
    <t>Pembayaran bagi hasil</t>
  </si>
  <si>
    <t>Payment for profit sharing</t>
  </si>
  <si>
    <t>( digunakan untuk ) aktivitas pendanaan</t>
  </si>
  <si>
    <t xml:space="preserve"> ( used in ) financing activities</t>
  </si>
  <si>
    <t>Kenaikan ( penurunan ) bersih</t>
  </si>
  <si>
    <t>Net increase ( decrease ) in</t>
  </si>
  <si>
    <t>kas dan setara kas</t>
  </si>
  <si>
    <t>cash and cash equivalent</t>
  </si>
  <si>
    <t xml:space="preserve">Kas dan setara kas </t>
  </si>
  <si>
    <t xml:space="preserve">Cash and cash equivalent </t>
  </si>
  <si>
    <t>at beginning ot month</t>
  </si>
  <si>
    <t>Kas dan setara kas pada akhir bulan</t>
  </si>
  <si>
    <t>Cash and cash equivalent at end of month</t>
  </si>
  <si>
    <t xml:space="preserve">          5</t>
  </si>
  <si>
    <t>CATATAN ATAS LAPORAN KEUANGAN</t>
  </si>
  <si>
    <t>NOTES TO FINANCIAL STATEMENTS</t>
  </si>
  <si>
    <t>(lanjutan)</t>
  </si>
  <si>
    <t>(continued)</t>
  </si>
  <si>
    <t>1.</t>
  </si>
  <si>
    <t>IKHTISAR KEBIJAKAN AKUNTANSI YANG PENTING</t>
  </si>
  <si>
    <t>SUMMARY OF SIGNIFICANT ACCOUNTING POLICIES</t>
  </si>
  <si>
    <t>Laporan keuangan lembaga telah disusun dan diselesaikan pada 9 Agustus 2023</t>
  </si>
  <si>
    <t xml:space="preserve">Berikut ini adalah ikhtisar kebijakan akuntansi  penting yang diterapkan dalam </t>
  </si>
  <si>
    <t xml:space="preserve">penyusunan dan penyajian laporan keuangan lembaga , yang sesuai dengan prinsip </t>
  </si>
  <si>
    <t>preparing and presenting  the financial statements of the institution,  which are</t>
  </si>
  <si>
    <t>dan praktek akuntansi yang berlaku umum di Indonesia.</t>
  </si>
  <si>
    <t>in conformity with accounting principles and practices generally accepted</t>
  </si>
  <si>
    <t>in Indonesia.</t>
  </si>
  <si>
    <t>a.</t>
  </si>
  <si>
    <t>Dasar pengukuran dan penyusunan laporan keuangan</t>
  </si>
  <si>
    <t>Basis of measurement and preparation of the financial statements</t>
  </si>
  <si>
    <t>b.</t>
  </si>
  <si>
    <t>Cash and cash equivalents</t>
  </si>
  <si>
    <t>c.</t>
  </si>
  <si>
    <t>Piutang aktivitas dan lain lain</t>
  </si>
  <si>
    <t>Accounts and other receivables</t>
  </si>
  <si>
    <t>d.</t>
  </si>
  <si>
    <t>e.</t>
  </si>
  <si>
    <t>Aset tetap</t>
  </si>
  <si>
    <t>Fixed assets</t>
  </si>
  <si>
    <r>
      <rPr>
        <sz val="10"/>
        <rFont val="Times New Roman"/>
        <family val="1"/>
      </rPr>
      <t xml:space="preserve">Masa manfaat / </t>
    </r>
    <r>
      <rPr>
        <i/>
        <sz val="10"/>
        <rFont val="Times New Roman"/>
        <family val="1"/>
      </rPr>
      <t>Useful life</t>
    </r>
  </si>
  <si>
    <r>
      <rPr>
        <sz val="10"/>
        <rFont val="Times New Roman"/>
        <family val="1"/>
      </rPr>
      <t>Tahun /</t>
    </r>
    <r>
      <rPr>
        <i/>
        <sz val="10"/>
        <rFont val="Times New Roman"/>
        <family val="1"/>
      </rPr>
      <t xml:space="preserve"> Years</t>
    </r>
  </si>
  <si>
    <t xml:space="preserve">Gedung </t>
  </si>
  <si>
    <t>Building</t>
  </si>
  <si>
    <t>Infrastruktur</t>
  </si>
  <si>
    <t>5 - 20</t>
  </si>
  <si>
    <t>Infrastructure</t>
  </si>
  <si>
    <t>Mesin dan peralatan</t>
  </si>
  <si>
    <t>Mechine &amp; equipment</t>
  </si>
  <si>
    <t>Mebel dan perlengkapan</t>
  </si>
  <si>
    <t>Furniture &amp; fixture</t>
  </si>
  <si>
    <t>Kendaraan</t>
  </si>
  <si>
    <t>Vehicles</t>
  </si>
  <si>
    <t>Buku &amp; material perpustakaan</t>
  </si>
  <si>
    <t>Library books &amp; material</t>
  </si>
  <si>
    <t>Lain lain Aset tetap</t>
  </si>
  <si>
    <t>Other fixed assets</t>
  </si>
  <si>
    <t>f.</t>
  </si>
  <si>
    <t>Pengakuan pendapatan dan beban</t>
  </si>
  <si>
    <t>Revenue and Expense Recognition</t>
  </si>
  <si>
    <t xml:space="preserve">  6</t>
  </si>
  <si>
    <t>2.</t>
  </si>
  <si>
    <t>KAS DAN SETARA KAS</t>
  </si>
  <si>
    <t>CASH AND CASH EQUIVALENTS</t>
  </si>
  <si>
    <t>Akun ini terdiri dari :</t>
  </si>
  <si>
    <t>This account consists of :</t>
  </si>
  <si>
    <t>Kas</t>
  </si>
  <si>
    <t>Cash on hand</t>
  </si>
  <si>
    <t>Kas ditangan</t>
  </si>
  <si>
    <t>Cash - central</t>
  </si>
  <si>
    <t>1-1111</t>
  </si>
  <si>
    <t>Education Cash</t>
  </si>
  <si>
    <t>Cash - auxiliary enterprise</t>
  </si>
  <si>
    <t>1-1112</t>
  </si>
  <si>
    <t>Student Saving Cash</t>
  </si>
  <si>
    <t>.</t>
  </si>
  <si>
    <t>Bank</t>
  </si>
  <si>
    <t>Cash in bank</t>
  </si>
  <si>
    <t>1-1122</t>
  </si>
  <si>
    <t>Bank Central Asia (BCA) -</t>
  </si>
  <si>
    <t>Jumlah kas dan setara kas</t>
  </si>
  <si>
    <t>Total cash and cash equivalents</t>
  </si>
  <si>
    <t>3.</t>
  </si>
  <si>
    <t>PIUTANG AKTIFITAS - BERSIH</t>
  </si>
  <si>
    <t>ACCOUNT RECEIVABLE - NET</t>
  </si>
  <si>
    <t>Piutang biaya pendidikan</t>
  </si>
  <si>
    <t>Tuition and fee receivable</t>
  </si>
  <si>
    <t>Piutang santri</t>
  </si>
  <si>
    <t>Student receivable</t>
  </si>
  <si>
    <t>Piutang kafil</t>
  </si>
  <si>
    <t>Sponsor receivable</t>
  </si>
  <si>
    <t>Piutang santri keluar</t>
  </si>
  <si>
    <t>Exit student receivable</t>
  </si>
  <si>
    <t>Piutang tak tertagih - biaya pendidikan</t>
  </si>
  <si>
    <t>Uncollectible tuition and fee</t>
  </si>
  <si>
    <t>Penyisihan cadangan piutang tak tertagih</t>
  </si>
  <si>
    <t>Provision of uncollectable account</t>
  </si>
  <si>
    <t>Jumlah piutang biaya pendidikan - bersih</t>
  </si>
  <si>
    <t>Total tuition and fee receivable - net</t>
  </si>
  <si>
    <t>@</t>
  </si>
  <si>
    <t>Rincian piutang biaya pendidikan tersedia di lampiran 1</t>
  </si>
  <si>
    <t>The details of tuition and fee receivable available on appendix 1</t>
  </si>
  <si>
    <t>PIUTANG AKTIFITAS - BERSIH (lanjutan)</t>
  </si>
  <si>
    <t>ACCOUNT RECEIVABLE - NET (continued)</t>
  </si>
  <si>
    <t>Piutang sumbangan dan bantuan</t>
  </si>
  <si>
    <t>Contribution receivable</t>
  </si>
  <si>
    <t>Piutang tak tertagih - sumbangan dan janji</t>
  </si>
  <si>
    <t>Uncollectibe contribution and pladges</t>
  </si>
  <si>
    <t>Jumlah sumbangan - bersih</t>
  </si>
  <si>
    <t>Total contribution receivable - net</t>
  </si>
  <si>
    <t>Piutang usaha pelengkap</t>
  </si>
  <si>
    <t>Auxiliary enterprises receivable</t>
  </si>
  <si>
    <t>Financing receivable 2</t>
  </si>
  <si>
    <t>Financing receivable 1</t>
  </si>
  <si>
    <t>Mini market receivable</t>
  </si>
  <si>
    <t>Piutang tak tertagih - usaha pelengkap</t>
  </si>
  <si>
    <t xml:space="preserve">Uncollectible auxiliary enterprises </t>
  </si>
  <si>
    <t>Pendapatan ditangguhkan</t>
  </si>
  <si>
    <t>Deffered revenue</t>
  </si>
  <si>
    <t>Pembiayaan 1</t>
  </si>
  <si>
    <t>Financing 1</t>
  </si>
  <si>
    <t>Pembiayaan 2</t>
  </si>
  <si>
    <t>Financing 2</t>
  </si>
  <si>
    <t>Jumlah piutang usaha pelengkap - bersih</t>
  </si>
  <si>
    <t>Total auxiliary enterprises receivable - net</t>
  </si>
  <si>
    <t>Jumlah piutang aktivitas - bersih</t>
  </si>
  <si>
    <t>Total account receivable - net</t>
  </si>
  <si>
    <t>4.</t>
  </si>
  <si>
    <t>PIUTANG LAIN - LAIN - BERSIH</t>
  </si>
  <si>
    <t>OTHER RECEIVABLES - NET</t>
  </si>
  <si>
    <t>begin</t>
  </si>
  <si>
    <t>add</t>
  </si>
  <si>
    <t>end</t>
  </si>
  <si>
    <t>Piutang karyawan</t>
  </si>
  <si>
    <t>Employee receivable</t>
  </si>
  <si>
    <t>Pinjaman santri</t>
  </si>
  <si>
    <t>Student loans</t>
  </si>
  <si>
    <t>Piutang lain usaha pelengkap</t>
  </si>
  <si>
    <t>Auxiliary enterprises others receivable</t>
  </si>
  <si>
    <t xml:space="preserve">Keteranga dari AE adding other Rceivable </t>
  </si>
  <si>
    <t>Piutang Usaha lain</t>
  </si>
  <si>
    <t>Invesment income receivable</t>
  </si>
  <si>
    <t>Sale and service receivable</t>
  </si>
  <si>
    <t>Piutang pihak ke 3</t>
  </si>
  <si>
    <t>Third parties receivable</t>
  </si>
  <si>
    <t>Piutang lain lain tak tertagih</t>
  </si>
  <si>
    <t>Uncollectible other receivables</t>
  </si>
  <si>
    <t>Jumlah piutang lain lain - bersih</t>
  </si>
  <si>
    <t>Total other receivables - net</t>
  </si>
  <si>
    <t>Rincian piutang lain lain tersedia di lampiran 2</t>
  </si>
  <si>
    <t>The details of other recivables available on appendix 2</t>
  </si>
  <si>
    <t>5.</t>
  </si>
  <si>
    <t>PERSEDIAAN</t>
  </si>
  <si>
    <t>INVENTORIES</t>
  </si>
  <si>
    <t>Buku dan seragam</t>
  </si>
  <si>
    <t>Books and uniform</t>
  </si>
  <si>
    <t>Alat tulis kantor</t>
  </si>
  <si>
    <t>Stationary</t>
  </si>
  <si>
    <t>Obat - Obatan</t>
  </si>
  <si>
    <t>Medicines</t>
  </si>
  <si>
    <t>Perlengkapan</t>
  </si>
  <si>
    <t>Supllies</t>
  </si>
  <si>
    <t xml:space="preserve">Auxiliary enterprises </t>
  </si>
  <si>
    <t>Kantin 1</t>
  </si>
  <si>
    <t>Canteen 1</t>
  </si>
  <si>
    <t>Kantin 2</t>
  </si>
  <si>
    <t>Canteen 2</t>
  </si>
  <si>
    <t>Kantin 3</t>
  </si>
  <si>
    <t>Canteen 3</t>
  </si>
  <si>
    <t>Toko</t>
  </si>
  <si>
    <t>Shop</t>
  </si>
  <si>
    <t>Jumlah persediaan</t>
  </si>
  <si>
    <t>Total inventories</t>
  </si>
  <si>
    <t>Rincian persediaan tersedia di lampiran 3</t>
  </si>
  <si>
    <t>The details of inventories available on appendix 3</t>
  </si>
  <si>
    <t xml:space="preserve"> </t>
  </si>
  <si>
    <t>PAJAK DIBAYAR DIMUKA</t>
  </si>
  <si>
    <t>PREPAID TAX</t>
  </si>
  <si>
    <t>PPh 25</t>
  </si>
  <si>
    <t>Income tax article 25</t>
  </si>
  <si>
    <t>PPN - M yang belum difakturkan</t>
  </si>
  <si>
    <t>VAT - income have not invoiced</t>
  </si>
  <si>
    <t>PPN - M</t>
  </si>
  <si>
    <t xml:space="preserve">VAT - income </t>
  </si>
  <si>
    <t>Jumlah pajak dibayar dimuka</t>
  </si>
  <si>
    <t>Total prepaid tax</t>
  </si>
  <si>
    <t>8</t>
  </si>
  <si>
    <t>6.</t>
  </si>
  <si>
    <t>UANG MUKA</t>
  </si>
  <si>
    <t>ADVANCE PAYMENT</t>
  </si>
  <si>
    <t>Rincian uang muka adalah sebagai berikut :</t>
  </si>
  <si>
    <t>The details of advance payment are as follows :</t>
  </si>
  <si>
    <t>Tanggal Bayar</t>
  </si>
  <si>
    <t>Referensi:</t>
  </si>
  <si>
    <t>Mr. Suwardi - Security Uniform</t>
  </si>
  <si>
    <t>Embun tailor- Uniform Batik</t>
  </si>
  <si>
    <t>Perolehan Material Proyek</t>
  </si>
  <si>
    <t>Acquisition of Material Project</t>
  </si>
  <si>
    <t>Bpk. Joko Kurniawan - Proyek</t>
  </si>
  <si>
    <t>Bpk. Joko Kurniawan - project</t>
  </si>
  <si>
    <t>Acquisition of fixed assets</t>
  </si>
  <si>
    <t>Mr. Syukri - arrangement land certificate</t>
  </si>
  <si>
    <t>Lain -lain</t>
  </si>
  <si>
    <t>UTS Treasurer - Materials UAS</t>
  </si>
  <si>
    <t>Barang dagangan</t>
  </si>
  <si>
    <t>Goods for sale</t>
  </si>
  <si>
    <t>Kantin</t>
  </si>
  <si>
    <t>Canteen</t>
  </si>
  <si>
    <t xml:space="preserve">Jumlah uang muka </t>
  </si>
  <si>
    <t>Total advance payment</t>
  </si>
  <si>
    <t>7.</t>
  </si>
  <si>
    <t>BEBAN DIBAYAR DIMUKA</t>
  </si>
  <si>
    <t>PREPAID EXPENSES</t>
  </si>
  <si>
    <t>Rincian beban dibayar di muka adalah sebagai berikut :</t>
  </si>
  <si>
    <t>The details of prepaid expeses are as follows :</t>
  </si>
  <si>
    <t>Jumlah beban dibayar dimuka</t>
  </si>
  <si>
    <t>Total prepaid expenses</t>
  </si>
  <si>
    <t>8.</t>
  </si>
  <si>
    <t>ASET TETAP</t>
  </si>
  <si>
    <t>FIXED ASSETS</t>
  </si>
  <si>
    <t>Penambahan  /</t>
  </si>
  <si>
    <t>Pengurangan /</t>
  </si>
  <si>
    <t>Reklasifikasi /</t>
  </si>
  <si>
    <t>Descriptions</t>
  </si>
  <si>
    <t xml:space="preserve">Additions </t>
  </si>
  <si>
    <t xml:space="preserve">Deductions </t>
  </si>
  <si>
    <t>Reclassifications</t>
  </si>
  <si>
    <t>Harga perolehan</t>
  </si>
  <si>
    <t>Tanah</t>
  </si>
  <si>
    <t>Land</t>
  </si>
  <si>
    <t>Aset dalam penyelesaian</t>
  </si>
  <si>
    <t>Asset in progress</t>
  </si>
  <si>
    <t>Bangunan</t>
  </si>
  <si>
    <t>Non bangunan</t>
  </si>
  <si>
    <t>Non building</t>
  </si>
  <si>
    <t>Jumlah harga perolehan</t>
  </si>
  <si>
    <t>Total acquisition cost</t>
  </si>
  <si>
    <t>Akumulasi penyusutan</t>
  </si>
  <si>
    <t>Jumlah akumulasi penyusutan</t>
  </si>
  <si>
    <t>Total accumulated depreciation</t>
  </si>
  <si>
    <t>Nilai buku bersih</t>
  </si>
  <si>
    <t>Net books value</t>
  </si>
  <si>
    <t>ASET TETAP (lanjutan)</t>
  </si>
  <si>
    <t>FIXED ASSETS (continued)</t>
  </si>
  <si>
    <t>7</t>
  </si>
  <si>
    <t>Rincian Aset tetap tersedia di lampiran 4</t>
  </si>
  <si>
    <t>The details of fixed assets available on appendix 4</t>
  </si>
  <si>
    <t>10</t>
  </si>
  <si>
    <t>9.</t>
  </si>
  <si>
    <t>ASET LAIN LAIN</t>
  </si>
  <si>
    <t>OTHERS ASSETS</t>
  </si>
  <si>
    <t>Rincian Aset lain lain adalah sebagai berikut :</t>
  </si>
  <si>
    <t>The details of others assets are as follows :</t>
  </si>
  <si>
    <t>Uang jaminan</t>
  </si>
  <si>
    <t>Guarantee deposits</t>
  </si>
  <si>
    <t>1-8111</t>
  </si>
  <si>
    <t>Guarantee - PLN</t>
  </si>
  <si>
    <t>Jaminan listrik 13900 VA 2 unit Asrama MTW</t>
  </si>
  <si>
    <t>Al Qur'an education guarantee</t>
  </si>
  <si>
    <t xml:space="preserve">Aset yang tidak digunakan dalam operasi </t>
  </si>
  <si>
    <t>Asset not used in operation</t>
  </si>
  <si>
    <t>Kasur</t>
  </si>
  <si>
    <t>Mattress</t>
  </si>
  <si>
    <t>Beban yang ditangguhhkan</t>
  </si>
  <si>
    <t>Deferred charges</t>
  </si>
  <si>
    <t>Beban Penerimaan Santri Baru (PSB)</t>
  </si>
  <si>
    <t xml:space="preserve">expense Regristation new student </t>
  </si>
  <si>
    <t>Aset neto ex.wartel</t>
  </si>
  <si>
    <t>Aset neto ex. Wartel</t>
  </si>
  <si>
    <t>Aset neto ex. Stationary</t>
  </si>
  <si>
    <t>Jumlah Aset lain lain</t>
  </si>
  <si>
    <t>Total other assets</t>
  </si>
  <si>
    <t>HUTANG AKTIVITAS</t>
  </si>
  <si>
    <t>ACCOUNT PAYABLES</t>
  </si>
  <si>
    <t>Rincian hutang aktivitas adalah sebagai berikut :</t>
  </si>
  <si>
    <t>The details of account payable are as follows :</t>
  </si>
  <si>
    <t>Hutang pendidikan</t>
  </si>
  <si>
    <t>Education paybles</t>
  </si>
  <si>
    <t>Buku &amp; seragam</t>
  </si>
  <si>
    <t xml:space="preserve">Books and uniform </t>
  </si>
  <si>
    <t>2-1115</t>
  </si>
  <si>
    <t>Erlangga</t>
  </si>
  <si>
    <t>PT Erlangga</t>
  </si>
  <si>
    <t>2-1116</t>
  </si>
  <si>
    <t>Yudistira</t>
  </si>
  <si>
    <t>PT Yudistira</t>
  </si>
  <si>
    <t>2-1117</t>
  </si>
  <si>
    <t>Grasindo</t>
  </si>
  <si>
    <t>2-1118</t>
  </si>
  <si>
    <t>Aneka Ilmu</t>
  </si>
  <si>
    <t>2-1119</t>
  </si>
  <si>
    <t>Permata</t>
  </si>
  <si>
    <t>Keperluan dapur</t>
  </si>
  <si>
    <t>Kitchen supplies</t>
  </si>
  <si>
    <t>Supplier of LPG gas</t>
  </si>
  <si>
    <t xml:space="preserve">Darmini </t>
  </si>
  <si>
    <t>Rofi</t>
  </si>
  <si>
    <t>Keperluan lain pendidikan</t>
  </si>
  <si>
    <t>Other education supplies</t>
  </si>
  <si>
    <t>Auxiliary enterprises paybles</t>
  </si>
  <si>
    <t>PT. Telkom</t>
  </si>
  <si>
    <t>Canteen 1 supplier</t>
  </si>
  <si>
    <t>Supplier kantin 3</t>
  </si>
  <si>
    <t>Canteen 3 supplier</t>
  </si>
  <si>
    <t>Supplier kantin 4</t>
  </si>
  <si>
    <t>Canteen 4 supplier</t>
  </si>
  <si>
    <t>Supplier mini market</t>
  </si>
  <si>
    <t xml:space="preserve">Minimarket supplier </t>
  </si>
  <si>
    <t>Keperluan lain usaha pelengkap</t>
  </si>
  <si>
    <t>Other auxiliary enterprises supplies</t>
  </si>
  <si>
    <t>2-1141</t>
  </si>
  <si>
    <t>Toko Ambar Sari -Tengaran</t>
  </si>
  <si>
    <t>Toko Ambarsari</t>
  </si>
  <si>
    <t>Ambarsari store</t>
  </si>
  <si>
    <t>2-1142</t>
  </si>
  <si>
    <t>Toko Murah -Tengaran</t>
  </si>
  <si>
    <t>Toko Murah</t>
  </si>
  <si>
    <t>Murah store</t>
  </si>
  <si>
    <t>2-1143</t>
  </si>
  <si>
    <t>Khoirul mebel - Salatiga</t>
  </si>
  <si>
    <t>Toko Elang Muda</t>
  </si>
  <si>
    <t>Elang Muda Store</t>
  </si>
  <si>
    <t>2-1144</t>
  </si>
  <si>
    <t>Syahrul besi - Klaten</t>
  </si>
  <si>
    <t>2-1145</t>
  </si>
  <si>
    <t>2-1146</t>
  </si>
  <si>
    <t>2-1147</t>
  </si>
  <si>
    <t>Jumlah hutang aktivitas</t>
  </si>
  <si>
    <t>Total account paybles</t>
  </si>
  <si>
    <t>10.</t>
  </si>
  <si>
    <t>HUTANG TITIPAN</t>
  </si>
  <si>
    <t>DEPOSIT PAYABLES</t>
  </si>
  <si>
    <t>Tuition and fees deposits</t>
  </si>
  <si>
    <t>Student deposits</t>
  </si>
  <si>
    <t>Sponsor deposits</t>
  </si>
  <si>
    <t>Other tuition and fees deposit</t>
  </si>
  <si>
    <t>Estimate books and uniform tuition</t>
  </si>
  <si>
    <t>Rincian titipan uang pendidikan tersedia di lampiran 5</t>
  </si>
  <si>
    <t>The details of tuition and fees available on appendix 5</t>
  </si>
  <si>
    <t>Auxiliary enterprises deposits</t>
  </si>
  <si>
    <t>Simpanan anggota koperasi</t>
  </si>
  <si>
    <t>Cooperation member deposit</t>
  </si>
  <si>
    <t>Titipan SHU</t>
  </si>
  <si>
    <t>SHU Deposit</t>
  </si>
  <si>
    <t xml:space="preserve">Bunga bank </t>
  </si>
  <si>
    <t>Bank interest</t>
  </si>
  <si>
    <t xml:space="preserve">Dana kantin 2 </t>
  </si>
  <si>
    <t>Fund of Canteen 2</t>
  </si>
  <si>
    <t>Titipan lain lain</t>
  </si>
  <si>
    <t>Other deposit</t>
  </si>
  <si>
    <t>Bank transfer</t>
  </si>
  <si>
    <t>Excess payment</t>
  </si>
  <si>
    <t>Bunga bank</t>
  </si>
  <si>
    <t>Titipan Dana Sosial</t>
  </si>
  <si>
    <t>Aid prosperity from government</t>
  </si>
  <si>
    <t>Rincian titipan lain lain tersedia di lampiran 6</t>
  </si>
  <si>
    <t>The details of other deposit available on appendix 6</t>
  </si>
  <si>
    <t>Jumlah hutang titipan</t>
  </si>
  <si>
    <t>Total deposits paybles</t>
  </si>
  <si>
    <t>11</t>
  </si>
  <si>
    <t>12.</t>
  </si>
  <si>
    <t>HUTANG LAIN - LAIN</t>
  </si>
  <si>
    <t>OTHER PAYABLES</t>
  </si>
  <si>
    <t>Profit sharing paybles</t>
  </si>
  <si>
    <t>Employee paybles</t>
  </si>
  <si>
    <t>Hutang pihak ke 3</t>
  </si>
  <si>
    <t>Third parties paybles</t>
  </si>
  <si>
    <t>Hutang lain lain usaha pelengkap</t>
  </si>
  <si>
    <t>Auxiliary enterprises other payble</t>
  </si>
  <si>
    <t>Jumlah hutang lain lain</t>
  </si>
  <si>
    <t>Total other paybles</t>
  </si>
  <si>
    <t>Rincian hutang lain lain tersedia di lampiran 7</t>
  </si>
  <si>
    <t>The details of others paybles available on appendix 7</t>
  </si>
  <si>
    <t>13.</t>
  </si>
  <si>
    <t xml:space="preserve">HUTANG PAJAK </t>
  </si>
  <si>
    <t>TAX PAYABLE</t>
  </si>
  <si>
    <t>PPH Pasal 21</t>
  </si>
  <si>
    <t>Tax Income 21</t>
  </si>
  <si>
    <t>Hutang pajak - PPh Ps 1 (4)</t>
  </si>
  <si>
    <t>Tax Payable - PPh 1 (4)</t>
  </si>
  <si>
    <t>11.</t>
  </si>
  <si>
    <t>PENDAPATAN DITERIMA DIMUKA</t>
  </si>
  <si>
    <t>UNEARNED REVENUE</t>
  </si>
  <si>
    <t>Rincian Pendapatan diterima dimuka adalah sebagai berikut :</t>
  </si>
  <si>
    <t>The details of unearned revenue are as follows :</t>
  </si>
  <si>
    <t>Pengakuan pendapatan pendaftaran PSB</t>
  </si>
  <si>
    <t>21 22</t>
  </si>
  <si>
    <t>22 23</t>
  </si>
  <si>
    <t>Qty</t>
  </si>
  <si>
    <t>Jumlah</t>
  </si>
  <si>
    <t>Mtw</t>
  </si>
  <si>
    <t>Titipan Pendaftaran PSB &amp; pendapatan diterima di muka</t>
  </si>
  <si>
    <t>Team New Student -</t>
  </si>
  <si>
    <t>Cek</t>
  </si>
  <si>
    <t>IL</t>
  </si>
  <si>
    <t>15.</t>
  </si>
  <si>
    <t>BEBAN MASIH HARUS DIBAYAR</t>
  </si>
  <si>
    <t>ACCRUED EXPENSES</t>
  </si>
  <si>
    <t>Rincian beban masih harus dibayar adalah sebagai berikut :</t>
  </si>
  <si>
    <t>The details of accrued expenses are as follows :</t>
  </si>
  <si>
    <t>Gaji dan lembur</t>
  </si>
  <si>
    <t>Salary and overtime</t>
  </si>
  <si>
    <t>Jumlah beban masih harus dibayar</t>
  </si>
  <si>
    <t>Total accrued expenses</t>
  </si>
  <si>
    <t>PINJAMAN JANGKA PANJANG</t>
  </si>
  <si>
    <t>LONG TERM LOAN</t>
  </si>
  <si>
    <t xml:space="preserve">ASET BERSIH TIDAK TERIKAT </t>
  </si>
  <si>
    <t>UNRESTRICTED NET ASSETS</t>
  </si>
  <si>
    <t>Rincian dan perubahan Aset bersih tidak terikat</t>
  </si>
  <si>
    <t xml:space="preserve">The details and changes of unrestricted net assets </t>
  </si>
  <si>
    <t>Saldo /</t>
  </si>
  <si>
    <t>Kenaikan</t>
  </si>
  <si>
    <t>Balance</t>
  </si>
  <si>
    <t>( penurunan )  /</t>
  </si>
  <si>
    <t>Increase</t>
  </si>
  <si>
    <t>( Decrease )</t>
  </si>
  <si>
    <t>Control Aset tidal teriakt</t>
  </si>
  <si>
    <t xml:space="preserve">Tidak ditentukan penggunaanya </t>
  </si>
  <si>
    <t>Aset bersih tidak terikat awal tahun</t>
  </si>
  <si>
    <t>Unrestricted assets at beginning of year</t>
  </si>
  <si>
    <t>Perubahan Aset bersih tidak terikat tahun berjalan</t>
  </si>
  <si>
    <t>Changes in unrestricted net assets in current year</t>
  </si>
  <si>
    <t>Alokasi dana</t>
  </si>
  <si>
    <t>Allocation of fund</t>
  </si>
  <si>
    <t>Operasional usaha pelengkap</t>
  </si>
  <si>
    <t>Operational of auxiliary enterprises</t>
  </si>
  <si>
    <t>Dana untuk gedung</t>
  </si>
  <si>
    <t>Designed for building fund</t>
  </si>
  <si>
    <t>Di investasikan ke Aset tetap</t>
  </si>
  <si>
    <t>Invested in fixed assets</t>
  </si>
  <si>
    <t>Modal</t>
  </si>
  <si>
    <t>Capital</t>
  </si>
  <si>
    <t>Saldo laba</t>
  </si>
  <si>
    <t>Return earning</t>
  </si>
  <si>
    <t>Profit sharing &amp; expenses allocation January - June 2013</t>
  </si>
  <si>
    <t>Laba ( rugi ) tahun berjalan</t>
  </si>
  <si>
    <t>Net income ( loss ) for current year</t>
  </si>
  <si>
    <t>Pendapatan tahun berjalan</t>
  </si>
  <si>
    <t>Revenue for current year</t>
  </si>
  <si>
    <t>Beban dan kerugian tahun berjalan</t>
  </si>
  <si>
    <t>Expenses and losses for current year</t>
  </si>
  <si>
    <t>Koreksi laba amin mart</t>
  </si>
  <si>
    <t>Profit  correction for amin mart</t>
  </si>
  <si>
    <t>Profit sharing &amp; expenses allocation July - December 2013</t>
  </si>
  <si>
    <t>Dana gedung santri TP.19/20</t>
  </si>
  <si>
    <t>Dana gedung santri TP.20/21</t>
  </si>
  <si>
    <t>Dana gedung santri TP.21/22</t>
  </si>
  <si>
    <t>Dana gedung santri TP.22/23</t>
  </si>
  <si>
    <t>Lain lain dari dana tidak ditentukan penggunaanya</t>
  </si>
  <si>
    <t>Others from unappropriated fund</t>
  </si>
  <si>
    <t>Realisasi pembangunan gedung</t>
  </si>
  <si>
    <t>Realized buiding project</t>
  </si>
  <si>
    <t>Di investasikan ke aset tetap - bersih</t>
  </si>
  <si>
    <t xml:space="preserve">Net - investment in fixed assets </t>
  </si>
  <si>
    <t>Perolehan dari dana gedung</t>
  </si>
  <si>
    <t>Acquisition from building fund</t>
  </si>
  <si>
    <t>Perolehan dari dana tidak ditentukan penggunaanya</t>
  </si>
  <si>
    <t>Acquisition from unppropriated fund</t>
  </si>
  <si>
    <t>Jumlah Aset bersih tidak terikat</t>
  </si>
  <si>
    <t>Total unrestricted net assets</t>
  </si>
  <si>
    <t>ASET BERSIH TIDAK TERIKAT  (lanjutan)</t>
  </si>
  <si>
    <t>UNRESTRICTED NET ASSETS (continued)</t>
  </si>
  <si>
    <t>ASET BERSIH TERIKAT</t>
  </si>
  <si>
    <t>RESTRICTED NET ASSETS</t>
  </si>
  <si>
    <t>adalah sebagai berikut :</t>
  </si>
  <si>
    <t>are as follows :</t>
  </si>
  <si>
    <t>Penambahan /</t>
  </si>
  <si>
    <t>Pembebasan dari</t>
  </si>
  <si>
    <t>Additions</t>
  </si>
  <si>
    <t>pembatasan /</t>
  </si>
  <si>
    <t>Penambahan</t>
  </si>
  <si>
    <t>Pengurangan</t>
  </si>
  <si>
    <t>Release  from</t>
  </si>
  <si>
    <t>Pembebasan /</t>
  </si>
  <si>
    <t>restriction</t>
  </si>
  <si>
    <t>Release</t>
  </si>
  <si>
    <t>TERIKAT TEMPORER</t>
  </si>
  <si>
    <t>TEMPORARILY RESTRICTIONS</t>
  </si>
  <si>
    <t>Sumbangan dan pendapatan investasi terikat temporer untuk :</t>
  </si>
  <si>
    <t>Temporary restriction contribution and invesment income for :</t>
  </si>
  <si>
    <t>Terikat program</t>
  </si>
  <si>
    <t>BOS SDITQ - Diknas</t>
  </si>
  <si>
    <t>BOS MTS - Depag</t>
  </si>
  <si>
    <t>BOOM MA - Depag</t>
  </si>
  <si>
    <t>Dakwah dan sosial</t>
  </si>
  <si>
    <t>Dana kurban - Idul Adha</t>
  </si>
  <si>
    <t>Sacrifice fund - Idul Adha</t>
  </si>
  <si>
    <t>Zakat maal</t>
  </si>
  <si>
    <t>Ifthor ramadan</t>
  </si>
  <si>
    <t>Breaking fasting ramadan</t>
  </si>
  <si>
    <t>Sosial</t>
  </si>
  <si>
    <t>Social</t>
  </si>
  <si>
    <t>Bantuan keungan santri</t>
  </si>
  <si>
    <t>Beasiswa</t>
  </si>
  <si>
    <t>Scholarship</t>
  </si>
  <si>
    <t>Santri yatim</t>
  </si>
  <si>
    <t>Fatherless student</t>
  </si>
  <si>
    <t>for scholarship</t>
  </si>
  <si>
    <t>Terikat perolehan aset tetap</t>
  </si>
  <si>
    <t>Fixed asset acquisition restriction</t>
  </si>
  <si>
    <t xml:space="preserve">Perolehan peralatan </t>
  </si>
  <si>
    <t>Equipment acquisition</t>
  </si>
  <si>
    <t>Perolehan gedung</t>
  </si>
  <si>
    <t>Building acquisition</t>
  </si>
  <si>
    <t>TERIKAT PERMANEN</t>
  </si>
  <si>
    <t>PERMANENTLY RESTRICTIONS</t>
  </si>
  <si>
    <t>Sumbangan terikat permanen untuk :</t>
  </si>
  <si>
    <t>Permanently restriction contribution for :</t>
  </si>
  <si>
    <t>Jumlah Aset bersih terikat</t>
  </si>
  <si>
    <t>Total restricted net asset</t>
  </si>
  <si>
    <t>Rincian Aset bersih terikat tersedia di lampiran 8</t>
  </si>
  <si>
    <t>The details of restricted net assets available on appendix 8</t>
  </si>
  <si>
    <t>9</t>
  </si>
  <si>
    <t>ASET BERSIH TERIKAT (lanjutan)</t>
  </si>
  <si>
    <t>RESTRICTED NET ASSETS (continued)</t>
  </si>
  <si>
    <t>Terikat perolehan Aset tetap</t>
  </si>
  <si>
    <t>14.</t>
  </si>
  <si>
    <t>KLASIFIKASI BEBAN DAN KERUGIAN MENURUT SIFATNYA</t>
  </si>
  <si>
    <t>EXPENSES AND LOSSES BY NATURAL CLASSIFIACTION</t>
  </si>
  <si>
    <t xml:space="preserve">Beban dan kerugian lembaga disajikan menurut klasifikasi fungsional </t>
  </si>
  <si>
    <t>The institute expenses and loss are presented base on fuctional classification.</t>
  </si>
  <si>
    <t>Beban dan kerugian berdasarkan klasifikasi sifatnya adalah sebagai berikut :</t>
  </si>
  <si>
    <t>The expenses and loss by natural classification are as follows :</t>
  </si>
  <si>
    <t>1SL</t>
  </si>
  <si>
    <t>Total expenses and loss</t>
  </si>
  <si>
    <t>Rincian beban dan kerugian menurut klasifikasi sifat dengan klasifikasi fungsional tersedia di lampiran 11</t>
  </si>
  <si>
    <t>The details of expenses and losses by natural classification with fuctional classification available on appendix 11</t>
  </si>
  <si>
    <t>II.  GRAFIK PERUBAHAN ASET BERSIH TIDAK TERIKAT / GRAPHIC OF CHANGES IN UNRESTRICTED NET ASSETS</t>
  </si>
  <si>
    <t>Uraian /</t>
  </si>
  <si>
    <t>Pendapatan, keuntungan &amp; dukungan lain /</t>
  </si>
  <si>
    <t>Revenues,  gains &amp; others support</t>
  </si>
  <si>
    <t>Beban &amp; kerugian /</t>
  </si>
  <si>
    <t>Expenses &amp; losses</t>
  </si>
  <si>
    <t>Kenaikan ( penurunan ) /</t>
  </si>
  <si>
    <t>Increase ( decrease )</t>
  </si>
  <si>
    <t xml:space="preserve">        1</t>
  </si>
  <si>
    <t>PIAT 2 MAJALENGKA</t>
  </si>
  <si>
    <t>Blok Jombol RT.02 RW. 06 Bo. 094 Desa Dawuan Kecamatan Dawuan Kabupaten Majalengka Jawa Barat 45453</t>
  </si>
  <si>
    <t>Indonesia</t>
  </si>
  <si>
    <t>Balance Sheet</t>
  </si>
  <si>
    <t>1-0000</t>
  </si>
  <si>
    <t>1-1000</t>
  </si>
  <si>
    <t>CURRENT ASSET</t>
  </si>
  <si>
    <t>1-1100</t>
  </si>
  <si>
    <t>CASH AND CASH EQUIVALENT</t>
  </si>
  <si>
    <t>Cash on Hand</t>
  </si>
  <si>
    <t>Saving Student</t>
  </si>
  <si>
    <t>1-1121</t>
  </si>
  <si>
    <t>1-1123</t>
  </si>
  <si>
    <t>1-1124</t>
  </si>
  <si>
    <t>1-1125</t>
  </si>
  <si>
    <t>1-1126</t>
  </si>
  <si>
    <t>1-1127</t>
  </si>
  <si>
    <t>Total CASH AND CASH EQUIVALENT</t>
  </si>
  <si>
    <t>1-1300</t>
  </si>
  <si>
    <t>ACCOUNT RECEIVABLE - ACTIVITIE</t>
  </si>
  <si>
    <t>1-1312</t>
  </si>
  <si>
    <t>AR Student - MTS</t>
  </si>
  <si>
    <t>1-1313</t>
  </si>
  <si>
    <t>AR Student - MA</t>
  </si>
  <si>
    <t>1-1314</t>
  </si>
  <si>
    <t>AR Student - IL</t>
  </si>
  <si>
    <t>1-1331</t>
  </si>
  <si>
    <t>AR ex Exit Student</t>
  </si>
  <si>
    <t>Total ACCOUNT RECEIVABLE - ACTIVITIE</t>
  </si>
  <si>
    <t>1-1400</t>
  </si>
  <si>
    <t>ACCOUNT RECEIVABLE - OTHER</t>
  </si>
  <si>
    <t>1-1411</t>
  </si>
  <si>
    <t>O/R Employee Loan</t>
  </si>
  <si>
    <t>1-1422</t>
  </si>
  <si>
    <t>O/R Student Sell &amp; Service</t>
  </si>
  <si>
    <t>Total ACCOUNT RECEIVABLE - OTHER</t>
  </si>
  <si>
    <t>Total CURRENT ASSET</t>
  </si>
  <si>
    <t>1-2000</t>
  </si>
  <si>
    <t>NON CURRENT ASSETS</t>
  </si>
  <si>
    <t>1-2300</t>
  </si>
  <si>
    <t>FIXED ASSET</t>
  </si>
  <si>
    <t>1-2311</t>
  </si>
  <si>
    <t>1-2312</t>
  </si>
  <si>
    <t>Building - Class &amp; Office</t>
  </si>
  <si>
    <t>1-2330</t>
  </si>
  <si>
    <t>Equipment</t>
  </si>
  <si>
    <t>1-2331</t>
  </si>
  <si>
    <t>Equipment-Computer &amp; Audio Vis</t>
  </si>
  <si>
    <t>1-2340</t>
  </si>
  <si>
    <t>Furniture and Fixture</t>
  </si>
  <si>
    <t>1-2350</t>
  </si>
  <si>
    <t>Vehicle</t>
  </si>
  <si>
    <t>1-2393</t>
  </si>
  <si>
    <t>Fixed Asset in Progress</t>
  </si>
  <si>
    <t>Total FIXED ASSET</t>
  </si>
  <si>
    <t>1-2400</t>
  </si>
  <si>
    <t>ACCUMULATED DEPRECIATION FIXED</t>
  </si>
  <si>
    <t>1-2410</t>
  </si>
  <si>
    <t>Acc. Depreciation Building</t>
  </si>
  <si>
    <t>1-2430</t>
  </si>
  <si>
    <t>Acc. Depreciation Equiment</t>
  </si>
  <si>
    <t>1-2440</t>
  </si>
  <si>
    <t>Acc.Dep. Furniture &amp; Fixture</t>
  </si>
  <si>
    <t>1-2450</t>
  </si>
  <si>
    <t>Accumulat Depreciation Vahicle</t>
  </si>
  <si>
    <t>Total ACCUMULATED DEPRECIATION FIXED</t>
  </si>
  <si>
    <t>Total NON CURRENT ASSETS</t>
  </si>
  <si>
    <t>2-0000</t>
  </si>
  <si>
    <t>Liabilities</t>
  </si>
  <si>
    <t>2-1000</t>
  </si>
  <si>
    <t>CURRENT LIABILITIES</t>
  </si>
  <si>
    <t>2-1200</t>
  </si>
  <si>
    <t>DEPOSIT FUND</t>
  </si>
  <si>
    <t>2-1211</t>
  </si>
  <si>
    <t>2-1212</t>
  </si>
  <si>
    <t>Student Deposit Tuition &amp; Fee</t>
  </si>
  <si>
    <t>2-1243</t>
  </si>
  <si>
    <t>2-1247</t>
  </si>
  <si>
    <t>2-1248</t>
  </si>
  <si>
    <t>Interest BNI - Rp.</t>
  </si>
  <si>
    <t>2-1251</t>
  </si>
  <si>
    <t>BCA Tranfers In - pending</t>
  </si>
  <si>
    <t>2-1290</t>
  </si>
  <si>
    <t>DF Others</t>
  </si>
  <si>
    <t>2-1292</t>
  </si>
  <si>
    <t>Total DEPOSIT FUND</t>
  </si>
  <si>
    <t>Total CURRENT LIABILITIES</t>
  </si>
  <si>
    <t>Total Liabilities</t>
  </si>
  <si>
    <t>3-0000</t>
  </si>
  <si>
    <t>Equity</t>
  </si>
  <si>
    <t>3-1000</t>
  </si>
  <si>
    <t>NET ASSETS UNRESTRICTED</t>
  </si>
  <si>
    <t>3-1100</t>
  </si>
  <si>
    <t>ENDING BALANCE EDUCATION YEAR</t>
  </si>
  <si>
    <t>3-1114</t>
  </si>
  <si>
    <t>Unrestricted NA for O to 22/23</t>
  </si>
  <si>
    <t>3-1212</t>
  </si>
  <si>
    <t>Current Year Earnings</t>
  </si>
  <si>
    <t>Total ENDING BALANCE EDUCATION YEAR</t>
  </si>
  <si>
    <t>Total NET ASSETS UNRESTRICTED</t>
  </si>
  <si>
    <t>3-2000</t>
  </si>
  <si>
    <t>TEMPORARY RESTRICTED PROGRAM</t>
  </si>
  <si>
    <t>3-2100</t>
  </si>
  <si>
    <t>ENDING BALANCE PREVIOUS YEAR</t>
  </si>
  <si>
    <t>3-2123</t>
  </si>
  <si>
    <t>TR Progra Ifthor Previous Year</t>
  </si>
  <si>
    <t>3-2130</t>
  </si>
  <si>
    <t>Support Service</t>
  </si>
  <si>
    <t>Total ENDING BALANCE PREVIOUS YEAR</t>
  </si>
  <si>
    <t>Total TEMPORARY RESTRICTED PROGRAM</t>
  </si>
  <si>
    <t>3-3000</t>
  </si>
  <si>
    <t>TEMPORARY RESTRICTED ACQUISITI</t>
  </si>
  <si>
    <t>3-3100</t>
  </si>
  <si>
    <t>3-3111</t>
  </si>
  <si>
    <t>3-3112</t>
  </si>
  <si>
    <t>3-3113</t>
  </si>
  <si>
    <t>3-3115</t>
  </si>
  <si>
    <t>3-3300</t>
  </si>
  <si>
    <t>INCOME TO THIS MONTH</t>
  </si>
  <si>
    <t>3-3319</t>
  </si>
  <si>
    <t>Revenue TR FA Others Current M</t>
  </si>
  <si>
    <t>Total INCOME TO THIS MONTH</t>
  </si>
  <si>
    <t>Total TEMPORARY RESTRICTED ACQUISITI</t>
  </si>
  <si>
    <t>Total Equity</t>
  </si>
  <si>
    <t xml:space="preserve">Kas tabungan </t>
  </si>
  <si>
    <t>Cash - saving student</t>
  </si>
  <si>
    <t>1-1110</t>
  </si>
  <si>
    <t>CASH OF EDUCATION</t>
  </si>
  <si>
    <t>1-1113</t>
  </si>
  <si>
    <t>Petty Cash - BOS SDITQ</t>
  </si>
  <si>
    <t>1-1114</t>
  </si>
  <si>
    <t>Petty Cash - BOS MTS</t>
  </si>
  <si>
    <t>1-1115</t>
  </si>
  <si>
    <t>Petty Cash - BOS MA</t>
  </si>
  <si>
    <t>1-1116</t>
  </si>
  <si>
    <t>Undeposited Funds</t>
  </si>
  <si>
    <t>1-1117</t>
  </si>
  <si>
    <t>Electronic Clearing Account</t>
  </si>
  <si>
    <t>1-1118</t>
  </si>
  <si>
    <t>1-1119</t>
  </si>
  <si>
    <t>Petty Cash - Other</t>
  </si>
  <si>
    <t>1-1120</t>
  </si>
  <si>
    <t>Bank Of Education</t>
  </si>
  <si>
    <t>1-1128</t>
  </si>
  <si>
    <t>Bank Jateng SDITQ</t>
  </si>
  <si>
    <t>1-1129</t>
  </si>
  <si>
    <t>BRI - MTS</t>
  </si>
  <si>
    <t>1-1130</t>
  </si>
  <si>
    <t>1-1131</t>
  </si>
  <si>
    <t>BRI - MA</t>
  </si>
  <si>
    <t>1-1132</t>
  </si>
  <si>
    <t>BRI - BOS Poor Student</t>
  </si>
  <si>
    <t>1-1133</t>
  </si>
  <si>
    <t>Mandiri BOS MA</t>
  </si>
  <si>
    <t>1-1134</t>
  </si>
  <si>
    <t>Bank Jateng Syariah</t>
  </si>
  <si>
    <t>1-1139</t>
  </si>
  <si>
    <t>Other Education Bank</t>
  </si>
  <si>
    <t>1-1151</t>
  </si>
  <si>
    <t>Cheque Account</t>
  </si>
  <si>
    <t>1-1152</t>
  </si>
  <si>
    <t>1-1153</t>
  </si>
  <si>
    <t>1-1200</t>
  </si>
  <si>
    <t>Short Term Capital Investment</t>
  </si>
  <si>
    <t>1-1210</t>
  </si>
  <si>
    <t>STCI - Comercial Paper At PT</t>
  </si>
  <si>
    <t>1-1220</t>
  </si>
  <si>
    <t>STCI - Stock at PT X</t>
  </si>
  <si>
    <t>1-1230</t>
  </si>
  <si>
    <t>Loan Certificate Investment</t>
  </si>
  <si>
    <t>1-1240</t>
  </si>
  <si>
    <t>Trade Debtors</t>
  </si>
  <si>
    <t>1-1290</t>
  </si>
  <si>
    <t>Other securities</t>
  </si>
  <si>
    <t>Total Short Term Capital Investment</t>
  </si>
  <si>
    <t>1-1310</t>
  </si>
  <si>
    <t>AR Tuitoan and Fee</t>
  </si>
  <si>
    <t>1-1311</t>
  </si>
  <si>
    <t>AR Student - SDITQ</t>
  </si>
  <si>
    <t>1-1319</t>
  </si>
  <si>
    <t>AR Student - Other</t>
  </si>
  <si>
    <t>1-1320</t>
  </si>
  <si>
    <t>AR Private Sponsor</t>
  </si>
  <si>
    <t>1-1321</t>
  </si>
  <si>
    <t>Sponsor A/R - Cholid Bawazer</t>
  </si>
  <si>
    <t>1-1322</t>
  </si>
  <si>
    <t>Sponsor A/R - Ali Harhara</t>
  </si>
  <si>
    <t>1-1323</t>
  </si>
  <si>
    <t>Sponsor A/R - Muh. Harhara</t>
  </si>
  <si>
    <t>1-1329</t>
  </si>
  <si>
    <t>A/R Sponsor - Other</t>
  </si>
  <si>
    <t>1-1330</t>
  </si>
  <si>
    <t>1-1339</t>
  </si>
  <si>
    <t>AR ex Exit Student - Other</t>
  </si>
  <si>
    <t>1-1340</t>
  </si>
  <si>
    <t>Doubtful A/R Tuition &amp; Fees</t>
  </si>
  <si>
    <t>1-1341</t>
  </si>
  <si>
    <t>Doubtful Student A/R</t>
  </si>
  <si>
    <t>1-1342</t>
  </si>
  <si>
    <t>Doubtful Sponsor A/R</t>
  </si>
  <si>
    <t>1-1343</t>
  </si>
  <si>
    <t>Doubtful Intitution Sposor A/R</t>
  </si>
  <si>
    <t>1-1349</t>
  </si>
  <si>
    <t>Doubtful AR Other</t>
  </si>
  <si>
    <t>1-1350</t>
  </si>
  <si>
    <t>Allowance For Doubtful Account</t>
  </si>
  <si>
    <t>1-1351</t>
  </si>
  <si>
    <t>AFDA Students</t>
  </si>
  <si>
    <t>1-1352</t>
  </si>
  <si>
    <t>AFDA Prievate Sponsor</t>
  </si>
  <si>
    <t>1-1353</t>
  </si>
  <si>
    <t>AFDA Intitution Sponsor</t>
  </si>
  <si>
    <t>1-1359</t>
  </si>
  <si>
    <t>AFDA Other</t>
  </si>
  <si>
    <t>1-1360</t>
  </si>
  <si>
    <t>AR Contribution</t>
  </si>
  <si>
    <t>1-1361</t>
  </si>
  <si>
    <t>Donation, Grant, and Contract</t>
  </si>
  <si>
    <t>1-1362</t>
  </si>
  <si>
    <t>1-1363</t>
  </si>
  <si>
    <t>1-1364</t>
  </si>
  <si>
    <t>1-1365</t>
  </si>
  <si>
    <t>Promise Contribution - Goverme</t>
  </si>
  <si>
    <t>1-1366</t>
  </si>
  <si>
    <t>Promise Contribution - Private</t>
  </si>
  <si>
    <t>1-1367</t>
  </si>
  <si>
    <t>1-1368</t>
  </si>
  <si>
    <t>AFDA - Promise Contribution</t>
  </si>
  <si>
    <t>1-1369</t>
  </si>
  <si>
    <t>Other AR Contribution (Cadanga</t>
  </si>
  <si>
    <t>1-1370</t>
  </si>
  <si>
    <t>AR Auxiliary Enterprise and Cl</t>
  </si>
  <si>
    <t>1-1371</t>
  </si>
  <si>
    <t>Auxiliary Enterprises Fund</t>
  </si>
  <si>
    <t>1-1372</t>
  </si>
  <si>
    <t>Invesment Income</t>
  </si>
  <si>
    <t>1-1373</t>
  </si>
  <si>
    <t>Profit Sharing</t>
  </si>
  <si>
    <t>1-1374</t>
  </si>
  <si>
    <t>Claim Expense BOS SDITQ</t>
  </si>
  <si>
    <t>1-1375</t>
  </si>
  <si>
    <t>Claim Expense BOS MTS</t>
  </si>
  <si>
    <t>1-1376</t>
  </si>
  <si>
    <t>Claim Expense BOM IM</t>
  </si>
  <si>
    <t>1-1377</t>
  </si>
  <si>
    <t>Claim Expense Auxiliary E</t>
  </si>
  <si>
    <t>1-1379</t>
  </si>
  <si>
    <t>Claim Expense - Other</t>
  </si>
  <si>
    <t>1-1391</t>
  </si>
  <si>
    <t>1-1410</t>
  </si>
  <si>
    <t>Other Recivable Employees</t>
  </si>
  <si>
    <t>1-1412</t>
  </si>
  <si>
    <t>O/R Employee Sell &amp; Service</t>
  </si>
  <si>
    <t>1-1413</t>
  </si>
  <si>
    <t>O/R Employee Fine</t>
  </si>
  <si>
    <t>1-1419</t>
  </si>
  <si>
    <t>O/R Employee Others</t>
  </si>
  <si>
    <t>1-1420</t>
  </si>
  <si>
    <t>Other Recivable Students</t>
  </si>
  <si>
    <t>1-1421</t>
  </si>
  <si>
    <t>O/R Student Loan</t>
  </si>
  <si>
    <t>1-1423</t>
  </si>
  <si>
    <t>O/R Student Fine</t>
  </si>
  <si>
    <t>1-1429</t>
  </si>
  <si>
    <t>O/R Students Other</t>
  </si>
  <si>
    <t>1-1430</t>
  </si>
  <si>
    <t>O/R PIAT Pusat</t>
  </si>
  <si>
    <t>1-1431</t>
  </si>
  <si>
    <t>O/R PIA Pusat</t>
  </si>
  <si>
    <t>1-1450</t>
  </si>
  <si>
    <t>O/R Tax</t>
  </si>
  <si>
    <t>1-1451</t>
  </si>
  <si>
    <t>Tax Receivable - PPN M</t>
  </si>
  <si>
    <t>1-1452</t>
  </si>
  <si>
    <t>Tax Receivable - PPh Pasal 21</t>
  </si>
  <si>
    <t>1-1453</t>
  </si>
  <si>
    <t>Tax Receivable - PPh Pasal 23</t>
  </si>
  <si>
    <t>1-1454</t>
  </si>
  <si>
    <t>Tax Receivable - PPh Pasal 24</t>
  </si>
  <si>
    <t>1-1455</t>
  </si>
  <si>
    <t>Tax Receivable - PPh Pasal 25</t>
  </si>
  <si>
    <t>1-1456</t>
  </si>
  <si>
    <t>Tax Receivable - PPh Pasal 26</t>
  </si>
  <si>
    <t>1-1457</t>
  </si>
  <si>
    <t>Tax Receivable - PPh Pasal 29</t>
  </si>
  <si>
    <t>1-1459</t>
  </si>
  <si>
    <t>Other</t>
  </si>
  <si>
    <t>1-1460</t>
  </si>
  <si>
    <t>Doubtful Account Other Receiva</t>
  </si>
  <si>
    <t>1-1461</t>
  </si>
  <si>
    <t>Doubtful Account O/R Employee</t>
  </si>
  <si>
    <t>1-1462</t>
  </si>
  <si>
    <t>Doubtful Account O/R Student</t>
  </si>
  <si>
    <t>1-1463</t>
  </si>
  <si>
    <t>Doubtful Account O/R Pusat Of</t>
  </si>
  <si>
    <t>1-1464</t>
  </si>
  <si>
    <t>Doubtful Account O/R Tax</t>
  </si>
  <si>
    <t>1-1469</t>
  </si>
  <si>
    <t>Doubtful Account O/R Third Par</t>
  </si>
  <si>
    <t>1-1470</t>
  </si>
  <si>
    <t>Allowance For Doubtful AR Othe</t>
  </si>
  <si>
    <t>1-1471</t>
  </si>
  <si>
    <t>AFD O/R Employee</t>
  </si>
  <si>
    <t>1-1472</t>
  </si>
  <si>
    <t>AFD O/R Student</t>
  </si>
  <si>
    <t>1-1473</t>
  </si>
  <si>
    <t>AFD O/R Branch Office</t>
  </si>
  <si>
    <t>1-1474</t>
  </si>
  <si>
    <t>AFD O/R Tax</t>
  </si>
  <si>
    <t>1-1479</t>
  </si>
  <si>
    <t>AFD O/R Third Part</t>
  </si>
  <si>
    <t>1-1490</t>
  </si>
  <si>
    <t>O/R Third Part Other</t>
  </si>
  <si>
    <t>1-1491</t>
  </si>
  <si>
    <t>1-1492</t>
  </si>
  <si>
    <t>Project</t>
  </si>
  <si>
    <t>1-1493</t>
  </si>
  <si>
    <t>1-1494</t>
  </si>
  <si>
    <t>Bos MTW</t>
  </si>
  <si>
    <t>1-1495</t>
  </si>
  <si>
    <t>Bos MA</t>
  </si>
  <si>
    <t>1-1496</t>
  </si>
  <si>
    <t>Schoolarship</t>
  </si>
  <si>
    <t>1-1497</t>
  </si>
  <si>
    <t>1-1498</t>
  </si>
  <si>
    <t>Thrid part Project</t>
  </si>
  <si>
    <t>1-1499</t>
  </si>
  <si>
    <t>1-1500</t>
  </si>
  <si>
    <t>INVENTORY</t>
  </si>
  <si>
    <t>1-1510</t>
  </si>
  <si>
    <t>Education Supplies Inventory</t>
  </si>
  <si>
    <t>1-1511</t>
  </si>
  <si>
    <t>Inventory - Books</t>
  </si>
  <si>
    <t>1-1512</t>
  </si>
  <si>
    <t>Inventory - Uniform</t>
  </si>
  <si>
    <t>1-1519</t>
  </si>
  <si>
    <t>Inventory - Other</t>
  </si>
  <si>
    <t>1-1520</t>
  </si>
  <si>
    <t>Office Supplies Inventory</t>
  </si>
  <si>
    <t>1-1521</t>
  </si>
  <si>
    <t>Inventory - Stationery</t>
  </si>
  <si>
    <t>1-1522</t>
  </si>
  <si>
    <t>Inventory - Medicine</t>
  </si>
  <si>
    <t>1-1523</t>
  </si>
  <si>
    <t>Inventory - IT</t>
  </si>
  <si>
    <t>1-1529</t>
  </si>
  <si>
    <t>Inventory - Others</t>
  </si>
  <si>
    <t>1-1530</t>
  </si>
  <si>
    <t>Kitchen Inventory</t>
  </si>
  <si>
    <t>1-1531</t>
  </si>
  <si>
    <t>Inventory - Hulled Rice</t>
  </si>
  <si>
    <t>1-1532</t>
  </si>
  <si>
    <t>Inventory - gas</t>
  </si>
  <si>
    <t>1-1534</t>
  </si>
  <si>
    <t>Inventory - Side Dish</t>
  </si>
  <si>
    <t>1-1539</t>
  </si>
  <si>
    <t>1-1540</t>
  </si>
  <si>
    <t>Maintenance Supplies Inventory</t>
  </si>
  <si>
    <t>1-1541</t>
  </si>
  <si>
    <t>Inventory - Electricity &amp;Water</t>
  </si>
  <si>
    <t>1-1542</t>
  </si>
  <si>
    <t>Inventory - Building Material</t>
  </si>
  <si>
    <t>1-1543</t>
  </si>
  <si>
    <t>Inventory - Cleaning Material</t>
  </si>
  <si>
    <t>1-1549</t>
  </si>
  <si>
    <t>1-1550</t>
  </si>
  <si>
    <t>Boarding Supplies Inventory</t>
  </si>
  <si>
    <t>1-1551</t>
  </si>
  <si>
    <t>Inventory - Sleeping Suplies</t>
  </si>
  <si>
    <t>1-1559</t>
  </si>
  <si>
    <t>Total INVENTORY</t>
  </si>
  <si>
    <t>1-1600</t>
  </si>
  <si>
    <t>ADVANCE</t>
  </si>
  <si>
    <t>1-1610</t>
  </si>
  <si>
    <t>Advance Of Education</t>
  </si>
  <si>
    <t>1-1611</t>
  </si>
  <si>
    <t>Advance Payment - Books</t>
  </si>
  <si>
    <t>1-1612</t>
  </si>
  <si>
    <t>Advance Payment - uniform</t>
  </si>
  <si>
    <t>1-1619</t>
  </si>
  <si>
    <t>Advance Payment - Other</t>
  </si>
  <si>
    <t>1-1620</t>
  </si>
  <si>
    <t>Office Supplies Advance</t>
  </si>
  <si>
    <t>1-1621</t>
  </si>
  <si>
    <t>Advance - Stationery</t>
  </si>
  <si>
    <t>1-1622</t>
  </si>
  <si>
    <t>Advance - Medicine</t>
  </si>
  <si>
    <t>1-1623</t>
  </si>
  <si>
    <t>Advance - IT</t>
  </si>
  <si>
    <t>1-1629</t>
  </si>
  <si>
    <t>Advance - Others</t>
  </si>
  <si>
    <t>1-1630</t>
  </si>
  <si>
    <t>Kitchen Advance</t>
  </si>
  <si>
    <t>1-1631</t>
  </si>
  <si>
    <t>Advance - Hulled Rice</t>
  </si>
  <si>
    <t>1-1632</t>
  </si>
  <si>
    <t>Advance - Elpiji</t>
  </si>
  <si>
    <t>1-1633</t>
  </si>
  <si>
    <t>Advance - Side Dish</t>
  </si>
  <si>
    <t>1-1639</t>
  </si>
  <si>
    <t>Advance - Other</t>
  </si>
  <si>
    <t>1-1640</t>
  </si>
  <si>
    <t>Project Advance</t>
  </si>
  <si>
    <t>1-1641</t>
  </si>
  <si>
    <t>Advance Payment - Material Pro</t>
  </si>
  <si>
    <t>1-1649</t>
  </si>
  <si>
    <t>Advance Payment - Others</t>
  </si>
  <si>
    <t>1-1650</t>
  </si>
  <si>
    <t>Fixed Aset Advance</t>
  </si>
  <si>
    <t>1-1651</t>
  </si>
  <si>
    <t>Advance Payment - Land</t>
  </si>
  <si>
    <t>1-1652</t>
  </si>
  <si>
    <t>Advance Payment - Building &amp; I</t>
  </si>
  <si>
    <t>1-1653</t>
  </si>
  <si>
    <t>Advance Payment - Equipment</t>
  </si>
  <si>
    <t>1-1654</t>
  </si>
  <si>
    <t>Advance Payment - Fixture and</t>
  </si>
  <si>
    <t>1-1655</t>
  </si>
  <si>
    <t>Advance Payment - Vehicle</t>
  </si>
  <si>
    <t>1-1659</t>
  </si>
  <si>
    <t>1-1690</t>
  </si>
  <si>
    <t>Others Advance</t>
  </si>
  <si>
    <t>1-1699</t>
  </si>
  <si>
    <t>Total ADVANCE</t>
  </si>
  <si>
    <t>1-1700</t>
  </si>
  <si>
    <t>PREPAID EXPENSE</t>
  </si>
  <si>
    <t>1-1710</t>
  </si>
  <si>
    <t>Education Prepaid Expense</t>
  </si>
  <si>
    <t>1-1711</t>
  </si>
  <si>
    <t>Prepaid Expense - Salaries</t>
  </si>
  <si>
    <t>1-1712</t>
  </si>
  <si>
    <t>Prepaid Expense - Office Supli</t>
  </si>
  <si>
    <t>1-1713</t>
  </si>
  <si>
    <t>Prepaid Expense - House Rent</t>
  </si>
  <si>
    <t>1-1714</t>
  </si>
  <si>
    <t>Prepaid Expense - Insurence</t>
  </si>
  <si>
    <t>1-1715</t>
  </si>
  <si>
    <t>Prepaid Expense - Team Regrist</t>
  </si>
  <si>
    <t>1-1716</t>
  </si>
  <si>
    <t>Prepaid Expense - KLB</t>
  </si>
  <si>
    <t>1-1719</t>
  </si>
  <si>
    <t>Prepaid Expense - Others</t>
  </si>
  <si>
    <t>1-1720</t>
  </si>
  <si>
    <t>Membership Prepaid Expense</t>
  </si>
  <si>
    <t>1-1721</t>
  </si>
  <si>
    <t>Prepaid Ex Membership Puldapi</t>
  </si>
  <si>
    <t>1-1729</t>
  </si>
  <si>
    <t>Prepaid Expense Membership Oth</t>
  </si>
  <si>
    <t>1-1730</t>
  </si>
  <si>
    <t>Prapaid Tax</t>
  </si>
  <si>
    <t>1-1731</t>
  </si>
  <si>
    <t>Prepaid Tax - PPN M</t>
  </si>
  <si>
    <t>1-1732</t>
  </si>
  <si>
    <t>Prepaid Tax - PPh Pasal 21</t>
  </si>
  <si>
    <t>1-1733</t>
  </si>
  <si>
    <t>Prepaid Tax - PPh Pasal 23</t>
  </si>
  <si>
    <t>1-1734</t>
  </si>
  <si>
    <t>Prepaid Tax - PPh Pasal 24</t>
  </si>
  <si>
    <t>1-1735</t>
  </si>
  <si>
    <t>Prepaid Tax - PPh Pasal 25</t>
  </si>
  <si>
    <t>1-1736</t>
  </si>
  <si>
    <t>Prepaid Tax - PPh Pasal 26</t>
  </si>
  <si>
    <t>1-1737</t>
  </si>
  <si>
    <t>Prepaid Tax - PPh Pasal 29</t>
  </si>
  <si>
    <t>Total PREPAID EXPENSE</t>
  </si>
  <si>
    <t>1-2100</t>
  </si>
  <si>
    <t>LONG TERM CAPITAL INVESTMENT</t>
  </si>
  <si>
    <t>1-2110</t>
  </si>
  <si>
    <t>LTC - Obligation</t>
  </si>
  <si>
    <t>1-2120</t>
  </si>
  <si>
    <t>LTC - Stock</t>
  </si>
  <si>
    <t>1-2130</t>
  </si>
  <si>
    <t>LTC Financing - Big</t>
  </si>
  <si>
    <t>1-2190</t>
  </si>
  <si>
    <t>LTC - Others</t>
  </si>
  <si>
    <t>Total LONG TERM CAPITAL INVESTMENT</t>
  </si>
  <si>
    <t>1-2310</t>
  </si>
  <si>
    <t>Land &amp; Building</t>
  </si>
  <si>
    <t>1-2313</t>
  </si>
  <si>
    <t>Building - Boarding</t>
  </si>
  <si>
    <t>1-2314</t>
  </si>
  <si>
    <t>Building - Housing</t>
  </si>
  <si>
    <t>1-2315</t>
  </si>
  <si>
    <t>Building - Masjid</t>
  </si>
  <si>
    <t>1-2316</t>
  </si>
  <si>
    <t>Building - Swiming Pool</t>
  </si>
  <si>
    <t>1-2317</t>
  </si>
  <si>
    <t>Building - Gedung Serba Guna</t>
  </si>
  <si>
    <t>1-2318</t>
  </si>
  <si>
    <t>Building Kitchen &amp; Laundry</t>
  </si>
  <si>
    <t>1-2319</t>
  </si>
  <si>
    <t>Building - Others</t>
  </si>
  <si>
    <t>1-2320</t>
  </si>
  <si>
    <t>1-2321</t>
  </si>
  <si>
    <t>Infrastucture - Roads</t>
  </si>
  <si>
    <t>1-2322</t>
  </si>
  <si>
    <t>Infrastructure - Sewerge</t>
  </si>
  <si>
    <t>1-2323</t>
  </si>
  <si>
    <t>Infrastructure - Garden</t>
  </si>
  <si>
    <t>1-2324</t>
  </si>
  <si>
    <t>Infrastructure - Field</t>
  </si>
  <si>
    <t>1-2325</t>
  </si>
  <si>
    <t>Infrastructure - Fence</t>
  </si>
  <si>
    <t>1-2326</t>
  </si>
  <si>
    <t>Infrastructure - parking area</t>
  </si>
  <si>
    <t>1-2327</t>
  </si>
  <si>
    <t>Infrastructure - Intallation</t>
  </si>
  <si>
    <t>1-2328</t>
  </si>
  <si>
    <t>Infrastructure-Public Faciliti</t>
  </si>
  <si>
    <t>1-2329</t>
  </si>
  <si>
    <t>Infrastructure - Others</t>
  </si>
  <si>
    <t>1-2332</t>
  </si>
  <si>
    <t>Equipment - Telephone &amp; Fax</t>
  </si>
  <si>
    <t>1-2333</t>
  </si>
  <si>
    <t>Equipment - Cleaning &amp; Mainten</t>
  </si>
  <si>
    <t>1-2334</t>
  </si>
  <si>
    <t>Equipment -  Office</t>
  </si>
  <si>
    <t>1-2335</t>
  </si>
  <si>
    <t>Equipment - Teaching</t>
  </si>
  <si>
    <t>1-2336</t>
  </si>
  <si>
    <t>Equipment - Kitchen &amp; Laundry</t>
  </si>
  <si>
    <t>1-2337</t>
  </si>
  <si>
    <t>Equipment - Sport &amp; Healthy</t>
  </si>
  <si>
    <t>1-2338</t>
  </si>
  <si>
    <t>New Account</t>
  </si>
  <si>
    <t>1-2339</t>
  </si>
  <si>
    <t>Equipment - Others</t>
  </si>
  <si>
    <t>1-2341</t>
  </si>
  <si>
    <t>Furniture - Table &amp; Chair</t>
  </si>
  <si>
    <t>1-2342</t>
  </si>
  <si>
    <t>Furniture - Cupboard &amp; Rack</t>
  </si>
  <si>
    <t>1-2343</t>
  </si>
  <si>
    <t>Furniture -Iron Bed &amp; mattress</t>
  </si>
  <si>
    <t>1-2344</t>
  </si>
  <si>
    <t>Fixture -Office,class&amp;Boarding</t>
  </si>
  <si>
    <t>1-2345</t>
  </si>
  <si>
    <t>Fixture - Teaching</t>
  </si>
  <si>
    <t>1-2346</t>
  </si>
  <si>
    <t>Fixture - Kitchen &amp; Laundry</t>
  </si>
  <si>
    <t>1-2347</t>
  </si>
  <si>
    <t>Fixture -Cleaning &amp;Maintenance</t>
  </si>
  <si>
    <t>1-2348</t>
  </si>
  <si>
    <t>Fixture - Sport &amp; Healty</t>
  </si>
  <si>
    <t>1-2349</t>
  </si>
  <si>
    <t>Fixture - Others</t>
  </si>
  <si>
    <t>1-2351</t>
  </si>
  <si>
    <t>Vehicle - Car</t>
  </si>
  <si>
    <t>1-2352</t>
  </si>
  <si>
    <t>Vehicle - Motorcycle</t>
  </si>
  <si>
    <t>1-2353</t>
  </si>
  <si>
    <t>Vehicle - Bicycle</t>
  </si>
  <si>
    <t>1-2360</t>
  </si>
  <si>
    <t>Library material &amp; book</t>
  </si>
  <si>
    <t>1-2361</t>
  </si>
  <si>
    <t>Library material &amp; book - book</t>
  </si>
  <si>
    <t>1-2362</t>
  </si>
  <si>
    <t>Library material &amp; book - CD</t>
  </si>
  <si>
    <t>1-2363</t>
  </si>
  <si>
    <t>Library material &amp; book-digita</t>
  </si>
  <si>
    <t>1-2380</t>
  </si>
  <si>
    <t>Other Fixed Assets</t>
  </si>
  <si>
    <t>1-2381</t>
  </si>
  <si>
    <t>Other Fixed Assets - Software</t>
  </si>
  <si>
    <t>1-2390</t>
  </si>
  <si>
    <t>Constructions in Progress</t>
  </si>
  <si>
    <t>1-2391</t>
  </si>
  <si>
    <t>Construct.in Progress Building</t>
  </si>
  <si>
    <t>1-2392</t>
  </si>
  <si>
    <t>Construct.in Progress Infrastr</t>
  </si>
  <si>
    <t>1-2411</t>
  </si>
  <si>
    <t>Acc. Dep. Building - Land</t>
  </si>
  <si>
    <t>1-2412</t>
  </si>
  <si>
    <t>Acc.Dep.Building -Class&amp;Office</t>
  </si>
  <si>
    <t>1-2413</t>
  </si>
  <si>
    <t>Acc. Dep. Building - Boarding</t>
  </si>
  <si>
    <t>1-2414</t>
  </si>
  <si>
    <t>Acc. Dep. Building - Housing</t>
  </si>
  <si>
    <t>1-2415</t>
  </si>
  <si>
    <t>Acc. Dep. Building - Masjid</t>
  </si>
  <si>
    <t>1-2416</t>
  </si>
  <si>
    <t>Acc. Dep. Building - Swimming</t>
  </si>
  <si>
    <t>1-2417</t>
  </si>
  <si>
    <t>Acc. Dep. Building - Gedung SG</t>
  </si>
  <si>
    <t>1-2418</t>
  </si>
  <si>
    <t>Acc.Dep.Building- Kitchen&amp;Laun</t>
  </si>
  <si>
    <t>1-2419</t>
  </si>
  <si>
    <t>Acc. Dep. Building - Others</t>
  </si>
  <si>
    <t>1-2420</t>
  </si>
  <si>
    <t>Acc. Dep. Infrastructure</t>
  </si>
  <si>
    <t>1-2421</t>
  </si>
  <si>
    <t>Acc. Dep. Infrastructure Roads</t>
  </si>
  <si>
    <t>1-2422</t>
  </si>
  <si>
    <t>Acc.Dep.Infrastructure Sewerge</t>
  </si>
  <si>
    <t>1-2423</t>
  </si>
  <si>
    <t>Acc. Dep. Infrastructure Garde</t>
  </si>
  <si>
    <t>1-2424</t>
  </si>
  <si>
    <t>Acc. Dep. Infrastructure Field</t>
  </si>
  <si>
    <t>1-2425</t>
  </si>
  <si>
    <t>Acc. Dep. Infrastructure Fence</t>
  </si>
  <si>
    <t>1-2426</t>
  </si>
  <si>
    <t>Acc.Dep. Infrastructure Garage</t>
  </si>
  <si>
    <t>1-2427</t>
  </si>
  <si>
    <t>AD Infrastructure Installation</t>
  </si>
  <si>
    <t>1-2428</t>
  </si>
  <si>
    <t>AD Infrastructure Public Facil</t>
  </si>
  <si>
    <t>1-2429</t>
  </si>
  <si>
    <t>Acc. Dep.Infrastructure Others</t>
  </si>
  <si>
    <t>1-2431</t>
  </si>
  <si>
    <t>AD Equipment Computer &amp; Audio</t>
  </si>
  <si>
    <t>1-2432</t>
  </si>
  <si>
    <t>AD Equipment Telephone &amp; Fax</t>
  </si>
  <si>
    <t>1-2433</t>
  </si>
  <si>
    <t>AD Equipment Cleaning &amp; Mainte</t>
  </si>
  <si>
    <t>1-2434</t>
  </si>
  <si>
    <t>AD Equipment - Office</t>
  </si>
  <si>
    <t>1-2435</t>
  </si>
  <si>
    <t>AD Equipment Teaching</t>
  </si>
  <si>
    <t>1-2436</t>
  </si>
  <si>
    <t>AD Equipment Kitchen &amp; Laundry</t>
  </si>
  <si>
    <t>1-2437</t>
  </si>
  <si>
    <t>AD Equipment Sport &amp; Healty</t>
  </si>
  <si>
    <t>1-2438</t>
  </si>
  <si>
    <t>1-2439</t>
  </si>
  <si>
    <t>AD Equipment Others</t>
  </si>
  <si>
    <t>1-2441</t>
  </si>
  <si>
    <t>AD Furniture Table &amp; Chairs</t>
  </si>
  <si>
    <t>1-2442</t>
  </si>
  <si>
    <t>AD Furniture Cupboard &amp; Rack</t>
  </si>
  <si>
    <t>1-2443</t>
  </si>
  <si>
    <t>AD Furniture Iron Bed &amp;Matress</t>
  </si>
  <si>
    <t>1-2444</t>
  </si>
  <si>
    <t>AD Fixture Office,Class&amp;Boardi</t>
  </si>
  <si>
    <t>1-2445</t>
  </si>
  <si>
    <t>AD Fixture Teaching</t>
  </si>
  <si>
    <t>1-2446</t>
  </si>
  <si>
    <t>AD Fixture Kitchen &amp; Laundry</t>
  </si>
  <si>
    <t>1-2447</t>
  </si>
  <si>
    <t>AD Fixture Cleaning &amp; Maintena</t>
  </si>
  <si>
    <t>1-2448</t>
  </si>
  <si>
    <t>AD Fixture Sport &amp; Healty</t>
  </si>
  <si>
    <t>1-2449</t>
  </si>
  <si>
    <t>AD Fixture Others</t>
  </si>
  <si>
    <t>1-2451</t>
  </si>
  <si>
    <t>Acc. Dep. Vehicle Car</t>
  </si>
  <si>
    <t>1-2452</t>
  </si>
  <si>
    <t>Acc. Dep. Vehicle motorcycle</t>
  </si>
  <si>
    <t>1-2453</t>
  </si>
  <si>
    <t>Acc. Dep. Vehicle Bicycle</t>
  </si>
  <si>
    <t>1-2460</t>
  </si>
  <si>
    <t>Acc.Dep.Library material &amp;book</t>
  </si>
  <si>
    <t>1-2461</t>
  </si>
  <si>
    <t>AD Library Material &amp;Book book</t>
  </si>
  <si>
    <t>1-2462</t>
  </si>
  <si>
    <t>AD Library Material &amp;Book CD</t>
  </si>
  <si>
    <t>1-2463</t>
  </si>
  <si>
    <t>AD Library Material &amp;Book Digi</t>
  </si>
  <si>
    <t>1-2470</t>
  </si>
  <si>
    <t>Accumulated Depreciation Other</t>
  </si>
  <si>
    <t>1-2471</t>
  </si>
  <si>
    <t>Acc.Depr. Other Software</t>
  </si>
  <si>
    <t>1-2500</t>
  </si>
  <si>
    <t>FIXED ASSETS CORRECTION TA</t>
  </si>
  <si>
    <t>1-2510</t>
  </si>
  <si>
    <t>Fixed Assets Correction TA</t>
  </si>
  <si>
    <t>1-2520</t>
  </si>
  <si>
    <t>AD FA Correction TA</t>
  </si>
  <si>
    <t>Total FIXED ASSETS CORRECTION TA</t>
  </si>
  <si>
    <t>1-2600</t>
  </si>
  <si>
    <t>PROPERTI INVESTASI</t>
  </si>
  <si>
    <t>1-2610</t>
  </si>
  <si>
    <t>Properti investasi - land</t>
  </si>
  <si>
    <t>Total PROPERTI INVESTASI</t>
  </si>
  <si>
    <t>1-2700</t>
  </si>
  <si>
    <t>DEFFERED EXPENSE</t>
  </si>
  <si>
    <t>1-2710</t>
  </si>
  <si>
    <t>Defered expense PSB</t>
  </si>
  <si>
    <t>1-2720</t>
  </si>
  <si>
    <t>Defered expense Sudan Scholars</t>
  </si>
  <si>
    <t>1-2730</t>
  </si>
  <si>
    <t>Defered expense STDI</t>
  </si>
  <si>
    <t>1-2740</t>
  </si>
  <si>
    <t>Defered expense Asphalt Road</t>
  </si>
  <si>
    <t>1-2750</t>
  </si>
  <si>
    <t>Defered expense Pra operationa</t>
  </si>
  <si>
    <t>1-2760</t>
  </si>
  <si>
    <t>Deffered expense ISO</t>
  </si>
  <si>
    <t>1-2770</t>
  </si>
  <si>
    <t>Deffered expense Hajj &amp; Umroh</t>
  </si>
  <si>
    <t>1-2780</t>
  </si>
  <si>
    <t>Defered Expense Adiwiyata</t>
  </si>
  <si>
    <t>Total DEFFERED EXPENSE</t>
  </si>
  <si>
    <t>1-2800</t>
  </si>
  <si>
    <t>UNUSED FA</t>
  </si>
  <si>
    <t>1-2810</t>
  </si>
  <si>
    <t>Unused - Equipment</t>
  </si>
  <si>
    <t>1-2820</t>
  </si>
  <si>
    <t>Unused - Furniture &amp; fixture</t>
  </si>
  <si>
    <t>1-2830</t>
  </si>
  <si>
    <t>Unused - Vehicle</t>
  </si>
  <si>
    <t>1-2840</t>
  </si>
  <si>
    <t>Unused - Library material &amp; bo</t>
  </si>
  <si>
    <t>1-2850</t>
  </si>
  <si>
    <t>Unused - Others Fixed Assets</t>
  </si>
  <si>
    <t>Total UNUSED FA</t>
  </si>
  <si>
    <t>1-2900</t>
  </si>
  <si>
    <t>OTHER ASSETS</t>
  </si>
  <si>
    <t>1-2910</t>
  </si>
  <si>
    <t>1-2920</t>
  </si>
  <si>
    <t>Guarantee - Telkom &amp; Tabung O2</t>
  </si>
  <si>
    <t>1-2930</t>
  </si>
  <si>
    <t>Guarantee - Education</t>
  </si>
  <si>
    <t>Total OTHER ASSETS</t>
  </si>
  <si>
    <t>2-1100</t>
  </si>
  <si>
    <t>EDUCATION ACCOUNT PAYBLE</t>
  </si>
  <si>
    <t>2-1110</t>
  </si>
  <si>
    <t>Books &amp; Uniform Payble</t>
  </si>
  <si>
    <t>2-1111</t>
  </si>
  <si>
    <t>Books Payble - PIAT Pusat</t>
  </si>
  <si>
    <t>2-1112</t>
  </si>
  <si>
    <t>Uniform Payble - PIAT Pusat</t>
  </si>
  <si>
    <t>2-1113</t>
  </si>
  <si>
    <t>Books Payble - Others</t>
  </si>
  <si>
    <t>2-1114</t>
  </si>
  <si>
    <t>Uniform Payble - Others</t>
  </si>
  <si>
    <t>Auxiliary Enterprises Units</t>
  </si>
  <si>
    <t>2-1140</t>
  </si>
  <si>
    <t>Kitchen Payble I</t>
  </si>
  <si>
    <t>Mr. AAA - Rice</t>
  </si>
  <si>
    <t>Mrs. AAA - Gas</t>
  </si>
  <si>
    <t>Mrs. BBB - Milk</t>
  </si>
  <si>
    <t>Mrs. CCCC</t>
  </si>
  <si>
    <t>Mrs. DDD</t>
  </si>
  <si>
    <t>Mr. EEE</t>
  </si>
  <si>
    <t>PT.FFF</t>
  </si>
  <si>
    <t>2-1148</t>
  </si>
  <si>
    <t>Mr. GGG</t>
  </si>
  <si>
    <t>2-1149</t>
  </si>
  <si>
    <t>Mr. HHH</t>
  </si>
  <si>
    <t>2-1150</t>
  </si>
  <si>
    <t>Kitchen Payble II</t>
  </si>
  <si>
    <t>2-1151</t>
  </si>
  <si>
    <t>Mr. JJJ</t>
  </si>
  <si>
    <t>2-1152</t>
  </si>
  <si>
    <t>Mrs. KKK</t>
  </si>
  <si>
    <t>2-1153</t>
  </si>
  <si>
    <t>Mr. LLL</t>
  </si>
  <si>
    <t>2-1154</t>
  </si>
  <si>
    <t>Mr. MMM</t>
  </si>
  <si>
    <t>2-1155</t>
  </si>
  <si>
    <t>Mrs. NNN</t>
  </si>
  <si>
    <t>2-1156</t>
  </si>
  <si>
    <t>Mrs. OOO</t>
  </si>
  <si>
    <t>2-1157</t>
  </si>
  <si>
    <t>Mr. PPP</t>
  </si>
  <si>
    <t>2-1158</t>
  </si>
  <si>
    <t>Mr. QQQ</t>
  </si>
  <si>
    <t>2-1159</t>
  </si>
  <si>
    <t>Mrs. YYY</t>
  </si>
  <si>
    <t>2-1160</t>
  </si>
  <si>
    <t>Project Material/FA Payble</t>
  </si>
  <si>
    <t>2-1161</t>
  </si>
  <si>
    <t>Murah TB</t>
  </si>
  <si>
    <t>2-1162</t>
  </si>
  <si>
    <t>Ambar Sari TB</t>
  </si>
  <si>
    <t>2-1163</t>
  </si>
  <si>
    <t>Elang Muda TB</t>
  </si>
  <si>
    <t>2-1164</t>
  </si>
  <si>
    <t>Jati Kencana ReadyMix CV</t>
  </si>
  <si>
    <t>2-1165</t>
  </si>
  <si>
    <t>Giri Atha TB</t>
  </si>
  <si>
    <t>2-1166</t>
  </si>
  <si>
    <t>Barokah TB</t>
  </si>
  <si>
    <t>2-1167</t>
  </si>
  <si>
    <t>Mr. Hafidz Tholib</t>
  </si>
  <si>
    <t>2-1168</t>
  </si>
  <si>
    <t>Thumasto</t>
  </si>
  <si>
    <t>2-1169</t>
  </si>
  <si>
    <t>Mr. Suwono</t>
  </si>
  <si>
    <t>2-1191</t>
  </si>
  <si>
    <t>Trade Creditors</t>
  </si>
  <si>
    <t>Total EDUCATION ACCOUNT PAYBLE</t>
  </si>
  <si>
    <t>2-1210</t>
  </si>
  <si>
    <t>DF Students I</t>
  </si>
  <si>
    <t>2-1213</t>
  </si>
  <si>
    <t>2-1214</t>
  </si>
  <si>
    <t>Exit Student Excess Payment</t>
  </si>
  <si>
    <t>2-1215</t>
  </si>
  <si>
    <t>2-1216</t>
  </si>
  <si>
    <t>Student deposit B&amp;U 22/23</t>
  </si>
  <si>
    <t>2-1217</t>
  </si>
  <si>
    <t>Student deposit B&amp;U 23/24</t>
  </si>
  <si>
    <t>2-1218</t>
  </si>
  <si>
    <t>Student deposit B&amp;U 24/25</t>
  </si>
  <si>
    <t>2-1219</t>
  </si>
  <si>
    <t>Student deposit B&amp;U 25/26</t>
  </si>
  <si>
    <t>2-1220</t>
  </si>
  <si>
    <t>Student deposit</t>
  </si>
  <si>
    <t>2-1221</t>
  </si>
  <si>
    <t>Student deposit Devel 21/22</t>
  </si>
  <si>
    <t>2-1222</t>
  </si>
  <si>
    <t>Student deposit Devel 22/23</t>
  </si>
  <si>
    <t>2-1223</t>
  </si>
  <si>
    <t>Student deposit Devel 23/24</t>
  </si>
  <si>
    <t>2-1224</t>
  </si>
  <si>
    <t>Student deposit Devel 24/25</t>
  </si>
  <si>
    <t>2-1225</t>
  </si>
  <si>
    <t>Student deposit Devel 25/26</t>
  </si>
  <si>
    <t>2-1226</t>
  </si>
  <si>
    <t>Student deposit Devel 26/27</t>
  </si>
  <si>
    <t>2-1227</t>
  </si>
  <si>
    <t>Student deposit Devel 27/28</t>
  </si>
  <si>
    <t>2-1228</t>
  </si>
  <si>
    <t>Estimation deposit fund</t>
  </si>
  <si>
    <t>2-1229</t>
  </si>
  <si>
    <t>DF Student - Others</t>
  </si>
  <si>
    <t>2-1230</t>
  </si>
  <si>
    <t>DF Sponsor</t>
  </si>
  <si>
    <t>2-1231</t>
  </si>
  <si>
    <t>Excess sponsor payment</t>
  </si>
  <si>
    <t>2-1232</t>
  </si>
  <si>
    <t>Sponsor Deposit</t>
  </si>
  <si>
    <t>2-1239</t>
  </si>
  <si>
    <t>DP Sponsor - Others</t>
  </si>
  <si>
    <t>2-1240</t>
  </si>
  <si>
    <t>DF Bank Interst</t>
  </si>
  <si>
    <t>2-1241</t>
  </si>
  <si>
    <t>Interest BCA Pesantren &amp; Fawai</t>
  </si>
  <si>
    <t>2-1242</t>
  </si>
  <si>
    <t>Interest Cimb Niaga</t>
  </si>
  <si>
    <t>2-1244</t>
  </si>
  <si>
    <t>Interest BRI BOS SDITQ &amp; BPD</t>
  </si>
  <si>
    <t>2-1245</t>
  </si>
  <si>
    <t>Interest BRI BOS MTS</t>
  </si>
  <si>
    <t>2-1246</t>
  </si>
  <si>
    <t>Interest BRI BOM IM</t>
  </si>
  <si>
    <t>2-1249</t>
  </si>
  <si>
    <t>Interest Thrid Party</t>
  </si>
  <si>
    <t>2-1250</t>
  </si>
  <si>
    <t>DF Bank Transfers</t>
  </si>
  <si>
    <t>2-1252</t>
  </si>
  <si>
    <t>BMI Tranfers In - pending</t>
  </si>
  <si>
    <t>2-1253</t>
  </si>
  <si>
    <t>BSI Tranfers In - pending</t>
  </si>
  <si>
    <t>2-1254</t>
  </si>
  <si>
    <t>BNI Tranfers In - pending</t>
  </si>
  <si>
    <t>2-1291</t>
  </si>
  <si>
    <t>2-1293</t>
  </si>
  <si>
    <t>DFO Social Fund</t>
  </si>
  <si>
    <t>2-1294</t>
  </si>
  <si>
    <t>DFO Disaster Fund</t>
  </si>
  <si>
    <t>2-1295</t>
  </si>
  <si>
    <t>DFO Lazis (Civitas Fund)</t>
  </si>
  <si>
    <t>2-1298</t>
  </si>
  <si>
    <t>DFO Project</t>
  </si>
  <si>
    <t>2-1299</t>
  </si>
  <si>
    <t>DFO Others</t>
  </si>
  <si>
    <t>2-1300</t>
  </si>
  <si>
    <t>OTHERS ACCOUNT PAYBLE</t>
  </si>
  <si>
    <t>2-1310</t>
  </si>
  <si>
    <t>OP Employees</t>
  </si>
  <si>
    <t>2-1311</t>
  </si>
  <si>
    <t>OP Employees Salaries</t>
  </si>
  <si>
    <t>2-1312</t>
  </si>
  <si>
    <t>OP Personal</t>
  </si>
  <si>
    <t>2-1320</t>
  </si>
  <si>
    <t>OP Students</t>
  </si>
  <si>
    <t>2-1321</t>
  </si>
  <si>
    <t>OP Students Honorarium</t>
  </si>
  <si>
    <t>2-1322</t>
  </si>
  <si>
    <t>OP Students Schoolarship</t>
  </si>
  <si>
    <t>2-1323</t>
  </si>
  <si>
    <t>OP Alumnus</t>
  </si>
  <si>
    <t>2-1330</t>
  </si>
  <si>
    <t>OP Auxiliary Enterprises</t>
  </si>
  <si>
    <t>2-1331</t>
  </si>
  <si>
    <t>OP Financing AE</t>
  </si>
  <si>
    <t>2-1332</t>
  </si>
  <si>
    <t>OP Books Student</t>
  </si>
  <si>
    <t>2-1333</t>
  </si>
  <si>
    <t>OP Uniform Student</t>
  </si>
  <si>
    <t>2-1340</t>
  </si>
  <si>
    <t>OP Interfund</t>
  </si>
  <si>
    <t>2-1341</t>
  </si>
  <si>
    <t>O/P - Interfund Saving Student</t>
  </si>
  <si>
    <t>2-1342</t>
  </si>
  <si>
    <t>O/P - Interfund Auxiliary Ente</t>
  </si>
  <si>
    <t>2-1350</t>
  </si>
  <si>
    <t>OP PIAT Pusat</t>
  </si>
  <si>
    <t>2-1351</t>
  </si>
  <si>
    <t>O/R PIAT Pusat - Accomodation</t>
  </si>
  <si>
    <t>2-1352</t>
  </si>
  <si>
    <t>O/R PIAT Pusat - Fee</t>
  </si>
  <si>
    <t>2-1359</t>
  </si>
  <si>
    <t>O/R PIAT Pusat - Others</t>
  </si>
  <si>
    <t>2-1390</t>
  </si>
  <si>
    <t>OP Other</t>
  </si>
  <si>
    <t>2-1391</t>
  </si>
  <si>
    <t>OP Exit Employees</t>
  </si>
  <si>
    <t>2-1398</t>
  </si>
  <si>
    <t>Payroll Liabilities</t>
  </si>
  <si>
    <t>2-1399</t>
  </si>
  <si>
    <t>OP Third Part</t>
  </si>
  <si>
    <t>Total OTHERS ACCOUNT PAYBLE</t>
  </si>
  <si>
    <t>2-1400</t>
  </si>
  <si>
    <t>SHORT TERM LIABILITIES</t>
  </si>
  <si>
    <t>2-1410</t>
  </si>
  <si>
    <t>Bank Loan</t>
  </si>
  <si>
    <t>2-1420</t>
  </si>
  <si>
    <t>Short Term Investment Loan</t>
  </si>
  <si>
    <t>2-1430</t>
  </si>
  <si>
    <t>Short Term FA Purchasing</t>
  </si>
  <si>
    <t>2-1490</t>
  </si>
  <si>
    <t>Third Part Loan</t>
  </si>
  <si>
    <t>Total SHORT TERM LIABILITIES</t>
  </si>
  <si>
    <t>2-1500</t>
  </si>
  <si>
    <t>TAX PAYBLE</t>
  </si>
  <si>
    <t>2-1510</t>
  </si>
  <si>
    <t>Tax - PPN K</t>
  </si>
  <si>
    <t>2-1520</t>
  </si>
  <si>
    <t>Tax Payble - PPh 21</t>
  </si>
  <si>
    <t>2-1530</t>
  </si>
  <si>
    <t>Tax Payble - PPh 23</t>
  </si>
  <si>
    <t>2-1540</t>
  </si>
  <si>
    <t>Tax Payble - PPh 24</t>
  </si>
  <si>
    <t>2-1550</t>
  </si>
  <si>
    <t>Tax Payble - PPh 25</t>
  </si>
  <si>
    <t>2-1560</t>
  </si>
  <si>
    <t>Tax Payble - PPh 26</t>
  </si>
  <si>
    <t>2-1570</t>
  </si>
  <si>
    <t>Tax Payble - PPh 29</t>
  </si>
  <si>
    <t>Total TAX PAYBLE</t>
  </si>
  <si>
    <t>2-1600</t>
  </si>
  <si>
    <t>2-1610</t>
  </si>
  <si>
    <t>UR Book Student</t>
  </si>
  <si>
    <t>2-1620</t>
  </si>
  <si>
    <t>UR Uniform Student</t>
  </si>
  <si>
    <t>2-1630</t>
  </si>
  <si>
    <t>UR - PSB</t>
  </si>
  <si>
    <t>2-1640</t>
  </si>
  <si>
    <t>UR - Custumer Deposit</t>
  </si>
  <si>
    <t>2-1690</t>
  </si>
  <si>
    <t>UR- Others</t>
  </si>
  <si>
    <t>Total UNEARNED REVENUE</t>
  </si>
  <si>
    <t>2-1700</t>
  </si>
  <si>
    <t>ACCRUED EXPENSE</t>
  </si>
  <si>
    <t>2-1710</t>
  </si>
  <si>
    <t>Accure Expense Salary &amp; Overti</t>
  </si>
  <si>
    <t>2-1720</t>
  </si>
  <si>
    <t>Accure Expense Electricity</t>
  </si>
  <si>
    <t>2-1730</t>
  </si>
  <si>
    <t>Accure Expense Telephone</t>
  </si>
  <si>
    <t>2-1740</t>
  </si>
  <si>
    <t>Accure Expense Medicine</t>
  </si>
  <si>
    <t>2-1750</t>
  </si>
  <si>
    <t>Accure Expense Cons &amp; Logistik</t>
  </si>
  <si>
    <t>2-1760</t>
  </si>
  <si>
    <t>Accure Expense Promotion</t>
  </si>
  <si>
    <t>2-1770</t>
  </si>
  <si>
    <t>Accure Expense Profesional Fee</t>
  </si>
  <si>
    <t>2-1780</t>
  </si>
  <si>
    <t>Accure Expense Allowance Hari</t>
  </si>
  <si>
    <t>2-1790</t>
  </si>
  <si>
    <t>Accure Expense Others</t>
  </si>
  <si>
    <t>Total ACCRUED EXPENSE</t>
  </si>
  <si>
    <t>2-1800</t>
  </si>
  <si>
    <t>Cadangan THR</t>
  </si>
  <si>
    <t>2-1810</t>
  </si>
  <si>
    <t>Total Cadangan THR</t>
  </si>
  <si>
    <t>2-2000</t>
  </si>
  <si>
    <t>NON CURRENT LIABILITIES</t>
  </si>
  <si>
    <t>2-2100</t>
  </si>
  <si>
    <t>LONG TERM LIABILITIES</t>
  </si>
  <si>
    <t>2-2110</t>
  </si>
  <si>
    <t>Long Term Investment Loan</t>
  </si>
  <si>
    <t>2-2120</t>
  </si>
  <si>
    <t>Long Term FA Purchasing Loan</t>
  </si>
  <si>
    <t>2-2130</t>
  </si>
  <si>
    <t>Long Term Operational Loan</t>
  </si>
  <si>
    <t>2-2140</t>
  </si>
  <si>
    <t>Estimate of Employee benefit</t>
  </si>
  <si>
    <t>2-2150</t>
  </si>
  <si>
    <t>Estimate of Employe benefit AE</t>
  </si>
  <si>
    <t>2-2160</t>
  </si>
  <si>
    <t>Deffered Tax Liabilities</t>
  </si>
  <si>
    <t>2-2190</t>
  </si>
  <si>
    <t>Long Term Others Loan</t>
  </si>
  <si>
    <t>Total LONG TERM LIABILITIES</t>
  </si>
  <si>
    <t>Total NON CURRENT LIABILITIES</t>
  </si>
  <si>
    <t>3-1105</t>
  </si>
  <si>
    <t>Setoran Investasi PIAPa</t>
  </si>
  <si>
    <t>3-1111</t>
  </si>
  <si>
    <t>Unrestricted NA for O to 19/20</t>
  </si>
  <si>
    <t>3-1112</t>
  </si>
  <si>
    <t>Unrestricted NA for O to 20/21</t>
  </si>
  <si>
    <t>3-1113</t>
  </si>
  <si>
    <t>Unrestricted NA for O to 21/22</t>
  </si>
  <si>
    <t>3-1115</t>
  </si>
  <si>
    <t>Unrestricted NA for O to 23/24</t>
  </si>
  <si>
    <t>3-1116</t>
  </si>
  <si>
    <t>Unrestricted NA for O to 24/25</t>
  </si>
  <si>
    <t>3-1117</t>
  </si>
  <si>
    <t>Unrestricted NA for O to 25/26</t>
  </si>
  <si>
    <t>3-1118</t>
  </si>
  <si>
    <t>Unrestricted NA for O to 26/27</t>
  </si>
  <si>
    <t>3-1119</t>
  </si>
  <si>
    <t>Unrestricted NA for O to 27/28</t>
  </si>
  <si>
    <t>3-1120</t>
  </si>
  <si>
    <t>Unrestricted NA for O to 28/29</t>
  </si>
  <si>
    <t>3-1121</t>
  </si>
  <si>
    <t>Unrestricted NA for O to 29/30</t>
  </si>
  <si>
    <t>3-1122</t>
  </si>
  <si>
    <t>Unrestricted NA for O to 30/31</t>
  </si>
  <si>
    <t>3-1123</t>
  </si>
  <si>
    <t>Unrestricted NA for O to 31/32</t>
  </si>
  <si>
    <t>3-1124</t>
  </si>
  <si>
    <t>Unrestricted NA for O to 32/33</t>
  </si>
  <si>
    <t>3-1125</t>
  </si>
  <si>
    <t>Unrestricted NA for O to 33/34</t>
  </si>
  <si>
    <t>3-1126</t>
  </si>
  <si>
    <t>Unrestricted NA for O to 34/35</t>
  </si>
  <si>
    <t>3-1199</t>
  </si>
  <si>
    <t>Surplus/Deficit for Year</t>
  </si>
  <si>
    <t>3-1211</t>
  </si>
  <si>
    <t>Retained Earnings</t>
  </si>
  <si>
    <t>3-1213</t>
  </si>
  <si>
    <t>Historical Balancing</t>
  </si>
  <si>
    <t>3-2110</t>
  </si>
  <si>
    <t>3-2111</t>
  </si>
  <si>
    <t>TR Pro BOS SDITQ Previous year</t>
  </si>
  <si>
    <t>3-2112</t>
  </si>
  <si>
    <t>TR Progr BOS MTS Previous year</t>
  </si>
  <si>
    <t>3-2113</t>
  </si>
  <si>
    <t>TR Program BOM IM Previos year</t>
  </si>
  <si>
    <t>3-2114</t>
  </si>
  <si>
    <t>TR Prog Porseni Previous year</t>
  </si>
  <si>
    <t>3-2119</t>
  </si>
  <si>
    <t>TR Prog Other Previous year</t>
  </si>
  <si>
    <t>3-2120</t>
  </si>
  <si>
    <t>Public Service</t>
  </si>
  <si>
    <t>3-2121</t>
  </si>
  <si>
    <t>TR Pro Idul Adha Previous Year</t>
  </si>
  <si>
    <t>3-2122</t>
  </si>
  <si>
    <t>TR Pro Zakat Mal Previous Year</t>
  </si>
  <si>
    <t>3-2124</t>
  </si>
  <si>
    <t>TR P Social Fund Previous Year</t>
  </si>
  <si>
    <t>3-2125</t>
  </si>
  <si>
    <t>TRP Fakir Miskin Previous Year</t>
  </si>
  <si>
    <t>3-2126</t>
  </si>
  <si>
    <t>TRP Fatherless Previous Year</t>
  </si>
  <si>
    <t>3-2129</t>
  </si>
  <si>
    <t>TRP Other Previous Year</t>
  </si>
  <si>
    <t>3-2139</t>
  </si>
  <si>
    <t>3-2140</t>
  </si>
  <si>
    <t>Students Aid</t>
  </si>
  <si>
    <t>3-2141</t>
  </si>
  <si>
    <t>TRP Scholarship Previous Year</t>
  </si>
  <si>
    <t>3-2142</t>
  </si>
  <si>
    <t>TRP Fatherless Students Previo</t>
  </si>
  <si>
    <t>3-2143</t>
  </si>
  <si>
    <t>TRP Poor students aid PY</t>
  </si>
  <si>
    <t>3-2149</t>
  </si>
  <si>
    <t>TRP Others PY</t>
  </si>
  <si>
    <t>3-2190</t>
  </si>
  <si>
    <t>3-2199</t>
  </si>
  <si>
    <t>3-2200</t>
  </si>
  <si>
    <t>INCOME TO PREVIOUS MONTH</t>
  </si>
  <si>
    <t>3-2210</t>
  </si>
  <si>
    <t>3-2211</t>
  </si>
  <si>
    <t>Revenue TRP BOS SDITQ Previous</t>
  </si>
  <si>
    <t>3-2212</t>
  </si>
  <si>
    <t>Revenue TRP BOS MTS Previous M</t>
  </si>
  <si>
    <t>3-2213</t>
  </si>
  <si>
    <t>Revenue TRP BOM IM Previos Mon</t>
  </si>
  <si>
    <t>3-2214</t>
  </si>
  <si>
    <t>Revenue TRP Porseni Previous M</t>
  </si>
  <si>
    <t>3-2219</t>
  </si>
  <si>
    <t>Revenue TRP Other Previous Mon</t>
  </si>
  <si>
    <t>3-2220</t>
  </si>
  <si>
    <t>3-2221</t>
  </si>
  <si>
    <t>Revenue TRP Idul Adha Previous</t>
  </si>
  <si>
    <t>3-2222</t>
  </si>
  <si>
    <t>Revenue TRP Zakat Mal Previous</t>
  </si>
  <si>
    <t>3-2223</t>
  </si>
  <si>
    <t>Revenue TRP Ifthor Previous Mo</t>
  </si>
  <si>
    <t>3-2224</t>
  </si>
  <si>
    <t>Revenue TRP Social Fund Previo</t>
  </si>
  <si>
    <t>3-2225</t>
  </si>
  <si>
    <t>Revenue TRP Fakir Miskin Previ</t>
  </si>
  <si>
    <t>3-2226</t>
  </si>
  <si>
    <t>Revenue TRP Fatherless Previou</t>
  </si>
  <si>
    <t>3-2229</t>
  </si>
  <si>
    <t>3-2230</t>
  </si>
  <si>
    <t>3-2239</t>
  </si>
  <si>
    <t>3-2240</t>
  </si>
  <si>
    <t>3-2241</t>
  </si>
  <si>
    <t>Revenue TRP Scholarship Previo</t>
  </si>
  <si>
    <t>3-2242</t>
  </si>
  <si>
    <t>Revenue TRP Fatherless Student</t>
  </si>
  <si>
    <t>3-2243</t>
  </si>
  <si>
    <t>Revenue TRP Poor students aid</t>
  </si>
  <si>
    <t>3-2249</t>
  </si>
  <si>
    <t>Revunue TRP Others Previous Mo</t>
  </si>
  <si>
    <t>3-2290</t>
  </si>
  <si>
    <t>3-2299</t>
  </si>
  <si>
    <t>Revenue TRP Others Previous Mo</t>
  </si>
  <si>
    <t>Total INCOME TO PREVIOUS MONTH</t>
  </si>
  <si>
    <t>3-2300</t>
  </si>
  <si>
    <t>3-2310</t>
  </si>
  <si>
    <t>3-2311</t>
  </si>
  <si>
    <t>Revenue TRP BOS SDITQ Current</t>
  </si>
  <si>
    <t>3-2312</t>
  </si>
  <si>
    <t>Revenue TRP BOS MTS Current Mo</t>
  </si>
  <si>
    <t>3-2313</t>
  </si>
  <si>
    <t>Revenue TRP BOM IM Current Mon</t>
  </si>
  <si>
    <t>3-2314</t>
  </si>
  <si>
    <t>Revenue TRP Porseni Current Mo</t>
  </si>
  <si>
    <t>3-2319</t>
  </si>
  <si>
    <t>Revenue TRP Other Current Mont</t>
  </si>
  <si>
    <t>3-2320</t>
  </si>
  <si>
    <t>3-2321</t>
  </si>
  <si>
    <t>Revenue TRP Idul Adha Current</t>
  </si>
  <si>
    <t>3-2322</t>
  </si>
  <si>
    <t>Revenue TRP Zakat Mal Current</t>
  </si>
  <si>
    <t>3-2323</t>
  </si>
  <si>
    <t>Revenue TRP Ifthor Current Mon</t>
  </si>
  <si>
    <t>3-2324</t>
  </si>
  <si>
    <t>Revenue TRP Social Fund Curren</t>
  </si>
  <si>
    <t>3-2325</t>
  </si>
  <si>
    <t>Revenue TRP Fakir Miskin Curre</t>
  </si>
  <si>
    <t>3-2326</t>
  </si>
  <si>
    <t>Revenue TRP Fatherless Current</t>
  </si>
  <si>
    <t>3-2329</t>
  </si>
  <si>
    <t>3-2330</t>
  </si>
  <si>
    <t>3-2339</t>
  </si>
  <si>
    <t>3-2340</t>
  </si>
  <si>
    <t>3-2341</t>
  </si>
  <si>
    <t>Revenue TRP Scholarship Curren</t>
  </si>
  <si>
    <t>3-2342</t>
  </si>
  <si>
    <t>3-2343</t>
  </si>
  <si>
    <t>3-2349</t>
  </si>
  <si>
    <t>Revenue TRP Others Previous Cu</t>
  </si>
  <si>
    <t>3-2390</t>
  </si>
  <si>
    <t>3-2399</t>
  </si>
  <si>
    <t>Revenue TRP Others Current Mon</t>
  </si>
  <si>
    <t>3-2400</t>
  </si>
  <si>
    <t>RELEASE TO PREVIOUS MONTH</t>
  </si>
  <si>
    <t>3-2410</t>
  </si>
  <si>
    <t>3-2411</t>
  </si>
  <si>
    <t>Release TRP BOS SDITQ Previous</t>
  </si>
  <si>
    <t>3-2412</t>
  </si>
  <si>
    <t>Release TRP BOS MTS Previous M</t>
  </si>
  <si>
    <t>3-2413</t>
  </si>
  <si>
    <t>Release TRP BOM IM Previos Mon</t>
  </si>
  <si>
    <t>3-2414</t>
  </si>
  <si>
    <t>Release TRP Porseni Previous M</t>
  </si>
  <si>
    <t>3-2419</t>
  </si>
  <si>
    <t>Release TRP Other Previous Mon</t>
  </si>
  <si>
    <t>3-2420</t>
  </si>
  <si>
    <t>3-2421</t>
  </si>
  <si>
    <t>Release TRP Idul Adha Previous</t>
  </si>
  <si>
    <t>3-2422</t>
  </si>
  <si>
    <t>Release TRP Zakat Mal Previous</t>
  </si>
  <si>
    <t>3-2423</t>
  </si>
  <si>
    <t>Release TRP Ifthor Previous Mo</t>
  </si>
  <si>
    <t>3-2424</t>
  </si>
  <si>
    <t>Release TRP Social Fund Previo</t>
  </si>
  <si>
    <t>3-2425</t>
  </si>
  <si>
    <t>Release TRP Fakir Miskin Previ</t>
  </si>
  <si>
    <t>3-2426</t>
  </si>
  <si>
    <t>Release TRP Fatherless Previou</t>
  </si>
  <si>
    <t>3-2429</t>
  </si>
  <si>
    <t>3-2430</t>
  </si>
  <si>
    <t>3-2439</t>
  </si>
  <si>
    <t>3-2440</t>
  </si>
  <si>
    <t>3-2441</t>
  </si>
  <si>
    <t>Release TRP Scholarship Previo</t>
  </si>
  <si>
    <t>3-2442</t>
  </si>
  <si>
    <t>Release TRP Fatherless Student</t>
  </si>
  <si>
    <t>3-2443</t>
  </si>
  <si>
    <t>Release TRP Poor students aid</t>
  </si>
  <si>
    <t>3-2449</t>
  </si>
  <si>
    <t>Release TRP Others Previous Mo</t>
  </si>
  <si>
    <t>3-2490</t>
  </si>
  <si>
    <t>3-2499</t>
  </si>
  <si>
    <t>Total RELEASE TO PREVIOUS MONTH</t>
  </si>
  <si>
    <t>3-2500</t>
  </si>
  <si>
    <t>RELEASE TO THIS MONTH</t>
  </si>
  <si>
    <t>3-2510</t>
  </si>
  <si>
    <t>3-2511</t>
  </si>
  <si>
    <t>Release TRP BOS SDITQ Current</t>
  </si>
  <si>
    <t>3-2512</t>
  </si>
  <si>
    <t>Release TRP BOS MTS Current Mo</t>
  </si>
  <si>
    <t>3-2513</t>
  </si>
  <si>
    <t>Release TRP BOM IM Current Mon</t>
  </si>
  <si>
    <t>3-2514</t>
  </si>
  <si>
    <t>Release TRP Porseni Current Mo</t>
  </si>
  <si>
    <t>3-2519</t>
  </si>
  <si>
    <t>Release TRP Other Current Mont</t>
  </si>
  <si>
    <t>3-2520</t>
  </si>
  <si>
    <t>3-2521</t>
  </si>
  <si>
    <t>Release TRP Idul Adha Current</t>
  </si>
  <si>
    <t>3-2522</t>
  </si>
  <si>
    <t>Release TRP Zakat Mal Current</t>
  </si>
  <si>
    <t>3-2523</t>
  </si>
  <si>
    <t>Release TRP Ifthor Current Mon</t>
  </si>
  <si>
    <t>3-2524</t>
  </si>
  <si>
    <t>Release TRP Social Fund Curren</t>
  </si>
  <si>
    <t>3-2525</t>
  </si>
  <si>
    <t>Release TRP Fakir Miskin Curre</t>
  </si>
  <si>
    <t>3-2526</t>
  </si>
  <si>
    <t>Release TRP Fatherless Current</t>
  </si>
  <si>
    <t>3-2529</t>
  </si>
  <si>
    <t>3-2530</t>
  </si>
  <si>
    <t>3-2539</t>
  </si>
  <si>
    <t>3-2540</t>
  </si>
  <si>
    <t>3-2541</t>
  </si>
  <si>
    <t>Release TRP Scholarship Curren</t>
  </si>
  <si>
    <t>3-2542</t>
  </si>
  <si>
    <t>3-2543</t>
  </si>
  <si>
    <t>3-2549</t>
  </si>
  <si>
    <t>Release TRP Others Current Mon</t>
  </si>
  <si>
    <t>3-2590</t>
  </si>
  <si>
    <t>3-2599</t>
  </si>
  <si>
    <t>Total RELEASE TO THIS MONTH</t>
  </si>
  <si>
    <t>3-3110</t>
  </si>
  <si>
    <t>Cash Contribution</t>
  </si>
  <si>
    <t>3-3114</t>
  </si>
  <si>
    <t>TR FA Masjid PA Previous Year</t>
  </si>
  <si>
    <t>3-3116</t>
  </si>
  <si>
    <t>TR FA Vehicle Previous Year</t>
  </si>
  <si>
    <t>3-3117</t>
  </si>
  <si>
    <t>TR FA Alqur'an Previous Year</t>
  </si>
  <si>
    <t>3-3118</t>
  </si>
  <si>
    <t>TR FA Maktabah Previous Year</t>
  </si>
  <si>
    <t>3-3119</t>
  </si>
  <si>
    <t>TR FA Others Previous Year</t>
  </si>
  <si>
    <t>3-3120</t>
  </si>
  <si>
    <t>Non Cash Contribution</t>
  </si>
  <si>
    <t>3-3121</t>
  </si>
  <si>
    <t>TR FA non cash Previous Year</t>
  </si>
  <si>
    <t>3-3190</t>
  </si>
  <si>
    <t>Others Contribution</t>
  </si>
  <si>
    <t>3-3199</t>
  </si>
  <si>
    <t>Others Previous Year</t>
  </si>
  <si>
    <t>3-3200</t>
  </si>
  <si>
    <t>3-3210</t>
  </si>
  <si>
    <t>3-3211</t>
  </si>
  <si>
    <t>Revenue TR FA Cholid B Previou</t>
  </si>
  <si>
    <t>3-3212</t>
  </si>
  <si>
    <t>Revenue TR FA M Harhara Previo</t>
  </si>
  <si>
    <t>3-3213</t>
  </si>
  <si>
    <t>Revenue TR FA PP Al Irsy Previ</t>
  </si>
  <si>
    <t>3-3214</t>
  </si>
  <si>
    <t>Revenue TR FA Masjid PA Previo</t>
  </si>
  <si>
    <t>3-3215</t>
  </si>
  <si>
    <t>Revenue TR FA Masjid PI Previo</t>
  </si>
  <si>
    <t>3-3216</t>
  </si>
  <si>
    <t>Revenue TR FA Vehicle Previous</t>
  </si>
  <si>
    <t>3-3217</t>
  </si>
  <si>
    <t>Revenue TR FA Alqur'an Previou</t>
  </si>
  <si>
    <t>3-3218</t>
  </si>
  <si>
    <t>Revenue TR FA Maktabah Previou</t>
  </si>
  <si>
    <t>3-3219</t>
  </si>
  <si>
    <t>Revenue TR FA Others Previous</t>
  </si>
  <si>
    <t>3-3220</t>
  </si>
  <si>
    <t>3-3221</t>
  </si>
  <si>
    <t>Revenue TR FA non cash Previou</t>
  </si>
  <si>
    <t>3-3290</t>
  </si>
  <si>
    <t>3-3291</t>
  </si>
  <si>
    <t>Others Previous Month</t>
  </si>
  <si>
    <t>3-3310</t>
  </si>
  <si>
    <t>3-3311</t>
  </si>
  <si>
    <t>Revenue TR FA Cholid B Current</t>
  </si>
  <si>
    <t>3-3312</t>
  </si>
  <si>
    <t>Revenue TR FA M Harhara Curren</t>
  </si>
  <si>
    <t>3-3313</t>
  </si>
  <si>
    <t>Revenue TR FA PP Al Irsy Curre</t>
  </si>
  <si>
    <t>3-3314</t>
  </si>
  <si>
    <t>Revenue TR FA Masjid PA Curren</t>
  </si>
  <si>
    <t>3-3315</t>
  </si>
  <si>
    <t>Revenue TR FA Masjid PI Curren</t>
  </si>
  <si>
    <t>3-3316</t>
  </si>
  <si>
    <t>Revenue TR FA Vehicle Current</t>
  </si>
  <si>
    <t>3-3317</t>
  </si>
  <si>
    <t>Revenue TR FA Alqur'an Current</t>
  </si>
  <si>
    <t>3-3318</t>
  </si>
  <si>
    <t>Revenue TR FA Maktabah Current</t>
  </si>
  <si>
    <t>3-3320</t>
  </si>
  <si>
    <t>3-3321</t>
  </si>
  <si>
    <t>Revenue TR FA non cash Current</t>
  </si>
  <si>
    <t>3-3390</t>
  </si>
  <si>
    <t>3-3399</t>
  </si>
  <si>
    <t>Others Current Year</t>
  </si>
  <si>
    <t>3-3400</t>
  </si>
  <si>
    <t>3-3410</t>
  </si>
  <si>
    <t>3-3411</t>
  </si>
  <si>
    <t>Release TR FA Cholid B Previou</t>
  </si>
  <si>
    <t>3-3412</t>
  </si>
  <si>
    <t>Release TR FA M Harhara Previo</t>
  </si>
  <si>
    <t>3-3413</t>
  </si>
  <si>
    <t>Release TR FA PP Al Irsy Previ</t>
  </si>
  <si>
    <t>3-3414</t>
  </si>
  <si>
    <t>Release TR FA Masjid PA Previo</t>
  </si>
  <si>
    <t>3-3415</t>
  </si>
  <si>
    <t>Release TR FA Masjid PI Previo</t>
  </si>
  <si>
    <t>3-3416</t>
  </si>
  <si>
    <t>Release TR FA Vehicle Previous</t>
  </si>
  <si>
    <t>3-3417</t>
  </si>
  <si>
    <t>Release TR FA Alqur'an Previou</t>
  </si>
  <si>
    <t>3-3418</t>
  </si>
  <si>
    <t>Release TR FA Maktabah Previou</t>
  </si>
  <si>
    <t>3-3419</t>
  </si>
  <si>
    <t>Release TR FA Others Previous</t>
  </si>
  <si>
    <t>3-3420</t>
  </si>
  <si>
    <t>3-3421</t>
  </si>
  <si>
    <t>Release TR FA non cash Previou</t>
  </si>
  <si>
    <t>3-3490</t>
  </si>
  <si>
    <t>3-3499</t>
  </si>
  <si>
    <t>3-3500</t>
  </si>
  <si>
    <t>3-3510</t>
  </si>
  <si>
    <t>3-3511</t>
  </si>
  <si>
    <t>Release TR FA Cholid B Current</t>
  </si>
  <si>
    <t>3-3512</t>
  </si>
  <si>
    <t>Release TR FA M Harhara Curren</t>
  </si>
  <si>
    <t>3-3513</t>
  </si>
  <si>
    <t>Release TR FA PP Al Irsy Curre</t>
  </si>
  <si>
    <t>3-3514</t>
  </si>
  <si>
    <t>Release TR FA Masjid PA Curren</t>
  </si>
  <si>
    <t>3-3515</t>
  </si>
  <si>
    <t>Release TR FA Masjid PI Curren</t>
  </si>
  <si>
    <t>3-3516</t>
  </si>
  <si>
    <t>Release TR FA Vehicle Current</t>
  </si>
  <si>
    <t>3-3517</t>
  </si>
  <si>
    <t>Release TR FA Alqur'an Current</t>
  </si>
  <si>
    <t>3-3518</t>
  </si>
  <si>
    <t>Release TR FA Maktabah Current</t>
  </si>
  <si>
    <t>3-3519</t>
  </si>
  <si>
    <t>Release TR FA Others Current M</t>
  </si>
  <si>
    <t>3-3520</t>
  </si>
  <si>
    <t>3-3521</t>
  </si>
  <si>
    <t>Release TR FA non cash Current</t>
  </si>
  <si>
    <t>3-3590</t>
  </si>
  <si>
    <t>3-3591</t>
  </si>
  <si>
    <t>3-4000</t>
  </si>
  <si>
    <t>PERMANENTLY RESTRICTED</t>
  </si>
  <si>
    <t>3-4100</t>
  </si>
  <si>
    <t>3-4110</t>
  </si>
  <si>
    <t>Investment</t>
  </si>
  <si>
    <t>3-4111</t>
  </si>
  <si>
    <t>3-4200</t>
  </si>
  <si>
    <t>3-4210</t>
  </si>
  <si>
    <t>3-4211</t>
  </si>
  <si>
    <t>3-4300</t>
  </si>
  <si>
    <t>3-4310</t>
  </si>
  <si>
    <t>3-4311</t>
  </si>
  <si>
    <t>Revenue PR-Time-Investment Cur</t>
  </si>
  <si>
    <t>3-4400</t>
  </si>
  <si>
    <t>3-4410</t>
  </si>
  <si>
    <t>3-4411</t>
  </si>
  <si>
    <t>PR-Time-Investment Current Yea</t>
  </si>
  <si>
    <t>3-4500</t>
  </si>
  <si>
    <t>RELEASE TO CURRENT MONTH</t>
  </si>
  <si>
    <t>3-4510</t>
  </si>
  <si>
    <t>3-4511</t>
  </si>
  <si>
    <t>Total RELEASE TO CURRENT MONTH</t>
  </si>
  <si>
    <t>Total PERMANENTLY RESTRICTED</t>
  </si>
  <si>
    <t>Kas BOS SD Diknas</t>
  </si>
  <si>
    <t>Kas BOS MTS Depag</t>
  </si>
  <si>
    <t>Kas BOS IM Depag</t>
  </si>
  <si>
    <t>Cash - BOS SDITQ</t>
  </si>
  <si>
    <t>Cash - BOS MTS Depag</t>
  </si>
  <si>
    <t>Cash - BOS MA Depag</t>
  </si>
  <si>
    <r>
      <rPr>
        <b/>
        <sz val="11"/>
        <rFont val="Times New Roman"/>
        <family val="1"/>
      </rPr>
      <t xml:space="preserve">LAMPIRAN 1 / </t>
    </r>
    <r>
      <rPr>
        <b/>
        <i/>
        <sz val="11"/>
        <rFont val="Times New Roman"/>
        <family val="1"/>
      </rPr>
      <t>APPENDIX 1</t>
    </r>
  </si>
  <si>
    <t>RINCIAN PIUTANG UANG PENDIDIKAN</t>
  </si>
  <si>
    <t>DETAILS OF TUITION AND FEE RECEIVABLE</t>
  </si>
  <si>
    <t>(Disajikan dalam Rupiah)</t>
  </si>
  <si>
    <t>(Expressed in rupiah)</t>
  </si>
  <si>
    <t>No./</t>
  </si>
  <si>
    <t>Kelas /</t>
  </si>
  <si>
    <t>Tgl Invoice</t>
  </si>
  <si>
    <t>Nama sales</t>
  </si>
  <si>
    <t>Pembayaran I</t>
  </si>
  <si>
    <t>Pembayaran II</t>
  </si>
  <si>
    <t>Pembayaran III</t>
  </si>
  <si>
    <t>Class</t>
  </si>
  <si>
    <t>SPP /</t>
  </si>
  <si>
    <t>Ektra k. /</t>
  </si>
  <si>
    <t>D.Perpustakaan</t>
  </si>
  <si>
    <t>Daftar ulang /</t>
  </si>
  <si>
    <t>B &amp; Seragam</t>
  </si>
  <si>
    <t>Extra c.</t>
  </si>
  <si>
    <t>Building fund  /</t>
  </si>
  <si>
    <t>Library fund</t>
  </si>
  <si>
    <t>Enrollment</t>
  </si>
  <si>
    <t>B &amp; Uniform</t>
  </si>
  <si>
    <r>
      <rPr>
        <b/>
        <sz val="9"/>
        <rFont val="Times New Roman"/>
        <family val="1"/>
      </rPr>
      <t xml:space="preserve">PIUTANG SANTRI / </t>
    </r>
    <r>
      <rPr>
        <b/>
        <i/>
        <sz val="9"/>
        <rFont val="Times New Roman"/>
        <family val="1"/>
      </rPr>
      <t>STUDENT RECEIVABLE</t>
    </r>
  </si>
  <si>
    <t>1</t>
  </si>
  <si>
    <t/>
  </si>
  <si>
    <t>6</t>
  </si>
  <si>
    <t>12</t>
  </si>
  <si>
    <t>13</t>
  </si>
  <si>
    <t>14</t>
  </si>
  <si>
    <t>15</t>
  </si>
  <si>
    <t>16</t>
  </si>
  <si>
    <t>17</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</si>
  <si>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</si>
  <si>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</si>
  <si>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</si>
  <si>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</si>
  <si>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</si>
  <si>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</si>
  <si>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</si>
  <si>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</si>
  <si>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</si>
  <si>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</si>
  <si>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</si>
  <si>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</si>
  <si>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</si>
  <si>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</si>
  <si>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</si>
  <si>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</si>
  <si>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</si>
  <si>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</si>
  <si>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</si>
  <si>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</si>
  <si>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</si>
  <si>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</si>
  <si>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</si>
  <si>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</si>
  <si>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</si>
  <si>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</si>
  <si>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</si>
  <si>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</si>
  <si>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</si>
  <si>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r>
      <rPr>
        <b/>
        <sz val="9"/>
        <rFont val="Times New Roman"/>
        <family val="1"/>
      </rPr>
      <t>MTS /</t>
    </r>
    <r>
      <rPr>
        <b/>
        <i/>
        <sz val="9"/>
        <rFont val="Times New Roman"/>
        <family val="1"/>
      </rPr>
      <t xml:space="preserve"> Islamic junior high school</t>
    </r>
  </si>
  <si>
    <t>55</t>
  </si>
  <si>
    <t>56</t>
  </si>
  <si>
    <t>59</t>
  </si>
  <si>
    <t>60</t>
  </si>
  <si>
    <t>61</t>
  </si>
  <si>
    <t>62</t>
  </si>
  <si>
    <t>63</t>
  </si>
  <si>
    <t>66</t>
  </si>
  <si>
    <t>67</t>
  </si>
  <si>
    <t>69</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</si>
  <si>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</si>
  <si>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</si>
  <si>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</si>
  <si>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</si>
  <si>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</si>
  <si>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</si>
  <si>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</si>
  <si>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</si>
  <si>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</si>
  <si>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</si>
  <si>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</si>
  <si>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</si>
  <si>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</si>
  <si>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</si>
  <si>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</si>
  <si>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</si>
  <si>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</si>
  <si>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</si>
  <si>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</si>
  <si>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</si>
  <si>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</si>
  <si>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</si>
  <si>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</si>
  <si>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</si>
  <si>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</si>
  <si>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</si>
  <si>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</si>
  <si>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</si>
  <si>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</si>
  <si>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</si>
  <si>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</si>
  <si>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</si>
  <si>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</si>
  <si>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</si>
  <si>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</si>
  <si>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</si>
  <si>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</si>
  <si>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</si>
  <si>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</si>
  <si>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</si>
  <si>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</si>
  <si>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</si>
  <si>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</si>
  <si>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</si>
  <si>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</si>
  <si>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</si>
  <si>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</si>
  <si>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</si>
  <si>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</si>
  <si>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</si>
  <si>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</si>
  <si>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</si>
  <si>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</si>
  <si>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</si>
  <si>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</si>
  <si>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</si>
  <si>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</si>
  <si>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</si>
  <si>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</si>
  <si>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</si>
  <si>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</si>
  <si>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</si>
  <si>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</si>
  <si>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</si>
  <si>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</si>
  <si>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</si>
  <si>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</si>
  <si>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</si>
  <si>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</si>
  <si>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</si>
  <si>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</si>
  <si>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</si>
  <si>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</si>
  <si>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</si>
  <si>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</si>
  <si>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Jumlah MTW / Total JHS</t>
  </si>
  <si>
    <r>
      <rPr>
        <b/>
        <sz val="9"/>
        <rFont val="Times New Roman"/>
        <family val="1"/>
      </rPr>
      <t xml:space="preserve">MA / </t>
    </r>
    <r>
      <rPr>
        <b/>
        <i/>
        <sz val="9"/>
        <rFont val="Times New Roman"/>
        <family val="1"/>
      </rPr>
      <t>Islamic senior high school</t>
    </r>
  </si>
  <si>
    <t>Jumlah IM / Total SHS</t>
  </si>
  <si>
    <r>
      <rPr>
        <b/>
        <sz val="9"/>
        <rFont val="Times New Roman"/>
        <family val="1"/>
      </rPr>
      <t xml:space="preserve">Persiapan bahasa arab / </t>
    </r>
    <r>
      <rPr>
        <b/>
        <i/>
        <sz val="9"/>
        <rFont val="Times New Roman"/>
        <family val="1"/>
      </rPr>
      <t>Arabic language preparation</t>
    </r>
  </si>
  <si>
    <t>Jumlah IL / Total ALP</t>
  </si>
  <si>
    <t>Jumlah piutang santri /</t>
  </si>
  <si>
    <t>Total student receivable</t>
  </si>
  <si>
    <r>
      <rPr>
        <b/>
        <sz val="9"/>
        <rFont val="Times New Roman"/>
        <family val="1"/>
      </rPr>
      <t>PIUTANG KAFIL /</t>
    </r>
    <r>
      <rPr>
        <b/>
        <i/>
        <sz val="9"/>
        <rFont val="Times New Roman"/>
        <family val="1"/>
      </rPr>
      <t xml:space="preserve"> SPONSOR PRIVATE RECEIVABLE</t>
    </r>
  </si>
  <si>
    <t>Bpk. Cholid Bawazier</t>
  </si>
  <si>
    <t>PP Al Irsyad</t>
  </si>
  <si>
    <t>SL</t>
  </si>
  <si>
    <t>Jumlah piutang Kafil /</t>
  </si>
  <si>
    <t>Total sponsor receivable</t>
  </si>
  <si>
    <r>
      <rPr>
        <b/>
        <sz val="8"/>
        <rFont val="Times New Roman"/>
        <family val="1"/>
      </rPr>
      <t>PIUTANG SANTRI KELUAR /</t>
    </r>
    <r>
      <rPr>
        <b/>
        <i/>
        <sz val="8"/>
        <rFont val="Times New Roman"/>
        <family val="1"/>
      </rPr>
      <t xml:space="preserve"> EXIT STUDENT RECEIVABLE</t>
    </r>
  </si>
  <si>
    <t>SL2</t>
  </si>
  <si>
    <t>SL1</t>
  </si>
  <si>
    <t>Jumlah piutang Santri keluar /</t>
  </si>
  <si>
    <t>Total receivable Exit Student</t>
  </si>
  <si>
    <r>
      <rPr>
        <b/>
        <sz val="8"/>
        <rFont val="Times New Roman"/>
        <family val="1"/>
      </rPr>
      <t xml:space="preserve">PIUTANG TAK TERTAGIH / </t>
    </r>
    <r>
      <rPr>
        <b/>
        <i/>
        <sz val="8"/>
        <rFont val="Times New Roman"/>
        <family val="1"/>
      </rPr>
      <t>UNCOLLECTABLE ACCOUNT RECEIVABLE</t>
    </r>
  </si>
  <si>
    <r>
      <rPr>
        <b/>
        <sz val="8"/>
        <rFont val="Times New Roman"/>
        <family val="1"/>
      </rPr>
      <t xml:space="preserve">Santri / </t>
    </r>
    <r>
      <rPr>
        <b/>
        <i/>
        <sz val="8"/>
        <rFont val="Times New Roman"/>
        <family val="1"/>
      </rPr>
      <t>Student</t>
    </r>
  </si>
  <si>
    <t>Bpk. Muhammad Harharah</t>
  </si>
  <si>
    <t>Jumlah piutang tak tertagih /</t>
  </si>
  <si>
    <t>Total uncollectable account receivable</t>
  </si>
  <si>
    <t>Jumlah piutang biaya pendidikan /</t>
  </si>
  <si>
    <t>Total tuition and fee receivable</t>
  </si>
  <si>
    <r>
      <rPr>
        <b/>
        <sz val="11"/>
        <rFont val="Times New Roman"/>
        <family val="1"/>
      </rPr>
      <t xml:space="preserve">LAMPIRAN 2 / </t>
    </r>
    <r>
      <rPr>
        <b/>
        <i/>
        <sz val="11"/>
        <rFont val="Times New Roman"/>
        <family val="1"/>
      </rPr>
      <t>APPENDIX 2</t>
    </r>
  </si>
  <si>
    <t>RINCIAN PIUTANG LAIN LAIN</t>
  </si>
  <si>
    <t>DETAILS OF OTHER ACCOUNT RECEIVABLES</t>
  </si>
  <si>
    <t>No.</t>
  </si>
  <si>
    <t xml:space="preserve">Uraian / </t>
  </si>
  <si>
    <t>Keterangan /</t>
  </si>
  <si>
    <t>No</t>
  </si>
  <si>
    <t>Nama Customer</t>
  </si>
  <si>
    <t>No Invoice</t>
  </si>
  <si>
    <t>Desrciption</t>
  </si>
  <si>
    <t>Remark</t>
  </si>
  <si>
    <r>
      <rPr>
        <b/>
        <sz val="10"/>
        <rFont val="Times New Roman"/>
        <family val="1"/>
      </rPr>
      <t xml:space="preserve">PIUTANG KARYAWAN / </t>
    </r>
    <r>
      <rPr>
        <b/>
        <i/>
        <sz val="10"/>
        <rFont val="Times New Roman"/>
        <family val="1"/>
      </rPr>
      <t>EMPLOYEE RECEIVABLE</t>
    </r>
  </si>
  <si>
    <r>
      <rPr>
        <b/>
        <sz val="10"/>
        <rFont val="Times New Roman"/>
        <family val="1"/>
      </rPr>
      <t xml:space="preserve">Lain-lain karyawan / </t>
    </r>
    <r>
      <rPr>
        <b/>
        <i/>
        <sz val="10"/>
        <rFont val="Times New Roman"/>
        <family val="1"/>
      </rPr>
      <t>Other employee</t>
    </r>
  </si>
  <si>
    <r>
      <rPr>
        <b/>
        <sz val="10"/>
        <rFont val="Times New Roman"/>
        <family val="1"/>
      </rPr>
      <t xml:space="preserve">Jumlah piutang karyawan / </t>
    </r>
    <r>
      <rPr>
        <b/>
        <i/>
        <sz val="10"/>
        <rFont val="Times New Roman"/>
        <family val="1"/>
      </rPr>
      <t>Total employee receivable</t>
    </r>
  </si>
  <si>
    <r>
      <rPr>
        <b/>
        <sz val="10"/>
        <rFont val="Times New Roman"/>
        <family val="1"/>
      </rPr>
      <t xml:space="preserve">PINJAMAN SANTRI / </t>
    </r>
    <r>
      <rPr>
        <b/>
        <i/>
        <sz val="10"/>
        <rFont val="Times New Roman"/>
        <family val="1"/>
      </rPr>
      <t>STUDENT LOAN</t>
    </r>
  </si>
  <si>
    <t>Kelebihan pembayaran tabungan</t>
  </si>
  <si>
    <t>Piutang tabungan yusran</t>
  </si>
  <si>
    <t>Piutang kelebihan sewa lapangan badminton</t>
  </si>
  <si>
    <r>
      <rPr>
        <b/>
        <sz val="10"/>
        <rFont val="Times New Roman"/>
        <family val="1"/>
      </rPr>
      <t xml:space="preserve">Jumlah pinjaman santri / </t>
    </r>
    <r>
      <rPr>
        <b/>
        <i/>
        <sz val="10"/>
        <rFont val="Times New Roman"/>
        <family val="1"/>
      </rPr>
      <t>Total student loan</t>
    </r>
  </si>
  <si>
    <t>Untuk eliminasi</t>
  </si>
  <si>
    <t>Laundri</t>
  </si>
  <si>
    <t>angka elimnisasi</t>
  </si>
  <si>
    <r>
      <rPr>
        <b/>
        <sz val="10"/>
        <rFont val="Times New Roman"/>
        <family val="1"/>
      </rPr>
      <t xml:space="preserve">Jumlah piutang lain - usaha pelengkap / </t>
    </r>
    <r>
      <rPr>
        <b/>
        <i/>
        <sz val="10"/>
        <rFont val="Times New Roman"/>
        <family val="1"/>
      </rPr>
      <t>Total other receivable - auxiliary enterprises</t>
    </r>
  </si>
  <si>
    <t>1-3461</t>
  </si>
  <si>
    <r>
      <rPr>
        <b/>
        <sz val="10"/>
        <rFont val="Times New Roman"/>
        <family val="1"/>
      </rPr>
      <t xml:space="preserve">PIUTANG PIHAK 3 / </t>
    </r>
    <r>
      <rPr>
        <b/>
        <i/>
        <sz val="10"/>
        <rFont val="Times New Roman"/>
        <family val="1"/>
      </rPr>
      <t>THIRD PARTIES RECEIVABLE</t>
    </r>
  </si>
  <si>
    <t>Lain Lain pihak 3</t>
  </si>
  <si>
    <t>BOS MTW</t>
  </si>
  <si>
    <r>
      <rPr>
        <b/>
        <sz val="10"/>
        <rFont val="Times New Roman"/>
        <family val="1"/>
      </rPr>
      <t xml:space="preserve">Jumlah piutang pihak III / </t>
    </r>
    <r>
      <rPr>
        <b/>
        <i/>
        <sz val="10"/>
        <rFont val="Times New Roman"/>
        <family val="1"/>
      </rPr>
      <t>Total third parties receivable</t>
    </r>
  </si>
  <si>
    <r>
      <rPr>
        <b/>
        <sz val="10"/>
        <rFont val="Times New Roman"/>
        <family val="1"/>
      </rPr>
      <t xml:space="preserve">Jumlah piutang lain lain / </t>
    </r>
    <r>
      <rPr>
        <b/>
        <i/>
        <sz val="10"/>
        <rFont val="Times New Roman"/>
        <family val="1"/>
      </rPr>
      <t>Total other receivables</t>
    </r>
  </si>
  <si>
    <t>DATA DIAMBIL DARI :</t>
  </si>
  <si>
    <t>REPORT 1 - 10 : OUTLET PERFORMANCE BY DUE DATE AND SALESMAN</t>
  </si>
  <si>
    <t>REPORT 1 - 3    : SUMMARY TAKING ORDER AND COLLECTING FROM OUTLET BY SALESMAN</t>
  </si>
  <si>
    <t xml:space="preserve">LAPORAN PIUTANG KARYAWAN </t>
  </si>
  <si>
    <t xml:space="preserve">Discount </t>
  </si>
  <si>
    <t>Return</t>
  </si>
  <si>
    <t>Tgl Pemby.</t>
  </si>
  <si>
    <t>No Sanad</t>
  </si>
  <si>
    <t>SR</t>
  </si>
  <si>
    <t>Pinjaman Santri</t>
  </si>
  <si>
    <r>
      <t>PIUTANG PIAT PUSAT /</t>
    </r>
    <r>
      <rPr>
        <b/>
        <i/>
        <sz val="10"/>
        <color rgb="FFFF0000"/>
        <rFont val="Times New Roman"/>
        <family val="1"/>
      </rPr>
      <t xml:space="preserve"> PIAT PUSAT RECEIVABLE</t>
    </r>
  </si>
  <si>
    <r>
      <t xml:space="preserve">Jumlah Piutang PIAT PUSAT / </t>
    </r>
    <r>
      <rPr>
        <b/>
        <i/>
        <sz val="10"/>
        <color rgb="FFFF0000"/>
        <rFont val="Times New Roman"/>
        <family val="1"/>
      </rPr>
      <t>Total PIAT PUSAT Receivable</t>
    </r>
  </si>
  <si>
    <t>Jumlah Piutang Pajak / Total Tax Receivable</t>
  </si>
  <si>
    <t>Eliminasi piutang ke Usaha</t>
  </si>
  <si>
    <t>Operasional Usaha Juli 2023</t>
  </si>
  <si>
    <t>Piutang Unit Usaha &amp; Proyek</t>
  </si>
  <si>
    <t>Piutang Dana BOS</t>
  </si>
  <si>
    <t>BOS SDITQ</t>
  </si>
  <si>
    <t>BOS IM</t>
  </si>
  <si>
    <t>Dana Sosial Civitas</t>
  </si>
  <si>
    <r>
      <rPr>
        <b/>
        <sz val="11"/>
        <rFont val="Times New Roman"/>
        <family val="1"/>
      </rPr>
      <t xml:space="preserve">LAMPIRAN 3 / </t>
    </r>
    <r>
      <rPr>
        <b/>
        <i/>
        <sz val="11"/>
        <rFont val="Times New Roman"/>
        <family val="1"/>
      </rPr>
      <t>APPENDIX 3</t>
    </r>
  </si>
  <si>
    <t xml:space="preserve">RINCIAN PERSEDIAAN </t>
  </si>
  <si>
    <t>DETAIL OF INVENTORIES</t>
  </si>
  <si>
    <t>No. /</t>
  </si>
  <si>
    <t>Satuan /</t>
  </si>
  <si>
    <t>Unit</t>
  </si>
  <si>
    <r>
      <rPr>
        <b/>
        <sz val="10"/>
        <rFont val="Times New Roman"/>
        <family val="1"/>
      </rPr>
      <t xml:space="preserve">Harga / </t>
    </r>
    <r>
      <rPr>
        <b/>
        <i/>
        <sz val="10"/>
        <rFont val="Times New Roman"/>
        <family val="1"/>
      </rPr>
      <t>Price</t>
    </r>
  </si>
  <si>
    <t>Qty.</t>
  </si>
  <si>
    <r>
      <rPr>
        <b/>
        <sz val="10"/>
        <rFont val="Times New Roman"/>
        <family val="1"/>
      </rPr>
      <t>Jumlah /</t>
    </r>
    <r>
      <rPr>
        <b/>
        <i/>
        <sz val="10"/>
        <rFont val="Times New Roman"/>
        <family val="1"/>
      </rPr>
      <t xml:space="preserve"> Total</t>
    </r>
  </si>
  <si>
    <r>
      <rPr>
        <b/>
        <sz val="10"/>
        <rFont val="Times New Roman"/>
        <family val="1"/>
      </rPr>
      <t xml:space="preserve">Buku dan seragam / </t>
    </r>
    <r>
      <rPr>
        <b/>
        <i/>
        <sz val="10"/>
        <rFont val="Times New Roman"/>
        <family val="1"/>
      </rPr>
      <t>Books and uniform</t>
    </r>
  </si>
  <si>
    <t>Persediaan seragam Kain Batik &amp; Kain Guru</t>
  </si>
  <si>
    <t>ada buku bantu</t>
  </si>
  <si>
    <t>Persediaan seragam santri 22/23</t>
  </si>
  <si>
    <t>Persediaan Buku santri 22/23</t>
  </si>
  <si>
    <r>
      <rPr>
        <b/>
        <sz val="10"/>
        <rFont val="Times New Roman"/>
        <family val="1"/>
      </rPr>
      <t>Alat tulis kantor /</t>
    </r>
    <r>
      <rPr>
        <b/>
        <i/>
        <sz val="10"/>
        <rFont val="Times New Roman"/>
        <family val="1"/>
      </rPr>
      <t xml:space="preserve"> Stationary</t>
    </r>
  </si>
  <si>
    <t>Ballpoint - 4 Warna</t>
  </si>
  <si>
    <t>Biji</t>
  </si>
  <si>
    <t>Ballpoint ( Biru )</t>
  </si>
  <si>
    <t>Ballpoint ( Hitam )</t>
  </si>
  <si>
    <t>Dus</t>
  </si>
  <si>
    <t>Ballpoint ( Merah )</t>
  </si>
  <si>
    <t>Ballpoint Meja</t>
  </si>
  <si>
    <t>Ballpoint R5/ ACTION ( Hitam )</t>
  </si>
  <si>
    <t>Boxi / TIZO ( Hitam )</t>
  </si>
  <si>
    <t>Pencil TIC</t>
  </si>
  <si>
    <t>Drawing pen 0,5 mm</t>
  </si>
  <si>
    <t>Ballpoint PILOT</t>
  </si>
  <si>
    <t>Tube</t>
  </si>
  <si>
    <t>Gantungan Kunci</t>
  </si>
  <si>
    <t>Materai 6000</t>
  </si>
  <si>
    <r>
      <rPr>
        <b/>
        <sz val="10"/>
        <rFont val="Times New Roman"/>
        <family val="1"/>
      </rPr>
      <t xml:space="preserve">Obat - obatan / </t>
    </r>
    <r>
      <rPr>
        <b/>
        <i/>
        <sz val="10"/>
        <rFont val="Times New Roman"/>
        <family val="1"/>
      </rPr>
      <t>Medicines</t>
    </r>
  </si>
  <si>
    <t>BENANG JAHIT CROMIC</t>
  </si>
  <si>
    <t>tablet</t>
  </si>
  <si>
    <t>OG101</t>
  </si>
  <si>
    <t>BENANG JAHIT CUTGUT</t>
  </si>
  <si>
    <t>OG102</t>
  </si>
  <si>
    <t>BENANG JAHIT SILK</t>
  </si>
  <si>
    <t>OG301</t>
  </si>
  <si>
    <t>DARYANTULE</t>
  </si>
  <si>
    <t>OB101</t>
  </si>
  <si>
    <t>ELASTIS PERBAN</t>
  </si>
  <si>
    <t>OB102</t>
  </si>
  <si>
    <t>HANDSCONE</t>
  </si>
  <si>
    <t>OB103</t>
  </si>
  <si>
    <t>HYGENIK 500 ML</t>
  </si>
  <si>
    <t>OB104</t>
  </si>
  <si>
    <t>JARUM JAHIT</t>
  </si>
  <si>
    <t>OB105</t>
  </si>
  <si>
    <t>KAPAS 1KG</t>
  </si>
  <si>
    <t>OB106</t>
  </si>
  <si>
    <t>KASSA DUS</t>
  </si>
  <si>
    <t>OB107</t>
  </si>
  <si>
    <t>KASSA GULUNG BESAR</t>
  </si>
  <si>
    <t>OB108</t>
  </si>
  <si>
    <t>KASSA GULUNG KECIL</t>
  </si>
  <si>
    <t>OB109</t>
  </si>
  <si>
    <t>KLIP PLASTIK 8X5</t>
  </si>
  <si>
    <t>OB110</t>
  </si>
  <si>
    <t>laxamex</t>
  </si>
  <si>
    <t>PLESTER ROL BESAR</t>
  </si>
  <si>
    <t>OB111</t>
  </si>
  <si>
    <t>SPUIT 3CC</t>
  </si>
  <si>
    <t>OB112</t>
  </si>
  <si>
    <t>SURGICAL BLADE</t>
  </si>
  <si>
    <t>OB113</t>
  </si>
  <si>
    <t>HANSAPLAST PLESTER KAIN</t>
  </si>
  <si>
    <t>OB114</t>
  </si>
  <si>
    <t>COTTON BUD</t>
  </si>
  <si>
    <t>OB115</t>
  </si>
  <si>
    <t>MASKER DISPOSIBLE</t>
  </si>
  <si>
    <t>OB116</t>
  </si>
  <si>
    <t>PLESTER ROL KECIL</t>
  </si>
  <si>
    <t>OB117</t>
  </si>
  <si>
    <t>JARUM BD</t>
  </si>
  <si>
    <t>OB118</t>
  </si>
  <si>
    <t>HYPAVIX 10X5</t>
  </si>
  <si>
    <t>Botol</t>
  </si>
  <si>
    <t>OB201</t>
  </si>
  <si>
    <t>STIK CHOLESTROL</t>
  </si>
  <si>
    <t>OB202</t>
  </si>
  <si>
    <t>STIK GULA DARAH</t>
  </si>
  <si>
    <t>OB203</t>
  </si>
  <si>
    <t>STIK ASAM URAT</t>
  </si>
  <si>
    <t>OB204</t>
  </si>
  <si>
    <t>BLOOD LANCET</t>
  </si>
  <si>
    <t>OB205</t>
  </si>
  <si>
    <t>ALKOHOL SWAB</t>
  </si>
  <si>
    <t>OB206</t>
  </si>
  <si>
    <t>ARM SLING</t>
  </si>
  <si>
    <t>OB207</t>
  </si>
  <si>
    <t>ANATON</t>
  </si>
  <si>
    <t>OB208</t>
  </si>
  <si>
    <t>FLUMIN</t>
  </si>
  <si>
    <t>OB209</t>
  </si>
  <si>
    <t>DUMIN</t>
  </si>
  <si>
    <t>OB301</t>
  </si>
  <si>
    <t>PARACETAMOL 500 MG</t>
  </si>
  <si>
    <t>OB302</t>
  </si>
  <si>
    <t>FE</t>
  </si>
  <si>
    <t>OB303</t>
  </si>
  <si>
    <t>FERVITAL</t>
  </si>
  <si>
    <t>OB304</t>
  </si>
  <si>
    <t>FLUTROP</t>
  </si>
  <si>
    <t>OB305</t>
  </si>
  <si>
    <t>GG 100 MG</t>
  </si>
  <si>
    <t>OB401</t>
  </si>
  <si>
    <t>KALK</t>
  </si>
  <si>
    <t>OB601</t>
  </si>
  <si>
    <t>DULCOLAX 5 MG</t>
  </si>
  <si>
    <t>OB602</t>
  </si>
  <si>
    <t>NEO DIAFORM</t>
  </si>
  <si>
    <t>OB603</t>
  </si>
  <si>
    <t>NORIT</t>
  </si>
  <si>
    <t>OB604</t>
  </si>
  <si>
    <t>VITAMIN B1 KALENG</t>
  </si>
  <si>
    <t>OB605</t>
  </si>
  <si>
    <t>VITAMIN B12 KALENG</t>
  </si>
  <si>
    <t>OB606</t>
  </si>
  <si>
    <t>VITAMIN B6 KALENG</t>
  </si>
  <si>
    <t>OK101</t>
  </si>
  <si>
    <t>VITAMIN BC KALENG</t>
  </si>
  <si>
    <t>OK102</t>
  </si>
  <si>
    <t>VITAMIN C 25 MG</t>
  </si>
  <si>
    <t>OK103</t>
  </si>
  <si>
    <t>BETAMIN B1</t>
  </si>
  <si>
    <t>OK104</t>
  </si>
  <si>
    <t>AMBEVEN</t>
  </si>
  <si>
    <t>OK105</t>
  </si>
  <si>
    <t>PIRANTEL PAMOATE</t>
  </si>
  <si>
    <t>OK106</t>
  </si>
  <si>
    <t>TRIANTA</t>
  </si>
  <si>
    <t>OK107</t>
  </si>
  <si>
    <t>DIMENHYDRINAT  50 MG</t>
  </si>
  <si>
    <t>OK108</t>
  </si>
  <si>
    <t>DEXTRAL</t>
  </si>
  <si>
    <t>OK109</t>
  </si>
  <si>
    <t>ZINK</t>
  </si>
  <si>
    <t>OK110</t>
  </si>
  <si>
    <t>OMEGDIAR</t>
  </si>
  <si>
    <t>OK111</t>
  </si>
  <si>
    <t>NEURODEX</t>
  </si>
  <si>
    <t>OK112</t>
  </si>
  <si>
    <t>ALPARA</t>
  </si>
  <si>
    <t>OK113</t>
  </si>
  <si>
    <t>DEMACOLIN</t>
  </si>
  <si>
    <t>OK114</t>
  </si>
  <si>
    <t>CAVIPLEX</t>
  </si>
  <si>
    <t>OK115</t>
  </si>
  <si>
    <t>IBUPROFEN 400 MG</t>
  </si>
  <si>
    <t>OK116</t>
  </si>
  <si>
    <t>XONCE</t>
  </si>
  <si>
    <t>OK117</t>
  </si>
  <si>
    <t>IMBOST</t>
  </si>
  <si>
    <t>OK118</t>
  </si>
  <si>
    <t>FITUNO</t>
  </si>
  <si>
    <t>OK119</t>
  </si>
  <si>
    <t>VITAMIN D3</t>
  </si>
  <si>
    <t>OK120</t>
  </si>
  <si>
    <t>ARKAVIT C</t>
  </si>
  <si>
    <t>OK121</t>
  </si>
  <si>
    <t>SIVIT ZINC</t>
  </si>
  <si>
    <t>OK122</t>
  </si>
  <si>
    <t>ANACETIN 60 ML</t>
  </si>
  <si>
    <t>OK123</t>
  </si>
  <si>
    <t>ANAKONIDIN 30 ML</t>
  </si>
  <si>
    <t>OK124</t>
  </si>
  <si>
    <t>BERLOSID</t>
  </si>
  <si>
    <t>OK125</t>
  </si>
  <si>
    <t>GOM</t>
  </si>
  <si>
    <t>OK126</t>
  </si>
  <si>
    <t>LASERIN 30 ML</t>
  </si>
  <si>
    <t>OK127</t>
  </si>
  <si>
    <t>zicafen</t>
  </si>
  <si>
    <t>NEW GUANISTREP 60 ML</t>
  </si>
  <si>
    <t>OK128</t>
  </si>
  <si>
    <t>PARACETAMOL SYR 60 ML</t>
  </si>
  <si>
    <t>OK129</t>
  </si>
  <si>
    <t>PHAROLIT</t>
  </si>
  <si>
    <t>OK130</t>
  </si>
  <si>
    <t>ANTASIDA SYR 60 ML</t>
  </si>
  <si>
    <t>OK201</t>
  </si>
  <si>
    <t>SIRUP PILEK</t>
  </si>
  <si>
    <t>OK202</t>
  </si>
  <si>
    <t>ANTIMO ANAK</t>
  </si>
  <si>
    <t>OK203</t>
  </si>
  <si>
    <t>BODREXIN DEMAM</t>
  </si>
  <si>
    <t>OK301</t>
  </si>
  <si>
    <t>LACTO B</t>
  </si>
  <si>
    <t>OK302</t>
  </si>
  <si>
    <t>IBUPROFEN SYR</t>
  </si>
  <si>
    <t>OK303</t>
  </si>
  <si>
    <t>TIALYSIN</t>
  </si>
  <si>
    <t>OK304</t>
  </si>
  <si>
    <t>LASEIN 60 ML</t>
  </si>
  <si>
    <t>OK305</t>
  </si>
  <si>
    <t>BALSEM GELIGA 10 G</t>
  </si>
  <si>
    <t>OK306</t>
  </si>
  <si>
    <t>COUNTERPAIN 5 G</t>
  </si>
  <si>
    <t>OK307</t>
  </si>
  <si>
    <t>LEVERTEN</t>
  </si>
  <si>
    <t>OK308</t>
  </si>
  <si>
    <t>SALP 24</t>
  </si>
  <si>
    <t>OK309</t>
  </si>
  <si>
    <t>NEO ULTRACILIN</t>
  </si>
  <si>
    <t>OK401</t>
  </si>
  <si>
    <t>COUNTERPAIN 15 G</t>
  </si>
  <si>
    <t>OK402</t>
  </si>
  <si>
    <t>INSTO TM</t>
  </si>
  <si>
    <t>OK403</t>
  </si>
  <si>
    <t>ALKOHOL 1 L</t>
  </si>
  <si>
    <t>OK501</t>
  </si>
  <si>
    <t>BETADIN 1 L</t>
  </si>
  <si>
    <t>OK502</t>
  </si>
  <si>
    <t>KAYU PUTIH ELANG 30 ML</t>
  </si>
  <si>
    <t>OK503</t>
  </si>
  <si>
    <t>MINYAK TAWON EE</t>
  </si>
  <si>
    <t>OK504</t>
  </si>
  <si>
    <t>RIVANOL</t>
  </si>
  <si>
    <t>OK601</t>
  </si>
  <si>
    <t>SALICYL BEDAK</t>
  </si>
  <si>
    <t>OK602</t>
  </si>
  <si>
    <t>CALADINE LOTION 60 ML</t>
  </si>
  <si>
    <t>OK603</t>
  </si>
  <si>
    <t>SALON PAS</t>
  </si>
  <si>
    <t>OK604</t>
  </si>
  <si>
    <t>KAYU PUTIH ELANG 60 ML</t>
  </si>
  <si>
    <t>OK605</t>
  </si>
  <si>
    <t>CALLUSOL</t>
  </si>
  <si>
    <t>BHP701</t>
  </si>
  <si>
    <t>MINYAK TAWON DD</t>
  </si>
  <si>
    <t>BHP702</t>
  </si>
  <si>
    <t>BHP703</t>
  </si>
  <si>
    <t>PEDITOX</t>
  </si>
  <si>
    <t>BHP704</t>
  </si>
  <si>
    <t>BETADIN 30 ML</t>
  </si>
  <si>
    <t>BHP705</t>
  </si>
  <si>
    <t>ANTASIDA DOEN</t>
  </si>
  <si>
    <t>Box</t>
  </si>
  <si>
    <t>BHP706</t>
  </si>
  <si>
    <t>DEXTROMETHORPHAN</t>
  </si>
  <si>
    <t>BHP707</t>
  </si>
  <si>
    <t>MICONAZOLE KRIM 10 G</t>
  </si>
  <si>
    <t>BHP708</t>
  </si>
  <si>
    <t>HABATUSSAUDA</t>
  </si>
  <si>
    <t>BHP709</t>
  </si>
  <si>
    <t>CURCUMA 2 MG</t>
  </si>
  <si>
    <t>BHP710</t>
  </si>
  <si>
    <t>MADU TJ</t>
  </si>
  <si>
    <t>BHP711</t>
  </si>
  <si>
    <t>TOLAK ANGIN</t>
  </si>
  <si>
    <t>BHP712</t>
  </si>
  <si>
    <t>PROPOLIS SM</t>
  </si>
  <si>
    <t>BHP713</t>
  </si>
  <si>
    <t>EXTRA FOOD</t>
  </si>
  <si>
    <t>BHP714</t>
  </si>
  <si>
    <t>HERBA SINERGI</t>
  </si>
  <si>
    <t>BHP715</t>
  </si>
  <si>
    <t>ACYCLOVIR 400 MG</t>
  </si>
  <si>
    <t>BHP716</t>
  </si>
  <si>
    <t>ADROME</t>
  </si>
  <si>
    <t>BHP717</t>
  </si>
  <si>
    <t>AMBROXOL 30 MG</t>
  </si>
  <si>
    <t>OB607</t>
  </si>
  <si>
    <t>AMOXICILIN 500 MG</t>
  </si>
  <si>
    <t>BHP718</t>
  </si>
  <si>
    <t>ANTALGIN 100 MG</t>
  </si>
  <si>
    <t>BHP719</t>
  </si>
  <si>
    <t>ASAM MEFENAMAT 500 MG</t>
  </si>
  <si>
    <t>OB210</t>
  </si>
  <si>
    <t>CAPTOPRIL 50 MG</t>
  </si>
  <si>
    <t>OB119</t>
  </si>
  <si>
    <t>CEFADROXIL 500 MG</t>
  </si>
  <si>
    <t>OB120</t>
  </si>
  <si>
    <t>CIPROFLOXACIN 500 MG</t>
  </si>
  <si>
    <t>OB211</t>
  </si>
  <si>
    <t>CTM 4 MG</t>
  </si>
  <si>
    <t>OB608</t>
  </si>
  <si>
    <t>DEXAMETHASONE 0,5 MG</t>
  </si>
  <si>
    <t>OK404</t>
  </si>
  <si>
    <t>LORATADINE 10 MG</t>
  </si>
  <si>
    <t>OB121</t>
  </si>
  <si>
    <t>GRAPRIMA 480</t>
  </si>
  <si>
    <t>OK801</t>
  </si>
  <si>
    <t>GRAFAZOL 500 MG</t>
  </si>
  <si>
    <t>OB212</t>
  </si>
  <si>
    <t>INAMID / LOPERAMIDE 2 MG</t>
  </si>
  <si>
    <t>OB306</t>
  </si>
  <si>
    <t>KETOKONAZOLE 200 MG</t>
  </si>
  <si>
    <t>OB609</t>
  </si>
  <si>
    <t>OMEKUR</t>
  </si>
  <si>
    <t>OB610</t>
  </si>
  <si>
    <t>OMEPRAZOLE 20 MG</t>
  </si>
  <si>
    <t>OK131</t>
  </si>
  <si>
    <t>PIROXICAM 10 MG</t>
  </si>
  <si>
    <t>OB122</t>
  </si>
  <si>
    <t>PRIMADEX</t>
  </si>
  <si>
    <t>OB123</t>
  </si>
  <si>
    <t>RANITIDIN 150 MG</t>
  </si>
  <si>
    <t>OB124</t>
  </si>
  <si>
    <t>RENADINAC 50 MG</t>
  </si>
  <si>
    <t>OB611</t>
  </si>
  <si>
    <t>SALBUTAMOL 2 MG</t>
  </si>
  <si>
    <t>OK132</t>
  </si>
  <si>
    <t>SALBUTAMOL 4 MG</t>
  </si>
  <si>
    <t>OK133</t>
  </si>
  <si>
    <t>SPASMAL</t>
  </si>
  <si>
    <t>OB125</t>
  </si>
  <si>
    <t>METOCLORPRAMIDE 10 MG</t>
  </si>
  <si>
    <t>BHP720</t>
  </si>
  <si>
    <t>THIAMPHENICOL 500 MG</t>
  </si>
  <si>
    <t>OB126</t>
  </si>
  <si>
    <t>OMEDON</t>
  </si>
  <si>
    <t>OK134</t>
  </si>
  <si>
    <t>METRONIDAZOLE 500 MG</t>
  </si>
  <si>
    <t>OK310</t>
  </si>
  <si>
    <t>METHYLPREDNISOLON 4 MG</t>
  </si>
  <si>
    <t>OK135</t>
  </si>
  <si>
    <t>PAPAVERINE 40 MG</t>
  </si>
  <si>
    <t>OK405</t>
  </si>
  <si>
    <t>CAPTOPRIL 25 MG</t>
  </si>
  <si>
    <t>OB213</t>
  </si>
  <si>
    <t>PREDNISON</t>
  </si>
  <si>
    <t>OK136</t>
  </si>
  <si>
    <t>DEXTEEM PLUS</t>
  </si>
  <si>
    <t>BHP721</t>
  </si>
  <si>
    <t>RENADINAC 25 MG</t>
  </si>
  <si>
    <t>OK204</t>
  </si>
  <si>
    <r>
      <rPr>
        <b/>
        <sz val="10"/>
        <rFont val="Times New Roman"/>
        <family val="1"/>
      </rPr>
      <t xml:space="preserve">Informasi Teknologi / </t>
    </r>
    <r>
      <rPr>
        <b/>
        <i/>
        <sz val="10"/>
        <rFont val="Times New Roman"/>
        <family val="1"/>
      </rPr>
      <t>Information Technology</t>
    </r>
  </si>
  <si>
    <t>Adaptor</t>
  </si>
  <si>
    <t>Batery UPS</t>
  </si>
  <si>
    <t>Fan Cooler</t>
  </si>
  <si>
    <t>Hardisk 500GB</t>
  </si>
  <si>
    <t>Flash disk</t>
  </si>
  <si>
    <t>Keyboard Usb</t>
  </si>
  <si>
    <t>Kabel USB printer</t>
  </si>
  <si>
    <t>LAN Card TF</t>
  </si>
  <si>
    <t>LAN Card TG</t>
  </si>
  <si>
    <t>Mouse Usb</t>
  </si>
  <si>
    <t>Mikrotik Router Board</t>
  </si>
  <si>
    <r>
      <rPr>
        <b/>
        <sz val="10"/>
        <rFont val="Times New Roman"/>
        <family val="1"/>
      </rPr>
      <t xml:space="preserve">Persediaan Dapur / </t>
    </r>
    <r>
      <rPr>
        <b/>
        <i/>
        <sz val="10"/>
        <rFont val="Times New Roman"/>
        <family val="1"/>
      </rPr>
      <t>Kitchen</t>
    </r>
  </si>
  <si>
    <t>Persediaan Beras</t>
  </si>
  <si>
    <t>Kg</t>
  </si>
  <si>
    <t>Persediaan Gas</t>
  </si>
  <si>
    <t>Tabung</t>
  </si>
  <si>
    <t>Persediaan Bumbu (Kecap, saos, minyak goreng)</t>
  </si>
  <si>
    <t>Persediaan Bahan Minuman (Teh , kopi, gula)</t>
  </si>
  <si>
    <t>d</t>
  </si>
  <si>
    <t>Perlengkapan Kebersihan</t>
  </si>
  <si>
    <t>Baygon</t>
  </si>
  <si>
    <t>Bio 2000</t>
  </si>
  <si>
    <t>Bio L</t>
  </si>
  <si>
    <t>Botol Semprotan</t>
  </si>
  <si>
    <t>Canebo</t>
  </si>
  <si>
    <t>Cling</t>
  </si>
  <si>
    <t>Disinfektan</t>
  </si>
  <si>
    <t>Em4</t>
  </si>
  <si>
    <t>Energen</t>
  </si>
  <si>
    <t>Esel Loby</t>
  </si>
  <si>
    <t>Filter Air Panjang A</t>
  </si>
  <si>
    <t>Filter Air Pendek</t>
  </si>
  <si>
    <t>Galon Aqua</t>
  </si>
  <si>
    <t>Galon Kran</t>
  </si>
  <si>
    <t>Gantungan Baju Kamar Mandi</t>
  </si>
  <si>
    <t>Gayung</t>
  </si>
  <si>
    <t>Gelang Karet</t>
  </si>
  <si>
    <t>Gelas Kantor</t>
  </si>
  <si>
    <t>Gramason</t>
  </si>
  <si>
    <t>Grenjeng</t>
  </si>
  <si>
    <t>Gunting Daun</t>
  </si>
  <si>
    <t>Gunting Potong Rumput</t>
  </si>
  <si>
    <t>Hanger</t>
  </si>
  <si>
    <t>Jam Dinding</t>
  </si>
  <si>
    <t>Kapur Ajaib</t>
  </si>
  <si>
    <t>Kapur Barus Bulat</t>
  </si>
  <si>
    <t>Kemoceng</t>
  </si>
  <si>
    <t>Kertas Lalat</t>
  </si>
  <si>
    <t>Kertas Minyak</t>
  </si>
  <si>
    <t>Keset Kain</t>
  </si>
  <si>
    <t>Keset Kamar Mandi(Karet)</t>
  </si>
  <si>
    <t>Kran Dispenser</t>
  </si>
  <si>
    <t>Lap Kain</t>
  </si>
  <si>
    <t>Masker</t>
  </si>
  <si>
    <t>Mesin Stella</t>
  </si>
  <si>
    <t>Obat Tikus</t>
  </si>
  <si>
    <t>Pel Gagang / Moving Pel</t>
  </si>
  <si>
    <t>Pel Pengering Gg Panjang</t>
  </si>
  <si>
    <t>Pet Coklat</t>
  </si>
  <si>
    <t>Pet Hitam</t>
  </si>
  <si>
    <t>Pet Merah</t>
  </si>
  <si>
    <t>Pet Putih</t>
  </si>
  <si>
    <t>Pisau Pangkas</t>
  </si>
  <si>
    <t>Plastik Hitam Sedang</t>
  </si>
  <si>
    <t>Plastik Kantong</t>
  </si>
  <si>
    <t>Plastik Sampah Hitam Besar</t>
  </si>
  <si>
    <t>Prostek</t>
  </si>
  <si>
    <t>Rafia</t>
  </si>
  <si>
    <t>Ralat (Racun Lalat)</t>
  </si>
  <si>
    <t>Rangka Lobbyduster 80</t>
  </si>
  <si>
    <t>Refil Loby 60 Putih</t>
  </si>
  <si>
    <t>Refil Pel Sapu 90</t>
  </si>
  <si>
    <t>Refil Pel 80 Biru</t>
  </si>
  <si>
    <t>Refil Pel 80 Putih</t>
  </si>
  <si>
    <t>Refil Pel Persegi / Biasa</t>
  </si>
  <si>
    <t>Refil Pel Sapu 60 Biru</t>
  </si>
  <si>
    <t>Regulator</t>
  </si>
  <si>
    <t>Rhizatun (Perangsang Tumbuh)</t>
  </si>
  <si>
    <t>Rinso 48G</t>
  </si>
  <si>
    <t>Roundup (Racun Rumput)</t>
  </si>
  <si>
    <t>Sabit</t>
  </si>
  <si>
    <t>Sabun</t>
  </si>
  <si>
    <t>Sapu Ijuk</t>
  </si>
  <si>
    <t>Sapu Lidi</t>
  </si>
  <si>
    <t>Sapu Lidi Gagang Panjang</t>
  </si>
  <si>
    <t>Sarung Tangan</t>
  </si>
  <si>
    <t>Sarung Tangan Karet</t>
  </si>
  <si>
    <t>Selang Regulator</t>
  </si>
  <si>
    <t>Senter</t>
  </si>
  <si>
    <t>Serok Blek</t>
  </si>
  <si>
    <t>Serok Plastik</t>
  </si>
  <si>
    <t>Sikat Closed</t>
  </si>
  <si>
    <t>Sikat Kawat Lembut</t>
  </si>
  <si>
    <t>Sikat Kawat Sarpras ( Lumut )</t>
  </si>
  <si>
    <t>Sikat Wc Panjang Ijuk</t>
  </si>
  <si>
    <t>Spon</t>
  </si>
  <si>
    <t>Stella Gantung</t>
  </si>
  <si>
    <t>Stella Matic</t>
  </si>
  <si>
    <t>Stella Semprot</t>
  </si>
  <si>
    <t>Sunlight 800 Ml</t>
  </si>
  <si>
    <t>Super Bubur</t>
  </si>
  <si>
    <t>Persediaan Alat Listrik &amp; Alat Air</t>
  </si>
  <si>
    <t>Persediaan Material Bangunan</t>
  </si>
  <si>
    <t>Persediaan Sleeping Supplies</t>
  </si>
  <si>
    <r>
      <rPr>
        <b/>
        <sz val="10"/>
        <rFont val="Times New Roman"/>
        <family val="1"/>
      </rPr>
      <t xml:space="preserve">Usaha pelengkap / </t>
    </r>
    <r>
      <rPr>
        <b/>
        <i/>
        <sz val="10"/>
        <rFont val="Times New Roman"/>
        <family val="1"/>
      </rPr>
      <t>Auxiliary enterprises</t>
    </r>
  </si>
  <si>
    <t>Kantin 4</t>
  </si>
  <si>
    <t xml:space="preserve">                         </t>
  </si>
  <si>
    <r>
      <rPr>
        <b/>
        <sz val="9.5"/>
        <rFont val="Times New Roman"/>
        <family val="1"/>
      </rPr>
      <t xml:space="preserve">Jumlah / </t>
    </r>
    <r>
      <rPr>
        <b/>
        <i/>
        <sz val="9.5"/>
        <rFont val="Times New Roman"/>
        <family val="1"/>
      </rPr>
      <t>Totals</t>
    </r>
  </si>
  <si>
    <t>nilai diatas dikurangi satu</t>
  </si>
  <si>
    <t>Informasi Teknologi</t>
  </si>
  <si>
    <t>Information Technology</t>
  </si>
  <si>
    <t>Dapur</t>
  </si>
  <si>
    <t>Kitchen</t>
  </si>
  <si>
    <t>Lain-lain</t>
  </si>
  <si>
    <t>RINCIAN ASET  TETAP</t>
  </si>
  <si>
    <t>(Dengan perbandingan informasi keuangan 30 Juni 2023 )</t>
  </si>
  <si>
    <r>
      <rPr>
        <b/>
        <sz val="9"/>
        <rFont val="Times New Roman"/>
        <family val="1"/>
      </rPr>
      <t>No./</t>
    </r>
    <r>
      <rPr>
        <b/>
        <i/>
        <sz val="9"/>
        <rFont val="Times New Roman"/>
        <family val="1"/>
      </rPr>
      <t>No.</t>
    </r>
  </si>
  <si>
    <t>Lokasi /</t>
  </si>
  <si>
    <t>Tanggal</t>
  </si>
  <si>
    <t>Referansi</t>
  </si>
  <si>
    <t>UE</t>
  </si>
  <si>
    <t>Tarif</t>
  </si>
  <si>
    <t>Harga satuan</t>
  </si>
  <si>
    <r>
      <rPr>
        <b/>
        <sz val="8.5"/>
        <rFont val="Times New Roman"/>
        <family val="1"/>
      </rPr>
      <t xml:space="preserve">Harga perolehan / </t>
    </r>
    <r>
      <rPr>
        <b/>
        <i/>
        <sz val="8.5"/>
        <rFont val="Times New Roman"/>
        <family val="1"/>
      </rPr>
      <t>Acquisition cost</t>
    </r>
  </si>
  <si>
    <r>
      <rPr>
        <b/>
        <sz val="8.5"/>
        <rFont val="Times New Roman"/>
        <family val="1"/>
      </rPr>
      <t xml:space="preserve">Akumulasi penyusutan / </t>
    </r>
    <r>
      <rPr>
        <b/>
        <i/>
        <sz val="8.5"/>
        <rFont val="Times New Roman"/>
        <family val="1"/>
      </rPr>
      <t>Accumulated depreciation</t>
    </r>
  </si>
  <si>
    <t>Location</t>
  </si>
  <si>
    <t>Penambahan &amp;</t>
  </si>
  <si>
    <t>Pengurangan &amp;</t>
  </si>
  <si>
    <t>reklasifikasi /</t>
  </si>
  <si>
    <t>Additions &amp;</t>
  </si>
  <si>
    <t>Deductions &amp;</t>
  </si>
  <si>
    <t>reclassification</t>
  </si>
  <si>
    <r>
      <rPr>
        <b/>
        <sz val="7.5"/>
        <rFont val="Times New Roman"/>
        <family val="1"/>
      </rPr>
      <t xml:space="preserve">Tanah / </t>
    </r>
    <r>
      <rPr>
        <b/>
        <i/>
        <sz val="7.5"/>
        <rFont val="Times New Roman"/>
        <family val="1"/>
      </rPr>
      <t>Land</t>
    </r>
  </si>
  <si>
    <t>TOTAL LAND</t>
  </si>
  <si>
    <r>
      <rPr>
        <b/>
        <sz val="7.5"/>
        <rFont val="Times New Roman"/>
        <family val="1"/>
      </rPr>
      <t xml:space="preserve">Gedung / </t>
    </r>
    <r>
      <rPr>
        <b/>
        <i/>
        <sz val="7.5"/>
        <rFont val="Times New Roman"/>
        <family val="1"/>
      </rPr>
      <t>Building</t>
    </r>
  </si>
  <si>
    <t>TOTAL BUILDING</t>
  </si>
  <si>
    <r>
      <rPr>
        <b/>
        <sz val="7.5"/>
        <rFont val="Times New Roman"/>
        <family val="1"/>
      </rPr>
      <t xml:space="preserve">Kendaraan / </t>
    </r>
    <r>
      <rPr>
        <b/>
        <i/>
        <sz val="7.5"/>
        <rFont val="Times New Roman"/>
        <family val="1"/>
      </rPr>
      <t>Vehicles</t>
    </r>
  </si>
  <si>
    <t>TOTAL VECHILE</t>
  </si>
  <si>
    <t>Furniture</t>
  </si>
  <si>
    <t>Kepengasuhan</t>
  </si>
  <si>
    <t>Rumah Tangga</t>
  </si>
  <si>
    <t>Perpustakaan</t>
  </si>
  <si>
    <t>Gorden</t>
  </si>
  <si>
    <t>TOTAL FURNITURE</t>
  </si>
  <si>
    <t>Telephone</t>
  </si>
  <si>
    <t>UPS</t>
  </si>
  <si>
    <t>Kipas Angin</t>
  </si>
  <si>
    <t>CCTV</t>
  </si>
  <si>
    <t>Jumlah / Total</t>
  </si>
  <si>
    <t>D</t>
  </si>
  <si>
    <t>K</t>
  </si>
  <si>
    <t>Depreciation-build-class&amp;offic</t>
  </si>
  <si>
    <t>Depreciation-building-Boarding</t>
  </si>
  <si>
    <t>Depreciation-building -housing</t>
  </si>
  <si>
    <t>Depreciation-building - masjid</t>
  </si>
  <si>
    <t>Depreciation-building - Swimmi</t>
  </si>
  <si>
    <t>Depreciation-buildin-Gedung SG</t>
  </si>
  <si>
    <t>Depreciation-build-Kitchen&amp;Lou</t>
  </si>
  <si>
    <t>Depreciation-building - others</t>
  </si>
  <si>
    <t>Depreciation-Infrasruc- roads</t>
  </si>
  <si>
    <t>Depreciation-Infrasruc-sewerge</t>
  </si>
  <si>
    <t>Depreciation-Infrasruc- garden</t>
  </si>
  <si>
    <t>Depreciation-Infrasruc - Field</t>
  </si>
  <si>
    <t>Depreciation-Infrasruc- Fence</t>
  </si>
  <si>
    <t>Depreciation-Infrasruc- garage</t>
  </si>
  <si>
    <t>Depreciation-Infrasruc-Intalat</t>
  </si>
  <si>
    <t>Depreciation-Infrasruc-Public</t>
  </si>
  <si>
    <t>Depreciation-Infrasruc- others</t>
  </si>
  <si>
    <t>Depre.Equipment Computer&amp;Audio</t>
  </si>
  <si>
    <t>Depre.Equipment telephone&amp;faks</t>
  </si>
  <si>
    <t>Depre.Equipment Cleaning&amp;Maint</t>
  </si>
  <si>
    <t>Depre.Equipment Office</t>
  </si>
  <si>
    <t>Depre.Equipment Teaching</t>
  </si>
  <si>
    <t>Depre.Equipment Kitchen&amp;Loundr</t>
  </si>
  <si>
    <t>Depre.Equipment Sport&amp;healthy</t>
  </si>
  <si>
    <t>Depre.Equipment Other</t>
  </si>
  <si>
    <t>Depre.Furniture- table &amp; chair</t>
  </si>
  <si>
    <t>Depre.Furniture-Cupboard&amp; Rack</t>
  </si>
  <si>
    <t>Depre.Furniture-Iron Bed&amp;Mattr</t>
  </si>
  <si>
    <t>Depre.Fixture-class,office&amp;boa</t>
  </si>
  <si>
    <t>Depre.Fixture - Teaching</t>
  </si>
  <si>
    <t>Depre.Fixture- Kitchen&amp;Loundry</t>
  </si>
  <si>
    <t>Depre.Fixture-cleaning&amp;mainten</t>
  </si>
  <si>
    <t>Depre.Fixture-sport &amp; healthy</t>
  </si>
  <si>
    <t>Depreciation Fixture - Others</t>
  </si>
  <si>
    <t>Depreciation - vehicle - car</t>
  </si>
  <si>
    <t>Depreciation-vehicle-Motorcycl</t>
  </si>
  <si>
    <t>Depreciation - vehicle-bicycle</t>
  </si>
  <si>
    <t>debit</t>
  </si>
  <si>
    <t>credit</t>
  </si>
  <si>
    <t>cek</t>
  </si>
  <si>
    <t>BB</t>
  </si>
  <si>
    <t>TOTAL EQUIPMENT</t>
  </si>
  <si>
    <t>Usaha Pelengkap</t>
  </si>
  <si>
    <t>Aset dalam penyelesaian / Assets in progress</t>
  </si>
  <si>
    <t>Gedung / Building</t>
  </si>
  <si>
    <t>Non gedung / Non building</t>
  </si>
  <si>
    <t xml:space="preserve">Jaringan </t>
  </si>
  <si>
    <r>
      <rPr>
        <b/>
        <sz val="11"/>
        <rFont val="Times New Roman"/>
        <family val="1"/>
      </rPr>
      <t xml:space="preserve">LAMPIRAN 5 / </t>
    </r>
    <r>
      <rPr>
        <b/>
        <i/>
        <sz val="11"/>
        <rFont val="Times New Roman"/>
        <family val="1"/>
      </rPr>
      <t>APPENDIX 5</t>
    </r>
  </si>
  <si>
    <t>RINCIAN TITIPAN UANG PENDIDIKAN</t>
  </si>
  <si>
    <t>DETAIL OF TUITION AND FEE DEPOSIT</t>
  </si>
  <si>
    <t>Persiapan bahasa arab / Arabic language preparation</t>
  </si>
  <si>
    <t>Jumlah titipan santri /</t>
  </si>
  <si>
    <t>Total student deposit</t>
  </si>
  <si>
    <r>
      <rPr>
        <b/>
        <sz val="9"/>
        <rFont val="Times New Roman"/>
        <family val="1"/>
      </rPr>
      <t xml:space="preserve">TITIPAN KAFIL / </t>
    </r>
    <r>
      <rPr>
        <b/>
        <i/>
        <sz val="9"/>
        <rFont val="Times New Roman"/>
        <family val="1"/>
      </rPr>
      <t>SPONSOR PRIVATE DEPOSIT</t>
    </r>
  </si>
  <si>
    <r>
      <rPr>
        <b/>
        <sz val="9"/>
        <rFont val="Times New Roman"/>
        <family val="1"/>
      </rPr>
      <t xml:space="preserve">Titipan biaya pendidikan lain / </t>
    </r>
    <r>
      <rPr>
        <b/>
        <i/>
        <sz val="9"/>
        <rFont val="Times New Roman"/>
        <family val="1"/>
      </rPr>
      <t>Other tuition and fee deposit</t>
    </r>
  </si>
  <si>
    <t>Uang Seragam santri baru Tp 14/15</t>
  </si>
  <si>
    <t>2-3124</t>
  </si>
  <si>
    <t>Uang Seragam santri baru Tp 13/14</t>
  </si>
  <si>
    <t>Uang Seragam santri baru Tp 12/13</t>
  </si>
  <si>
    <r>
      <rPr>
        <b/>
        <sz val="9"/>
        <rFont val="Times New Roman"/>
        <family val="1"/>
      </rPr>
      <t xml:space="preserve">Jumlah titipan biaya pendidikan lain / </t>
    </r>
    <r>
      <rPr>
        <b/>
        <i/>
        <sz val="9"/>
        <rFont val="Times New Roman"/>
        <family val="1"/>
      </rPr>
      <t>Other tuition and fee deposit</t>
    </r>
  </si>
  <si>
    <t>Jumlah titipan biaya pendidikan /</t>
  </si>
  <si>
    <t>Total tuition and fee deposit</t>
  </si>
  <si>
    <t>Pemasok bahan makanan</t>
  </si>
  <si>
    <t>Pemasok Beras</t>
  </si>
  <si>
    <t>Lain-lain Seragam</t>
  </si>
  <si>
    <t>Others books</t>
  </si>
  <si>
    <t>Other Uniforms</t>
  </si>
  <si>
    <r>
      <rPr>
        <b/>
        <sz val="11"/>
        <rFont val="Times New Roman"/>
        <family val="1"/>
      </rPr>
      <t xml:space="preserve">LAMPIRAN 6 / </t>
    </r>
    <r>
      <rPr>
        <b/>
        <i/>
        <sz val="11"/>
        <rFont val="Times New Roman"/>
        <family val="1"/>
      </rPr>
      <t>APPENDIX 6</t>
    </r>
  </si>
  <si>
    <t>RINCIAN TITIPAN LAIN LAIN</t>
  </si>
  <si>
    <t>DETAIL OF OTHER DEPOSITS</t>
  </si>
  <si>
    <t>Keterangan</t>
  </si>
  <si>
    <r>
      <rPr>
        <b/>
        <sz val="10"/>
        <rFont val="Times New Roman"/>
        <family val="1"/>
      </rPr>
      <t xml:space="preserve">Kiriman bank  / </t>
    </r>
    <r>
      <rPr>
        <b/>
        <i/>
        <sz val="10"/>
        <rFont val="Times New Roman"/>
        <family val="1"/>
      </rPr>
      <t xml:space="preserve">Bank transfer </t>
    </r>
  </si>
  <si>
    <r>
      <rPr>
        <b/>
        <sz val="10"/>
        <rFont val="Times New Roman"/>
        <family val="1"/>
      </rPr>
      <t xml:space="preserve">Kelebihan pembayaran / </t>
    </r>
    <r>
      <rPr>
        <b/>
        <i/>
        <sz val="10"/>
        <rFont val="Times New Roman"/>
        <family val="1"/>
      </rPr>
      <t>Excess payment</t>
    </r>
  </si>
  <si>
    <t>l</t>
  </si>
  <si>
    <r>
      <rPr>
        <b/>
        <sz val="10"/>
        <rFont val="Times New Roman"/>
        <family val="1"/>
      </rPr>
      <t xml:space="preserve">Kelebihan pembayaran santri / </t>
    </r>
    <r>
      <rPr>
        <b/>
        <i/>
        <sz val="10"/>
        <rFont val="Times New Roman"/>
        <family val="1"/>
      </rPr>
      <t>Student excess payment</t>
    </r>
  </si>
  <si>
    <t>Abdul Ghofar IM I</t>
  </si>
  <si>
    <t>Miftah Surur IM I</t>
  </si>
  <si>
    <t>Ibnu Maulana IM Iib</t>
  </si>
  <si>
    <t xml:space="preserve">Ahmad Zaki </t>
  </si>
  <si>
    <t>Nanda Afif A</t>
  </si>
  <si>
    <t>Sisa Bea Muh Imam B</t>
  </si>
  <si>
    <r>
      <rPr>
        <b/>
        <sz val="10"/>
        <rFont val="Times New Roman"/>
        <family val="1"/>
      </rPr>
      <t xml:space="preserve">Kelebihan pembayaran kafil / </t>
    </r>
    <r>
      <rPr>
        <b/>
        <i/>
        <sz val="10"/>
        <rFont val="Times New Roman"/>
        <family val="1"/>
      </rPr>
      <t>Sponsor excess payment</t>
    </r>
  </si>
  <si>
    <t>Hanif Tholib</t>
  </si>
  <si>
    <t>Sisa / titipan saku Bp. M. Harhara</t>
  </si>
  <si>
    <t>Sisa Beasiswa santri Bp Cholid</t>
  </si>
  <si>
    <t>Kelebihan pembayaran Santri keluar/ exit student payment</t>
  </si>
  <si>
    <t>Muhammad Sahl Abdullah</t>
  </si>
  <si>
    <t>Muhammad Hafizh Jafar</t>
  </si>
  <si>
    <t>Sulthan Syakir Aryasatya</t>
  </si>
  <si>
    <t>Rakha Firdaus Idris</t>
  </si>
  <si>
    <r>
      <rPr>
        <b/>
        <sz val="9"/>
        <rFont val="Times New Roman"/>
        <family val="1"/>
      </rPr>
      <t xml:space="preserve">Jumlah kelebihan pembayaran / </t>
    </r>
    <r>
      <rPr>
        <b/>
        <i/>
        <sz val="9"/>
        <rFont val="Times New Roman"/>
        <family val="1"/>
      </rPr>
      <t>Total excess payment</t>
    </r>
  </si>
  <si>
    <r>
      <rPr>
        <b/>
        <sz val="9"/>
        <rFont val="Times New Roman"/>
        <family val="1"/>
      </rPr>
      <t xml:space="preserve">Bunga bank / </t>
    </r>
    <r>
      <rPr>
        <b/>
        <i/>
        <sz val="9"/>
        <rFont val="Times New Roman"/>
        <family val="1"/>
      </rPr>
      <t>Bank interest</t>
    </r>
  </si>
  <si>
    <t>BNI - Rp.</t>
  </si>
  <si>
    <t xml:space="preserve">Pihak ke III </t>
  </si>
  <si>
    <t>JKM 031006</t>
  </si>
  <si>
    <r>
      <rPr>
        <b/>
        <sz val="9"/>
        <rFont val="Times New Roman"/>
        <family val="1"/>
      </rPr>
      <t xml:space="preserve">Jumlah bunga bank / </t>
    </r>
    <r>
      <rPr>
        <b/>
        <i/>
        <sz val="9"/>
        <rFont val="Times New Roman"/>
        <family val="1"/>
      </rPr>
      <t>Total bank interest</t>
    </r>
  </si>
  <si>
    <r>
      <rPr>
        <b/>
        <sz val="9"/>
        <rFont val="Times New Roman"/>
        <family val="1"/>
      </rPr>
      <t xml:space="preserve">Lain lain / </t>
    </r>
    <r>
      <rPr>
        <b/>
        <i/>
        <sz val="9"/>
        <rFont val="Times New Roman"/>
        <family val="1"/>
      </rPr>
      <t>Others</t>
    </r>
  </si>
  <si>
    <t>0</t>
  </si>
  <si>
    <r>
      <rPr>
        <b/>
        <sz val="9"/>
        <rFont val="Times New Roman"/>
        <family val="1"/>
      </rPr>
      <t xml:space="preserve">Jumlah lain lain / </t>
    </r>
    <r>
      <rPr>
        <b/>
        <i/>
        <sz val="9"/>
        <rFont val="Times New Roman"/>
        <family val="1"/>
      </rPr>
      <t>Total others</t>
    </r>
  </si>
  <si>
    <r>
      <rPr>
        <b/>
        <sz val="9"/>
        <rFont val="Times New Roman"/>
        <family val="1"/>
      </rPr>
      <t xml:space="preserve">Jumlah titipan lain lain / </t>
    </r>
    <r>
      <rPr>
        <b/>
        <i/>
        <sz val="9"/>
        <rFont val="Times New Roman"/>
        <family val="1"/>
      </rPr>
      <t xml:space="preserve">Total others deposit </t>
    </r>
  </si>
  <si>
    <r>
      <t xml:space="preserve">Jumlah kiriman bank / </t>
    </r>
    <r>
      <rPr>
        <b/>
        <i/>
        <sz val="10"/>
        <rFont val="Times New Roman"/>
        <family val="1"/>
      </rPr>
      <t>Total bank transfer</t>
    </r>
  </si>
  <si>
    <t>BSM</t>
  </si>
  <si>
    <t>Bank Mandiri</t>
  </si>
  <si>
    <t>RINCIAN BIAYA MASIH HARUS DIBAYAR</t>
  </si>
  <si>
    <t>DETAIL OF ACCRUED EXPENSES</t>
  </si>
  <si>
    <r>
      <rPr>
        <b/>
        <sz val="10"/>
        <rFont val="Times New Roman"/>
        <family val="1"/>
      </rPr>
      <t xml:space="preserve">Gaji dan lembur / </t>
    </r>
    <r>
      <rPr>
        <b/>
        <i/>
        <sz val="10"/>
        <rFont val="Times New Roman"/>
        <family val="1"/>
      </rPr>
      <t>Salary and overtime</t>
    </r>
  </si>
  <si>
    <t xml:space="preserve">Gaji </t>
  </si>
  <si>
    <r>
      <rPr>
        <b/>
        <sz val="10"/>
        <rFont val="Times New Roman"/>
        <family val="1"/>
      </rPr>
      <t xml:space="preserve">Listrik / </t>
    </r>
    <r>
      <rPr>
        <b/>
        <i/>
        <sz val="10"/>
        <rFont val="Times New Roman"/>
        <family val="1"/>
      </rPr>
      <t>Electricity</t>
    </r>
  </si>
  <si>
    <t>Biaya Listrik</t>
  </si>
  <si>
    <r>
      <rPr>
        <b/>
        <sz val="10"/>
        <rFont val="Times New Roman"/>
        <family val="1"/>
      </rPr>
      <t xml:space="preserve">Telekomunikasi/ </t>
    </r>
    <r>
      <rPr>
        <b/>
        <i/>
        <sz val="10"/>
        <rFont val="Times New Roman"/>
        <family val="1"/>
      </rPr>
      <t>Telekomunication</t>
    </r>
  </si>
  <si>
    <t xml:space="preserve">Telpon </t>
  </si>
  <si>
    <t>IT inventory</t>
  </si>
  <si>
    <r>
      <rPr>
        <b/>
        <sz val="10"/>
        <rFont val="Times New Roman"/>
        <family val="1"/>
      </rPr>
      <t xml:space="preserve">Obat / </t>
    </r>
    <r>
      <rPr>
        <b/>
        <i/>
        <sz val="10"/>
        <rFont val="Times New Roman"/>
        <family val="1"/>
      </rPr>
      <t>Medicine</t>
    </r>
  </si>
  <si>
    <t>Apotek Husada</t>
  </si>
  <si>
    <r>
      <rPr>
        <b/>
        <sz val="10"/>
        <rFont val="Times New Roman"/>
        <family val="1"/>
      </rPr>
      <t xml:space="preserve">Lain - lain / </t>
    </r>
    <r>
      <rPr>
        <b/>
        <i/>
        <sz val="10"/>
        <rFont val="Times New Roman"/>
        <family val="1"/>
      </rPr>
      <t>Others</t>
    </r>
  </si>
  <si>
    <t>Beras Pak Thoriq</t>
  </si>
  <si>
    <t>Gas Elpiji Ahmad Darsono</t>
  </si>
  <si>
    <t>Gas Elpiji</t>
  </si>
  <si>
    <r>
      <rPr>
        <b/>
        <sz val="10"/>
        <rFont val="Times New Roman"/>
        <family val="1"/>
      </rPr>
      <t>Usaha pelengkap /</t>
    </r>
    <r>
      <rPr>
        <b/>
        <i/>
        <sz val="10"/>
        <rFont val="Times New Roman"/>
        <family val="1"/>
      </rPr>
      <t xml:space="preserve"> Auxiliary enterprises</t>
    </r>
  </si>
  <si>
    <r>
      <rPr>
        <b/>
        <sz val="10"/>
        <rFont val="Times New Roman"/>
        <family val="1"/>
      </rPr>
      <t xml:space="preserve">Jumlah biaya masih harus dibayar / </t>
    </r>
    <r>
      <rPr>
        <b/>
        <i/>
        <sz val="10"/>
        <rFont val="Times New Roman"/>
        <family val="1"/>
      </rPr>
      <t>Total accrued expenses</t>
    </r>
  </si>
  <si>
    <t>Listrik / Electricity</t>
  </si>
  <si>
    <t>Telekomunikasi/ Telekomunication</t>
  </si>
  <si>
    <t>Obat / Medicine</t>
  </si>
  <si>
    <t>Lain-lain/Others</t>
  </si>
  <si>
    <t xml:space="preserve"> Electricity</t>
  </si>
  <si>
    <t>Telecomunication</t>
  </si>
  <si>
    <t>Medicine</t>
  </si>
  <si>
    <t>Pembina Yayasan Pinjaman untuk dana Bangunan</t>
  </si>
  <si>
    <t>Gedung</t>
  </si>
  <si>
    <t>Sumur</t>
  </si>
  <si>
    <t>Saluran Air</t>
  </si>
  <si>
    <t xml:space="preserve">Tanah </t>
  </si>
  <si>
    <r>
      <rPr>
        <b/>
        <sz val="11"/>
        <rFont val="Times New Roman"/>
        <family val="1"/>
      </rPr>
      <t xml:space="preserve">LAMPIRAN 8 / </t>
    </r>
    <r>
      <rPr>
        <b/>
        <i/>
        <sz val="11"/>
        <rFont val="Times New Roman"/>
        <family val="1"/>
      </rPr>
      <t>APPENDIX 8</t>
    </r>
  </si>
  <si>
    <t>RINCIAN ASET BERSIH TERIKAT</t>
  </si>
  <si>
    <t>DETAIL OF RESTRICTED NET ASSETS</t>
  </si>
  <si>
    <r>
      <rPr>
        <b/>
        <sz val="10"/>
        <rFont val="Times New Roman"/>
        <family val="1"/>
      </rPr>
      <t xml:space="preserve">Uraian / </t>
    </r>
    <r>
      <rPr>
        <b/>
        <i/>
        <sz val="10"/>
        <rFont val="Times New Roman"/>
        <family val="1"/>
      </rPr>
      <t xml:space="preserve">Description </t>
    </r>
  </si>
  <si>
    <t xml:space="preserve">Pembebasan dari </t>
  </si>
  <si>
    <t xml:space="preserve">Release from </t>
  </si>
  <si>
    <t>TERIKAT TEMPORER / TEMPORARELY RESTRICTED</t>
  </si>
  <si>
    <t>Terikat program / program restrictions</t>
  </si>
  <si>
    <t>Akademik / Academic</t>
  </si>
  <si>
    <r>
      <rPr>
        <b/>
        <sz val="10"/>
        <rFont val="Times New Roman"/>
        <family val="1"/>
      </rPr>
      <t xml:space="preserve">Dakwah dan sosial / </t>
    </r>
    <r>
      <rPr>
        <b/>
        <i/>
        <sz val="10"/>
        <rFont val="Times New Roman"/>
        <family val="1"/>
      </rPr>
      <t>Propaganda and social</t>
    </r>
  </si>
  <si>
    <r>
      <rPr>
        <b/>
        <sz val="10"/>
        <rFont val="Times New Roman"/>
        <family val="1"/>
      </rPr>
      <t xml:space="preserve">Kurban Idul Adha / </t>
    </r>
    <r>
      <rPr>
        <b/>
        <i/>
        <sz val="10"/>
        <rFont val="Times New Roman"/>
        <family val="1"/>
      </rPr>
      <t>Sacrifice fund - Idul Adha</t>
    </r>
  </si>
  <si>
    <t>m241208</t>
  </si>
  <si>
    <r>
      <rPr>
        <b/>
        <sz val="10"/>
        <rFont val="Times New Roman"/>
        <family val="1"/>
      </rPr>
      <t xml:space="preserve">Zakat maal / </t>
    </r>
    <r>
      <rPr>
        <b/>
        <i/>
        <sz val="10"/>
        <rFont val="Times New Roman"/>
        <family val="1"/>
      </rPr>
      <t>Zakat maal</t>
    </r>
  </si>
  <si>
    <r>
      <rPr>
        <b/>
        <sz val="10"/>
        <rFont val="Times New Roman"/>
        <family val="1"/>
      </rPr>
      <t xml:space="preserve">Ifthor ramadhan / </t>
    </r>
    <r>
      <rPr>
        <b/>
        <i/>
        <sz val="10"/>
        <rFont val="Times New Roman"/>
        <family val="1"/>
      </rPr>
      <t>Breaking fasting ramadan</t>
    </r>
  </si>
  <si>
    <r>
      <rPr>
        <b/>
        <sz val="10"/>
        <rFont val="Times New Roman"/>
        <family val="1"/>
      </rPr>
      <t xml:space="preserve">Sosial / </t>
    </r>
    <r>
      <rPr>
        <b/>
        <i/>
        <sz val="10"/>
        <rFont val="Times New Roman"/>
        <family val="1"/>
      </rPr>
      <t>Social</t>
    </r>
  </si>
  <si>
    <r>
      <rPr>
        <b/>
        <sz val="10"/>
        <rFont val="Times New Roman"/>
        <family val="1"/>
      </rPr>
      <t xml:space="preserve">Bantuan keuangan santri / </t>
    </r>
    <r>
      <rPr>
        <b/>
        <i/>
        <sz val="10"/>
        <rFont val="Times New Roman"/>
        <family val="1"/>
      </rPr>
      <t>Student financial aid</t>
    </r>
  </si>
  <si>
    <r>
      <rPr>
        <b/>
        <sz val="10"/>
        <rFont val="Times New Roman"/>
        <family val="1"/>
      </rPr>
      <t xml:space="preserve">Beasiswa / </t>
    </r>
    <r>
      <rPr>
        <b/>
        <i/>
        <sz val="10"/>
        <rFont val="Times New Roman"/>
        <family val="1"/>
      </rPr>
      <t>Scholarship</t>
    </r>
  </si>
  <si>
    <t>Beasiswa dari MTS</t>
  </si>
  <si>
    <t>Pemerintah &amp; Donatur</t>
  </si>
  <si>
    <t>Beasiswa dari Mushinin</t>
  </si>
  <si>
    <r>
      <rPr>
        <b/>
        <sz val="10"/>
        <rFont val="Times New Roman"/>
        <family val="1"/>
      </rPr>
      <t xml:space="preserve">Santri yatim / </t>
    </r>
    <r>
      <rPr>
        <b/>
        <i/>
        <sz val="10"/>
        <rFont val="Times New Roman"/>
        <family val="1"/>
      </rPr>
      <t>Fatherless student</t>
    </r>
  </si>
  <si>
    <t>Muslim World League</t>
  </si>
  <si>
    <t>M2300409</t>
  </si>
  <si>
    <r>
      <rPr>
        <b/>
        <sz val="10"/>
        <rFont val="Times New Roman"/>
        <family val="1"/>
      </rPr>
      <t xml:space="preserve">Jumlah terikat program / </t>
    </r>
    <r>
      <rPr>
        <b/>
        <i/>
        <sz val="10"/>
        <rFont val="Times New Roman"/>
        <family val="1"/>
      </rPr>
      <t>Total program retrictions</t>
    </r>
  </si>
  <si>
    <t>Terikat perolehan Aset tetap / Fixed assets acquisition restriction</t>
  </si>
  <si>
    <t>Peralatan  / Equipment</t>
  </si>
  <si>
    <r>
      <rPr>
        <sz val="10"/>
        <rFont val="Times New Roman"/>
        <family val="1"/>
      </rPr>
      <t>Gedung /</t>
    </r>
    <r>
      <rPr>
        <i/>
        <sz val="10"/>
        <rFont val="Times New Roman"/>
        <family val="1"/>
      </rPr>
      <t xml:space="preserve"> Building</t>
    </r>
  </si>
  <si>
    <t>Sumbangan wastafel dari unilever</t>
  </si>
  <si>
    <t>Jumlah terikat Perolehan Aset tetap / Fixed assets acquisition restriction</t>
  </si>
  <si>
    <r>
      <rPr>
        <b/>
        <sz val="10"/>
        <rFont val="Times New Roman"/>
        <family val="1"/>
      </rPr>
      <t>Jumlah terikat temporer / T</t>
    </r>
    <r>
      <rPr>
        <b/>
        <i/>
        <sz val="10"/>
        <rFont val="Times New Roman"/>
        <family val="1"/>
      </rPr>
      <t>otal temporarily restriction</t>
    </r>
  </si>
  <si>
    <r>
      <rPr>
        <b/>
        <sz val="10"/>
        <rFont val="Times New Roman"/>
        <family val="1"/>
      </rPr>
      <t xml:space="preserve">TERIKAT PERMANEN / </t>
    </r>
    <r>
      <rPr>
        <b/>
        <i/>
        <sz val="10"/>
        <rFont val="Times New Roman"/>
        <family val="1"/>
      </rPr>
      <t>PERMANENTLY RESTRICTED</t>
    </r>
  </si>
  <si>
    <r>
      <rPr>
        <b/>
        <sz val="10"/>
        <rFont val="Times New Roman"/>
        <family val="1"/>
      </rPr>
      <t>Jumlah terikat permanen / T</t>
    </r>
    <r>
      <rPr>
        <b/>
        <i/>
        <sz val="10"/>
        <rFont val="Times New Roman"/>
        <family val="1"/>
      </rPr>
      <t>otal permanently retriction</t>
    </r>
  </si>
  <si>
    <t>Jumlah Aset bersih terikat / Total restricted net assets</t>
  </si>
  <si>
    <t xml:space="preserve">    68</t>
  </si>
  <si>
    <t xml:space="preserve">Penjualan Kulit </t>
  </si>
  <si>
    <t xml:space="preserve">Dana Ifthor </t>
  </si>
  <si>
    <t>Yayasan Pendidikan</t>
  </si>
  <si>
    <r>
      <rPr>
        <b/>
        <sz val="11"/>
        <rFont val="Times New Roman"/>
        <family val="1"/>
      </rPr>
      <t xml:space="preserve">LAMPIRAN 9  / </t>
    </r>
    <r>
      <rPr>
        <b/>
        <i/>
        <sz val="11"/>
        <rFont val="Times New Roman"/>
        <family val="1"/>
      </rPr>
      <t>APPENDIX 9</t>
    </r>
  </si>
  <si>
    <t>RINCIAN PENDAPATAN DAN KEUNTUNGAN TIDAK TERIKAT</t>
  </si>
  <si>
    <t>DETAIL OF UNRESTRICTED REVENUE AND GAINS</t>
  </si>
  <si>
    <t xml:space="preserve"> ( With comparative financial information for the month</t>
  </si>
  <si>
    <t xml:space="preserve"> ended July 31, 2009 )</t>
  </si>
  <si>
    <t xml:space="preserve"> (Expressed in rupiah )</t>
  </si>
  <si>
    <t>CONTROL SALDO</t>
  </si>
  <si>
    <t>s/d bulan sebelumnya</t>
  </si>
  <si>
    <t>Pemerintah</t>
  </si>
  <si>
    <t>Government</t>
  </si>
  <si>
    <t>Pemerintah daerah</t>
  </si>
  <si>
    <t>Local government</t>
  </si>
  <si>
    <t>Lembaga bisnis</t>
  </si>
  <si>
    <t>Bussines institution</t>
  </si>
  <si>
    <t>Social institution</t>
  </si>
  <si>
    <t>Masyarakat</t>
  </si>
  <si>
    <t>Sociaty</t>
  </si>
  <si>
    <t>Wali santri</t>
  </si>
  <si>
    <t>Student parents</t>
  </si>
  <si>
    <t>Donatur</t>
  </si>
  <si>
    <t>Donors</t>
  </si>
  <si>
    <t>Pribadi</t>
  </si>
  <si>
    <t>Private</t>
  </si>
  <si>
    <t>Hibah &amp; kontrak</t>
  </si>
  <si>
    <t>Grants &amp; contracs</t>
  </si>
  <si>
    <t xml:space="preserve">Buku </t>
  </si>
  <si>
    <t>Layanan</t>
  </si>
  <si>
    <t>Car charges</t>
  </si>
  <si>
    <t>Barang bekas</t>
  </si>
  <si>
    <t>Scraps</t>
  </si>
  <si>
    <t>Telephone cabin</t>
  </si>
  <si>
    <t>Canteen4</t>
  </si>
  <si>
    <t>Hulled rice</t>
  </si>
  <si>
    <t xml:space="preserve">Keuntungan selisih kurs </t>
  </si>
  <si>
    <t>Panen Beras Sawah</t>
  </si>
  <si>
    <t>Profit sharing from AE</t>
  </si>
  <si>
    <t>Lain - lain</t>
  </si>
  <si>
    <t>Profit &amp; Loss Statement</t>
  </si>
  <si>
    <t>Income</t>
  </si>
  <si>
    <t>EDUCATION INCOME</t>
  </si>
  <si>
    <t>INCOME SDITQ</t>
  </si>
  <si>
    <t>4-1110</t>
  </si>
  <si>
    <t>Education Fee SDITQ</t>
  </si>
  <si>
    <t>4-1111</t>
  </si>
  <si>
    <t>Tuition SDITQ</t>
  </si>
  <si>
    <t>4-1112</t>
  </si>
  <si>
    <t>Extra Curriculer SDITQ</t>
  </si>
  <si>
    <t>4-1113</t>
  </si>
  <si>
    <t>Examination fee SDITQ</t>
  </si>
  <si>
    <t>4-1114</t>
  </si>
  <si>
    <t>Administration Student SDITQ</t>
  </si>
  <si>
    <t>4-1115</t>
  </si>
  <si>
    <t>Enrollment Fee SDITQ</t>
  </si>
  <si>
    <t>4-1116</t>
  </si>
  <si>
    <t>Study Tour SDITQ</t>
  </si>
  <si>
    <t>4-1117</t>
  </si>
  <si>
    <t>Student Activity Fee SDITQ</t>
  </si>
  <si>
    <t>4-1119</t>
  </si>
  <si>
    <t>Others Revenue SDITQ</t>
  </si>
  <si>
    <t>4-1120</t>
  </si>
  <si>
    <t>Development Income SDITQ</t>
  </si>
  <si>
    <t>4-1121</t>
  </si>
  <si>
    <t>Develepment Fund SDITQ</t>
  </si>
  <si>
    <t>4-1122</t>
  </si>
  <si>
    <t>Library Development Fund SDITQ</t>
  </si>
  <si>
    <t>4-1190</t>
  </si>
  <si>
    <t>Other Income SDITQ</t>
  </si>
  <si>
    <t>4-1191</t>
  </si>
  <si>
    <t>Regristation fee new studentSD</t>
  </si>
  <si>
    <t>4-1192</t>
  </si>
  <si>
    <t>Fine Student fee SDITQ</t>
  </si>
  <si>
    <t>4-1193</t>
  </si>
  <si>
    <t>Student Permit Card SDITQ</t>
  </si>
  <si>
    <t>4-1194</t>
  </si>
  <si>
    <t>Student Card ID SDITQ</t>
  </si>
  <si>
    <t>4-1195</t>
  </si>
  <si>
    <t>Saving Student Card SDITQ</t>
  </si>
  <si>
    <t>4-1199</t>
  </si>
  <si>
    <t>Total INCOME SDITQ</t>
  </si>
  <si>
    <t>INCOME MTS</t>
  </si>
  <si>
    <t>4-1210</t>
  </si>
  <si>
    <t>Education Fee MTS</t>
  </si>
  <si>
    <t>4-1211</t>
  </si>
  <si>
    <t>Tuition MTS</t>
  </si>
  <si>
    <t>4-1212</t>
  </si>
  <si>
    <t>Extra Curriculer MTS</t>
  </si>
  <si>
    <t>4-1213</t>
  </si>
  <si>
    <t>Examination fee MTS</t>
  </si>
  <si>
    <t>4-1214</t>
  </si>
  <si>
    <t>Administration Student MTS</t>
  </si>
  <si>
    <t>4-1215</t>
  </si>
  <si>
    <t>4-1216</t>
  </si>
  <si>
    <t>Study Tour MTS</t>
  </si>
  <si>
    <t>4-1217</t>
  </si>
  <si>
    <t>Student Activity Fee MTS</t>
  </si>
  <si>
    <t>4-1218</t>
  </si>
  <si>
    <t>Others Revenue MTS</t>
  </si>
  <si>
    <t>4-1220</t>
  </si>
  <si>
    <t>Development Income MTS</t>
  </si>
  <si>
    <t>4-1221</t>
  </si>
  <si>
    <t>Develepment Fund MTS</t>
  </si>
  <si>
    <t>4-1222</t>
  </si>
  <si>
    <t>Library Development Fund MTS</t>
  </si>
  <si>
    <t>4-1290</t>
  </si>
  <si>
    <t>4-1291</t>
  </si>
  <si>
    <t>Regristation fee new student M</t>
  </si>
  <si>
    <t>4-1292</t>
  </si>
  <si>
    <t>Fine Student fee MTS</t>
  </si>
  <si>
    <t>4-1293</t>
  </si>
  <si>
    <t>Student Permit Card MTS</t>
  </si>
  <si>
    <t>4-1294</t>
  </si>
  <si>
    <t>Student Card ID MTS</t>
  </si>
  <si>
    <t>4-1295</t>
  </si>
  <si>
    <t>Saving Student Card MTS</t>
  </si>
  <si>
    <t>4-1299</t>
  </si>
  <si>
    <t>Total INCOME MTS</t>
  </si>
  <si>
    <t>INCOME MA &amp; IL</t>
  </si>
  <si>
    <t>4-1310</t>
  </si>
  <si>
    <t>Education Fee MA&amp;IL</t>
  </si>
  <si>
    <t>4-1311</t>
  </si>
  <si>
    <t>Tuition MA&amp;IL</t>
  </si>
  <si>
    <t>4-1312</t>
  </si>
  <si>
    <t>Extra Curriculer MA&amp;IL</t>
  </si>
  <si>
    <t>4-1313</t>
  </si>
  <si>
    <t>Examination fee MA&amp;IL</t>
  </si>
  <si>
    <t>4-1314</t>
  </si>
  <si>
    <t>Administration Student MA&amp;IL</t>
  </si>
  <si>
    <t>4-1315</t>
  </si>
  <si>
    <t>4-1316</t>
  </si>
  <si>
    <t>Study Tour MA&amp;IL</t>
  </si>
  <si>
    <t>4-1317</t>
  </si>
  <si>
    <t>Student Activity Fee MA&amp;IL</t>
  </si>
  <si>
    <t>4-1319</t>
  </si>
  <si>
    <t>Others Revenue MA&amp;IL</t>
  </si>
  <si>
    <t>4-1320</t>
  </si>
  <si>
    <t>Development Income MA&amp;IL</t>
  </si>
  <si>
    <t>4-1321</t>
  </si>
  <si>
    <t>Develepment Fund MA&amp;IL</t>
  </si>
  <si>
    <t>4-1322</t>
  </si>
  <si>
    <t>Library Development Fund MA&amp;IL</t>
  </si>
  <si>
    <t>4-1390</t>
  </si>
  <si>
    <t>4-1391</t>
  </si>
  <si>
    <t>4-1392</t>
  </si>
  <si>
    <t>Fine Student fee MA</t>
  </si>
  <si>
    <t>4-1393</t>
  </si>
  <si>
    <t>Student Permit Card MA</t>
  </si>
  <si>
    <t>4-1394</t>
  </si>
  <si>
    <t>Student Card ID MA</t>
  </si>
  <si>
    <t>4-1395</t>
  </si>
  <si>
    <t>Saving Student Card MA</t>
  </si>
  <si>
    <t>4-1399</t>
  </si>
  <si>
    <t>Total INCOME MA &amp; IL</t>
  </si>
  <si>
    <t>Total EDUCATION INCOME</t>
  </si>
  <si>
    <t>FUND-RAISING INCOME</t>
  </si>
  <si>
    <t>DONATION INCOME</t>
  </si>
  <si>
    <t>Donasi Pemerintah Pusat</t>
  </si>
  <si>
    <t>Donasi Pemerintah Daerah</t>
  </si>
  <si>
    <t>Donasi Lembaga Sosial</t>
  </si>
  <si>
    <t>Donasi Lembaga Bisnis</t>
  </si>
  <si>
    <t>Donasi Masyarakat</t>
  </si>
  <si>
    <t>Donasi Wali Santri</t>
  </si>
  <si>
    <t>Donasi Donatur</t>
  </si>
  <si>
    <t>Donasi Pribadi</t>
  </si>
  <si>
    <t>Donasi Others</t>
  </si>
  <si>
    <t>Total DONATION INCOME</t>
  </si>
  <si>
    <t>HIBAH INCOME</t>
  </si>
  <si>
    <t>Hibah Pemerintah Pusat</t>
  </si>
  <si>
    <t>Hibah Pemerintah Daerah</t>
  </si>
  <si>
    <t>Hibah Lembaga Sosial</t>
  </si>
  <si>
    <t>Hibah Lembaga Bisnis</t>
  </si>
  <si>
    <t>Hibah Masyarakat</t>
  </si>
  <si>
    <t>Hibah Wali Santri</t>
  </si>
  <si>
    <t>Hibah Donatur</t>
  </si>
  <si>
    <t>Hibah Pribadi</t>
  </si>
  <si>
    <t>Hibah Others</t>
  </si>
  <si>
    <t>Total HIBAH INCOME</t>
  </si>
  <si>
    <t>CONTRIBUTION CONTRACT</t>
  </si>
  <si>
    <t>Kontrak Pemerintah Pusat</t>
  </si>
  <si>
    <t>Kontrak Pemerintah Daerah</t>
  </si>
  <si>
    <t>Kontrak Lembaga Sosial</t>
  </si>
  <si>
    <t>Kontrak Lembaga Bisnis</t>
  </si>
  <si>
    <t>Kontrak Masyarakat</t>
  </si>
  <si>
    <t>kontrak Wali Santri</t>
  </si>
  <si>
    <t>Kontrak Donatur</t>
  </si>
  <si>
    <t>Kontrak Pribadi</t>
  </si>
  <si>
    <t>Kontrak Others</t>
  </si>
  <si>
    <t>Total CONTRIBUTION CONTRACT</t>
  </si>
  <si>
    <t>NON CASH DONATION INCOME</t>
  </si>
  <si>
    <t>Donasi Non Kas Pemerintah Pusa</t>
  </si>
  <si>
    <t>Donasi Non Kas Pemda</t>
  </si>
  <si>
    <t>Donasi Non Kas Lembaga Sosial</t>
  </si>
  <si>
    <t>Donasi Non Kas Lembaga Bisnis</t>
  </si>
  <si>
    <t>Donasi Non Kas Masyarakat</t>
  </si>
  <si>
    <t>Donasi Non Kas Wali Santri</t>
  </si>
  <si>
    <t>Donasi Non Kas Donatur</t>
  </si>
  <si>
    <t>Donasi Non Kas Pribadi</t>
  </si>
  <si>
    <t>Donasi Non Kas Others</t>
  </si>
  <si>
    <t>Total NON CASH DONATION INCOME</t>
  </si>
  <si>
    <t>NON CAHS HIBAH INCOME</t>
  </si>
  <si>
    <t>Hibah Non Kas Pemerintah pusat</t>
  </si>
  <si>
    <t>Hibah Non Kas Pemda</t>
  </si>
  <si>
    <t>Hibah Non Kas Lembaga Sosial</t>
  </si>
  <si>
    <t>Hibah Non Kas Lembaga Bisnis</t>
  </si>
  <si>
    <t>Hibah Non Kas Masyarakat</t>
  </si>
  <si>
    <t>Hibah Non Kas Wali Santri</t>
  </si>
  <si>
    <t>Hibah Non Kas Donatur</t>
  </si>
  <si>
    <t>Hibah Non Kas Pribadi</t>
  </si>
  <si>
    <t>Hibah Non Kas Others</t>
  </si>
  <si>
    <t>Total NON CAHS HIBAH INCOME</t>
  </si>
  <si>
    <t>NON CASH CONTRIBUTION CONTRACT</t>
  </si>
  <si>
    <t>Total FUND-RAISING INCOME</t>
  </si>
  <si>
    <t>SALES AND SERVICE</t>
  </si>
  <si>
    <t>SALES</t>
  </si>
  <si>
    <t>Book Sales</t>
  </si>
  <si>
    <t>Uniform Sales</t>
  </si>
  <si>
    <t>Sleeping Supplies Sales</t>
  </si>
  <si>
    <t>Kitchen Scrub</t>
  </si>
  <si>
    <t>Cleaning Scrub</t>
  </si>
  <si>
    <t>Maintenance Supplies Scrub</t>
  </si>
  <si>
    <t>Stationery and Supplies Scrub</t>
  </si>
  <si>
    <t>Project Scrub</t>
  </si>
  <si>
    <t>Other Scrub</t>
  </si>
  <si>
    <t>Total SALES</t>
  </si>
  <si>
    <t>SERVICE</t>
  </si>
  <si>
    <t>Regristration saving student c</t>
  </si>
  <si>
    <t>Training and Development Fee</t>
  </si>
  <si>
    <t>Service Fee Others</t>
  </si>
  <si>
    <t>Total SERVICE</t>
  </si>
  <si>
    <t>FACILITY REPLACEMENT</t>
  </si>
  <si>
    <t>Car Charges</t>
  </si>
  <si>
    <t>Foto copy and Printed Charges</t>
  </si>
  <si>
    <t>Telepon &amp; Fax Charges</t>
  </si>
  <si>
    <t>Internet Charges</t>
  </si>
  <si>
    <t>Stationery Replacement Charges</t>
  </si>
  <si>
    <t>Supplies Replacement Charges</t>
  </si>
  <si>
    <t>Inventaris Replacement Charges</t>
  </si>
  <si>
    <t>Other Facilities</t>
  </si>
  <si>
    <t>Total FACILITY REPLACEMENT</t>
  </si>
  <si>
    <t>Total SALES AND SERVICE</t>
  </si>
  <si>
    <t>OTHER INCOME</t>
  </si>
  <si>
    <t>GAIN INVESTMENT</t>
  </si>
  <si>
    <t>Investment Revenue</t>
  </si>
  <si>
    <t>Endowment investment income</t>
  </si>
  <si>
    <t>Total GAIN INVESTMENT</t>
  </si>
  <si>
    <t>FIXED ASSET SALES</t>
  </si>
  <si>
    <t>Gain of Fixed asset Sales</t>
  </si>
  <si>
    <t>Total FIXED ASSET SALES</t>
  </si>
  <si>
    <t>KURS DIFFERENCE</t>
  </si>
  <si>
    <t>Gain of Foreign excange</t>
  </si>
  <si>
    <t>Total KURS DIFFERENCE</t>
  </si>
  <si>
    <t>RECEIVABLE WRITE OFF REVENUE</t>
  </si>
  <si>
    <t>Education bad debt recovery in</t>
  </si>
  <si>
    <t>Contribution bad debt recovery</t>
  </si>
  <si>
    <t>Other bad debt recovery income</t>
  </si>
  <si>
    <t>Total RECEIVABLE WRITE OFF REVENUE</t>
  </si>
  <si>
    <t>FIXED ASSET ASSESSMENT</t>
  </si>
  <si>
    <t>Gain of Incremental FA Revalua</t>
  </si>
  <si>
    <t>Total FIXED ASSET ASSESSMENT</t>
  </si>
  <si>
    <t>OTHER GAIN INCOME</t>
  </si>
  <si>
    <t>Excess of cash Received</t>
  </si>
  <si>
    <t>Excess of cash Balance</t>
  </si>
  <si>
    <t>Pembualatan Lebih</t>
  </si>
  <si>
    <t>Rice Field Harvest</t>
  </si>
  <si>
    <t>Selisih Lebih</t>
  </si>
  <si>
    <t>Activity Sponsor</t>
  </si>
  <si>
    <t>Books Fair</t>
  </si>
  <si>
    <t>Total OTHER GAIN INCOME</t>
  </si>
  <si>
    <t>Total OTHER INCOME</t>
  </si>
  <si>
    <t>RESTRICTED PROGRAM</t>
  </si>
  <si>
    <t>RESTRICTED PROGRAM ACADEMIC</t>
  </si>
  <si>
    <t>Release fromTR prog.academic S</t>
  </si>
  <si>
    <t>Release fromTR prog.academic M</t>
  </si>
  <si>
    <t>Release from TR prog.Public Se</t>
  </si>
  <si>
    <t>Release from TR prog.P Support</t>
  </si>
  <si>
    <t>Release from TR prog.Student F</t>
  </si>
  <si>
    <t>Release from TR prog.AE</t>
  </si>
  <si>
    <t>Release from TR prog.other 1</t>
  </si>
  <si>
    <t>Release from TR prog.other 2</t>
  </si>
  <si>
    <t>Total RESTRICTED PROGRAM ACADEMIC</t>
  </si>
  <si>
    <t>RESTRICTED ACQUISITION FIXED A</t>
  </si>
  <si>
    <t>Release from Temporary R - FA</t>
  </si>
  <si>
    <t>Release from TR - FA non cash</t>
  </si>
  <si>
    <t>Total RESTRICTED ACQUISITION FIXED A</t>
  </si>
  <si>
    <t>TIME RESTRICTED</t>
  </si>
  <si>
    <t>Release from TR-time-investmen</t>
  </si>
  <si>
    <t>Total TIME RESTRICTED</t>
  </si>
  <si>
    <t>Total RESTRICTED PROGRAM</t>
  </si>
  <si>
    <t>DISCOUNT AND RETURN</t>
  </si>
  <si>
    <t>DISCOUNT</t>
  </si>
  <si>
    <t>Discount SDITQ</t>
  </si>
  <si>
    <t>Discount MTS</t>
  </si>
  <si>
    <t>Discount IL&amp;MA</t>
  </si>
  <si>
    <t>Discount Service</t>
  </si>
  <si>
    <t>Total DISCOUNT</t>
  </si>
  <si>
    <t>RETURN</t>
  </si>
  <si>
    <t>Pengembalian SDITQ</t>
  </si>
  <si>
    <t>Pengembalian MTS</t>
  </si>
  <si>
    <t>Pengembalian IL&amp;MA</t>
  </si>
  <si>
    <t>Pengembalian Bantuan</t>
  </si>
  <si>
    <t>Total RETURN</t>
  </si>
  <si>
    <t>Total DISCOUNT AND RETURN</t>
  </si>
  <si>
    <t>Total Income</t>
  </si>
  <si>
    <t>OPERATIONAL EXPENSE</t>
  </si>
  <si>
    <t>ACADEMIC EXPENSE</t>
  </si>
  <si>
    <t>SDITQ EXPENSE</t>
  </si>
  <si>
    <t>5-1110</t>
  </si>
  <si>
    <t>Pesonal - Salary</t>
  </si>
  <si>
    <t>5-1111</t>
  </si>
  <si>
    <t>Permanent Teacher Salary</t>
  </si>
  <si>
    <t>5-1112</t>
  </si>
  <si>
    <t>Temporary Teacher Salary</t>
  </si>
  <si>
    <t>5-1113</t>
  </si>
  <si>
    <t>Permanent Staff Salary</t>
  </si>
  <si>
    <t>5-1114</t>
  </si>
  <si>
    <t>Temporary Staff Salary</t>
  </si>
  <si>
    <t>5-1115</t>
  </si>
  <si>
    <t>Honorarium santri khidmah</t>
  </si>
  <si>
    <t>5-1116</t>
  </si>
  <si>
    <t>Teacher overtime</t>
  </si>
  <si>
    <t>5-1117</t>
  </si>
  <si>
    <t>Staff overtime</t>
  </si>
  <si>
    <t>5-1118</t>
  </si>
  <si>
    <t>Joint Salary alocation</t>
  </si>
  <si>
    <t>5-1119</t>
  </si>
  <si>
    <t>Other Salary</t>
  </si>
  <si>
    <t>5-1120</t>
  </si>
  <si>
    <t>Personal - Allowance</t>
  </si>
  <si>
    <t>5-1121</t>
  </si>
  <si>
    <t>Allowance of Hulled Rice</t>
  </si>
  <si>
    <t>5-1122</t>
  </si>
  <si>
    <t>Alowance of doctor and medicin</t>
  </si>
  <si>
    <t>5-1123</t>
  </si>
  <si>
    <t>Allowance of Spectacles</t>
  </si>
  <si>
    <t>5-1124</t>
  </si>
  <si>
    <t>Allowance of operation&amp;hospita</t>
  </si>
  <si>
    <t>5-1125</t>
  </si>
  <si>
    <t>Allowance of disaster &amp; die</t>
  </si>
  <si>
    <t>5-1126</t>
  </si>
  <si>
    <t>Allowance of hari raya</t>
  </si>
  <si>
    <t>5-1127</t>
  </si>
  <si>
    <t>Allowance of birth</t>
  </si>
  <si>
    <t>5-1128</t>
  </si>
  <si>
    <t>Allowance of married</t>
  </si>
  <si>
    <t>5-1129</t>
  </si>
  <si>
    <t>Allowance of house rent&amp;others</t>
  </si>
  <si>
    <t>5-1130</t>
  </si>
  <si>
    <t>5-1131</t>
  </si>
  <si>
    <t>Stationery papers</t>
  </si>
  <si>
    <t>5-1132</t>
  </si>
  <si>
    <t>Stationery written toolls</t>
  </si>
  <si>
    <t>5-1133</t>
  </si>
  <si>
    <t>Stationery ink</t>
  </si>
  <si>
    <t>5-1134</t>
  </si>
  <si>
    <t>Stationery Others</t>
  </si>
  <si>
    <t>5-1135</t>
  </si>
  <si>
    <t>Consumptions</t>
  </si>
  <si>
    <t>5-1136</t>
  </si>
  <si>
    <t>Foto copy &amp; printing</t>
  </si>
  <si>
    <t>5-1137</t>
  </si>
  <si>
    <t>Office Suplies</t>
  </si>
  <si>
    <t>5-1139</t>
  </si>
  <si>
    <t>Office Others</t>
  </si>
  <si>
    <t>5-1140</t>
  </si>
  <si>
    <t>Transportation&amp;Telecomunicatio</t>
  </si>
  <si>
    <t>5-1141</t>
  </si>
  <si>
    <t>Mail &amp; Shipment</t>
  </si>
  <si>
    <t>5-1142</t>
  </si>
  <si>
    <t>Telephone, Internet and Fax</t>
  </si>
  <si>
    <t>5-1143</t>
  </si>
  <si>
    <t>Fuel</t>
  </si>
  <si>
    <t>5-1144</t>
  </si>
  <si>
    <t>Accommodations</t>
  </si>
  <si>
    <t>5-1145</t>
  </si>
  <si>
    <t>Public Transportation</t>
  </si>
  <si>
    <t>5-1146</t>
  </si>
  <si>
    <t>Joint Transportation Allocatio</t>
  </si>
  <si>
    <t>5-1149</t>
  </si>
  <si>
    <t>5-1150</t>
  </si>
  <si>
    <t>Repair and Maintenance</t>
  </si>
  <si>
    <t>5-1151</t>
  </si>
  <si>
    <t>R &amp; M - Building Class &amp; Offic</t>
  </si>
  <si>
    <t>5-1152</t>
  </si>
  <si>
    <t>R &amp; M - Computer &amp; audio visua</t>
  </si>
  <si>
    <t>5-1153</t>
  </si>
  <si>
    <t>R &amp; M - Telephone &amp; Faxs</t>
  </si>
  <si>
    <t>5-1154</t>
  </si>
  <si>
    <t>R &amp; M - Office Eqiupment</t>
  </si>
  <si>
    <t>5-1155</t>
  </si>
  <si>
    <t>R &amp; M - Teaching Eqiupment</t>
  </si>
  <si>
    <t>5-1156</t>
  </si>
  <si>
    <t>R &amp; M - Others Eqiupment</t>
  </si>
  <si>
    <t>5-1157</t>
  </si>
  <si>
    <t>R &amp; M - Table &amp; Chairs</t>
  </si>
  <si>
    <t>5-1158</t>
  </si>
  <si>
    <t>R &amp; M - Cupboard &amp; Rack</t>
  </si>
  <si>
    <t>5-1159</t>
  </si>
  <si>
    <t>R &amp; M - Other Furniture</t>
  </si>
  <si>
    <t>5-1160</t>
  </si>
  <si>
    <t>Medium Of Learning</t>
  </si>
  <si>
    <t>5-1161</t>
  </si>
  <si>
    <t>Bahan Praktikum</t>
  </si>
  <si>
    <t>5-1162</t>
  </si>
  <si>
    <t>Alat Peraga</t>
  </si>
  <si>
    <t>5-1163</t>
  </si>
  <si>
    <t>Buku Panduan</t>
  </si>
  <si>
    <t>5-1164</t>
  </si>
  <si>
    <t>CD Pembelajaran</t>
  </si>
  <si>
    <t>5-1165</t>
  </si>
  <si>
    <t>Perlengkapan olah raga</t>
  </si>
  <si>
    <t>5-1166</t>
  </si>
  <si>
    <t>Perlengkapan lab Sains</t>
  </si>
  <si>
    <t>5-1167</t>
  </si>
  <si>
    <t>Perlengkapan Lab Komputer</t>
  </si>
  <si>
    <t>5-1168</t>
  </si>
  <si>
    <t>Perlengkapan kelas</t>
  </si>
  <si>
    <t>5-1169</t>
  </si>
  <si>
    <t>5-1170</t>
  </si>
  <si>
    <t>Enrichment And Examinating</t>
  </si>
  <si>
    <t>5-1171</t>
  </si>
  <si>
    <t>Penggandaan materi pengayaan</t>
  </si>
  <si>
    <t>5-1172</t>
  </si>
  <si>
    <t>Try out</t>
  </si>
  <si>
    <t>5-1173</t>
  </si>
  <si>
    <t>Penggandaan soal ujian</t>
  </si>
  <si>
    <t>5-1174</t>
  </si>
  <si>
    <t>Consumption</t>
  </si>
  <si>
    <t>5-1175</t>
  </si>
  <si>
    <t>Stationery</t>
  </si>
  <si>
    <t>5-1176</t>
  </si>
  <si>
    <t>5-1177</t>
  </si>
  <si>
    <t>Transportation</t>
  </si>
  <si>
    <t>5-1178</t>
  </si>
  <si>
    <t>5-1179</t>
  </si>
  <si>
    <t>5-1180</t>
  </si>
  <si>
    <t>New Students Activity Expense</t>
  </si>
  <si>
    <t>5-1181</t>
  </si>
  <si>
    <t>Stationery - PSB</t>
  </si>
  <si>
    <t>5-1182</t>
  </si>
  <si>
    <t>Consumption - PSB</t>
  </si>
  <si>
    <t>5-1183</t>
  </si>
  <si>
    <t>Supplies - PSB</t>
  </si>
  <si>
    <t>5-1184</t>
  </si>
  <si>
    <t>Transportation - PSB</t>
  </si>
  <si>
    <t>5-1185</t>
  </si>
  <si>
    <t>Telecomunication - PSB</t>
  </si>
  <si>
    <t>5-1186</t>
  </si>
  <si>
    <t>Others - PSB</t>
  </si>
  <si>
    <t>5-1187</t>
  </si>
  <si>
    <t>MOS</t>
  </si>
  <si>
    <t>5-1189</t>
  </si>
  <si>
    <t>5-1190</t>
  </si>
  <si>
    <t>Others Expense</t>
  </si>
  <si>
    <t>5-1191</t>
  </si>
  <si>
    <t>Study Banding,Rihlah,outbon</t>
  </si>
  <si>
    <t>5-1192</t>
  </si>
  <si>
    <t>Pelatihan &amp; Workshop</t>
  </si>
  <si>
    <t>5-1193</t>
  </si>
  <si>
    <t>Iuran kelompok kerja lembaga</t>
  </si>
  <si>
    <t>5-1194</t>
  </si>
  <si>
    <t>Lomba dan Hadiah Santri</t>
  </si>
  <si>
    <t>5-1195</t>
  </si>
  <si>
    <t>Profesional fee</t>
  </si>
  <si>
    <t>5-1199</t>
  </si>
  <si>
    <t>Total SDITQ EXPENSE</t>
  </si>
  <si>
    <t>MTS EXPENSE</t>
  </si>
  <si>
    <t>5-1210</t>
  </si>
  <si>
    <t>5-1211</t>
  </si>
  <si>
    <t>5-1212</t>
  </si>
  <si>
    <t>5-1213</t>
  </si>
  <si>
    <t>5-1214</t>
  </si>
  <si>
    <t>5-1215</t>
  </si>
  <si>
    <t>5-1216</t>
  </si>
  <si>
    <t>5-1217</t>
  </si>
  <si>
    <t>5-1218</t>
  </si>
  <si>
    <t>5-1219</t>
  </si>
  <si>
    <t>5-1220</t>
  </si>
  <si>
    <t>5-1221</t>
  </si>
  <si>
    <t>5-1222</t>
  </si>
  <si>
    <t>5-1223</t>
  </si>
  <si>
    <t>5-1224</t>
  </si>
  <si>
    <t>5-1225</t>
  </si>
  <si>
    <t>5-1226</t>
  </si>
  <si>
    <t>5-1227</t>
  </si>
  <si>
    <t>5-1228</t>
  </si>
  <si>
    <t>5-1229</t>
  </si>
  <si>
    <t>5-1230</t>
  </si>
  <si>
    <t>5-1231</t>
  </si>
  <si>
    <t>5-1232</t>
  </si>
  <si>
    <t>5-1233</t>
  </si>
  <si>
    <t>5-1234</t>
  </si>
  <si>
    <t>5-1235</t>
  </si>
  <si>
    <t>5-1236</t>
  </si>
  <si>
    <t>5-1237</t>
  </si>
  <si>
    <t>5-1239</t>
  </si>
  <si>
    <t>5-1240</t>
  </si>
  <si>
    <t>5-1241</t>
  </si>
  <si>
    <t>5-1242</t>
  </si>
  <si>
    <t>5-1243</t>
  </si>
  <si>
    <t>5-1244</t>
  </si>
  <si>
    <t>5-1245</t>
  </si>
  <si>
    <t>5-1246</t>
  </si>
  <si>
    <t>5-1249</t>
  </si>
  <si>
    <t>5-1250</t>
  </si>
  <si>
    <t>5-1251</t>
  </si>
  <si>
    <t>5-1252</t>
  </si>
  <si>
    <t>5-1253</t>
  </si>
  <si>
    <t>5-1254</t>
  </si>
  <si>
    <t>5-1255</t>
  </si>
  <si>
    <t>5-1256</t>
  </si>
  <si>
    <t>5-1257</t>
  </si>
  <si>
    <t>5-1258</t>
  </si>
  <si>
    <t>5-1259</t>
  </si>
  <si>
    <t>5-1260</t>
  </si>
  <si>
    <t>5-1261</t>
  </si>
  <si>
    <t>5-1262</t>
  </si>
  <si>
    <t>5-1263</t>
  </si>
  <si>
    <t>5-1264</t>
  </si>
  <si>
    <t>5-1265</t>
  </si>
  <si>
    <t>5-1266</t>
  </si>
  <si>
    <t>5-1267</t>
  </si>
  <si>
    <t>5-1268</t>
  </si>
  <si>
    <t>5-1269</t>
  </si>
  <si>
    <t>5-1270</t>
  </si>
  <si>
    <t>5-1271</t>
  </si>
  <si>
    <t>5-1272</t>
  </si>
  <si>
    <t>5-1273</t>
  </si>
  <si>
    <t>5-1274</t>
  </si>
  <si>
    <t>5-1275</t>
  </si>
  <si>
    <t>5-1276</t>
  </si>
  <si>
    <t>5-1277</t>
  </si>
  <si>
    <t>5-1278</t>
  </si>
  <si>
    <t>5-1279</t>
  </si>
  <si>
    <t>5-1280</t>
  </si>
  <si>
    <t>5-1281</t>
  </si>
  <si>
    <t>5-1282</t>
  </si>
  <si>
    <t>5-1283</t>
  </si>
  <si>
    <t>5-1284</t>
  </si>
  <si>
    <t>5-1285</t>
  </si>
  <si>
    <t>5-1286</t>
  </si>
  <si>
    <t>5-1287</t>
  </si>
  <si>
    <t>5-1289</t>
  </si>
  <si>
    <t>5-1290</t>
  </si>
  <si>
    <t>5-1291</t>
  </si>
  <si>
    <t>5-1292</t>
  </si>
  <si>
    <t>5-1293</t>
  </si>
  <si>
    <t>5-1294</t>
  </si>
  <si>
    <t>5-1295</t>
  </si>
  <si>
    <t>5-1299</t>
  </si>
  <si>
    <t>Total MTS EXPENSE</t>
  </si>
  <si>
    <t>IL&amp;MA EXPENSE</t>
  </si>
  <si>
    <t>5-1310</t>
  </si>
  <si>
    <t>5-1311</t>
  </si>
  <si>
    <t>5-1312</t>
  </si>
  <si>
    <t>5-1313</t>
  </si>
  <si>
    <t>5-1314</t>
  </si>
  <si>
    <t>5-1315</t>
  </si>
  <si>
    <t>5-1316</t>
  </si>
  <si>
    <t>5-1317</t>
  </si>
  <si>
    <t>5-1318</t>
  </si>
  <si>
    <t>5-1319</t>
  </si>
  <si>
    <t>5-1320</t>
  </si>
  <si>
    <t>5-1321</t>
  </si>
  <si>
    <t>5-1322</t>
  </si>
  <si>
    <t>5-1323</t>
  </si>
  <si>
    <t>5-1324</t>
  </si>
  <si>
    <t>5-1325</t>
  </si>
  <si>
    <t>5-1326</t>
  </si>
  <si>
    <t>5-1327</t>
  </si>
  <si>
    <t>5-1328</t>
  </si>
  <si>
    <t>5-1329</t>
  </si>
  <si>
    <t>5-1330</t>
  </si>
  <si>
    <t>5-1331</t>
  </si>
  <si>
    <t>5-1332</t>
  </si>
  <si>
    <t>5-1333</t>
  </si>
  <si>
    <t>5-1334</t>
  </si>
  <si>
    <t>5-1335</t>
  </si>
  <si>
    <t>5-1336</t>
  </si>
  <si>
    <t>5-1337</t>
  </si>
  <si>
    <t>5-1339</t>
  </si>
  <si>
    <t>5-1340</t>
  </si>
  <si>
    <t>5-1341</t>
  </si>
  <si>
    <t>5-1342</t>
  </si>
  <si>
    <t>5-1343</t>
  </si>
  <si>
    <t>5-1344</t>
  </si>
  <si>
    <t>5-1345</t>
  </si>
  <si>
    <t>5-1346</t>
  </si>
  <si>
    <t>5-1349</t>
  </si>
  <si>
    <t>5-1350</t>
  </si>
  <si>
    <t>5-1351</t>
  </si>
  <si>
    <t>5-1352</t>
  </si>
  <si>
    <t>5-1353</t>
  </si>
  <si>
    <t>5-1354</t>
  </si>
  <si>
    <t>5-1355</t>
  </si>
  <si>
    <t>5-1356</t>
  </si>
  <si>
    <t>5-1357</t>
  </si>
  <si>
    <t>5-1358</t>
  </si>
  <si>
    <t>5-1359</t>
  </si>
  <si>
    <t>5-1360</t>
  </si>
  <si>
    <t>5-1361</t>
  </si>
  <si>
    <t>5-1362</t>
  </si>
  <si>
    <t>5-1363</t>
  </si>
  <si>
    <t>5-1364</t>
  </si>
  <si>
    <t>5-1365</t>
  </si>
  <si>
    <t>5-1366</t>
  </si>
  <si>
    <t>5-1367</t>
  </si>
  <si>
    <t>5-1368</t>
  </si>
  <si>
    <t>5-1369</t>
  </si>
  <si>
    <t>5-1370</t>
  </si>
  <si>
    <t>5-1371</t>
  </si>
  <si>
    <t>5-1372</t>
  </si>
  <si>
    <t>5-1373</t>
  </si>
  <si>
    <t>5-1374</t>
  </si>
  <si>
    <t>5-1375</t>
  </si>
  <si>
    <t>5-1376</t>
  </si>
  <si>
    <t>5-1377</t>
  </si>
  <si>
    <t>5-1378</t>
  </si>
  <si>
    <t>5-1379</t>
  </si>
  <si>
    <t>5-1380</t>
  </si>
  <si>
    <t>5-1381</t>
  </si>
  <si>
    <t>5-1382</t>
  </si>
  <si>
    <t>5-1383</t>
  </si>
  <si>
    <t>5-1384</t>
  </si>
  <si>
    <t>5-1385</t>
  </si>
  <si>
    <t>5-1386</t>
  </si>
  <si>
    <t>5-1387</t>
  </si>
  <si>
    <t>5-1389</t>
  </si>
  <si>
    <t>5-1390</t>
  </si>
  <si>
    <t>5-1391</t>
  </si>
  <si>
    <t>5-1392</t>
  </si>
  <si>
    <t>5-1393</t>
  </si>
  <si>
    <t>5-1394</t>
  </si>
  <si>
    <t>5-1395</t>
  </si>
  <si>
    <t>5-1399</t>
  </si>
  <si>
    <t>Total IL&amp;MA EXPENSE</t>
  </si>
  <si>
    <t>Total ACADEMIC EXPENSE</t>
  </si>
  <si>
    <t>PUBLIC SERVICE</t>
  </si>
  <si>
    <t>DAKWAH PROGRAMS</t>
  </si>
  <si>
    <t>R &amp; M - Building Office</t>
  </si>
  <si>
    <t>Kajian Umum</t>
  </si>
  <si>
    <t>Fotocopy &amp; Printing</t>
  </si>
  <si>
    <t>Honorarium Pembicara</t>
  </si>
  <si>
    <t>Supplies</t>
  </si>
  <si>
    <t>Transportation &amp; Accomodation</t>
  </si>
  <si>
    <t>House Rent</t>
  </si>
  <si>
    <t>Dakwah Others</t>
  </si>
  <si>
    <t>Sponsor kajian di luar</t>
  </si>
  <si>
    <t>Rent house</t>
  </si>
  <si>
    <t>Total DAKWAH PROGRAMS</t>
  </si>
  <si>
    <t>SOCIAL PROGRAM</t>
  </si>
  <si>
    <t>Ifthor Team Program</t>
  </si>
  <si>
    <t>Side Dish / lauk pauk</t>
  </si>
  <si>
    <t>Idul Qurban Team Program</t>
  </si>
  <si>
    <t>Purchasing - Cow</t>
  </si>
  <si>
    <t>Purchasing - Sheep</t>
  </si>
  <si>
    <t>Supplies &amp; Documentation</t>
  </si>
  <si>
    <t>Sumbangan Makanan</t>
  </si>
  <si>
    <t>Sumbangan Pakaian</t>
  </si>
  <si>
    <t>Sumbangan Uang</t>
  </si>
  <si>
    <t>Sumbangan Program luar</t>
  </si>
  <si>
    <t>Social Others</t>
  </si>
  <si>
    <t>Event Bedah Buku</t>
  </si>
  <si>
    <t>Bakti Sosial</t>
  </si>
  <si>
    <t>Total SOCIAL PROGRAM</t>
  </si>
  <si>
    <t>RADIO PROGRAMS</t>
  </si>
  <si>
    <t>Studio</t>
  </si>
  <si>
    <t>Studio Supplies</t>
  </si>
  <si>
    <t>Material Broadcast</t>
  </si>
  <si>
    <t>Speaker Honor</t>
  </si>
  <si>
    <t>Permit and legal</t>
  </si>
  <si>
    <t>Radio program Others</t>
  </si>
  <si>
    <t>Training and Development</t>
  </si>
  <si>
    <t>Total RADIO PROGRAMS</t>
  </si>
  <si>
    <t>PUBLIC RELATION PROGRAMS</t>
  </si>
  <si>
    <t>Suplies</t>
  </si>
  <si>
    <t>post &amp; telecomunications</t>
  </si>
  <si>
    <t>Prize</t>
  </si>
  <si>
    <t>Advertising</t>
  </si>
  <si>
    <t>Newpaper publicity fee</t>
  </si>
  <si>
    <t>Internet Publicity fee</t>
  </si>
  <si>
    <t>Brochure printing</t>
  </si>
  <si>
    <t>Pencarian Dana</t>
  </si>
  <si>
    <t>Other PR Expense</t>
  </si>
  <si>
    <t>Total PUBLIC RELATION PROGRAMS</t>
  </si>
  <si>
    <t>Total PUBLIC SERVICE</t>
  </si>
  <si>
    <t>SUPPORT PROGRAM AND STUDENT SE</t>
  </si>
  <si>
    <t>LIBERARY</t>
  </si>
  <si>
    <t>R &amp; M - Library Eqiupment</t>
  </si>
  <si>
    <t>R &amp; M Books</t>
  </si>
  <si>
    <t>Other Liberary</t>
  </si>
  <si>
    <t>Total LIBERARY</t>
  </si>
  <si>
    <t>AUDIO VISUAL</t>
  </si>
  <si>
    <t>Audio Visual Tools and Supplie</t>
  </si>
  <si>
    <t>CD Kosong</t>
  </si>
  <si>
    <t>Cd Kajian dan Qiro'ah</t>
  </si>
  <si>
    <t>CD Film</t>
  </si>
  <si>
    <t>Kaset Rekaman</t>
  </si>
  <si>
    <t>Audio Visual Others</t>
  </si>
  <si>
    <t>Total AUDIO VISUAL</t>
  </si>
  <si>
    <t>KEPENGASUHAN SDITQ</t>
  </si>
  <si>
    <t>Ketertiban Santri</t>
  </si>
  <si>
    <t>Material</t>
  </si>
  <si>
    <t>Security Tools</t>
  </si>
  <si>
    <t>Security Supplies and Fixture</t>
  </si>
  <si>
    <t>Repair &amp; Maintenence</t>
  </si>
  <si>
    <t>Kemusyrifan</t>
  </si>
  <si>
    <t>Tools</t>
  </si>
  <si>
    <t>Supplies and Fixture</t>
  </si>
  <si>
    <t>Tahfidz</t>
  </si>
  <si>
    <t>Others Kepengasuhan</t>
  </si>
  <si>
    <t>Total KEPENGASUHAN SDITQ</t>
  </si>
  <si>
    <t>KEPENGASUHAN MTW</t>
  </si>
  <si>
    <t>Total KEPENGASUHAN MTW</t>
  </si>
  <si>
    <t>KEPENGASUHAN IM&amp;IL</t>
  </si>
  <si>
    <t>Total KEPENGASUHAN IM&amp;IL</t>
  </si>
  <si>
    <t>BIMBINGAN KONSELING</t>
  </si>
  <si>
    <t>Others BK</t>
  </si>
  <si>
    <t>Training and Workshop</t>
  </si>
  <si>
    <t>Total BIMBINGAN KONSELING</t>
  </si>
  <si>
    <t>KESEHATAN SANTRI</t>
  </si>
  <si>
    <t>Doctor Salary</t>
  </si>
  <si>
    <t>Nurse Salary</t>
  </si>
  <si>
    <t>Honorarium santri Khidmah</t>
  </si>
  <si>
    <t>Joint Salary Allocation</t>
  </si>
  <si>
    <t>Clinic</t>
  </si>
  <si>
    <t>Stationery Written Tools</t>
  </si>
  <si>
    <t>Bahan &amp; alat habis pakai</t>
  </si>
  <si>
    <t>Total KESEHATAN SANTRI</t>
  </si>
  <si>
    <t>Total SUPPORT PROGRAM AND STUDENT SE</t>
  </si>
  <si>
    <t>STUDENT ACTIVITIES</t>
  </si>
  <si>
    <t>JUMIYYAH TOLABAH SDITQ</t>
  </si>
  <si>
    <t>Tim Inti</t>
  </si>
  <si>
    <t>Office Supplies</t>
  </si>
  <si>
    <t>Transportation and Accomodatio</t>
  </si>
  <si>
    <t>Pos &amp; Telecomunication</t>
  </si>
  <si>
    <t>Prize and Bonus</t>
  </si>
  <si>
    <t>Ibadah section</t>
  </si>
  <si>
    <t>Othes</t>
  </si>
  <si>
    <t>Securities Section</t>
  </si>
  <si>
    <t>Health and Cleaness Section</t>
  </si>
  <si>
    <t>Liberary Section</t>
  </si>
  <si>
    <t>Language Section</t>
  </si>
  <si>
    <t>Consumptions for sick student</t>
  </si>
  <si>
    <t>Quest Section</t>
  </si>
  <si>
    <t>Sports Section</t>
  </si>
  <si>
    <t>Mading Section</t>
  </si>
  <si>
    <t>Total JUMIYYAH TOLABAH SDITQ</t>
  </si>
  <si>
    <t>JUMIYYAH TOLABAH MTW</t>
  </si>
  <si>
    <t>Total JUMIYYAH TOLABAH MTW</t>
  </si>
  <si>
    <t>JUMIYYAH TOLABAH IM/IL</t>
  </si>
  <si>
    <t>Total JUMIYYAH TOLABAH IM/IL</t>
  </si>
  <si>
    <t>DAKWAH / PROPAGANDA</t>
  </si>
  <si>
    <t>Total DAKWAH / PROPAGANDA</t>
  </si>
  <si>
    <t>SPORTS</t>
  </si>
  <si>
    <t>Sports Material</t>
  </si>
  <si>
    <t>Sports Tools</t>
  </si>
  <si>
    <t>Sports Supplies and Fixture</t>
  </si>
  <si>
    <t>Total SPORTS</t>
  </si>
  <si>
    <t>STUDENT CONTEST</t>
  </si>
  <si>
    <t>Classmeeting</t>
  </si>
  <si>
    <t>HAFALAN ILMIAH</t>
  </si>
  <si>
    <t>Total STUDENT CONTEST</t>
  </si>
  <si>
    <t>REGRISTRATION NEW STUDENT</t>
  </si>
  <si>
    <t>Admission New Students</t>
  </si>
  <si>
    <t>Post &amp; Telecomunication</t>
  </si>
  <si>
    <t>Publicity</t>
  </si>
  <si>
    <t>Brochure</t>
  </si>
  <si>
    <t>Advertisement</t>
  </si>
  <si>
    <t>Banner</t>
  </si>
  <si>
    <t>Mass Media</t>
  </si>
  <si>
    <t>Total REGRISTRATION NEW STUDENT</t>
  </si>
  <si>
    <t>Total STUDENT ACTIVITIES</t>
  </si>
  <si>
    <t>SUPPORT INSTITUTION</t>
  </si>
  <si>
    <t>EXECUTIVE MANAGEMENT</t>
  </si>
  <si>
    <t>Meeting Executive</t>
  </si>
  <si>
    <t>DPP or Institution</t>
  </si>
  <si>
    <t>Devision Head</t>
  </si>
  <si>
    <t>Foundation meeting</t>
  </si>
  <si>
    <t>Guest Eksekutif</t>
  </si>
  <si>
    <t>Others Executive Managements</t>
  </si>
  <si>
    <t>Profesional Fee</t>
  </si>
  <si>
    <t>membership</t>
  </si>
  <si>
    <t>Executive special program</t>
  </si>
  <si>
    <t>Permitt and legalcy</t>
  </si>
  <si>
    <t>Total EXECUTIVE MANAGEMENT</t>
  </si>
  <si>
    <t>RESEACH &amp; DEVELOPMENT PUSAT</t>
  </si>
  <si>
    <t>Pusat Transportation &amp; Accomo</t>
  </si>
  <si>
    <t>Balitbangwas</t>
  </si>
  <si>
    <t>Tarbiyah</t>
  </si>
  <si>
    <t>Human Resouce Devepment</t>
  </si>
  <si>
    <t>Finance</t>
  </si>
  <si>
    <t>PIAT Other</t>
  </si>
  <si>
    <t>Branch Training and workshop</t>
  </si>
  <si>
    <t>Branch Apprentice</t>
  </si>
  <si>
    <t>Branch Guest</t>
  </si>
  <si>
    <t>Others R&amp;D</t>
  </si>
  <si>
    <t>Honorarium of function</t>
  </si>
  <si>
    <t>Honor of presenter</t>
  </si>
  <si>
    <t>Sudan Schoolarship</t>
  </si>
  <si>
    <t>Abroad Schoolarship</t>
  </si>
  <si>
    <t>Domestic Schoolarship</t>
  </si>
  <si>
    <t>Total RESEACH &amp; DEVELOPMENT PUSAT</t>
  </si>
  <si>
    <t>ACCOUNTING AND FINANCE</t>
  </si>
  <si>
    <t>bank administration</t>
  </si>
  <si>
    <t>Auditor</t>
  </si>
  <si>
    <t>Membership</t>
  </si>
  <si>
    <t>Bank Administration</t>
  </si>
  <si>
    <t>Total ACCOUNTING AND FINANCE</t>
  </si>
  <si>
    <t>HUMAN RESOURCE</t>
  </si>
  <si>
    <t>Employees Recruitment</t>
  </si>
  <si>
    <t>Vacancy Advertisement</t>
  </si>
  <si>
    <t>Employee Selection</t>
  </si>
  <si>
    <t>Employees Uniform</t>
  </si>
  <si>
    <t>Apprentice</t>
  </si>
  <si>
    <t>Total HUMAN RESOURCE</t>
  </si>
  <si>
    <t>GENERAL AND ADMINISTRATION</t>
  </si>
  <si>
    <t>Post and Telecomunication</t>
  </si>
  <si>
    <t>Internet</t>
  </si>
  <si>
    <t>Seluler</t>
  </si>
  <si>
    <t>Faks</t>
  </si>
  <si>
    <t>Post</t>
  </si>
  <si>
    <t>Shipment</t>
  </si>
  <si>
    <t>Toll &amp; Parking</t>
  </si>
  <si>
    <t>Accomodations</t>
  </si>
  <si>
    <t>Vehicle Rent</t>
  </si>
  <si>
    <t>Vehicle tax</t>
  </si>
  <si>
    <t>Building and Ground Rent Tax</t>
  </si>
  <si>
    <t>Permit and Legacy</t>
  </si>
  <si>
    <t>Total GENERAL AND ADMINISTRATION</t>
  </si>
  <si>
    <t>INFORMATION TECHNOLOGY</t>
  </si>
  <si>
    <t>Total INFORMATION TECHNOLOGY</t>
  </si>
  <si>
    <t>Total SUPPORT INSTITUTION</t>
  </si>
  <si>
    <t>MAINTENANCE AND OPERATIONAL PL</t>
  </si>
  <si>
    <t>PHYSICAL TOOLS ADMINISTRATION</t>
  </si>
  <si>
    <t>Permanent Labour Salary</t>
  </si>
  <si>
    <t>Temporary Labour Salary</t>
  </si>
  <si>
    <t>Total PHYSICAL TOOLS ADMINISTRATION</t>
  </si>
  <si>
    <t>HEALTH AND CLEANESS ENVIRONMEN</t>
  </si>
  <si>
    <t>Material &amp; Supplies Clean</t>
  </si>
  <si>
    <t>Broom</t>
  </si>
  <si>
    <t>Mop</t>
  </si>
  <si>
    <t>Mop Linen</t>
  </si>
  <si>
    <t>Floor cleaner material</t>
  </si>
  <si>
    <t>Freshener</t>
  </si>
  <si>
    <t>Tempat sampah</t>
  </si>
  <si>
    <t>Total HEALTH AND CLEANESS ENVIRONMEN</t>
  </si>
  <si>
    <t>BUILD MAINTENANCE</t>
  </si>
  <si>
    <t>Office And Boarding</t>
  </si>
  <si>
    <t>Office R &amp; M - Wages</t>
  </si>
  <si>
    <t>Office R &amp; M -Building Materia</t>
  </si>
  <si>
    <t>Office R &amp;M -Ventilation&amp; door</t>
  </si>
  <si>
    <t>Office R &amp; M - Others</t>
  </si>
  <si>
    <t>Boarding R &amp; M - Wages</t>
  </si>
  <si>
    <t>Boarding R &amp; M-Building Materi</t>
  </si>
  <si>
    <t>Boardin R &amp;M -Ventilation&amp;door</t>
  </si>
  <si>
    <t>Boarding R &amp; M - Others</t>
  </si>
  <si>
    <t>Masjid And Liberary</t>
  </si>
  <si>
    <t>Masjid R &amp; M - Wages</t>
  </si>
  <si>
    <t>Masjid R &amp; M -Building Materia</t>
  </si>
  <si>
    <t>Masjid R &amp;M -Ventilation&amp; door</t>
  </si>
  <si>
    <t>Masjid R &amp; M - Others</t>
  </si>
  <si>
    <t>Library R &amp; M - Wages</t>
  </si>
  <si>
    <t>Library R &amp;M -Building Materia</t>
  </si>
  <si>
    <t>Library R&amp;M -Ventilation&amp; door</t>
  </si>
  <si>
    <t>Library R &amp; M - Others</t>
  </si>
  <si>
    <t>Sport Building &amp; Pool</t>
  </si>
  <si>
    <t>Sport Building R &amp; M - Wages</t>
  </si>
  <si>
    <t>Sport Bui R&amp;M-Building Materia</t>
  </si>
  <si>
    <t>Sport Bui R&amp;M-Ventilation&amp;door</t>
  </si>
  <si>
    <t>Sport Building R &amp; M - Others</t>
  </si>
  <si>
    <t>Swiming Pool R &amp; M - Wages</t>
  </si>
  <si>
    <t>Swiming Pool -Building Materia</t>
  </si>
  <si>
    <t>Swiming Pool R&amp;M -Ventilation&amp;</t>
  </si>
  <si>
    <t>Swiming Pool room R &amp; M - Othe</t>
  </si>
  <si>
    <t>Luandry &amp; Kitchen</t>
  </si>
  <si>
    <t>Loudry R &amp; M - Wages</t>
  </si>
  <si>
    <t>Loudry R &amp; M -Building Materia</t>
  </si>
  <si>
    <t>Loundry R&amp;M -Ventilation&amp; door</t>
  </si>
  <si>
    <t>Loundry R &amp; M - Others</t>
  </si>
  <si>
    <t>DR &amp; Kitchen R &amp; M - Wages</t>
  </si>
  <si>
    <t>DRKitchen R&amp;M-Building Materia</t>
  </si>
  <si>
    <t>DRKitchen R&amp;M-Ventilation&amp;door</t>
  </si>
  <si>
    <t>DR Kitchen R &amp; M - Others</t>
  </si>
  <si>
    <t>Housing Build &amp; Radio</t>
  </si>
  <si>
    <t>Housing R &amp; M - Wages</t>
  </si>
  <si>
    <t>Housing R &amp; M-Building Materia</t>
  </si>
  <si>
    <t>Housing R&amp;M -Ventilation&amp; door</t>
  </si>
  <si>
    <t>Housing R &amp; M - Others</t>
  </si>
  <si>
    <t>Radio R &amp; M - Wages</t>
  </si>
  <si>
    <t>Radio R&amp;M-Building Materia</t>
  </si>
  <si>
    <t>Radio R&amp;M-Ventilation&amp;door</t>
  </si>
  <si>
    <t>Radio R &amp; M - Others</t>
  </si>
  <si>
    <t>Warehouse &amp; Garage</t>
  </si>
  <si>
    <t>Warehouse R &amp; M - Wages</t>
  </si>
  <si>
    <t>Warehouse R&amp;M-Building Materia</t>
  </si>
  <si>
    <t>Warehouse R&amp;M-Ventilation&amp;door</t>
  </si>
  <si>
    <t>Warehouse R &amp; M - Others</t>
  </si>
  <si>
    <t>Public Fasilities R &amp; M -Wages</t>
  </si>
  <si>
    <t>Parking R&amp;M-Building Materia</t>
  </si>
  <si>
    <t>Public Fa R&amp;M-Ventilation&amp;door</t>
  </si>
  <si>
    <t>Parking R &amp; M - Others</t>
  </si>
  <si>
    <t>Clinic &amp; Aula</t>
  </si>
  <si>
    <t>Healty room R &amp; M - Wages</t>
  </si>
  <si>
    <t>Healty R &amp;M -Building Materia</t>
  </si>
  <si>
    <t>Healty R&amp;M -Ventilation&amp; door</t>
  </si>
  <si>
    <t>Healty room R &amp; M - Others</t>
  </si>
  <si>
    <t>Hall R &amp; M -Wages</t>
  </si>
  <si>
    <t>Hall R&amp;M-Building Materia</t>
  </si>
  <si>
    <t>Hall R&amp;M-Ventilation&amp;door</t>
  </si>
  <si>
    <t>Hall R &amp; M - Others</t>
  </si>
  <si>
    <t>Security Pos &amp; Public Restroom</t>
  </si>
  <si>
    <t>Security post R &amp; M - Wages</t>
  </si>
  <si>
    <t>Security P R&amp;M-Building Mater</t>
  </si>
  <si>
    <t>SecurityP R&amp;M-Ventilation&amp;door</t>
  </si>
  <si>
    <t>Security post R &amp; M - Others</t>
  </si>
  <si>
    <t>Public Restroom R &amp; M -Wages</t>
  </si>
  <si>
    <t>P Restrom R&amp;M-Building Materia</t>
  </si>
  <si>
    <t>P Restrom R&amp;M-Ventilation&amp;door</t>
  </si>
  <si>
    <t>Public Restroom R &amp; M - Others</t>
  </si>
  <si>
    <t>Other Building</t>
  </si>
  <si>
    <t>Other Building R &amp; M - Wages</t>
  </si>
  <si>
    <t>Other Build R&amp;M-Building Mater</t>
  </si>
  <si>
    <t>Other Bui R&amp;M-Ventilation&amp;door</t>
  </si>
  <si>
    <t>Other Building R &amp; M - Others</t>
  </si>
  <si>
    <t>Total BUILD MAINTENANCE</t>
  </si>
  <si>
    <t>INFRASTRUCTURE MAINTENANCE</t>
  </si>
  <si>
    <t>LANDSCAPING 1</t>
  </si>
  <si>
    <t>Sewerge R &amp; M - Wages</t>
  </si>
  <si>
    <t>Sewerge R &amp; M - Material</t>
  </si>
  <si>
    <t>Sewerge R &amp; M - Other</t>
  </si>
  <si>
    <t>Roads R &amp; M - Wages</t>
  </si>
  <si>
    <t>Roads R &amp; M - Material</t>
  </si>
  <si>
    <t>Roads R &amp; M - Other</t>
  </si>
  <si>
    <t>Field R &amp; M - Wages</t>
  </si>
  <si>
    <t>Field R &amp; M - Material</t>
  </si>
  <si>
    <t>Field R &amp; M - Other</t>
  </si>
  <si>
    <t>LANDSCAPING 2</t>
  </si>
  <si>
    <t>Fence R &amp; M - Wages</t>
  </si>
  <si>
    <t>Fence R &amp; M - Material</t>
  </si>
  <si>
    <t>Fence R &amp; M - Other</t>
  </si>
  <si>
    <t>Parking Area R &amp; M - Wages</t>
  </si>
  <si>
    <t>Parking Area R &amp; M - Material</t>
  </si>
  <si>
    <t>Parking Area R &amp; M - Other</t>
  </si>
  <si>
    <t>Garden R &amp; M - Wages</t>
  </si>
  <si>
    <t>Garden R &amp; M - Material</t>
  </si>
  <si>
    <t>Garden R &amp; M - Other</t>
  </si>
  <si>
    <t>INTALASI LISTRIK DAN AIR</t>
  </si>
  <si>
    <t>Electricity Intala R&amp;M - Wages</t>
  </si>
  <si>
    <t>Electricity Intal R&amp;M-Material</t>
  </si>
  <si>
    <t>Electricity Intala R&amp;M - Other</t>
  </si>
  <si>
    <t>Lighting Intalatio R&amp;M - Wages</t>
  </si>
  <si>
    <t>Lighting Intalati R&amp;M-Material</t>
  </si>
  <si>
    <t>Lighting Intalatio R&amp;M - Other</t>
  </si>
  <si>
    <t>Water Intalation R&amp;M - Wages</t>
  </si>
  <si>
    <t>Water Intalation R&amp;M -Material</t>
  </si>
  <si>
    <t>Water Intalation R&amp;M - Others</t>
  </si>
  <si>
    <t>Other Infrastructure</t>
  </si>
  <si>
    <t>Total INFRASTRUCTURE MAINTENANCE</t>
  </si>
  <si>
    <t>NON BUILDING MAINTENANCE</t>
  </si>
  <si>
    <t>Tools and Equipment</t>
  </si>
  <si>
    <t>R&amp;M -Computer</t>
  </si>
  <si>
    <t>R&amp;M -Telephone &amp; Faks</t>
  </si>
  <si>
    <t>R&amp;M -Electricity and Water</t>
  </si>
  <si>
    <t>R&amp;M -Office Suplies</t>
  </si>
  <si>
    <t>R&amp;M -peralatan pembalajaran</t>
  </si>
  <si>
    <t>R&amp;M -Kitchen &amp; Laundry</t>
  </si>
  <si>
    <t>R&amp;M -Cleaning&amp;Repairing</t>
  </si>
  <si>
    <t>R&amp;M -Sporty &amp; Healty</t>
  </si>
  <si>
    <t>R&amp;M -Others</t>
  </si>
  <si>
    <t>Fixture and Furniture</t>
  </si>
  <si>
    <t>R&amp;M -Table and Chair</t>
  </si>
  <si>
    <t>R&amp;M -Cupboard and Rack</t>
  </si>
  <si>
    <t>R&amp;M -Iron Bed &amp; mattress</t>
  </si>
  <si>
    <t>R&amp;M -Office,Class &amp; Boarding</t>
  </si>
  <si>
    <t>R&amp;M -Perlengkapan pembelajaran</t>
  </si>
  <si>
    <t>R&amp;M -Cleaning &amp; Repairing</t>
  </si>
  <si>
    <t>Car</t>
  </si>
  <si>
    <t>Motorcycle</t>
  </si>
  <si>
    <t>Bicycle</t>
  </si>
  <si>
    <t>Othters</t>
  </si>
  <si>
    <t>Books and Material</t>
  </si>
  <si>
    <t>Religion Books</t>
  </si>
  <si>
    <t>Common Books</t>
  </si>
  <si>
    <t>Religion CD</t>
  </si>
  <si>
    <t>Common CD</t>
  </si>
  <si>
    <t>Total NON BUILDING MAINTENANCE</t>
  </si>
  <si>
    <t>UTILITIES</t>
  </si>
  <si>
    <t>LISTRIK 1</t>
  </si>
  <si>
    <t>Electricity - Poliklinik</t>
  </si>
  <si>
    <t>Electricity - Masjid</t>
  </si>
  <si>
    <t>Electricity - S. Pool &amp; Kitche</t>
  </si>
  <si>
    <t>Electricity - MAK</t>
  </si>
  <si>
    <t>LISTRIK 2</t>
  </si>
  <si>
    <t>BAHAN BAKAR DISEL</t>
  </si>
  <si>
    <t>Solar</t>
  </si>
  <si>
    <t>AIR</t>
  </si>
  <si>
    <t>Air Bersih</t>
  </si>
  <si>
    <t>Total UTILITIES</t>
  </si>
  <si>
    <t>SAFETY AND SECURITIES</t>
  </si>
  <si>
    <t>Securities Tools</t>
  </si>
  <si>
    <t>Security Stick</t>
  </si>
  <si>
    <t>Handcuffs</t>
  </si>
  <si>
    <t>Training &amp; Workshop</t>
  </si>
  <si>
    <t>Total SAFETY AND SECURITIES</t>
  </si>
  <si>
    <t>LOGISTIC</t>
  </si>
  <si>
    <t>Perlengkapan Gudang</t>
  </si>
  <si>
    <t>Palet</t>
  </si>
  <si>
    <t>Sewa Gedung</t>
  </si>
  <si>
    <t>Warehouse Rent</t>
  </si>
  <si>
    <t>Total LOGISTIC</t>
  </si>
  <si>
    <t>DEPRECIATION FIXED ASSET</t>
  </si>
  <si>
    <t>Books and Liberary</t>
  </si>
  <si>
    <t>Depre.library material&amp;book-Bo</t>
  </si>
  <si>
    <t>Depre.library material&amp;book-CD</t>
  </si>
  <si>
    <t>Depre.library material&amp;book-DL</t>
  </si>
  <si>
    <t>Other Fixed Asset</t>
  </si>
  <si>
    <t>Depre.Other fixed asset-softwa</t>
  </si>
  <si>
    <t>Total DEPRECIATION FIXED ASSET</t>
  </si>
  <si>
    <t>Total MAINTENANCE AND OPERATIONAL PL</t>
  </si>
  <si>
    <t>STUDENT FINANCE AID</t>
  </si>
  <si>
    <t>SCHOOLARSHIP</t>
  </si>
  <si>
    <t>Prize - Santri</t>
  </si>
  <si>
    <t>Hadiah - santri</t>
  </si>
  <si>
    <t>Biaya pendidikan - santri</t>
  </si>
  <si>
    <t>PKL - santri</t>
  </si>
  <si>
    <t>Honorarium - santri</t>
  </si>
  <si>
    <t>Prize - Alumni</t>
  </si>
  <si>
    <t>Baesiswa - Alumni</t>
  </si>
  <si>
    <t>Honorarium - Alumni</t>
  </si>
  <si>
    <t>Total SCHOOLARSHIP</t>
  </si>
  <si>
    <t>OTHERS AID</t>
  </si>
  <si>
    <t>Administrasi bantuan santri</t>
  </si>
  <si>
    <t>Administrasi santri dan Alumni</t>
  </si>
  <si>
    <t>Total OTHERS AID</t>
  </si>
  <si>
    <t>Total STUDENT FINANCE AID</t>
  </si>
  <si>
    <t>KARTU IDENTITAS</t>
  </si>
  <si>
    <t>Student Card</t>
  </si>
  <si>
    <t>Permission Student card</t>
  </si>
  <si>
    <t>Books Saving Student</t>
  </si>
  <si>
    <t>Total KARTU IDENTITAS</t>
  </si>
  <si>
    <t>BOOKS</t>
  </si>
  <si>
    <t>Buku Umum</t>
  </si>
  <si>
    <t>Buku Agama</t>
  </si>
  <si>
    <t>Total BOOKS</t>
  </si>
  <si>
    <t>UNIFORM</t>
  </si>
  <si>
    <t>Sport Student Uniform</t>
  </si>
  <si>
    <t>Student Uniform</t>
  </si>
  <si>
    <t>Moslem Student Uniform</t>
  </si>
  <si>
    <t>Total UNIFORM</t>
  </si>
  <si>
    <t>BOARDING SERVICE</t>
  </si>
  <si>
    <t>FOODS SERVICE</t>
  </si>
  <si>
    <t>Others Salary</t>
  </si>
  <si>
    <t>Alowance of spectacles</t>
  </si>
  <si>
    <t>Foods Service Office</t>
  </si>
  <si>
    <t>Public Tranportation</t>
  </si>
  <si>
    <t>Paket</t>
  </si>
  <si>
    <t>R &amp; M - dining Eqiupment</t>
  </si>
  <si>
    <t>R &amp; M - Kitchen Eqiupment</t>
  </si>
  <si>
    <t>R &amp; M - Other Eqiupment</t>
  </si>
  <si>
    <t>R &amp; M Others</t>
  </si>
  <si>
    <t>Foods and Kitchen Supplies</t>
  </si>
  <si>
    <t>Cuterly</t>
  </si>
  <si>
    <t>Crockery</t>
  </si>
  <si>
    <t>Kitchen Supplies</t>
  </si>
  <si>
    <t>Spoon-fork-plate &amp; glass</t>
  </si>
  <si>
    <t>Dining Fixture</t>
  </si>
  <si>
    <t>Cleanig Supplies</t>
  </si>
  <si>
    <t>Linen</t>
  </si>
  <si>
    <t>Kitchen Material</t>
  </si>
  <si>
    <t>Side Dish</t>
  </si>
  <si>
    <t>Sugar/tea/coffee</t>
  </si>
  <si>
    <t>Milk</t>
  </si>
  <si>
    <t>Cooking Oil</t>
  </si>
  <si>
    <t>Kerosene &amp; gas LPG</t>
  </si>
  <si>
    <t>Lauk santri sakit</t>
  </si>
  <si>
    <t>Fruits</t>
  </si>
  <si>
    <t>Freight</t>
  </si>
  <si>
    <t>Catering</t>
  </si>
  <si>
    <t>Total FOODS SERVICE</t>
  </si>
  <si>
    <t>LAUNDRY SERVICE</t>
  </si>
  <si>
    <t>Laundry Supplies</t>
  </si>
  <si>
    <t>Washing Supplies</t>
  </si>
  <si>
    <t>Drying Supplies</t>
  </si>
  <si>
    <t>Iron Supplies</t>
  </si>
  <si>
    <t>Storage Supplies</t>
  </si>
  <si>
    <t>Cleaning Fixture</t>
  </si>
  <si>
    <t>Cleaning material</t>
  </si>
  <si>
    <t>Material Of Laundry</t>
  </si>
  <si>
    <t>Detergen</t>
  </si>
  <si>
    <t>Whitener</t>
  </si>
  <si>
    <t>Softener</t>
  </si>
  <si>
    <t>Slippery</t>
  </si>
  <si>
    <t>Layanan Kamar</t>
  </si>
  <si>
    <t>Total LAUNDRY SERVICE</t>
  </si>
  <si>
    <t>ROOM SERVICE</t>
  </si>
  <si>
    <t>PERLENGKAPAN ASRAMA</t>
  </si>
  <si>
    <t>Broom &amp; mop</t>
  </si>
  <si>
    <t>Cleaning Supplies</t>
  </si>
  <si>
    <t>Sprei &amp; sarung bantal</t>
  </si>
  <si>
    <t>Sleeping Fixture</t>
  </si>
  <si>
    <t>Water Dipper &amp; pail</t>
  </si>
  <si>
    <t>Room Supplies</t>
  </si>
  <si>
    <t>Boarding area Supplies</t>
  </si>
  <si>
    <t>lain-lain</t>
  </si>
  <si>
    <t>Total ROOM SERVICE</t>
  </si>
  <si>
    <t>Total BOARDING SERVICE</t>
  </si>
  <si>
    <t>Total OPERATIONAL EXPENSE</t>
  </si>
  <si>
    <t>Gross Profit</t>
  </si>
  <si>
    <t>OTHER EXPENSE</t>
  </si>
  <si>
    <t>LOSS</t>
  </si>
  <si>
    <t>KERUGIAN</t>
  </si>
  <si>
    <t>6-1110</t>
  </si>
  <si>
    <t>Loss of Foreign Exchange</t>
  </si>
  <si>
    <t>6-1120</t>
  </si>
  <si>
    <t>Nature disaster</t>
  </si>
  <si>
    <t>6-1130</t>
  </si>
  <si>
    <t>Loss of Fixed asset sale</t>
  </si>
  <si>
    <t>6-1140</t>
  </si>
  <si>
    <t>Loss of Invesment</t>
  </si>
  <si>
    <t>6-1150</t>
  </si>
  <si>
    <t>Selisih kurang</t>
  </si>
  <si>
    <t>6-1160</t>
  </si>
  <si>
    <t>Pembulatan kurang</t>
  </si>
  <si>
    <t>6-1170</t>
  </si>
  <si>
    <t>Write off</t>
  </si>
  <si>
    <t>6-1180</t>
  </si>
  <si>
    <t>Interest Expense</t>
  </si>
  <si>
    <t>6-1190</t>
  </si>
  <si>
    <t>Fund-raiser 2 Expense</t>
  </si>
  <si>
    <t>6-1197</t>
  </si>
  <si>
    <t>Other Employer Expenses</t>
  </si>
  <si>
    <t>6-1198</t>
  </si>
  <si>
    <t>Wages &amp; Salaries</t>
  </si>
  <si>
    <t>Total KERUGIAN</t>
  </si>
  <si>
    <t>CADANGAN PESANGON</t>
  </si>
  <si>
    <t>6-1210</t>
  </si>
  <si>
    <t>Cadangan Pesangon</t>
  </si>
  <si>
    <t>6-1220</t>
  </si>
  <si>
    <t>Superannuation</t>
  </si>
  <si>
    <t>6-1230</t>
  </si>
  <si>
    <t>Salaries - Teachers</t>
  </si>
  <si>
    <t>6-1240</t>
  </si>
  <si>
    <t>Total CADANGAN PESANGON</t>
  </si>
  <si>
    <t>Total LOSS</t>
  </si>
  <si>
    <t>Total OTHER EXPENSE</t>
  </si>
  <si>
    <t>Operating Profit</t>
  </si>
  <si>
    <t>INTEREST INCOME</t>
  </si>
  <si>
    <t>8-1100</t>
  </si>
  <si>
    <t>Interest</t>
  </si>
  <si>
    <t>Total INTEREST INCOME</t>
  </si>
  <si>
    <t>OTHER EXPENSES</t>
  </si>
  <si>
    <t>INTEREST EXPENSE</t>
  </si>
  <si>
    <t>9-1100</t>
  </si>
  <si>
    <t>Interest Tax</t>
  </si>
  <si>
    <t>Total INTEREST EXPENSE</t>
  </si>
  <si>
    <t>Total OTHER EXPENSES</t>
  </si>
  <si>
    <t>Net Profit / (Loss)</t>
  </si>
  <si>
    <t>4-2110</t>
  </si>
  <si>
    <t>4-2120</t>
  </si>
  <si>
    <t>4-2130</t>
  </si>
  <si>
    <t>4-2140</t>
  </si>
  <si>
    <t>4-2150</t>
  </si>
  <si>
    <t>4-2160</t>
  </si>
  <si>
    <t>4-2170</t>
  </si>
  <si>
    <t>4-2180</t>
  </si>
  <si>
    <t>4-2190</t>
  </si>
  <si>
    <t>4-2210</t>
  </si>
  <si>
    <t>4-2220</t>
  </si>
  <si>
    <t>4-2230</t>
  </si>
  <si>
    <t>4-2240</t>
  </si>
  <si>
    <t>4-2250</t>
  </si>
  <si>
    <t>4-2260</t>
  </si>
  <si>
    <t>4-2270</t>
  </si>
  <si>
    <t>4-2280</t>
  </si>
  <si>
    <t>4-2290</t>
  </si>
  <si>
    <t>4-2310</t>
  </si>
  <si>
    <t>4-2320</t>
  </si>
  <si>
    <t>4-2330</t>
  </si>
  <si>
    <t>4-2340</t>
  </si>
  <si>
    <t>4-2350</t>
  </si>
  <si>
    <t>4-2360</t>
  </si>
  <si>
    <t>4-2370</t>
  </si>
  <si>
    <t>4-2380</t>
  </si>
  <si>
    <t>4-2390</t>
  </si>
  <si>
    <t>4-2410</t>
  </si>
  <si>
    <t>4-2420</t>
  </si>
  <si>
    <t>4-2430</t>
  </si>
  <si>
    <t>4-2440</t>
  </si>
  <si>
    <t>4-2450</t>
  </si>
  <si>
    <t>4-2460</t>
  </si>
  <si>
    <t>4-2470</t>
  </si>
  <si>
    <t>4-2480</t>
  </si>
  <si>
    <t>4-2490</t>
  </si>
  <si>
    <t>4-2510</t>
  </si>
  <si>
    <t>4-2520</t>
  </si>
  <si>
    <t>4-2530</t>
  </si>
  <si>
    <t>4-2540</t>
  </si>
  <si>
    <t>4-2550</t>
  </si>
  <si>
    <t>4-2560</t>
  </si>
  <si>
    <t>4-2570</t>
  </si>
  <si>
    <t>4-2580</t>
  </si>
  <si>
    <t>4-2590</t>
  </si>
  <si>
    <t>4-3110</t>
  </si>
  <si>
    <t>4-3120</t>
  </si>
  <si>
    <t>4-3130</t>
  </si>
  <si>
    <t>4-3140</t>
  </si>
  <si>
    <t>4-3150</t>
  </si>
  <si>
    <t>4-3160</t>
  </si>
  <si>
    <t>4-3170</t>
  </si>
  <si>
    <t>4-3180</t>
  </si>
  <si>
    <t>4-3190</t>
  </si>
  <si>
    <t>4-3210</t>
  </si>
  <si>
    <t>4-3220</t>
  </si>
  <si>
    <t>4-3290</t>
  </si>
  <si>
    <t>4-3310</t>
  </si>
  <si>
    <t>4-3320</t>
  </si>
  <si>
    <t>4-3330</t>
  </si>
  <si>
    <t>4-3340</t>
  </si>
  <si>
    <t>4-3350</t>
  </si>
  <si>
    <t>4-3360</t>
  </si>
  <si>
    <t>4-3370</t>
  </si>
  <si>
    <t>4-3390</t>
  </si>
  <si>
    <t>4-4110</t>
  </si>
  <si>
    <t>4-4120</t>
  </si>
  <si>
    <t>4-4210</t>
  </si>
  <si>
    <t>4-4310</t>
  </si>
  <si>
    <t>4-4410</t>
  </si>
  <si>
    <t>4-4420</t>
  </si>
  <si>
    <t>4-4490</t>
  </si>
  <si>
    <t>4-4510</t>
  </si>
  <si>
    <t>4-4610</t>
  </si>
  <si>
    <t>4-4620</t>
  </si>
  <si>
    <t>4-4630</t>
  </si>
  <si>
    <t>4-4640</t>
  </si>
  <si>
    <t>4-4650</t>
  </si>
  <si>
    <t>4-4660</t>
  </si>
  <si>
    <t>4-4670</t>
  </si>
  <si>
    <t>4-4680</t>
  </si>
  <si>
    <t>4-5110</t>
  </si>
  <si>
    <t>4-5120</t>
  </si>
  <si>
    <t>4-5130</t>
  </si>
  <si>
    <t>4-5140</t>
  </si>
  <si>
    <t>4-5150</t>
  </si>
  <si>
    <t>4-5160</t>
  </si>
  <si>
    <t>4-5170</t>
  </si>
  <si>
    <t>4-5180</t>
  </si>
  <si>
    <t>4-5190</t>
  </si>
  <si>
    <t>4-5210</t>
  </si>
  <si>
    <t>4-5220</t>
  </si>
  <si>
    <t>4-5310</t>
  </si>
  <si>
    <t>4-9110</t>
  </si>
  <si>
    <t>4-9120</t>
  </si>
  <si>
    <t>4-9130</t>
  </si>
  <si>
    <t>4-9140</t>
  </si>
  <si>
    <t>4-9210</t>
  </si>
  <si>
    <t>4-9220</t>
  </si>
  <si>
    <t>4-9230</t>
  </si>
  <si>
    <t>4-9240</t>
  </si>
  <si>
    <t>5-2110</t>
  </si>
  <si>
    <t>5-2111</t>
  </si>
  <si>
    <t>5-2112</t>
  </si>
  <si>
    <t>5-2113</t>
  </si>
  <si>
    <t>5-2114</t>
  </si>
  <si>
    <t>5-2115</t>
  </si>
  <si>
    <t>5-2116</t>
  </si>
  <si>
    <t>5-2117</t>
  </si>
  <si>
    <t>5-2118</t>
  </si>
  <si>
    <t>5-2119</t>
  </si>
  <si>
    <t>5-2120</t>
  </si>
  <si>
    <t>5-2121</t>
  </si>
  <si>
    <t>5-2122</t>
  </si>
  <si>
    <t>5-2123</t>
  </si>
  <si>
    <t>5-2124</t>
  </si>
  <si>
    <t>5-2125</t>
  </si>
  <si>
    <t>5-2126</t>
  </si>
  <si>
    <t>5-2127</t>
  </si>
  <si>
    <t>5-2128</t>
  </si>
  <si>
    <t>5-2129</t>
  </si>
  <si>
    <t>5-2130</t>
  </si>
  <si>
    <t>5-2131</t>
  </si>
  <si>
    <t>5-2132</t>
  </si>
  <si>
    <t>5-2133</t>
  </si>
  <si>
    <t>5-2134</t>
  </si>
  <si>
    <t>5-2135</t>
  </si>
  <si>
    <t>5-2136</t>
  </si>
  <si>
    <t>5-2137</t>
  </si>
  <si>
    <t>5-2139</t>
  </si>
  <si>
    <t>5-2140</t>
  </si>
  <si>
    <t>5-2141</t>
  </si>
  <si>
    <t>5-2142</t>
  </si>
  <si>
    <t>5-2143</t>
  </si>
  <si>
    <t>5-2144</t>
  </si>
  <si>
    <t>5-2145</t>
  </si>
  <si>
    <t>5-2146</t>
  </si>
  <si>
    <t>5-2149</t>
  </si>
  <si>
    <t>5-2150</t>
  </si>
  <si>
    <t>5-2151</t>
  </si>
  <si>
    <t>5-2152</t>
  </si>
  <si>
    <t>5-2153</t>
  </si>
  <si>
    <t>5-2154</t>
  </si>
  <si>
    <t>5-2155</t>
  </si>
  <si>
    <t>5-2156</t>
  </si>
  <si>
    <t>5-2157</t>
  </si>
  <si>
    <t>5-2158</t>
  </si>
  <si>
    <t>5-2159</t>
  </si>
  <si>
    <t>5-2160</t>
  </si>
  <si>
    <t>5-2161</t>
  </si>
  <si>
    <t>5-2162</t>
  </si>
  <si>
    <t>5-2163</t>
  </si>
  <si>
    <t>5-2164</t>
  </si>
  <si>
    <t>5-2165</t>
  </si>
  <si>
    <t>5-2166</t>
  </si>
  <si>
    <t>5-2167</t>
  </si>
  <si>
    <t>5-2168</t>
  </si>
  <si>
    <t>5-2169</t>
  </si>
  <si>
    <t>5-2190</t>
  </si>
  <si>
    <t>5-2191</t>
  </si>
  <si>
    <t>5-2192</t>
  </si>
  <si>
    <t>5-2210</t>
  </si>
  <si>
    <t>5-2211</t>
  </si>
  <si>
    <t>5-2212</t>
  </si>
  <si>
    <t>5-2213</t>
  </si>
  <si>
    <t>5-2214</t>
  </si>
  <si>
    <t>5-2215</t>
  </si>
  <si>
    <t>5-2216</t>
  </si>
  <si>
    <t>5-2217</t>
  </si>
  <si>
    <t>5-2218</t>
  </si>
  <si>
    <t>5-2219</t>
  </si>
  <si>
    <t>5-2220</t>
  </si>
  <si>
    <t>5-2221</t>
  </si>
  <si>
    <t>5-2222</t>
  </si>
  <si>
    <t>5-2223</t>
  </si>
  <si>
    <t>5-2224</t>
  </si>
  <si>
    <t>5-2225</t>
  </si>
  <si>
    <t>5-2226</t>
  </si>
  <si>
    <t>5-2227</t>
  </si>
  <si>
    <t>5-2228</t>
  </si>
  <si>
    <t>5-2229</t>
  </si>
  <si>
    <t>5-2230</t>
  </si>
  <si>
    <t>5-2231</t>
  </si>
  <si>
    <t>5-2232</t>
  </si>
  <si>
    <t>5-2233</t>
  </si>
  <si>
    <t>5-2234</t>
  </si>
  <si>
    <t>5-2235</t>
  </si>
  <si>
    <t>5-2236</t>
  </si>
  <si>
    <t>5-2237</t>
  </si>
  <si>
    <t>5-2239</t>
  </si>
  <si>
    <t>5-2240</t>
  </si>
  <si>
    <t>5-2241</t>
  </si>
  <si>
    <t>5-2242</t>
  </si>
  <si>
    <t>5-2243</t>
  </si>
  <si>
    <t>5-2244</t>
  </si>
  <si>
    <t>5-2245</t>
  </si>
  <si>
    <t>5-2246</t>
  </si>
  <si>
    <t>5-2249</t>
  </si>
  <si>
    <t>5-2250</t>
  </si>
  <si>
    <t>5-2251</t>
  </si>
  <si>
    <t>5-2252</t>
  </si>
  <si>
    <t>5-2253</t>
  </si>
  <si>
    <t>5-2254</t>
  </si>
  <si>
    <t>5-2255</t>
  </si>
  <si>
    <t>5-2256</t>
  </si>
  <si>
    <t>5-2257</t>
  </si>
  <si>
    <t>5-2258</t>
  </si>
  <si>
    <t>5-2259</t>
  </si>
  <si>
    <t>5-2260</t>
  </si>
  <si>
    <t>5-2261</t>
  </si>
  <si>
    <t>5-2262</t>
  </si>
  <si>
    <t>5-2263</t>
  </si>
  <si>
    <t>5-2264</t>
  </si>
  <si>
    <t>5-2265</t>
  </si>
  <si>
    <t>5-2266</t>
  </si>
  <si>
    <t>5-2267</t>
  </si>
  <si>
    <t>5-2269</t>
  </si>
  <si>
    <t>5-2270</t>
  </si>
  <si>
    <t>5-2271</t>
  </si>
  <si>
    <t>5-2272</t>
  </si>
  <si>
    <t>5-2273</t>
  </si>
  <si>
    <t>5-2274</t>
  </si>
  <si>
    <t>5-2275</t>
  </si>
  <si>
    <t>5-2276</t>
  </si>
  <si>
    <t>5-2277</t>
  </si>
  <si>
    <t>5-2278</t>
  </si>
  <si>
    <t>5-2279</t>
  </si>
  <si>
    <t>5-2280</t>
  </si>
  <si>
    <t>5-2281</t>
  </si>
  <si>
    <t>5-2282</t>
  </si>
  <si>
    <t>5-2283</t>
  </si>
  <si>
    <t>5-2284</t>
  </si>
  <si>
    <t>5-2290</t>
  </si>
  <si>
    <t>5-2291</t>
  </si>
  <si>
    <t>5-2292</t>
  </si>
  <si>
    <t>5-2299</t>
  </si>
  <si>
    <t>5-2310</t>
  </si>
  <si>
    <t>5-2311</t>
  </si>
  <si>
    <t>5-2312</t>
  </si>
  <si>
    <t>5-2313</t>
  </si>
  <si>
    <t>5-2314</t>
  </si>
  <si>
    <t>5-2315</t>
  </si>
  <si>
    <t>5-2316</t>
  </si>
  <si>
    <t>5-2317</t>
  </si>
  <si>
    <t>5-2318</t>
  </si>
  <si>
    <t>5-2319</t>
  </si>
  <si>
    <t>5-2320</t>
  </si>
  <si>
    <t>5-2321</t>
  </si>
  <si>
    <t>5-2322</t>
  </si>
  <si>
    <t>5-2323</t>
  </si>
  <si>
    <t>5-2324</t>
  </si>
  <si>
    <t>5-2325</t>
  </si>
  <si>
    <t>5-2326</t>
  </si>
  <si>
    <t>5-2327</t>
  </si>
  <si>
    <t>5-2328</t>
  </si>
  <si>
    <t>5-2329</t>
  </si>
  <si>
    <t>5-2330</t>
  </si>
  <si>
    <t>5-2331</t>
  </si>
  <si>
    <t>5-2332</t>
  </si>
  <si>
    <t>5-2333</t>
  </si>
  <si>
    <t>5-2334</t>
  </si>
  <si>
    <t>5-2335</t>
  </si>
  <si>
    <t>5-2336</t>
  </si>
  <si>
    <t>5-2337</t>
  </si>
  <si>
    <t>5-2339</t>
  </si>
  <si>
    <t>5-2340</t>
  </si>
  <si>
    <t>5-2341</t>
  </si>
  <si>
    <t>5-2342</t>
  </si>
  <si>
    <t>5-2343</t>
  </si>
  <si>
    <t>5-2344</t>
  </si>
  <si>
    <t>5-2345</t>
  </si>
  <si>
    <t>5-2346</t>
  </si>
  <si>
    <t>5-2349</t>
  </si>
  <si>
    <t>5-2350</t>
  </si>
  <si>
    <t>5-2351</t>
  </si>
  <si>
    <t>5-2352</t>
  </si>
  <si>
    <t>5-2353</t>
  </si>
  <si>
    <t>5-2354</t>
  </si>
  <si>
    <t>5-2355</t>
  </si>
  <si>
    <t>5-2356</t>
  </si>
  <si>
    <t>5-2357</t>
  </si>
  <si>
    <t>5-2358</t>
  </si>
  <si>
    <t>5-2359</t>
  </si>
  <si>
    <t>5-2360</t>
  </si>
  <si>
    <t>5-2361</t>
  </si>
  <si>
    <t>5-2362</t>
  </si>
  <si>
    <t>5-2363</t>
  </si>
  <si>
    <t>5-2364</t>
  </si>
  <si>
    <t>5-2365</t>
  </si>
  <si>
    <t>5-2369</t>
  </si>
  <si>
    <t>5-2390</t>
  </si>
  <si>
    <t>5-2391</t>
  </si>
  <si>
    <t>5-2392</t>
  </si>
  <si>
    <t>5-2410</t>
  </si>
  <si>
    <t>5-2411</t>
  </si>
  <si>
    <t>5-2412</t>
  </si>
  <si>
    <t>5-2413</t>
  </si>
  <si>
    <t>5-2414</t>
  </si>
  <si>
    <t>5-2415</t>
  </si>
  <si>
    <t>5-2416</t>
  </si>
  <si>
    <t>5-2417</t>
  </si>
  <si>
    <t>5-2418</t>
  </si>
  <si>
    <t>5-2419</t>
  </si>
  <si>
    <t>5-2420</t>
  </si>
  <si>
    <t>5-2421</t>
  </si>
  <si>
    <t>5-2422</t>
  </si>
  <si>
    <t>5-2423</t>
  </si>
  <si>
    <t>5-2424</t>
  </si>
  <si>
    <t>5-2425</t>
  </si>
  <si>
    <t>5-2426</t>
  </si>
  <si>
    <t>5-2427</t>
  </si>
  <si>
    <t>5-2428</t>
  </si>
  <si>
    <t>5-2429</t>
  </si>
  <si>
    <t>5-2430</t>
  </si>
  <si>
    <t>5-2431</t>
  </si>
  <si>
    <t>5-2432</t>
  </si>
  <si>
    <t>5-2433</t>
  </si>
  <si>
    <t>5-2434</t>
  </si>
  <si>
    <t>5-2435</t>
  </si>
  <si>
    <t>5-2436</t>
  </si>
  <si>
    <t>5-2437</t>
  </si>
  <si>
    <t>5-2439</t>
  </si>
  <si>
    <t>5-2440</t>
  </si>
  <si>
    <t>5-2441</t>
  </si>
  <si>
    <t>5-2442</t>
  </si>
  <si>
    <t>5-2443</t>
  </si>
  <si>
    <t>5-2444</t>
  </si>
  <si>
    <t>5-2445</t>
  </si>
  <si>
    <t>5-2446</t>
  </si>
  <si>
    <t>5-2449</t>
  </si>
  <si>
    <t>5-2450</t>
  </si>
  <si>
    <t>5-2451</t>
  </si>
  <si>
    <t>5-2452</t>
  </si>
  <si>
    <t>5-2453</t>
  </si>
  <si>
    <t>5-2454</t>
  </si>
  <si>
    <t>5-2455</t>
  </si>
  <si>
    <t>5-2456</t>
  </si>
  <si>
    <t>5-2457</t>
  </si>
  <si>
    <t>5-2458</t>
  </si>
  <si>
    <t>5-2459</t>
  </si>
  <si>
    <t>5-2460</t>
  </si>
  <si>
    <t>5-2461</t>
  </si>
  <si>
    <t>5-2462</t>
  </si>
  <si>
    <t>5-2463</t>
  </si>
  <si>
    <t>5-2464</t>
  </si>
  <si>
    <t>5-2465</t>
  </si>
  <si>
    <t>5-2466</t>
  </si>
  <si>
    <t>5-2467</t>
  </si>
  <si>
    <t>5-2469</t>
  </si>
  <si>
    <t>5-2470</t>
  </si>
  <si>
    <t>5-2471</t>
  </si>
  <si>
    <t>5-2472</t>
  </si>
  <si>
    <t>5-2473</t>
  </si>
  <si>
    <t>5-2479</t>
  </si>
  <si>
    <t>5-2480</t>
  </si>
  <si>
    <t>5-2481</t>
  </si>
  <si>
    <t>5-2482</t>
  </si>
  <si>
    <t>5-2483</t>
  </si>
  <si>
    <t>5-2484</t>
  </si>
  <si>
    <t>5-2485</t>
  </si>
  <si>
    <t>5-2486</t>
  </si>
  <si>
    <t>5-2487</t>
  </si>
  <si>
    <t>5-2489</t>
  </si>
  <si>
    <t>5-2490</t>
  </si>
  <si>
    <t>5-2491</t>
  </si>
  <si>
    <t>5-2492</t>
  </si>
  <si>
    <t>5-3110</t>
  </si>
  <si>
    <t>5-3111</t>
  </si>
  <si>
    <t>5-3112</t>
  </si>
  <si>
    <t>5-3113</t>
  </si>
  <si>
    <t>5-3114</t>
  </si>
  <si>
    <t>5-3115</t>
  </si>
  <si>
    <t>5-3116</t>
  </si>
  <si>
    <t>5-3117</t>
  </si>
  <si>
    <t>5-3118</t>
  </si>
  <si>
    <t>5-3119</t>
  </si>
  <si>
    <t>5-3120</t>
  </si>
  <si>
    <t>5-3121</t>
  </si>
  <si>
    <t>5-3122</t>
  </si>
  <si>
    <t>5-3123</t>
  </si>
  <si>
    <t>5-3124</t>
  </si>
  <si>
    <t>5-3125</t>
  </si>
  <si>
    <t>5-3126</t>
  </si>
  <si>
    <t>5-3127</t>
  </si>
  <si>
    <t>5-3128</t>
  </si>
  <si>
    <t>5-3129</t>
  </si>
  <si>
    <t>5-3130</t>
  </si>
  <si>
    <t>5-3131</t>
  </si>
  <si>
    <t>5-3132</t>
  </si>
  <si>
    <t>5-3133</t>
  </si>
  <si>
    <t>5-3134</t>
  </si>
  <si>
    <t>5-3135</t>
  </si>
  <si>
    <t>5-3136</t>
  </si>
  <si>
    <t>5-3137</t>
  </si>
  <si>
    <t>5-3139</t>
  </si>
  <si>
    <t>5-3140</t>
  </si>
  <si>
    <t>5-3141</t>
  </si>
  <si>
    <t>5-3142</t>
  </si>
  <si>
    <t>5-3143</t>
  </si>
  <si>
    <t>5-3144</t>
  </si>
  <si>
    <t>5-3145</t>
  </si>
  <si>
    <t>5-3146</t>
  </si>
  <si>
    <t>5-3149</t>
  </si>
  <si>
    <t>5-3150</t>
  </si>
  <si>
    <t>5-3151</t>
  </si>
  <si>
    <t>5-3152</t>
  </si>
  <si>
    <t>5-3153</t>
  </si>
  <si>
    <t>5-3154</t>
  </si>
  <si>
    <t>5-3155</t>
  </si>
  <si>
    <t>5-3156</t>
  </si>
  <si>
    <t>5-3157</t>
  </si>
  <si>
    <t>5-3158</t>
  </si>
  <si>
    <t>5-3159</t>
  </si>
  <si>
    <t>5-3190</t>
  </si>
  <si>
    <t>5-3191</t>
  </si>
  <si>
    <t>5-3192</t>
  </si>
  <si>
    <t>5-3210</t>
  </si>
  <si>
    <t>5-3211</t>
  </si>
  <si>
    <t>5-3212</t>
  </si>
  <si>
    <t>5-3213</t>
  </si>
  <si>
    <t>5-3214</t>
  </si>
  <si>
    <t>5-3215</t>
  </si>
  <si>
    <t>5-3216</t>
  </si>
  <si>
    <t>5-3217</t>
  </si>
  <si>
    <t>5-3218</t>
  </si>
  <si>
    <t>5-3219</t>
  </si>
  <si>
    <t>5-3220</t>
  </si>
  <si>
    <t>5-3221</t>
  </si>
  <si>
    <t>5-3222</t>
  </si>
  <si>
    <t>5-3223</t>
  </si>
  <si>
    <t>5-3224</t>
  </si>
  <si>
    <t>5-3225</t>
  </si>
  <si>
    <t>5-3226</t>
  </si>
  <si>
    <t>5-3227</t>
  </si>
  <si>
    <t>5-3228</t>
  </si>
  <si>
    <t>5-3229</t>
  </si>
  <si>
    <t>5-3230</t>
  </si>
  <si>
    <t>5-3231</t>
  </si>
  <si>
    <t>5-3232</t>
  </si>
  <si>
    <t>5-3233</t>
  </si>
  <si>
    <t>5-3234</t>
  </si>
  <si>
    <t>5-3235</t>
  </si>
  <si>
    <t>5-3236</t>
  </si>
  <si>
    <t>5-3237</t>
  </si>
  <si>
    <t>5-3239</t>
  </si>
  <si>
    <t>5-3240</t>
  </si>
  <si>
    <t>5-3241</t>
  </si>
  <si>
    <t>5-3242</t>
  </si>
  <si>
    <t>5-3243</t>
  </si>
  <si>
    <t>5-3244</t>
  </si>
  <si>
    <t>5-3245</t>
  </si>
  <si>
    <t>5-3246</t>
  </si>
  <si>
    <t>5-3249</t>
  </si>
  <si>
    <t>5-3250</t>
  </si>
  <si>
    <t>5-3251</t>
  </si>
  <si>
    <t>5-3252</t>
  </si>
  <si>
    <t>5-3253</t>
  </si>
  <si>
    <t>5-3254</t>
  </si>
  <si>
    <t>5-3255</t>
  </si>
  <si>
    <t>5-3256</t>
  </si>
  <si>
    <t>5-3257</t>
  </si>
  <si>
    <t>5-3258</t>
  </si>
  <si>
    <t>5-3259</t>
  </si>
  <si>
    <t>5-3260</t>
  </si>
  <si>
    <t>5-3261</t>
  </si>
  <si>
    <t>5-3262</t>
  </si>
  <si>
    <t>5-3263</t>
  </si>
  <si>
    <t>5-3264</t>
  </si>
  <si>
    <t>5-3290</t>
  </si>
  <si>
    <t>5-3291</t>
  </si>
  <si>
    <t>5-3292</t>
  </si>
  <si>
    <t>5-3310</t>
  </si>
  <si>
    <t>5-3311</t>
  </si>
  <si>
    <t>5-3312</t>
  </si>
  <si>
    <t>5-3313</t>
  </si>
  <si>
    <t>5-3314</t>
  </si>
  <si>
    <t>5-3315</t>
  </si>
  <si>
    <t>5-3316</t>
  </si>
  <si>
    <t>5-3317</t>
  </si>
  <si>
    <t>5-3318</t>
  </si>
  <si>
    <t>5-3319</t>
  </si>
  <si>
    <t>5-3320</t>
  </si>
  <si>
    <t>5-3321</t>
  </si>
  <si>
    <t>5-3322</t>
  </si>
  <si>
    <t>5-3323</t>
  </si>
  <si>
    <t>5-3324</t>
  </si>
  <si>
    <t>5-3325</t>
  </si>
  <si>
    <t>5-3326</t>
  </si>
  <si>
    <t>5-3327</t>
  </si>
  <si>
    <t>5-3328</t>
  </si>
  <si>
    <t>5-3329</t>
  </si>
  <si>
    <t>5-3330</t>
  </si>
  <si>
    <t>5-3331</t>
  </si>
  <si>
    <t>5-3332</t>
  </si>
  <si>
    <t>5-3333</t>
  </si>
  <si>
    <t>5-3334</t>
  </si>
  <si>
    <t>5-3335</t>
  </si>
  <si>
    <t>5-3336</t>
  </si>
  <si>
    <t>5-3337</t>
  </si>
  <si>
    <t>5-3339</t>
  </si>
  <si>
    <t>5-3340</t>
  </si>
  <si>
    <t>5-3341</t>
  </si>
  <si>
    <t>5-3342</t>
  </si>
  <si>
    <t>5-3343</t>
  </si>
  <si>
    <t>5-3344</t>
  </si>
  <si>
    <t>5-3345</t>
  </si>
  <si>
    <t>5-3346</t>
  </si>
  <si>
    <t>5-3349</t>
  </si>
  <si>
    <t>5-3350</t>
  </si>
  <si>
    <t>5-3351</t>
  </si>
  <si>
    <t>5-3352</t>
  </si>
  <si>
    <t>5-3353</t>
  </si>
  <si>
    <t>5-3354</t>
  </si>
  <si>
    <t>5-3355</t>
  </si>
  <si>
    <t>5-3356</t>
  </si>
  <si>
    <t>5-3357</t>
  </si>
  <si>
    <t>5-3358</t>
  </si>
  <si>
    <t>5-3359</t>
  </si>
  <si>
    <t>5-3360</t>
  </si>
  <si>
    <t>5-3361</t>
  </si>
  <si>
    <t>5-3362</t>
  </si>
  <si>
    <t>5-3363</t>
  </si>
  <si>
    <t>5-3364</t>
  </si>
  <si>
    <t>5-3365</t>
  </si>
  <si>
    <t>5-3366</t>
  </si>
  <si>
    <t>5-3367</t>
  </si>
  <si>
    <t>5-3368</t>
  </si>
  <si>
    <t>5-3369</t>
  </si>
  <si>
    <t>5-3370</t>
  </si>
  <si>
    <t>5-3371</t>
  </si>
  <si>
    <t>5-3372</t>
  </si>
  <si>
    <t>5-3373</t>
  </si>
  <si>
    <t>5-3374</t>
  </si>
  <si>
    <t>5-3375</t>
  </si>
  <si>
    <t>5-3376</t>
  </si>
  <si>
    <t>5-3377</t>
  </si>
  <si>
    <t>5-3378</t>
  </si>
  <si>
    <t>5-3379</t>
  </si>
  <si>
    <t>5-3380</t>
  </si>
  <si>
    <t>5-3381</t>
  </si>
  <si>
    <t>5-3382</t>
  </si>
  <si>
    <t>5-3383</t>
  </si>
  <si>
    <t>5-3384</t>
  </si>
  <si>
    <t>5-3385</t>
  </si>
  <si>
    <t>5-3386</t>
  </si>
  <si>
    <t>5-3387</t>
  </si>
  <si>
    <t>5-3388</t>
  </si>
  <si>
    <t>5-3389</t>
  </si>
  <si>
    <t>5-3390</t>
  </si>
  <si>
    <t>5-3391</t>
  </si>
  <si>
    <t>5-3392</t>
  </si>
  <si>
    <t>5-3410</t>
  </si>
  <si>
    <t>5-3411</t>
  </si>
  <si>
    <t>5-3412</t>
  </si>
  <si>
    <t>5-3413</t>
  </si>
  <si>
    <t>5-3414</t>
  </si>
  <si>
    <t>5-3415</t>
  </si>
  <si>
    <t>5-3416</t>
  </si>
  <si>
    <t>5-3417</t>
  </si>
  <si>
    <t>5-3418</t>
  </si>
  <si>
    <t>5-3419</t>
  </si>
  <si>
    <t>5-3420</t>
  </si>
  <si>
    <t>5-3421</t>
  </si>
  <si>
    <t>5-3422</t>
  </si>
  <si>
    <t>5-3423</t>
  </si>
  <si>
    <t>5-3424</t>
  </si>
  <si>
    <t>5-3425</t>
  </si>
  <si>
    <t>5-3426</t>
  </si>
  <si>
    <t>5-3427</t>
  </si>
  <si>
    <t>5-3428</t>
  </si>
  <si>
    <t>5-3429</t>
  </si>
  <si>
    <t>5-3430</t>
  </si>
  <si>
    <t>5-3431</t>
  </si>
  <si>
    <t>5-3432</t>
  </si>
  <si>
    <t>5-3433</t>
  </si>
  <si>
    <t>5-3434</t>
  </si>
  <si>
    <t>5-3435</t>
  </si>
  <si>
    <t>5-3436</t>
  </si>
  <si>
    <t>5-3437</t>
  </si>
  <si>
    <t>5-3439</t>
  </si>
  <si>
    <t>5-3440</t>
  </si>
  <si>
    <t>5-3441</t>
  </si>
  <si>
    <t>5-3442</t>
  </si>
  <si>
    <t>5-3443</t>
  </si>
  <si>
    <t>5-3444</t>
  </si>
  <si>
    <t>5-3445</t>
  </si>
  <si>
    <t>5-3446</t>
  </si>
  <si>
    <t>5-3449</t>
  </si>
  <si>
    <t>5-3450</t>
  </si>
  <si>
    <t>5-3451</t>
  </si>
  <si>
    <t>5-3452</t>
  </si>
  <si>
    <t>5-3453</t>
  </si>
  <si>
    <t>5-3454</t>
  </si>
  <si>
    <t>5-3455</t>
  </si>
  <si>
    <t>5-3456</t>
  </si>
  <si>
    <t>5-3457</t>
  </si>
  <si>
    <t>5-3458</t>
  </si>
  <si>
    <t>5-3459</t>
  </si>
  <si>
    <t>5-3460</t>
  </si>
  <si>
    <t>5-3461</t>
  </si>
  <si>
    <t>5-3462</t>
  </si>
  <si>
    <t>5-3463</t>
  </si>
  <si>
    <t>5-3464</t>
  </si>
  <si>
    <t>5-3465</t>
  </si>
  <si>
    <t>5-3466</t>
  </si>
  <si>
    <t>5-3467</t>
  </si>
  <si>
    <t>5-3468</t>
  </si>
  <si>
    <t>5-3469</t>
  </si>
  <si>
    <t>5-3470</t>
  </si>
  <si>
    <t>5-3471</t>
  </si>
  <si>
    <t>5-3472</t>
  </si>
  <si>
    <t>5-3473</t>
  </si>
  <si>
    <t>5-3474</t>
  </si>
  <si>
    <t>5-3475</t>
  </si>
  <si>
    <t>5-3476</t>
  </si>
  <si>
    <t>5-3477</t>
  </si>
  <si>
    <t>5-3478</t>
  </si>
  <si>
    <t>5-3479</t>
  </si>
  <si>
    <t>5-3480</t>
  </si>
  <si>
    <t>5-3481</t>
  </si>
  <si>
    <t>5-3482</t>
  </si>
  <si>
    <t>5-3483</t>
  </si>
  <si>
    <t>5-3484</t>
  </si>
  <si>
    <t>5-3485</t>
  </si>
  <si>
    <t>5-3486</t>
  </si>
  <si>
    <t>5-3487</t>
  </si>
  <si>
    <t>5-3488</t>
  </si>
  <si>
    <t>5-3489</t>
  </si>
  <si>
    <t>5-3490</t>
  </si>
  <si>
    <t>5-3491</t>
  </si>
  <si>
    <t>5-3492</t>
  </si>
  <si>
    <t>5-3510</t>
  </si>
  <si>
    <t>5-3511</t>
  </si>
  <si>
    <t>5-3512</t>
  </si>
  <si>
    <t>5-3513</t>
  </si>
  <si>
    <t>5-3514</t>
  </si>
  <si>
    <t>5-3515</t>
  </si>
  <si>
    <t>5-3516</t>
  </si>
  <si>
    <t>5-3517</t>
  </si>
  <si>
    <t>5-3518</t>
  </si>
  <si>
    <t>5-3519</t>
  </si>
  <si>
    <t>5-3520</t>
  </si>
  <si>
    <t>5-3521</t>
  </si>
  <si>
    <t>5-3522</t>
  </si>
  <si>
    <t>5-3523</t>
  </si>
  <si>
    <t>5-3524</t>
  </si>
  <si>
    <t>5-3525</t>
  </si>
  <si>
    <t>5-3526</t>
  </si>
  <si>
    <t>5-3527</t>
  </si>
  <si>
    <t>5-3528</t>
  </si>
  <si>
    <t>5-3529</t>
  </si>
  <si>
    <t>5-3530</t>
  </si>
  <si>
    <t>5-3531</t>
  </si>
  <si>
    <t>5-3532</t>
  </si>
  <si>
    <t>5-3533</t>
  </si>
  <si>
    <t>5-3534</t>
  </si>
  <si>
    <t>5-3535</t>
  </si>
  <si>
    <t>5-3536</t>
  </si>
  <si>
    <t>5-3537</t>
  </si>
  <si>
    <t>5-3539</t>
  </si>
  <si>
    <t>5-3540</t>
  </si>
  <si>
    <t>5-3541</t>
  </si>
  <si>
    <t>5-3542</t>
  </si>
  <si>
    <t>5-3543</t>
  </si>
  <si>
    <t>5-3544</t>
  </si>
  <si>
    <t>5-3545</t>
  </si>
  <si>
    <t>5-3546</t>
  </si>
  <si>
    <t>5-3549</t>
  </si>
  <si>
    <t>5-3550</t>
  </si>
  <si>
    <t>5-3551</t>
  </si>
  <si>
    <t>5-3552</t>
  </si>
  <si>
    <t>5-3553</t>
  </si>
  <si>
    <t>5-3554</t>
  </si>
  <si>
    <t>5-3555</t>
  </si>
  <si>
    <t>5-3556</t>
  </si>
  <si>
    <t>5-3557</t>
  </si>
  <si>
    <t>5-3558</t>
  </si>
  <si>
    <t>5-3559</t>
  </si>
  <si>
    <t>5-3560</t>
  </si>
  <si>
    <t>5-3561</t>
  </si>
  <si>
    <t>5-3562</t>
  </si>
  <si>
    <t>5-3563</t>
  </si>
  <si>
    <t>5-3564</t>
  </si>
  <si>
    <t>5-3565</t>
  </si>
  <si>
    <t>5-3566</t>
  </si>
  <si>
    <t>5-3567</t>
  </si>
  <si>
    <t>5-3568</t>
  </si>
  <si>
    <t>5-3569</t>
  </si>
  <si>
    <t>5-3570</t>
  </si>
  <si>
    <t>5-3571</t>
  </si>
  <si>
    <t>5-3572</t>
  </si>
  <si>
    <t>5-3573</t>
  </si>
  <si>
    <t>5-3574</t>
  </si>
  <si>
    <t>5-3575</t>
  </si>
  <si>
    <t>5-3576</t>
  </si>
  <si>
    <t>5-3577</t>
  </si>
  <si>
    <t>5-3578</t>
  </si>
  <si>
    <t>5-3579</t>
  </si>
  <si>
    <t>5-3580</t>
  </si>
  <si>
    <t>5-3581</t>
  </si>
  <si>
    <t>5-3582</t>
  </si>
  <si>
    <t>5-3583</t>
  </si>
  <si>
    <t>5-3584</t>
  </si>
  <si>
    <t>5-3585</t>
  </si>
  <si>
    <t>5-3586</t>
  </si>
  <si>
    <t>5-3587</t>
  </si>
  <si>
    <t>5-3588</t>
  </si>
  <si>
    <t>5-3589</t>
  </si>
  <si>
    <t>5-3590</t>
  </si>
  <si>
    <t>5-3591</t>
  </si>
  <si>
    <t>5-3592</t>
  </si>
  <si>
    <t>5-3610</t>
  </si>
  <si>
    <t>5-3611</t>
  </si>
  <si>
    <t>5-3612</t>
  </si>
  <si>
    <t>5-3613</t>
  </si>
  <si>
    <t>5-3614</t>
  </si>
  <si>
    <t>5-3615</t>
  </si>
  <si>
    <t>5-3616</t>
  </si>
  <si>
    <t>5-3617</t>
  </si>
  <si>
    <t>5-3618</t>
  </si>
  <si>
    <t>5-3619</t>
  </si>
  <si>
    <t>5-3620</t>
  </si>
  <si>
    <t>5-3621</t>
  </si>
  <si>
    <t>5-3622</t>
  </si>
  <si>
    <t>5-3623</t>
  </si>
  <si>
    <t>5-3624</t>
  </si>
  <si>
    <t>5-3625</t>
  </si>
  <si>
    <t>5-3626</t>
  </si>
  <si>
    <t>5-3627</t>
  </si>
  <si>
    <t>5-3628</t>
  </si>
  <si>
    <t>5-3629</t>
  </si>
  <si>
    <t>5-3630</t>
  </si>
  <si>
    <t>5-3631</t>
  </si>
  <si>
    <t>5-3632</t>
  </si>
  <si>
    <t>5-3633</t>
  </si>
  <si>
    <t>5-3634</t>
  </si>
  <si>
    <t>5-3635</t>
  </si>
  <si>
    <t>5-3636</t>
  </si>
  <si>
    <t>5-3637</t>
  </si>
  <si>
    <t>5-3639</t>
  </si>
  <si>
    <t>5-3640</t>
  </si>
  <si>
    <t>5-3641</t>
  </si>
  <si>
    <t>5-3642</t>
  </si>
  <si>
    <t>5-3643</t>
  </si>
  <si>
    <t>5-3644</t>
  </si>
  <si>
    <t>5-3645</t>
  </si>
  <si>
    <t>5-3646</t>
  </si>
  <si>
    <t>5-3649</t>
  </si>
  <si>
    <t>5-3650</t>
  </si>
  <si>
    <t>5-3651</t>
  </si>
  <si>
    <t>5-3652</t>
  </si>
  <si>
    <t>5-3653</t>
  </si>
  <si>
    <t>5-3654</t>
  </si>
  <si>
    <t>5-3655</t>
  </si>
  <si>
    <t>5-3656</t>
  </si>
  <si>
    <t>5-3657</t>
  </si>
  <si>
    <t>5-3658</t>
  </si>
  <si>
    <t>5-3659</t>
  </si>
  <si>
    <t>5-3690</t>
  </si>
  <si>
    <t>5-3691</t>
  </si>
  <si>
    <t>5-3692</t>
  </si>
  <si>
    <t>5-3710</t>
  </si>
  <si>
    <t>5-3711</t>
  </si>
  <si>
    <t>5-3712</t>
  </si>
  <si>
    <t>5-3713</t>
  </si>
  <si>
    <t>5-3714</t>
  </si>
  <si>
    <t>5-3715</t>
  </si>
  <si>
    <t>5-3716</t>
  </si>
  <si>
    <t>5-3717</t>
  </si>
  <si>
    <t>5-3719</t>
  </si>
  <si>
    <t>5-3720</t>
  </si>
  <si>
    <t>5-3721</t>
  </si>
  <si>
    <t>5-3722</t>
  </si>
  <si>
    <t>5-3723</t>
  </si>
  <si>
    <t>5-3724</t>
  </si>
  <si>
    <t>5-3725</t>
  </si>
  <si>
    <t>5-3726</t>
  </si>
  <si>
    <t>5-3727</t>
  </si>
  <si>
    <t>5-3728</t>
  </si>
  <si>
    <t>5-3729</t>
  </si>
  <si>
    <t>5-3730</t>
  </si>
  <si>
    <t>5-3731</t>
  </si>
  <si>
    <t>5-3732</t>
  </si>
  <si>
    <t>5-3733</t>
  </si>
  <si>
    <t>5-3734</t>
  </si>
  <si>
    <t>5-3735</t>
  </si>
  <si>
    <t>5-3736</t>
  </si>
  <si>
    <t>5-3737</t>
  </si>
  <si>
    <t>5-3739</t>
  </si>
  <si>
    <t>5-3740</t>
  </si>
  <si>
    <t>5-3741</t>
  </si>
  <si>
    <t>5-3742</t>
  </si>
  <si>
    <t>5-3743</t>
  </si>
  <si>
    <t>5-3744</t>
  </si>
  <si>
    <t>5-3745</t>
  </si>
  <si>
    <t>5-3746</t>
  </si>
  <si>
    <t>5-3749</t>
  </si>
  <si>
    <t>5-3750</t>
  </si>
  <si>
    <t>5-3751</t>
  </si>
  <si>
    <t>5-3752</t>
  </si>
  <si>
    <t>5-3753</t>
  </si>
  <si>
    <t>5-3754</t>
  </si>
  <si>
    <t>5-3755</t>
  </si>
  <si>
    <t>5-3756</t>
  </si>
  <si>
    <t>5-3757</t>
  </si>
  <si>
    <t>5-3758</t>
  </si>
  <si>
    <t>5-3759</t>
  </si>
  <si>
    <t>5-3760</t>
  </si>
  <si>
    <t>5-3761</t>
  </si>
  <si>
    <t>5-3762</t>
  </si>
  <si>
    <t>5-3763</t>
  </si>
  <si>
    <t>5-3764</t>
  </si>
  <si>
    <t>5-3765</t>
  </si>
  <si>
    <t>5-3766</t>
  </si>
  <si>
    <t>5-3767</t>
  </si>
  <si>
    <t>5-3768</t>
  </si>
  <si>
    <t>5-3769</t>
  </si>
  <si>
    <t>5-3790</t>
  </si>
  <si>
    <t>5-3791</t>
  </si>
  <si>
    <t>5-3792</t>
  </si>
  <si>
    <t>5-4110</t>
  </si>
  <si>
    <t>5-4111</t>
  </si>
  <si>
    <t>5-4112</t>
  </si>
  <si>
    <t>5-4113</t>
  </si>
  <si>
    <t>5-4114</t>
  </si>
  <si>
    <t>5-4115</t>
  </si>
  <si>
    <t>5-4116</t>
  </si>
  <si>
    <t>5-4117</t>
  </si>
  <si>
    <t>5-4118</t>
  </si>
  <si>
    <t>5-4119</t>
  </si>
  <si>
    <t>5-4120</t>
  </si>
  <si>
    <t>5-4121</t>
  </si>
  <si>
    <t>5-4122</t>
  </si>
  <si>
    <t>5-4123</t>
  </si>
  <si>
    <t>5-4124</t>
  </si>
  <si>
    <t>5-4125</t>
  </si>
  <si>
    <t>5-4126</t>
  </si>
  <si>
    <t>5-4129</t>
  </si>
  <si>
    <t>5-4130</t>
  </si>
  <si>
    <t>5-4131</t>
  </si>
  <si>
    <t>5-4132</t>
  </si>
  <si>
    <t>5-4133</t>
  </si>
  <si>
    <t>5-4134</t>
  </si>
  <si>
    <t>5-4135</t>
  </si>
  <si>
    <t>5-4136</t>
  </si>
  <si>
    <t>5-4139</t>
  </si>
  <si>
    <t>5-4140</t>
  </si>
  <si>
    <t>5-4141</t>
  </si>
  <si>
    <t>5-4142</t>
  </si>
  <si>
    <t>5-4143</t>
  </si>
  <si>
    <t>5-4144</t>
  </si>
  <si>
    <t>5-4145</t>
  </si>
  <si>
    <t>5-4146</t>
  </si>
  <si>
    <t>5-4149</t>
  </si>
  <si>
    <t>5-4150</t>
  </si>
  <si>
    <t>5-4151</t>
  </si>
  <si>
    <t>5-4152</t>
  </si>
  <si>
    <t>5-4153</t>
  </si>
  <si>
    <t>5-4154</t>
  </si>
  <si>
    <t>5-4155</t>
  </si>
  <si>
    <t>5-4156</t>
  </si>
  <si>
    <t>5-4159</t>
  </si>
  <si>
    <t>5-4160</t>
  </si>
  <si>
    <t>5-4161</t>
  </si>
  <si>
    <t>5-4162</t>
  </si>
  <si>
    <t>5-4163</t>
  </si>
  <si>
    <t>5-4164</t>
  </si>
  <si>
    <t>5-4165</t>
  </si>
  <si>
    <t>5-4166</t>
  </si>
  <si>
    <t>5-4169</t>
  </si>
  <si>
    <t>5-4170</t>
  </si>
  <si>
    <t>5-4171</t>
  </si>
  <si>
    <t>5-4172</t>
  </si>
  <si>
    <t>5-4173</t>
  </si>
  <si>
    <t>5-4174</t>
  </si>
  <si>
    <t>5-4175</t>
  </si>
  <si>
    <t>5-4176</t>
  </si>
  <si>
    <t>5-4179</t>
  </si>
  <si>
    <t>5-4180</t>
  </si>
  <si>
    <t>5-4181</t>
  </si>
  <si>
    <t>5-4182</t>
  </si>
  <si>
    <t>5-4183</t>
  </si>
  <si>
    <t>5-4184</t>
  </si>
  <si>
    <t>5-4185</t>
  </si>
  <si>
    <t>5-4186</t>
  </si>
  <si>
    <t>5-4189</t>
  </si>
  <si>
    <t>5-4190</t>
  </si>
  <si>
    <t>5-4191</t>
  </si>
  <si>
    <t>5-4192</t>
  </si>
  <si>
    <t>5-4193</t>
  </si>
  <si>
    <t>5-4194</t>
  </si>
  <si>
    <t>5-4195</t>
  </si>
  <si>
    <t>5-4196</t>
  </si>
  <si>
    <t>5-4199</t>
  </si>
  <si>
    <t>5-4210</t>
  </si>
  <si>
    <t>5-4211</t>
  </si>
  <si>
    <t>5-4212</t>
  </si>
  <si>
    <t>5-4213</t>
  </si>
  <si>
    <t>5-4214</t>
  </si>
  <si>
    <t>5-4215</t>
  </si>
  <si>
    <t>5-4216</t>
  </si>
  <si>
    <t>5-4217</t>
  </si>
  <si>
    <t>5-4218</t>
  </si>
  <si>
    <t>5-4219</t>
  </si>
  <si>
    <t>5-4220</t>
  </si>
  <si>
    <t>5-4221</t>
  </si>
  <si>
    <t>5-4222</t>
  </si>
  <si>
    <t>5-4223</t>
  </si>
  <si>
    <t>5-4224</t>
  </si>
  <si>
    <t>5-4225</t>
  </si>
  <si>
    <t>5-4226</t>
  </si>
  <si>
    <t>5-4229</t>
  </si>
  <si>
    <t>5-4230</t>
  </si>
  <si>
    <t>5-4231</t>
  </si>
  <si>
    <t>5-4232</t>
  </si>
  <si>
    <t>5-4233</t>
  </si>
  <si>
    <t>5-4234</t>
  </si>
  <si>
    <t>5-4235</t>
  </si>
  <si>
    <t>5-4236</t>
  </si>
  <si>
    <t>5-4239</t>
  </si>
  <si>
    <t>5-4240</t>
  </si>
  <si>
    <t>5-4241</t>
  </si>
  <si>
    <t>5-4242</t>
  </si>
  <si>
    <t>5-4243</t>
  </si>
  <si>
    <t>5-4244</t>
  </si>
  <si>
    <t>5-4245</t>
  </si>
  <si>
    <t>5-4246</t>
  </si>
  <si>
    <t>5-4249</t>
  </si>
  <si>
    <t>5-4250</t>
  </si>
  <si>
    <t>5-4251</t>
  </si>
  <si>
    <t>5-4252</t>
  </si>
  <si>
    <t>5-4253</t>
  </si>
  <si>
    <t>5-4254</t>
  </si>
  <si>
    <t>5-4255</t>
  </si>
  <si>
    <t>5-4256</t>
  </si>
  <si>
    <t>5-4259</t>
  </si>
  <si>
    <t>5-4260</t>
  </si>
  <si>
    <t>5-4261</t>
  </si>
  <si>
    <t>5-4262</t>
  </si>
  <si>
    <t>5-4263</t>
  </si>
  <si>
    <t>5-4264</t>
  </si>
  <si>
    <t>5-4265</t>
  </si>
  <si>
    <t>5-4266</t>
  </si>
  <si>
    <t>5-4267</t>
  </si>
  <si>
    <t>5-4269</t>
  </si>
  <si>
    <t>5-4270</t>
  </si>
  <si>
    <t>5-4271</t>
  </si>
  <si>
    <t>5-4272</t>
  </si>
  <si>
    <t>5-4273</t>
  </si>
  <si>
    <t>5-4274</t>
  </si>
  <si>
    <t>5-4275</t>
  </si>
  <si>
    <t>5-4276</t>
  </si>
  <si>
    <t>5-4279</t>
  </si>
  <si>
    <t>5-4280</t>
  </si>
  <si>
    <t>5-4281</t>
  </si>
  <si>
    <t>5-4282</t>
  </si>
  <si>
    <t>5-4283</t>
  </si>
  <si>
    <t>5-4284</t>
  </si>
  <si>
    <t>5-4285</t>
  </si>
  <si>
    <t>5-4286</t>
  </si>
  <si>
    <t>5-4289</t>
  </si>
  <si>
    <t>5-4290</t>
  </si>
  <si>
    <t>5-4291</t>
  </si>
  <si>
    <t>5-4292</t>
  </si>
  <si>
    <t>5-4293</t>
  </si>
  <si>
    <t>5-4294</t>
  </si>
  <si>
    <t>5-4295</t>
  </si>
  <si>
    <t>5-4296</t>
  </si>
  <si>
    <t>5-4299</t>
  </si>
  <si>
    <t>5-4310</t>
  </si>
  <si>
    <t>5-4311</t>
  </si>
  <si>
    <t>5-4312</t>
  </si>
  <si>
    <t>5-4313</t>
  </si>
  <si>
    <t>5-4314</t>
  </si>
  <si>
    <t>5-4315</t>
  </si>
  <si>
    <t>5-4316</t>
  </si>
  <si>
    <t>5-4317</t>
  </si>
  <si>
    <t>5-4318</t>
  </si>
  <si>
    <t>5-4319</t>
  </si>
  <si>
    <t>5-4320</t>
  </si>
  <si>
    <t>5-4321</t>
  </si>
  <si>
    <t>5-4322</t>
  </si>
  <si>
    <t>5-4323</t>
  </si>
  <si>
    <t>5-4324</t>
  </si>
  <si>
    <t>5-4325</t>
  </si>
  <si>
    <t>5-4326</t>
  </si>
  <si>
    <t>5-4329</t>
  </si>
  <si>
    <t>5-4330</t>
  </si>
  <si>
    <t>5-4331</t>
  </si>
  <si>
    <t>5-4332</t>
  </si>
  <si>
    <t>5-4333</t>
  </si>
  <si>
    <t>5-4334</t>
  </si>
  <si>
    <t>5-4335</t>
  </si>
  <si>
    <t>5-4336</t>
  </si>
  <si>
    <t>5-4339</t>
  </si>
  <si>
    <t>5-4340</t>
  </si>
  <si>
    <t>5-4341</t>
  </si>
  <si>
    <t>5-4342</t>
  </si>
  <si>
    <t>5-4343</t>
  </si>
  <si>
    <t>5-4344</t>
  </si>
  <si>
    <t>5-4345</t>
  </si>
  <si>
    <t>5-4346</t>
  </si>
  <si>
    <t>5-4349</t>
  </si>
  <si>
    <t>5-4350</t>
  </si>
  <si>
    <t>5-4351</t>
  </si>
  <si>
    <t>5-4352</t>
  </si>
  <si>
    <t>5-4353</t>
  </si>
  <si>
    <t>5-4354</t>
  </si>
  <si>
    <t>5-4355</t>
  </si>
  <si>
    <t>5-4356</t>
  </si>
  <si>
    <t>5-4359</t>
  </si>
  <si>
    <t>5-4360</t>
  </si>
  <si>
    <t>5-4361</t>
  </si>
  <si>
    <t>5-4362</t>
  </si>
  <si>
    <t>5-4363</t>
  </si>
  <si>
    <t>5-4364</t>
  </si>
  <si>
    <t>5-4365</t>
  </si>
  <si>
    <t>5-4366</t>
  </si>
  <si>
    <t>5-4367</t>
  </si>
  <si>
    <t>5-4369</t>
  </si>
  <si>
    <t>5-4370</t>
  </si>
  <si>
    <t>5-4371</t>
  </si>
  <si>
    <t>5-4372</t>
  </si>
  <si>
    <t>5-4373</t>
  </si>
  <si>
    <t>5-4374</t>
  </si>
  <si>
    <t>5-4375</t>
  </si>
  <si>
    <t>5-4376</t>
  </si>
  <si>
    <t>5-4379</t>
  </si>
  <si>
    <t>5-4380</t>
  </si>
  <si>
    <t>5-4381</t>
  </si>
  <si>
    <t>5-4382</t>
  </si>
  <si>
    <t>5-4383</t>
  </si>
  <si>
    <t>5-4384</t>
  </si>
  <si>
    <t>5-4385</t>
  </si>
  <si>
    <t>5-4386</t>
  </si>
  <si>
    <t>5-4389</t>
  </si>
  <si>
    <t>5-4390</t>
  </si>
  <si>
    <t>5-4391</t>
  </si>
  <si>
    <t>5-4392</t>
  </si>
  <si>
    <t>5-4393</t>
  </si>
  <si>
    <t>5-4394</t>
  </si>
  <si>
    <t>5-4395</t>
  </si>
  <si>
    <t>5-4396</t>
  </si>
  <si>
    <t>5-4399</t>
  </si>
  <si>
    <t>5-4410</t>
  </si>
  <si>
    <t>5-4420</t>
  </si>
  <si>
    <t>5-4430</t>
  </si>
  <si>
    <t>5-4440</t>
  </si>
  <si>
    <t>5-4450</t>
  </si>
  <si>
    <t>5-4460</t>
  </si>
  <si>
    <t>5-4479</t>
  </si>
  <si>
    <t>5-4510</t>
  </si>
  <si>
    <t>5-4520</t>
  </si>
  <si>
    <t>5-4530</t>
  </si>
  <si>
    <t>5-4540</t>
  </si>
  <si>
    <t>5-4550</t>
  </si>
  <si>
    <t>5-4560</t>
  </si>
  <si>
    <t>5-4570</t>
  </si>
  <si>
    <t>5-4580</t>
  </si>
  <si>
    <t>5-4590</t>
  </si>
  <si>
    <t>5-4610</t>
  </si>
  <si>
    <t>5-4611</t>
  </si>
  <si>
    <t>5-4612</t>
  </si>
  <si>
    <t>5-4613</t>
  </si>
  <si>
    <t>5-4614</t>
  </si>
  <si>
    <t>5-4615</t>
  </si>
  <si>
    <t>5-4616</t>
  </si>
  <si>
    <t>5-4617</t>
  </si>
  <si>
    <t>5-4618</t>
  </si>
  <si>
    <t>5-4619</t>
  </si>
  <si>
    <t>5-4620</t>
  </si>
  <si>
    <t>5-4621</t>
  </si>
  <si>
    <t>5-4622</t>
  </si>
  <si>
    <t>5-4623</t>
  </si>
  <si>
    <t>5-4624</t>
  </si>
  <si>
    <t>5-4625</t>
  </si>
  <si>
    <t>5-4626</t>
  </si>
  <si>
    <t>5-4627</t>
  </si>
  <si>
    <t>5-4628</t>
  </si>
  <si>
    <t>5-4629</t>
  </si>
  <si>
    <t>5-4710</t>
  </si>
  <si>
    <t>5-4711</t>
  </si>
  <si>
    <t>5-4712</t>
  </si>
  <si>
    <t>5-4713</t>
  </si>
  <si>
    <t>5-4714</t>
  </si>
  <si>
    <t>5-4715</t>
  </si>
  <si>
    <t>5-4716</t>
  </si>
  <si>
    <t>5-4717</t>
  </si>
  <si>
    <t>5-4719</t>
  </si>
  <si>
    <t>5-4720</t>
  </si>
  <si>
    <t>5-4721</t>
  </si>
  <si>
    <t>5-4722</t>
  </si>
  <si>
    <t>5-4723</t>
  </si>
  <si>
    <t>5-4724</t>
  </si>
  <si>
    <t>5-4725</t>
  </si>
  <si>
    <t>5-4726</t>
  </si>
  <si>
    <t>5-4727</t>
  </si>
  <si>
    <t>5-4728</t>
  </si>
  <si>
    <t>5-4729</t>
  </si>
  <si>
    <t>5-5110</t>
  </si>
  <si>
    <t>5-5111</t>
  </si>
  <si>
    <t>5-5112</t>
  </si>
  <si>
    <t>5-5113</t>
  </si>
  <si>
    <t>5-5114</t>
  </si>
  <si>
    <t>5-5115</t>
  </si>
  <si>
    <t>5-5116</t>
  </si>
  <si>
    <t>5-5117</t>
  </si>
  <si>
    <t>5-5118</t>
  </si>
  <si>
    <t>5-5119</t>
  </si>
  <si>
    <t>5-5120</t>
  </si>
  <si>
    <t>5-5121</t>
  </si>
  <si>
    <t>5-5122</t>
  </si>
  <si>
    <t>5-5123</t>
  </si>
  <si>
    <t>5-5124</t>
  </si>
  <si>
    <t>5-5125</t>
  </si>
  <si>
    <t>5-5126</t>
  </si>
  <si>
    <t>5-5127</t>
  </si>
  <si>
    <t>5-5128</t>
  </si>
  <si>
    <t>5-5129</t>
  </si>
  <si>
    <t>5-5130</t>
  </si>
  <si>
    <t>5-5131</t>
  </si>
  <si>
    <t>5-5132</t>
  </si>
  <si>
    <t>5-5133</t>
  </si>
  <si>
    <t>5-5134</t>
  </si>
  <si>
    <t>5-5135</t>
  </si>
  <si>
    <t>5-5136</t>
  </si>
  <si>
    <t>5-5137</t>
  </si>
  <si>
    <t>5-5139</t>
  </si>
  <si>
    <t>5-5140</t>
  </si>
  <si>
    <t>5-5141</t>
  </si>
  <si>
    <t>5-5142</t>
  </si>
  <si>
    <t>5-5143</t>
  </si>
  <si>
    <t>5-5144</t>
  </si>
  <si>
    <t>5-5145</t>
  </si>
  <si>
    <t>5-5146</t>
  </si>
  <si>
    <t>5-5149</t>
  </si>
  <si>
    <t>5-5150</t>
  </si>
  <si>
    <t>5-5151</t>
  </si>
  <si>
    <t>5-5152</t>
  </si>
  <si>
    <t>5-5153</t>
  </si>
  <si>
    <t>5-5154</t>
  </si>
  <si>
    <t>5-5155</t>
  </si>
  <si>
    <t>5-5156</t>
  </si>
  <si>
    <t>5-5157</t>
  </si>
  <si>
    <t>5-5158</t>
  </si>
  <si>
    <t>5-5159</t>
  </si>
  <si>
    <t>5-5160</t>
  </si>
  <si>
    <t>5-5161</t>
  </si>
  <si>
    <t>5-5162</t>
  </si>
  <si>
    <t>5-5163</t>
  </si>
  <si>
    <t>5-5164</t>
  </si>
  <si>
    <t>5-5190</t>
  </si>
  <si>
    <t>5-5191</t>
  </si>
  <si>
    <t>5-5192</t>
  </si>
  <si>
    <t>5-5193</t>
  </si>
  <si>
    <t>5-5194</t>
  </si>
  <si>
    <t>5-5195</t>
  </si>
  <si>
    <t>5-5210</t>
  </si>
  <si>
    <t>5-5211</t>
  </si>
  <si>
    <t>5-5212</t>
  </si>
  <si>
    <t>5-5213</t>
  </si>
  <si>
    <t>5-5214</t>
  </si>
  <si>
    <t>5-5215</t>
  </si>
  <si>
    <t>5-5216</t>
  </si>
  <si>
    <t>5-5217</t>
  </si>
  <si>
    <t>5-5218</t>
  </si>
  <si>
    <t>5-5219</t>
  </si>
  <si>
    <t>5-5220</t>
  </si>
  <si>
    <t>5-5221</t>
  </si>
  <si>
    <t>5-5222</t>
  </si>
  <si>
    <t>5-5223</t>
  </si>
  <si>
    <t>5-5224</t>
  </si>
  <si>
    <t>5-5225</t>
  </si>
  <si>
    <t>5-5226</t>
  </si>
  <si>
    <t>5-5227</t>
  </si>
  <si>
    <t>5-5228</t>
  </si>
  <si>
    <t>5-5229</t>
  </si>
  <si>
    <t>5-5230</t>
  </si>
  <si>
    <t>5-5231</t>
  </si>
  <si>
    <t>5-5232</t>
  </si>
  <si>
    <t>5-5233</t>
  </si>
  <si>
    <t>5-5234</t>
  </si>
  <si>
    <t>5-5235</t>
  </si>
  <si>
    <t>5-5236</t>
  </si>
  <si>
    <t>5-5237</t>
  </si>
  <si>
    <t>5-5239</t>
  </si>
  <si>
    <t>5-5240</t>
  </si>
  <si>
    <t>5-5241</t>
  </si>
  <si>
    <t>5-5242</t>
  </si>
  <si>
    <t>5-5243</t>
  </si>
  <si>
    <t>5-5244</t>
  </si>
  <si>
    <t>5-5245</t>
  </si>
  <si>
    <t>5-5246</t>
  </si>
  <si>
    <t>5-5249</t>
  </si>
  <si>
    <t>5-5250</t>
  </si>
  <si>
    <t>5-5251</t>
  </si>
  <si>
    <t>5-5252</t>
  </si>
  <si>
    <t>5-5253</t>
  </si>
  <si>
    <t>5-5254</t>
  </si>
  <si>
    <t>5-5255</t>
  </si>
  <si>
    <t>5-5256</t>
  </si>
  <si>
    <t>5-5257</t>
  </si>
  <si>
    <t>5-5258</t>
  </si>
  <si>
    <t>5-5259</t>
  </si>
  <si>
    <t>5-5260</t>
  </si>
  <si>
    <t>5-5261</t>
  </si>
  <si>
    <t>5-5262</t>
  </si>
  <si>
    <t>5-5263</t>
  </si>
  <si>
    <t>5-5264</t>
  </si>
  <si>
    <t>5-5265</t>
  </si>
  <si>
    <t>5-5269</t>
  </si>
  <si>
    <t>5-5270</t>
  </si>
  <si>
    <t>5-5271</t>
  </si>
  <si>
    <t>5-5272</t>
  </si>
  <si>
    <t>5-5290</t>
  </si>
  <si>
    <t>5-5291</t>
  </si>
  <si>
    <t>5-5292</t>
  </si>
  <si>
    <t>5-5293</t>
  </si>
  <si>
    <t>5-5294</t>
  </si>
  <si>
    <t>5-5295</t>
  </si>
  <si>
    <t>5-5296</t>
  </si>
  <si>
    <t>5-5297</t>
  </si>
  <si>
    <t>5-5310</t>
  </si>
  <si>
    <t>5-5311</t>
  </si>
  <si>
    <t>5-5312</t>
  </si>
  <si>
    <t>5-5313</t>
  </si>
  <si>
    <t>5-5314</t>
  </si>
  <si>
    <t>5-5315</t>
  </si>
  <si>
    <t>5-5316</t>
  </si>
  <si>
    <t>5-5317</t>
  </si>
  <si>
    <t>5-5320</t>
  </si>
  <si>
    <t>5-5321</t>
  </si>
  <si>
    <t>5-5322</t>
  </si>
  <si>
    <t>5-5323</t>
  </si>
  <si>
    <t>5-5324</t>
  </si>
  <si>
    <t>5-5325</t>
  </si>
  <si>
    <t>5-5326</t>
  </si>
  <si>
    <t>5-5327</t>
  </si>
  <si>
    <t>5-5328</t>
  </si>
  <si>
    <t>5-5329</t>
  </si>
  <si>
    <t>5-5330</t>
  </si>
  <si>
    <t>5-5331</t>
  </si>
  <si>
    <t>5-5332</t>
  </si>
  <si>
    <t>5-5333</t>
  </si>
  <si>
    <t>5-5334</t>
  </si>
  <si>
    <t>5-5335</t>
  </si>
  <si>
    <t>5-5336</t>
  </si>
  <si>
    <t>5-5337</t>
  </si>
  <si>
    <t>5-5338</t>
  </si>
  <si>
    <t>5-5339</t>
  </si>
  <si>
    <t>5-5340</t>
  </si>
  <si>
    <t>5-5341</t>
  </si>
  <si>
    <t>5-5342</t>
  </si>
  <si>
    <t>5-5343</t>
  </si>
  <si>
    <t>5-5344</t>
  </si>
  <si>
    <t>5-5345</t>
  </si>
  <si>
    <t>5-5346</t>
  </si>
  <si>
    <t>5-5349</t>
  </si>
  <si>
    <t>5-5350</t>
  </si>
  <si>
    <t>5-5351</t>
  </si>
  <si>
    <t>5-5352</t>
  </si>
  <si>
    <t>5-5353</t>
  </si>
  <si>
    <t>5-5354</t>
  </si>
  <si>
    <t>5-5355</t>
  </si>
  <si>
    <t>5-5356</t>
  </si>
  <si>
    <t>5-5357</t>
  </si>
  <si>
    <t>5-5358</t>
  </si>
  <si>
    <t>5-5359</t>
  </si>
  <si>
    <t>5-5390</t>
  </si>
  <si>
    <t>5-5391</t>
  </si>
  <si>
    <t>5-5392</t>
  </si>
  <si>
    <t>5-5393</t>
  </si>
  <si>
    <t>5-5394</t>
  </si>
  <si>
    <t>5-5395</t>
  </si>
  <si>
    <t>5-5396</t>
  </si>
  <si>
    <t>5-5410</t>
  </si>
  <si>
    <t>5-5411</t>
  </si>
  <si>
    <t>5-5412</t>
  </si>
  <si>
    <t>5-5413</t>
  </si>
  <si>
    <t>5-5414</t>
  </si>
  <si>
    <t>5-5415</t>
  </si>
  <si>
    <t>5-5416</t>
  </si>
  <si>
    <t>5-5419</t>
  </si>
  <si>
    <t>5-5420</t>
  </si>
  <si>
    <t>5-5421</t>
  </si>
  <si>
    <t>5-5422</t>
  </si>
  <si>
    <t>5-5423</t>
  </si>
  <si>
    <t>5-5424</t>
  </si>
  <si>
    <t>5-5425</t>
  </si>
  <si>
    <t>5-5426</t>
  </si>
  <si>
    <t>5-5427</t>
  </si>
  <si>
    <t>5-5428</t>
  </si>
  <si>
    <t>5-5429</t>
  </si>
  <si>
    <t>5-5430</t>
  </si>
  <si>
    <t>5-5431</t>
  </si>
  <si>
    <t>5-5432</t>
  </si>
  <si>
    <t>5-5433</t>
  </si>
  <si>
    <t>5-5434</t>
  </si>
  <si>
    <t>5-5435</t>
  </si>
  <si>
    <t>5-5436</t>
  </si>
  <si>
    <t>5-5437</t>
  </si>
  <si>
    <t>5-5438</t>
  </si>
  <si>
    <t>5-5439</t>
  </si>
  <si>
    <t>5-5440</t>
  </si>
  <si>
    <t>5-5441</t>
  </si>
  <si>
    <t>5-5442</t>
  </si>
  <si>
    <t>5-5443</t>
  </si>
  <si>
    <t>5-5444</t>
  </si>
  <si>
    <t>5-5445</t>
  </si>
  <si>
    <t>5-5446</t>
  </si>
  <si>
    <t>5-5449</t>
  </si>
  <si>
    <t>5-5450</t>
  </si>
  <si>
    <t>5-5451</t>
  </si>
  <si>
    <t>5-5452</t>
  </si>
  <si>
    <t>5-5453</t>
  </si>
  <si>
    <t>5-5454</t>
  </si>
  <si>
    <t>5-5455</t>
  </si>
  <si>
    <t>5-5456</t>
  </si>
  <si>
    <t>5-5457</t>
  </si>
  <si>
    <t>5-5458</t>
  </si>
  <si>
    <t>5-5459</t>
  </si>
  <si>
    <t>5-5460</t>
  </si>
  <si>
    <t>5-5461</t>
  </si>
  <si>
    <t>5-5462</t>
  </si>
  <si>
    <t>5-5490</t>
  </si>
  <si>
    <t>5-5491</t>
  </si>
  <si>
    <t>5-5492</t>
  </si>
  <si>
    <t>5-5493</t>
  </si>
  <si>
    <t>5-5494</t>
  </si>
  <si>
    <t>5-5495</t>
  </si>
  <si>
    <t>5-5496</t>
  </si>
  <si>
    <t>5-5510</t>
  </si>
  <si>
    <t>5-5511</t>
  </si>
  <si>
    <t>5-5512</t>
  </si>
  <si>
    <t>5-5513</t>
  </si>
  <si>
    <t>5-5514</t>
  </si>
  <si>
    <t>5-5515</t>
  </si>
  <si>
    <t>5-5516</t>
  </si>
  <si>
    <t>5-5519</t>
  </si>
  <si>
    <t>5-5520</t>
  </si>
  <si>
    <t>5-5521</t>
  </si>
  <si>
    <t>5-5522</t>
  </si>
  <si>
    <t>5-5523</t>
  </si>
  <si>
    <t>5-5524</t>
  </si>
  <si>
    <t>5-5525</t>
  </si>
  <si>
    <t>5-5526</t>
  </si>
  <si>
    <t>5-5527</t>
  </si>
  <si>
    <t>5-5528</t>
  </si>
  <si>
    <t>5-5529</t>
  </si>
  <si>
    <t>5-5530</t>
  </si>
  <si>
    <t>5-5531</t>
  </si>
  <si>
    <t>5-5532</t>
  </si>
  <si>
    <t>5-5533</t>
  </si>
  <si>
    <t>5-5534</t>
  </si>
  <si>
    <t>5-5535</t>
  </si>
  <si>
    <t>5-5536</t>
  </si>
  <si>
    <t>5-5537</t>
  </si>
  <si>
    <t>5-5539</t>
  </si>
  <si>
    <t>5-5540</t>
  </si>
  <si>
    <t>5-5541</t>
  </si>
  <si>
    <t>5-5542</t>
  </si>
  <si>
    <t>5-5543</t>
  </si>
  <si>
    <t>5-5544</t>
  </si>
  <si>
    <t>5-5545</t>
  </si>
  <si>
    <t>5-5546</t>
  </si>
  <si>
    <t>5-5549</t>
  </si>
  <si>
    <t>5-5550</t>
  </si>
  <si>
    <t>5-5551</t>
  </si>
  <si>
    <t>5-5552</t>
  </si>
  <si>
    <t>5-5553</t>
  </si>
  <si>
    <t>5-5554</t>
  </si>
  <si>
    <t>5-5555</t>
  </si>
  <si>
    <t>5-5560</t>
  </si>
  <si>
    <t>5-5561</t>
  </si>
  <si>
    <t>5-5562</t>
  </si>
  <si>
    <t>5-5563</t>
  </si>
  <si>
    <t>5-5564</t>
  </si>
  <si>
    <t>5-5565</t>
  </si>
  <si>
    <t>5-5566</t>
  </si>
  <si>
    <t>5-5567</t>
  </si>
  <si>
    <t>5-5568</t>
  </si>
  <si>
    <t>5-5569</t>
  </si>
  <si>
    <t>5-5590</t>
  </si>
  <si>
    <t>5-5591</t>
  </si>
  <si>
    <t>5-5592</t>
  </si>
  <si>
    <t>5-5593</t>
  </si>
  <si>
    <t>5-5594</t>
  </si>
  <si>
    <t>5-5595</t>
  </si>
  <si>
    <t>5-5596</t>
  </si>
  <si>
    <t>5-5610</t>
  </si>
  <si>
    <t>5-5611</t>
  </si>
  <si>
    <t>5-5612</t>
  </si>
  <si>
    <t>5-5613</t>
  </si>
  <si>
    <t>5-5614</t>
  </si>
  <si>
    <t>5-5615</t>
  </si>
  <si>
    <t>5-5616</t>
  </si>
  <si>
    <t>5-5617</t>
  </si>
  <si>
    <t>5-5620</t>
  </si>
  <si>
    <t>5-5621</t>
  </si>
  <si>
    <t>5-5622</t>
  </si>
  <si>
    <t>5-5623</t>
  </si>
  <si>
    <t>5-5624</t>
  </si>
  <si>
    <t>5-5625</t>
  </si>
  <si>
    <t>5-5626</t>
  </si>
  <si>
    <t>5-5627</t>
  </si>
  <si>
    <t>5-5628</t>
  </si>
  <si>
    <t>5-5629</t>
  </si>
  <si>
    <t>5-5630</t>
  </si>
  <si>
    <t>5-5631</t>
  </si>
  <si>
    <t>5-5632</t>
  </si>
  <si>
    <t>5-5633</t>
  </si>
  <si>
    <t>5-5634</t>
  </si>
  <si>
    <t>5-5635</t>
  </si>
  <si>
    <t>5-5636</t>
  </si>
  <si>
    <t>5-5637</t>
  </si>
  <si>
    <t>5-5639</t>
  </si>
  <si>
    <t>5-5640</t>
  </si>
  <si>
    <t>5-5641</t>
  </si>
  <si>
    <t>5-5642</t>
  </si>
  <si>
    <t>5-5643</t>
  </si>
  <si>
    <t>5-5644</t>
  </si>
  <si>
    <t>5-5645</t>
  </si>
  <si>
    <t>5-5646</t>
  </si>
  <si>
    <t>5-5649</t>
  </si>
  <si>
    <t>5-5650</t>
  </si>
  <si>
    <t>5-5651</t>
  </si>
  <si>
    <t>5-5652</t>
  </si>
  <si>
    <t>5-5653</t>
  </si>
  <si>
    <t>5-5654</t>
  </si>
  <si>
    <t>5-5655</t>
  </si>
  <si>
    <t>5-5656</t>
  </si>
  <si>
    <t>5-5657</t>
  </si>
  <si>
    <t>5-5658</t>
  </si>
  <si>
    <t>5-5659</t>
  </si>
  <si>
    <t>5-5690</t>
  </si>
  <si>
    <t>5-5691</t>
  </si>
  <si>
    <t>5-5692</t>
  </si>
  <si>
    <t>5-5693</t>
  </si>
  <si>
    <t>5-5694</t>
  </si>
  <si>
    <t>5-5695</t>
  </si>
  <si>
    <t>5-6110</t>
  </si>
  <si>
    <t>5-6111</t>
  </si>
  <si>
    <t>5-6112</t>
  </si>
  <si>
    <t>5-6113</t>
  </si>
  <si>
    <t>5-6114</t>
  </si>
  <si>
    <t>5-6115</t>
  </si>
  <si>
    <t>5-6116</t>
  </si>
  <si>
    <t>5-6117</t>
  </si>
  <si>
    <t>5-6118</t>
  </si>
  <si>
    <t>5-6119</t>
  </si>
  <si>
    <t>5-6120</t>
  </si>
  <si>
    <t>5-6121</t>
  </si>
  <si>
    <t>5-6122</t>
  </si>
  <si>
    <t>5-6123</t>
  </si>
  <si>
    <t>5-6124</t>
  </si>
  <si>
    <t>5-6125</t>
  </si>
  <si>
    <t>5-6126</t>
  </si>
  <si>
    <t>5-6127</t>
  </si>
  <si>
    <t>5-6128</t>
  </si>
  <si>
    <t>5-6129</t>
  </si>
  <si>
    <t>5-6130</t>
  </si>
  <si>
    <t>5-6131</t>
  </si>
  <si>
    <t>5-6132</t>
  </si>
  <si>
    <t>5-6133</t>
  </si>
  <si>
    <t>5-6134</t>
  </si>
  <si>
    <t>5-6135</t>
  </si>
  <si>
    <t>5-6136</t>
  </si>
  <si>
    <t>5-6137</t>
  </si>
  <si>
    <t>5-6138</t>
  </si>
  <si>
    <t>5-6140</t>
  </si>
  <si>
    <t>5-6141</t>
  </si>
  <si>
    <t>5-6142</t>
  </si>
  <si>
    <t>5-6143</t>
  </si>
  <si>
    <t>5-6144</t>
  </si>
  <si>
    <t>5-6145</t>
  </si>
  <si>
    <t>5-6146</t>
  </si>
  <si>
    <t>5-6147</t>
  </si>
  <si>
    <t>5-6150</t>
  </si>
  <si>
    <t>5-6151</t>
  </si>
  <si>
    <t>5-6152</t>
  </si>
  <si>
    <t>5-6153</t>
  </si>
  <si>
    <t>5-6154</t>
  </si>
  <si>
    <t>5-6155</t>
  </si>
  <si>
    <t>5-6156</t>
  </si>
  <si>
    <t>5-6157</t>
  </si>
  <si>
    <t>5-6158</t>
  </si>
  <si>
    <t>5-6159</t>
  </si>
  <si>
    <t>5-6190</t>
  </si>
  <si>
    <t>5-6191</t>
  </si>
  <si>
    <t>5-6192</t>
  </si>
  <si>
    <t>5-6210</t>
  </si>
  <si>
    <t>5-6211</t>
  </si>
  <si>
    <t>5-6212</t>
  </si>
  <si>
    <t>5-6213</t>
  </si>
  <si>
    <t>5-6214</t>
  </si>
  <si>
    <t>5-6215</t>
  </si>
  <si>
    <t>5-6216</t>
  </si>
  <si>
    <t>5-6217</t>
  </si>
  <si>
    <t>5-6218</t>
  </si>
  <si>
    <t>5-6219</t>
  </si>
  <si>
    <t>5-6220</t>
  </si>
  <si>
    <t>5-6221</t>
  </si>
  <si>
    <t>5-6222</t>
  </si>
  <si>
    <t>5-6223</t>
  </si>
  <si>
    <t>5-6224</t>
  </si>
  <si>
    <t>5-6225</t>
  </si>
  <si>
    <t>5-6226</t>
  </si>
  <si>
    <t>5-6227</t>
  </si>
  <si>
    <t>5-6228</t>
  </si>
  <si>
    <t>5-6229</t>
  </si>
  <si>
    <t>5-6230</t>
  </si>
  <si>
    <t>5-6231</t>
  </si>
  <si>
    <t>5-6232</t>
  </si>
  <si>
    <t>5-6233</t>
  </si>
  <si>
    <t>5-6234</t>
  </si>
  <si>
    <t>5-6235</t>
  </si>
  <si>
    <t>5-6236</t>
  </si>
  <si>
    <t>5-6237</t>
  </si>
  <si>
    <t>5-6239</t>
  </si>
  <si>
    <t>5-6240</t>
  </si>
  <si>
    <t>5-6241</t>
  </si>
  <si>
    <t>5-6242</t>
  </si>
  <si>
    <t>5-6243</t>
  </si>
  <si>
    <t>5-6244</t>
  </si>
  <si>
    <t>5-6245</t>
  </si>
  <si>
    <t>5-6246</t>
  </si>
  <si>
    <t>5-6247</t>
  </si>
  <si>
    <t>5-6250</t>
  </si>
  <si>
    <t>5-6251</t>
  </si>
  <si>
    <t>5-6252</t>
  </si>
  <si>
    <t>5-6253</t>
  </si>
  <si>
    <t>5-6254</t>
  </si>
  <si>
    <t>5-6255</t>
  </si>
  <si>
    <t>5-6256</t>
  </si>
  <si>
    <t>5-6257</t>
  </si>
  <si>
    <t>5-6258</t>
  </si>
  <si>
    <t>5-6259</t>
  </si>
  <si>
    <t>5-6270</t>
  </si>
  <si>
    <t>5-6271</t>
  </si>
  <si>
    <t>5-6272</t>
  </si>
  <si>
    <t>5-6273</t>
  </si>
  <si>
    <t>5-6274</t>
  </si>
  <si>
    <t>5-6275</t>
  </si>
  <si>
    <t>5-6276</t>
  </si>
  <si>
    <t>5-6279</t>
  </si>
  <si>
    <t>5-6290</t>
  </si>
  <si>
    <t>5-6291</t>
  </si>
  <si>
    <t>5-6292</t>
  </si>
  <si>
    <t>5-6310</t>
  </si>
  <si>
    <t>5-6311</t>
  </si>
  <si>
    <t>5-6312</t>
  </si>
  <si>
    <t>5-6313</t>
  </si>
  <si>
    <t>5-6314</t>
  </si>
  <si>
    <t>5-6315</t>
  </si>
  <si>
    <t>5-6316</t>
  </si>
  <si>
    <t>5-6317</t>
  </si>
  <si>
    <t>5-6318</t>
  </si>
  <si>
    <t>5-6320</t>
  </si>
  <si>
    <t>5-6321</t>
  </si>
  <si>
    <t>5-6322</t>
  </si>
  <si>
    <t>5-6323</t>
  </si>
  <si>
    <t>5-6324</t>
  </si>
  <si>
    <t>5-6325</t>
  </si>
  <si>
    <t>5-6326</t>
  </si>
  <si>
    <t>5-6327</t>
  </si>
  <si>
    <t>5-6328</t>
  </si>
  <si>
    <t>5-6330</t>
  </si>
  <si>
    <t>5-6331</t>
  </si>
  <si>
    <t>5-6332</t>
  </si>
  <si>
    <t>5-6333</t>
  </si>
  <si>
    <t>5-6334</t>
  </si>
  <si>
    <t>5-6335</t>
  </si>
  <si>
    <t>5-6336</t>
  </si>
  <si>
    <t>5-6337</t>
  </si>
  <si>
    <t>5-6339</t>
  </si>
  <si>
    <t>5-6340</t>
  </si>
  <si>
    <t>5-6341</t>
  </si>
  <si>
    <t>5-6342</t>
  </si>
  <si>
    <t>5-6343</t>
  </si>
  <si>
    <t>5-6344</t>
  </si>
  <si>
    <t>5-6345</t>
  </si>
  <si>
    <t>5-6346</t>
  </si>
  <si>
    <t>5-6347</t>
  </si>
  <si>
    <t>5-6348</t>
  </si>
  <si>
    <t>5-6350</t>
  </si>
  <si>
    <t>5-6351</t>
  </si>
  <si>
    <t>5-6352</t>
  </si>
  <si>
    <t>5-6353</t>
  </si>
  <si>
    <t>5-6354</t>
  </si>
  <si>
    <t>5-6355</t>
  </si>
  <si>
    <t>5-6356</t>
  </si>
  <si>
    <t>5-6357</t>
  </si>
  <si>
    <t>5-6358</t>
  </si>
  <si>
    <t>5-6360</t>
  </si>
  <si>
    <t>5-6361</t>
  </si>
  <si>
    <t>5-6362</t>
  </si>
  <si>
    <t>5-6363</t>
  </si>
  <si>
    <t>5-6364</t>
  </si>
  <si>
    <t>5-6365</t>
  </si>
  <si>
    <t>5-6366</t>
  </si>
  <si>
    <t>5-6367</t>
  </si>
  <si>
    <t>5-6368</t>
  </si>
  <si>
    <t>5-6370</t>
  </si>
  <si>
    <t>5-6371</t>
  </si>
  <si>
    <t>5-6372</t>
  </si>
  <si>
    <t>5-6373</t>
  </si>
  <si>
    <t>5-6374</t>
  </si>
  <si>
    <t>5-6375</t>
  </si>
  <si>
    <t>5-6376</t>
  </si>
  <si>
    <t>5-6377</t>
  </si>
  <si>
    <t>5-6379</t>
  </si>
  <si>
    <t>5-6380</t>
  </si>
  <si>
    <t>5-6381</t>
  </si>
  <si>
    <t>5-6382</t>
  </si>
  <si>
    <t>5-6383</t>
  </si>
  <si>
    <t>5-6384</t>
  </si>
  <si>
    <t>5-6385</t>
  </si>
  <si>
    <t>5-6386</t>
  </si>
  <si>
    <t>5-6387</t>
  </si>
  <si>
    <t>5-6388</t>
  </si>
  <si>
    <t>5-6390</t>
  </si>
  <si>
    <t>5-6391</t>
  </si>
  <si>
    <t>5-6392</t>
  </si>
  <si>
    <t>5-6393</t>
  </si>
  <si>
    <t>5-6394</t>
  </si>
  <si>
    <t>5-6410</t>
  </si>
  <si>
    <t>5-6411</t>
  </si>
  <si>
    <t>5-6412</t>
  </si>
  <si>
    <t>5-6413</t>
  </si>
  <si>
    <t>5-6414</t>
  </si>
  <si>
    <t>5-6415</t>
  </si>
  <si>
    <t>5-6416</t>
  </si>
  <si>
    <t>5-6417</t>
  </si>
  <si>
    <t>5-6418</t>
  </si>
  <si>
    <t>5-6419</t>
  </si>
  <si>
    <t>5-6420</t>
  </si>
  <si>
    <t>5-6421</t>
  </si>
  <si>
    <t>5-6422</t>
  </si>
  <si>
    <t>5-6423</t>
  </si>
  <si>
    <t>5-6424</t>
  </si>
  <si>
    <t>5-6425</t>
  </si>
  <si>
    <t>5-6426</t>
  </si>
  <si>
    <t>5-6427</t>
  </si>
  <si>
    <t>5-6428</t>
  </si>
  <si>
    <t>5-6429</t>
  </si>
  <si>
    <t>5-6430</t>
  </si>
  <si>
    <t>5-6431</t>
  </si>
  <si>
    <t>5-6432</t>
  </si>
  <si>
    <t>5-6433</t>
  </si>
  <si>
    <t>5-6434</t>
  </si>
  <si>
    <t>5-6435</t>
  </si>
  <si>
    <t>5-6436</t>
  </si>
  <si>
    <t>5-6437</t>
  </si>
  <si>
    <t>5-6438</t>
  </si>
  <si>
    <t>5-6439</t>
  </si>
  <si>
    <t>5-6490</t>
  </si>
  <si>
    <t>5-6510</t>
  </si>
  <si>
    <t>5-6511</t>
  </si>
  <si>
    <t>5-6512</t>
  </si>
  <si>
    <t>5-6513</t>
  </si>
  <si>
    <t>5-6514</t>
  </si>
  <si>
    <t>5-6515</t>
  </si>
  <si>
    <t>5-6516</t>
  </si>
  <si>
    <t>5-6517</t>
  </si>
  <si>
    <t>5-6518</t>
  </si>
  <si>
    <t>5-6519</t>
  </si>
  <si>
    <t>5-6520</t>
  </si>
  <si>
    <t>5-6521</t>
  </si>
  <si>
    <t>5-6522</t>
  </si>
  <si>
    <t>5-6523</t>
  </si>
  <si>
    <t>5-6524</t>
  </si>
  <si>
    <t>5-6525</t>
  </si>
  <si>
    <t>5-6526</t>
  </si>
  <si>
    <t>5-6527</t>
  </si>
  <si>
    <t>5-6528</t>
  </si>
  <si>
    <t>5-6529</t>
  </si>
  <si>
    <t>5-6530</t>
  </si>
  <si>
    <t>5-6531</t>
  </si>
  <si>
    <t>5-6532</t>
  </si>
  <si>
    <t>5-6533</t>
  </si>
  <si>
    <t>5-6539</t>
  </si>
  <si>
    <t>5-6540</t>
  </si>
  <si>
    <t>5-6541</t>
  </si>
  <si>
    <t>5-6542</t>
  </si>
  <si>
    <t>5-6543</t>
  </si>
  <si>
    <t>5-6544</t>
  </si>
  <si>
    <t>5-6590</t>
  </si>
  <si>
    <t>5-6610</t>
  </si>
  <si>
    <t>5-6611</t>
  </si>
  <si>
    <t>5-6612</t>
  </si>
  <si>
    <t>5-6613</t>
  </si>
  <si>
    <t>5-6614</t>
  </si>
  <si>
    <t>5-6615</t>
  </si>
  <si>
    <t>5-6616</t>
  </si>
  <si>
    <t>5-6617</t>
  </si>
  <si>
    <t>5-6618</t>
  </si>
  <si>
    <t>5-6619</t>
  </si>
  <si>
    <t>5-6620</t>
  </si>
  <si>
    <t>5-6630</t>
  </si>
  <si>
    <t>5-6631</t>
  </si>
  <si>
    <t>5-6640</t>
  </si>
  <si>
    <t>5-6641</t>
  </si>
  <si>
    <t>5-6710</t>
  </si>
  <si>
    <t>5-6711</t>
  </si>
  <si>
    <t>5-6712</t>
  </si>
  <si>
    <t>5-6713</t>
  </si>
  <si>
    <t>5-6714</t>
  </si>
  <si>
    <t>5-6715</t>
  </si>
  <si>
    <t>5-6716</t>
  </si>
  <si>
    <t>5-6717</t>
  </si>
  <si>
    <t>5-6718</t>
  </si>
  <si>
    <t>5-6719</t>
  </si>
  <si>
    <t>5-6720</t>
  </si>
  <si>
    <t>5-6721</t>
  </si>
  <si>
    <t>5-6722</t>
  </si>
  <si>
    <t>5-6723</t>
  </si>
  <si>
    <t>5-6724</t>
  </si>
  <si>
    <t>5-6725</t>
  </si>
  <si>
    <t>5-6726</t>
  </si>
  <si>
    <t>5-6727</t>
  </si>
  <si>
    <t>5-6728</t>
  </si>
  <si>
    <t>5-6729</t>
  </si>
  <si>
    <t>5-6730</t>
  </si>
  <si>
    <t>5-6731</t>
  </si>
  <si>
    <t>5-6732</t>
  </si>
  <si>
    <t>5-6733</t>
  </si>
  <si>
    <t>5-6734</t>
  </si>
  <si>
    <t>5-6735</t>
  </si>
  <si>
    <t>5-6736</t>
  </si>
  <si>
    <t>5-6737</t>
  </si>
  <si>
    <t>5-6738</t>
  </si>
  <si>
    <t>5-6740</t>
  </si>
  <si>
    <t>5-6741</t>
  </si>
  <si>
    <t>5-6742</t>
  </si>
  <si>
    <t>5-6743</t>
  </si>
  <si>
    <t>5-6744</t>
  </si>
  <si>
    <t>5-6745</t>
  </si>
  <si>
    <t>5-6746</t>
  </si>
  <si>
    <t>5-6749</t>
  </si>
  <si>
    <t>5-6750</t>
  </si>
  <si>
    <t>5-6751</t>
  </si>
  <si>
    <t>5-6752</t>
  </si>
  <si>
    <t>5-6753</t>
  </si>
  <si>
    <t>5-6754</t>
  </si>
  <si>
    <t>5-6755</t>
  </si>
  <si>
    <t>5-6756</t>
  </si>
  <si>
    <t>5-6757</t>
  </si>
  <si>
    <t>5-6758</t>
  </si>
  <si>
    <t>5-6759</t>
  </si>
  <si>
    <t>5-6760</t>
  </si>
  <si>
    <t>5-6761</t>
  </si>
  <si>
    <t>5-6762</t>
  </si>
  <si>
    <t>5-6763</t>
  </si>
  <si>
    <t>5-6790</t>
  </si>
  <si>
    <t>5-6791</t>
  </si>
  <si>
    <t>5-6792</t>
  </si>
  <si>
    <t>5-6810</t>
  </si>
  <si>
    <t>5-6811</t>
  </si>
  <si>
    <t>5-6812</t>
  </si>
  <si>
    <t>5-6813</t>
  </si>
  <si>
    <t>5-6814</t>
  </si>
  <si>
    <t>5-6815</t>
  </si>
  <si>
    <t>5-6816</t>
  </si>
  <si>
    <t>5-6817</t>
  </si>
  <si>
    <t>5-6818</t>
  </si>
  <si>
    <t>5-6819</t>
  </si>
  <si>
    <t>5-6820</t>
  </si>
  <si>
    <t>5-6821</t>
  </si>
  <si>
    <t>5-6822</t>
  </si>
  <si>
    <t>5-6823</t>
  </si>
  <si>
    <t>5-6824</t>
  </si>
  <si>
    <t>5-6825</t>
  </si>
  <si>
    <t>5-6826</t>
  </si>
  <si>
    <t>5-6827</t>
  </si>
  <si>
    <t>5-6828</t>
  </si>
  <si>
    <t>5-6829</t>
  </si>
  <si>
    <t>5-6830</t>
  </si>
  <si>
    <t>5-6831</t>
  </si>
  <si>
    <t>5-6832</t>
  </si>
  <si>
    <t>5-6833</t>
  </si>
  <si>
    <t>5-6834</t>
  </si>
  <si>
    <t>5-6835</t>
  </si>
  <si>
    <t>5-6836</t>
  </si>
  <si>
    <t>5-6837</t>
  </si>
  <si>
    <t>5-6838</t>
  </si>
  <si>
    <t>5-6840</t>
  </si>
  <si>
    <t>5-6841</t>
  </si>
  <si>
    <t>5-6842</t>
  </si>
  <si>
    <t>5-6843</t>
  </si>
  <si>
    <t>5-6844</t>
  </si>
  <si>
    <t>5-6845</t>
  </si>
  <si>
    <t>5-6846</t>
  </si>
  <si>
    <t>5-6849</t>
  </si>
  <si>
    <t>5-6850</t>
  </si>
  <si>
    <t>5-6851</t>
  </si>
  <si>
    <t>5-6852</t>
  </si>
  <si>
    <t>5-6853</t>
  </si>
  <si>
    <t>5-6854</t>
  </si>
  <si>
    <t>5-6855</t>
  </si>
  <si>
    <t>5-6856</t>
  </si>
  <si>
    <t>5-6857</t>
  </si>
  <si>
    <t>5-6858</t>
  </si>
  <si>
    <t>5-6859</t>
  </si>
  <si>
    <t>5-6860</t>
  </si>
  <si>
    <t>5-6861</t>
  </si>
  <si>
    <t>5-6870</t>
  </si>
  <si>
    <t>5-6871</t>
  </si>
  <si>
    <t>5-6890</t>
  </si>
  <si>
    <t>5-6891</t>
  </si>
  <si>
    <t>5-6892</t>
  </si>
  <si>
    <t>5-6910</t>
  </si>
  <si>
    <t>5-6911</t>
  </si>
  <si>
    <t>5-6912</t>
  </si>
  <si>
    <t>5-6913</t>
  </si>
  <si>
    <t>5-6914</t>
  </si>
  <si>
    <t>5-6915</t>
  </si>
  <si>
    <t>5-6916</t>
  </si>
  <si>
    <t>5-6917</t>
  </si>
  <si>
    <t>5-6919</t>
  </si>
  <si>
    <t>5-6920</t>
  </si>
  <si>
    <t>5-6921</t>
  </si>
  <si>
    <t>5-6922</t>
  </si>
  <si>
    <t>5-6923</t>
  </si>
  <si>
    <t>5-6924</t>
  </si>
  <si>
    <t>5-6925</t>
  </si>
  <si>
    <t>5-6926</t>
  </si>
  <si>
    <t>5-6927</t>
  </si>
  <si>
    <t>5-6928</t>
  </si>
  <si>
    <t>5-6929</t>
  </si>
  <si>
    <t>5-6930</t>
  </si>
  <si>
    <t>5-6931</t>
  </si>
  <si>
    <t>5-6932</t>
  </si>
  <si>
    <t>5-6933</t>
  </si>
  <si>
    <t>5-6934</t>
  </si>
  <si>
    <t>5-6935</t>
  </si>
  <si>
    <t>5-6936</t>
  </si>
  <si>
    <t>5-6937</t>
  </si>
  <si>
    <t>5-6939</t>
  </si>
  <si>
    <t>5-6940</t>
  </si>
  <si>
    <t>5-6941</t>
  </si>
  <si>
    <t>5-6942</t>
  </si>
  <si>
    <t>5-6943</t>
  </si>
  <si>
    <t>5-6944</t>
  </si>
  <si>
    <t>5-6945</t>
  </si>
  <si>
    <t>5-6946</t>
  </si>
  <si>
    <t>5-6947</t>
  </si>
  <si>
    <t>5-6948</t>
  </si>
  <si>
    <t>5-6949</t>
  </si>
  <si>
    <t>5-6950</t>
  </si>
  <si>
    <t>5-6951</t>
  </si>
  <si>
    <t>5-6952</t>
  </si>
  <si>
    <t>5-6953</t>
  </si>
  <si>
    <t>5-6960</t>
  </si>
  <si>
    <t>5-6961</t>
  </si>
  <si>
    <t>5-6962</t>
  </si>
  <si>
    <t>5-6963</t>
  </si>
  <si>
    <t>5-6990</t>
  </si>
  <si>
    <t>5-6991</t>
  </si>
  <si>
    <t>5-7110</t>
  </si>
  <si>
    <t>5-7120</t>
  </si>
  <si>
    <t>5-7130</t>
  </si>
  <si>
    <t>5-7140</t>
  </si>
  <si>
    <t>5-7150</t>
  </si>
  <si>
    <t>5-7160</t>
  </si>
  <si>
    <t>5-7170</t>
  </si>
  <si>
    <t>5-7180</t>
  </si>
  <si>
    <t>5-7210</t>
  </si>
  <si>
    <t>5-7220</t>
  </si>
  <si>
    <t>5-8110</t>
  </si>
  <si>
    <t>5-8120</t>
  </si>
  <si>
    <t>5-8130</t>
  </si>
  <si>
    <t>5-8210</t>
  </si>
  <si>
    <t>5-8220</t>
  </si>
  <si>
    <t>5-8310</t>
  </si>
  <si>
    <t>5-8320</t>
  </si>
  <si>
    <t>5-8330</t>
  </si>
  <si>
    <t>5-9110</t>
  </si>
  <si>
    <t>5-9111</t>
  </si>
  <si>
    <t>5-9112</t>
  </si>
  <si>
    <t>5-9113</t>
  </si>
  <si>
    <t>5-9114</t>
  </si>
  <si>
    <t>5-9115</t>
  </si>
  <si>
    <t>5-9116</t>
  </si>
  <si>
    <t>5-9117</t>
  </si>
  <si>
    <t>5-9119</t>
  </si>
  <si>
    <t>5-9120</t>
  </si>
  <si>
    <t>5-9121</t>
  </si>
  <si>
    <t>5-9122</t>
  </si>
  <si>
    <t>5-9123</t>
  </si>
  <si>
    <t>5-9124</t>
  </si>
  <si>
    <t>5-9125</t>
  </si>
  <si>
    <t>5-9126</t>
  </si>
  <si>
    <t>5-9127</t>
  </si>
  <si>
    <t>5-9128</t>
  </si>
  <si>
    <t>5-9129</t>
  </si>
  <si>
    <t>5-9130</t>
  </si>
  <si>
    <t>5-9131</t>
  </si>
  <si>
    <t>5-9132</t>
  </si>
  <si>
    <t>5-9133</t>
  </si>
  <si>
    <t>5-9134</t>
  </si>
  <si>
    <t>5-9135</t>
  </si>
  <si>
    <t>5-9136</t>
  </si>
  <si>
    <t>5-9137</t>
  </si>
  <si>
    <t>5-9138</t>
  </si>
  <si>
    <t>5-9139</t>
  </si>
  <si>
    <t>5-9140</t>
  </si>
  <si>
    <t>5-9141</t>
  </si>
  <si>
    <t>5-9142</t>
  </si>
  <si>
    <t>5-9143</t>
  </si>
  <si>
    <t>5-9144</t>
  </si>
  <si>
    <t>5-9145</t>
  </si>
  <si>
    <t>5-9146</t>
  </si>
  <si>
    <t>5-9147</t>
  </si>
  <si>
    <t>5-9148</t>
  </si>
  <si>
    <t>5-9149</t>
  </si>
  <si>
    <t>5-9150</t>
  </si>
  <si>
    <t>5-9151</t>
  </si>
  <si>
    <t>5-9152</t>
  </si>
  <si>
    <t>5-9153</t>
  </si>
  <si>
    <t>5-9154</t>
  </si>
  <si>
    <t>5-9155</t>
  </si>
  <si>
    <t>5-9156</t>
  </si>
  <si>
    <t>5-9157</t>
  </si>
  <si>
    <t>5-9158</t>
  </si>
  <si>
    <t>5-9160</t>
  </si>
  <si>
    <t>5-9161</t>
  </si>
  <si>
    <t>5-9162</t>
  </si>
  <si>
    <t>5-9163</t>
  </si>
  <si>
    <t>5-9164</t>
  </si>
  <si>
    <t>5-9165</t>
  </si>
  <si>
    <t>5-9166</t>
  </si>
  <si>
    <t>5-9167</t>
  </si>
  <si>
    <t>5-9168</t>
  </si>
  <si>
    <t>5-9169</t>
  </si>
  <si>
    <t>5-9190</t>
  </si>
  <si>
    <t>5-9191</t>
  </si>
  <si>
    <t>5-9210</t>
  </si>
  <si>
    <t>5-9211</t>
  </si>
  <si>
    <t>5-9212</t>
  </si>
  <si>
    <t>5-9213</t>
  </si>
  <si>
    <t>5-9214</t>
  </si>
  <si>
    <t>5-9215</t>
  </si>
  <si>
    <t>5-9216</t>
  </si>
  <si>
    <t>5-9217</t>
  </si>
  <si>
    <t>5-9218</t>
  </si>
  <si>
    <t>5-9220</t>
  </si>
  <si>
    <t>5-9221</t>
  </si>
  <si>
    <t>5-9222</t>
  </si>
  <si>
    <t>5-9223</t>
  </si>
  <si>
    <t>5-9224</t>
  </si>
  <si>
    <t>5-9225</t>
  </si>
  <si>
    <t>5-9226</t>
  </si>
  <si>
    <t>5-9227</t>
  </si>
  <si>
    <t>5-9228</t>
  </si>
  <si>
    <t>5-9229</t>
  </si>
  <si>
    <t>5-9230</t>
  </si>
  <si>
    <t>5-9231</t>
  </si>
  <si>
    <t>5-9232</t>
  </si>
  <si>
    <t>5-9233</t>
  </si>
  <si>
    <t>5-9234</t>
  </si>
  <si>
    <t>5-9235</t>
  </si>
  <si>
    <t>5-9236</t>
  </si>
  <si>
    <t>5-9237</t>
  </si>
  <si>
    <t>5-9238</t>
  </si>
  <si>
    <t>5-9239</t>
  </si>
  <si>
    <t>5-9240</t>
  </si>
  <si>
    <t>5-9241</t>
  </si>
  <si>
    <t>5-9242</t>
  </si>
  <si>
    <t>5-9243</t>
  </si>
  <si>
    <t>5-9244</t>
  </si>
  <si>
    <t>5-9245</t>
  </si>
  <si>
    <t>5-9246</t>
  </si>
  <si>
    <t>5-9247</t>
  </si>
  <si>
    <t>5-9248</t>
  </si>
  <si>
    <t>5-9249</t>
  </si>
  <si>
    <t>5-9250</t>
  </si>
  <si>
    <t>5-9251</t>
  </si>
  <si>
    <t>5-9252</t>
  </si>
  <si>
    <t>5-9253</t>
  </si>
  <si>
    <t>5-9254</t>
  </si>
  <si>
    <t>5-9255</t>
  </si>
  <si>
    <t>5-9256</t>
  </si>
  <si>
    <t>5-9259</t>
  </si>
  <si>
    <t>5-9260</t>
  </si>
  <si>
    <t>5-9261</t>
  </si>
  <si>
    <t>5-9262</t>
  </si>
  <si>
    <t>5-9263</t>
  </si>
  <si>
    <t>5-9264</t>
  </si>
  <si>
    <t>5-9265</t>
  </si>
  <si>
    <t>5-9290</t>
  </si>
  <si>
    <t>5-9291</t>
  </si>
  <si>
    <t>5-9310</t>
  </si>
  <si>
    <t>5-9311</t>
  </si>
  <si>
    <t>5-9312</t>
  </si>
  <si>
    <t>5-9313</t>
  </si>
  <si>
    <t>5-9314</t>
  </si>
  <si>
    <t>5-9315</t>
  </si>
  <si>
    <t>5-9316</t>
  </si>
  <si>
    <t>5-9317</t>
  </si>
  <si>
    <t>5-9318</t>
  </si>
  <si>
    <t>5-9320</t>
  </si>
  <si>
    <t>5-9321</t>
  </si>
  <si>
    <t>5-9322</t>
  </si>
  <si>
    <t>5-9323</t>
  </si>
  <si>
    <t>5-9324</t>
  </si>
  <si>
    <t>5-9325</t>
  </si>
  <si>
    <t>5-9326</t>
  </si>
  <si>
    <t>5-9327</t>
  </si>
  <si>
    <t>5-9328</t>
  </si>
  <si>
    <t>5-9329</t>
  </si>
  <si>
    <t>5-9330</t>
  </si>
  <si>
    <t>5-9331</t>
  </si>
  <si>
    <t>5-9332</t>
  </si>
  <si>
    <t>5-9333</t>
  </si>
  <si>
    <t>5-9334</t>
  </si>
  <si>
    <t>5-9335</t>
  </si>
  <si>
    <t>5-9336</t>
  </si>
  <si>
    <t>5-9337</t>
  </si>
  <si>
    <t>5-9338</t>
  </si>
  <si>
    <t>5-9339</t>
  </si>
  <si>
    <t>5-9340</t>
  </si>
  <si>
    <t>5-9341</t>
  </si>
  <si>
    <t>5-9342</t>
  </si>
  <si>
    <t>5-9343</t>
  </si>
  <si>
    <t>5-9344</t>
  </si>
  <si>
    <t>5-9345</t>
  </si>
  <si>
    <t>5-9346</t>
  </si>
  <si>
    <t>5-9347</t>
  </si>
  <si>
    <t>5-9348</t>
  </si>
  <si>
    <t>5-9349</t>
  </si>
  <si>
    <t>5-9350</t>
  </si>
  <si>
    <t>5-9351</t>
  </si>
  <si>
    <t>5-9352</t>
  </si>
  <si>
    <t>5-9353</t>
  </si>
  <si>
    <t>5-9354</t>
  </si>
  <si>
    <t>5-9355</t>
  </si>
  <si>
    <t>5-9356</t>
  </si>
  <si>
    <t>5-9357</t>
  </si>
  <si>
    <t>5-9358</t>
  </si>
  <si>
    <t>5-9359</t>
  </si>
  <si>
    <t>5-9390</t>
  </si>
  <si>
    <t>5-9391</t>
  </si>
  <si>
    <t>General Ledger [Summary]</t>
  </si>
  <si>
    <t>Acct#</t>
  </si>
  <si>
    <t>Account Name</t>
  </si>
  <si>
    <t>Beginning Balance</t>
  </si>
  <si>
    <t>Total Debit</t>
  </si>
  <si>
    <t>Total Credit</t>
  </si>
  <si>
    <t>Net Activity</t>
  </si>
  <si>
    <t>Ending Balance</t>
  </si>
  <si>
    <t>Rp1.804.222.444,13cr</t>
  </si>
  <si>
    <t>Rp0,00</t>
  </si>
  <si>
    <t>Rp203.739.295,45</t>
  </si>
  <si>
    <t>Rp203.739.295,45cr</t>
  </si>
  <si>
    <t>Rp2.007.961.739,58cr</t>
  </si>
  <si>
    <t>ISL</t>
  </si>
  <si>
    <t>SL4</t>
  </si>
  <si>
    <t>AL1</t>
  </si>
  <si>
    <t>AL3</t>
  </si>
  <si>
    <t>AL2</t>
  </si>
  <si>
    <t>AL4</t>
  </si>
  <si>
    <t>AL5</t>
  </si>
  <si>
    <t>AL6</t>
  </si>
  <si>
    <t>AL7</t>
  </si>
  <si>
    <t>AL8</t>
  </si>
  <si>
    <t>AL9</t>
  </si>
  <si>
    <t>OS1</t>
  </si>
  <si>
    <t>OS3</t>
  </si>
  <si>
    <t>OS2</t>
  </si>
  <si>
    <t>OS5</t>
  </si>
  <si>
    <t>PT3</t>
  </si>
  <si>
    <t>PT1</t>
  </si>
  <si>
    <t>TR1</t>
  </si>
  <si>
    <t>TR3</t>
  </si>
  <si>
    <t>TR4</t>
  </si>
  <si>
    <t>TR6</t>
  </si>
  <si>
    <t>RM1</t>
  </si>
  <si>
    <t>RM3</t>
  </si>
  <si>
    <t>RM7</t>
  </si>
  <si>
    <t>RM4</t>
  </si>
  <si>
    <t>LM1</t>
  </si>
  <si>
    <t>LM2</t>
  </si>
  <si>
    <t>CG1</t>
  </si>
  <si>
    <t>LM4</t>
  </si>
  <si>
    <t>LM5</t>
  </si>
  <si>
    <t>LM6</t>
  </si>
  <si>
    <t>LM7</t>
  </si>
  <si>
    <t>LM8</t>
  </si>
  <si>
    <t>CD3</t>
  </si>
  <si>
    <t>CD2</t>
  </si>
  <si>
    <t>LP3</t>
  </si>
  <si>
    <t>LP4</t>
  </si>
  <si>
    <t>LP5</t>
  </si>
  <si>
    <t>CD1</t>
  </si>
  <si>
    <t>KS2</t>
  </si>
  <si>
    <t>OT3</t>
  </si>
  <si>
    <t>LP1</t>
  </si>
  <si>
    <t>RM6</t>
  </si>
  <si>
    <t>CL2</t>
  </si>
  <si>
    <t>CL1</t>
  </si>
  <si>
    <t>OS4</t>
  </si>
  <si>
    <t>OT4</t>
  </si>
  <si>
    <t>PT2</t>
  </si>
  <si>
    <t>PT4</t>
  </si>
  <si>
    <t>TR2</t>
  </si>
  <si>
    <t>TR5</t>
  </si>
  <si>
    <t>CD4</t>
  </si>
  <si>
    <t>LP2</t>
  </si>
  <si>
    <t>CS1</t>
  </si>
  <si>
    <t>CS2</t>
  </si>
  <si>
    <t>CS3</t>
  </si>
  <si>
    <t>CS5</t>
  </si>
  <si>
    <t>CS6</t>
  </si>
  <si>
    <t>CS4</t>
  </si>
  <si>
    <t>CS7</t>
  </si>
  <si>
    <t>RM2</t>
  </si>
  <si>
    <t>RM5</t>
  </si>
  <si>
    <t>EW1</t>
  </si>
  <si>
    <t>EW2</t>
  </si>
  <si>
    <t>EW3</t>
  </si>
  <si>
    <t>OT1</t>
  </si>
  <si>
    <t>OT2</t>
  </si>
  <si>
    <t>DP</t>
  </si>
  <si>
    <t>SF</t>
  </si>
  <si>
    <t>CG2</t>
  </si>
  <si>
    <t>Total:</t>
  </si>
  <si>
    <t>Page 1</t>
  </si>
  <si>
    <r>
      <rPr>
        <b/>
        <sz val="11"/>
        <rFont val="Times New Roman"/>
        <family val="1"/>
      </rPr>
      <t xml:space="preserve">LAMPIRAN 10 / </t>
    </r>
    <r>
      <rPr>
        <b/>
        <i/>
        <sz val="11"/>
        <rFont val="Times New Roman"/>
        <family val="1"/>
      </rPr>
      <t>APPENDIX 10</t>
    </r>
  </si>
  <si>
    <t>RINCIAN BEBAN DAN KERUGIAN</t>
  </si>
  <si>
    <t>DETAIL OF EXPENSES AND LOSS</t>
  </si>
  <si>
    <t>( Disajikan dalam rupiah )</t>
  </si>
  <si>
    <t>Control saldo</t>
  </si>
  <si>
    <t>Pos pos</t>
  </si>
  <si>
    <t>Sekolah dasar / Daycare</t>
  </si>
  <si>
    <t>Elementary school</t>
  </si>
  <si>
    <t>Madrasah Tsanawiyah</t>
  </si>
  <si>
    <t>Islamic yunior high school &amp; IL</t>
  </si>
  <si>
    <t>Madrasah Aliyah &amp; IL</t>
  </si>
  <si>
    <t>Islamic senior high school</t>
  </si>
  <si>
    <t>Dakwah</t>
  </si>
  <si>
    <t>Propaganda</t>
  </si>
  <si>
    <t xml:space="preserve">Sosial </t>
  </si>
  <si>
    <t>Radio</t>
  </si>
  <si>
    <t>Hubungan masyarakat</t>
  </si>
  <si>
    <t>Library</t>
  </si>
  <si>
    <t>Audio visual</t>
  </si>
  <si>
    <t>Student activity and service</t>
  </si>
  <si>
    <t>Organisasi santri</t>
  </si>
  <si>
    <t>Student organization</t>
  </si>
  <si>
    <t>Student sport</t>
  </si>
  <si>
    <t>Olah raga santri</t>
  </si>
  <si>
    <t>Student propaganda</t>
  </si>
  <si>
    <t>Student administration</t>
  </si>
  <si>
    <t>~</t>
  </si>
  <si>
    <t>Bimbingan dan konseling</t>
  </si>
  <si>
    <t>Guidance and counseling</t>
  </si>
  <si>
    <t>Boarding supervisory</t>
  </si>
  <si>
    <t>Lomba santri</t>
  </si>
  <si>
    <t>Student contest</t>
  </si>
  <si>
    <t>Pendaftaran dan peneriman santri</t>
  </si>
  <si>
    <t>Student admission and recruitment</t>
  </si>
  <si>
    <t>Kesehatan santri</t>
  </si>
  <si>
    <t>Student healty</t>
  </si>
  <si>
    <t>Manajemen eksekutif</t>
  </si>
  <si>
    <t>Executive management</t>
  </si>
  <si>
    <t>Litbang PIA</t>
  </si>
  <si>
    <t>Akuntansi dan keuangan</t>
  </si>
  <si>
    <t>Accounting  and finance</t>
  </si>
  <si>
    <t>Personalia</t>
  </si>
  <si>
    <t>Personnel</t>
  </si>
  <si>
    <t>Umum &amp; administrasi</t>
  </si>
  <si>
    <t>General and Administrartion</t>
  </si>
  <si>
    <t>Tehnologi informasi</t>
  </si>
  <si>
    <t xml:space="preserve">Maintenance and operational of plant </t>
  </si>
  <si>
    <t>Administrasi sarana fisik</t>
  </si>
  <si>
    <t>Administration of phisical plant</t>
  </si>
  <si>
    <t xml:space="preserve">Kebersihan dan kesehatan </t>
  </si>
  <si>
    <t>Cleaness and healty</t>
  </si>
  <si>
    <t>Pemeliharaan gedung</t>
  </si>
  <si>
    <t>Building maintenance</t>
  </si>
  <si>
    <t>Pemeliharaan infrastruktur</t>
  </si>
  <si>
    <t>Infrastructure maintenance</t>
  </si>
  <si>
    <t>Keamanan dan keselamatan</t>
  </si>
  <si>
    <t>Security and safety</t>
  </si>
  <si>
    <t>Pemeliharaan non gedung</t>
  </si>
  <si>
    <t>Non Building maintenance</t>
  </si>
  <si>
    <t>Utilitas</t>
  </si>
  <si>
    <t>Ulitilities</t>
  </si>
  <si>
    <t>Logistik</t>
  </si>
  <si>
    <t>Logistic</t>
  </si>
  <si>
    <t>Praktek kerja lapangan</t>
  </si>
  <si>
    <t>Work study</t>
  </si>
  <si>
    <t>Bantuan santri</t>
  </si>
  <si>
    <t>Student grants</t>
  </si>
  <si>
    <t>Sales and services</t>
  </si>
  <si>
    <t>Other sales</t>
  </si>
  <si>
    <t>Makanan &amp; minuman</t>
  </si>
  <si>
    <t>Food and baverages</t>
  </si>
  <si>
    <t>Cucian</t>
  </si>
  <si>
    <t>Laundry</t>
  </si>
  <si>
    <t>Room</t>
  </si>
  <si>
    <t>Peralatan</t>
  </si>
  <si>
    <t>Mebelair</t>
  </si>
  <si>
    <t>Buku dan material perpustakaan</t>
  </si>
  <si>
    <t xml:space="preserve">Library book and material </t>
  </si>
  <si>
    <t>Lain lain aset tetap</t>
  </si>
  <si>
    <t>Auxiliary enterprises office</t>
  </si>
  <si>
    <t>Pembiayaan</t>
  </si>
  <si>
    <t>Financing</t>
  </si>
  <si>
    <t>Telpon cabin</t>
  </si>
  <si>
    <t>Other expenses and losses</t>
  </si>
  <si>
    <t>Pelepasan Aset tetap</t>
  </si>
  <si>
    <t>Disposal fixed assets</t>
  </si>
  <si>
    <t>Kerugian investasi</t>
  </si>
  <si>
    <t>Invesment loss</t>
  </si>
  <si>
    <t>Shortage</t>
  </si>
  <si>
    <t>Pajak bunga bank</t>
  </si>
  <si>
    <t>Bank interest tax</t>
  </si>
  <si>
    <t>Pembayaran dan pembulatan kurang</t>
  </si>
  <si>
    <t>Less payment and rounded</t>
  </si>
  <si>
    <t>Penghaspusan piutang &amp; persediaan</t>
  </si>
  <si>
    <t>Write off of receivable</t>
  </si>
  <si>
    <t>SUPPORT PROGRAM AND STUDENT SERVICE</t>
  </si>
  <si>
    <t>RESEACH AND DEVELOPMENT</t>
  </si>
  <si>
    <t>MAINTENANCE AND OPERATIONAL PLANT</t>
  </si>
  <si>
    <t>HEALTH AND CLEANESS ENVIRONMENT</t>
  </si>
  <si>
    <t>Dana gedung santri TP.23/24</t>
  </si>
  <si>
    <t>Cash Receipts Journal</t>
  </si>
  <si>
    <t>ID#</t>
  </si>
  <si>
    <t>Debit</t>
  </si>
  <si>
    <t>Credit</t>
  </si>
  <si>
    <t>Job</t>
  </si>
  <si>
    <t>KODEAK</t>
  </si>
  <si>
    <t>Cash Disbursements Journal</t>
  </si>
  <si>
    <t>CD</t>
  </si>
  <si>
    <t>M40</t>
  </si>
  <si>
    <t>General Journal</t>
  </si>
  <si>
    <t>JMAK</t>
  </si>
  <si>
    <t>AL</t>
  </si>
  <si>
    <t>OS</t>
  </si>
  <si>
    <t>LM</t>
  </si>
  <si>
    <t>KS</t>
  </si>
  <si>
    <t>LS</t>
  </si>
  <si>
    <t>CL</t>
  </si>
  <si>
    <t>CS</t>
  </si>
  <si>
    <t>BS</t>
  </si>
  <si>
    <t>OT</t>
  </si>
  <si>
    <t>TR</t>
  </si>
  <si>
    <t>PT</t>
  </si>
  <si>
    <t>RM</t>
  </si>
  <si>
    <t>EW</t>
  </si>
  <si>
    <t>LP</t>
  </si>
  <si>
    <t>CG</t>
  </si>
  <si>
    <t>OE</t>
  </si>
  <si>
    <r>
      <rPr>
        <b/>
        <sz val="14"/>
        <rFont val="Times New Roman"/>
        <family val="1"/>
      </rPr>
      <t xml:space="preserve">LAMPIRAN 11 / </t>
    </r>
    <r>
      <rPr>
        <b/>
        <i/>
        <sz val="14"/>
        <rFont val="Times New Roman"/>
        <family val="1"/>
      </rPr>
      <t>APPENDIX 11</t>
    </r>
  </si>
  <si>
    <t>RINCIAN BEBAN DAN KERUGIAN MENURUT KLASIFIKASI SIFAT DENGAN FUNGSIONAL</t>
  </si>
  <si>
    <t xml:space="preserve">DETAIL OF EXPENSES AND LOSSES BY NATURAL CLASSIFICATION WITH FUNCTIONAL CLASSIFICATION </t>
  </si>
  <si>
    <t>s/d bulan ini</t>
  </si>
  <si>
    <t>Akademik /</t>
  </si>
  <si>
    <t xml:space="preserve">Dakwah </t>
  </si>
  <si>
    <t>Dukungan</t>
  </si>
  <si>
    <t>Kegiatan dan</t>
  </si>
  <si>
    <t xml:space="preserve">Pemeliharaan </t>
  </si>
  <si>
    <t>Penjualan dan</t>
  </si>
  <si>
    <t xml:space="preserve">Layanan </t>
  </si>
  <si>
    <t>Penyusutan /</t>
  </si>
  <si>
    <t xml:space="preserve">Usaha </t>
  </si>
  <si>
    <t>Beban lain - lain</t>
  </si>
  <si>
    <t>dan sosial /</t>
  </si>
  <si>
    <t>akademik /</t>
  </si>
  <si>
    <t>layanan santri /</t>
  </si>
  <si>
    <t>institusi /</t>
  </si>
  <si>
    <t>dan operasional</t>
  </si>
  <si>
    <t>keuangan</t>
  </si>
  <si>
    <t>jasa /</t>
  </si>
  <si>
    <t>asrama /</t>
  </si>
  <si>
    <t>pelengkap /</t>
  </si>
  <si>
    <t>dan kerugian /</t>
  </si>
  <si>
    <t>Student activities</t>
  </si>
  <si>
    <t>Institutional</t>
  </si>
  <si>
    <t>plant /</t>
  </si>
  <si>
    <t>santri /</t>
  </si>
  <si>
    <t xml:space="preserve">Sales and </t>
  </si>
  <si>
    <t xml:space="preserve">Boarding </t>
  </si>
  <si>
    <t>Auxiliary</t>
  </si>
  <si>
    <t>Other expenses</t>
  </si>
  <si>
    <t>and social</t>
  </si>
  <si>
    <t>support</t>
  </si>
  <si>
    <t>and service</t>
  </si>
  <si>
    <t>Maintenance and</t>
  </si>
  <si>
    <t xml:space="preserve">Student </t>
  </si>
  <si>
    <t>service</t>
  </si>
  <si>
    <t>enterprises</t>
  </si>
  <si>
    <t>and loss</t>
  </si>
  <si>
    <t>operational</t>
  </si>
  <si>
    <t xml:space="preserve"> financial aid</t>
  </si>
  <si>
    <t>of plant</t>
  </si>
  <si>
    <t>Salaries</t>
  </si>
  <si>
    <t>Karyawan tetap</t>
  </si>
  <si>
    <t>Permanent employee</t>
  </si>
  <si>
    <t>Karyawan tidak tetap</t>
  </si>
  <si>
    <t>Non permanent employee</t>
  </si>
  <si>
    <t>Karyawan Percobaan</t>
  </si>
  <si>
    <t>Trainee employee</t>
  </si>
  <si>
    <t>SL3</t>
  </si>
  <si>
    <t>Lembur</t>
  </si>
  <si>
    <t>Overtime</t>
  </si>
  <si>
    <t>Tunjangan</t>
  </si>
  <si>
    <t>Allowance</t>
  </si>
  <si>
    <t>Medicine dan eyes glass</t>
  </si>
  <si>
    <t>Doctor</t>
  </si>
  <si>
    <t>Operation and hospitalization</t>
  </si>
  <si>
    <t>Musibah &amp; kematian</t>
  </si>
  <si>
    <t>Disaster and die</t>
  </si>
  <si>
    <t>Hari raya</t>
  </si>
  <si>
    <t>Feast</t>
  </si>
  <si>
    <t>Kelahiran</t>
  </si>
  <si>
    <t>Birth</t>
  </si>
  <si>
    <t>Pernikahan</t>
  </si>
  <si>
    <t>Married</t>
  </si>
  <si>
    <t>Sewa rumah &amp; lain lain</t>
  </si>
  <si>
    <t>House rent and others</t>
  </si>
  <si>
    <t>Keperluan kantor</t>
  </si>
  <si>
    <t>Office supplies</t>
  </si>
  <si>
    <t>Stationaries</t>
  </si>
  <si>
    <t>Fotocopy &amp; percetakan</t>
  </si>
  <si>
    <t>Foto copy and printing</t>
  </si>
  <si>
    <t>Konsumsi</t>
  </si>
  <si>
    <t>Administrasi bank</t>
  </si>
  <si>
    <t>Bank administration</t>
  </si>
  <si>
    <t xml:space="preserve">Lain - lain </t>
  </si>
  <si>
    <t>Media pembelajaran</t>
  </si>
  <si>
    <t>Learning media</t>
  </si>
  <si>
    <t>Bahan praktikum</t>
  </si>
  <si>
    <t>Practical work material</t>
  </si>
  <si>
    <t xml:space="preserve">Alat peraga </t>
  </si>
  <si>
    <t>Visual aid</t>
  </si>
  <si>
    <t>Buku panduan</t>
  </si>
  <si>
    <t>Text book</t>
  </si>
  <si>
    <t>LM3</t>
  </si>
  <si>
    <t>CD pembelajaran</t>
  </si>
  <si>
    <t>Leraning CD</t>
  </si>
  <si>
    <t>Keperluan olahraga</t>
  </si>
  <si>
    <t>Sport supplies</t>
  </si>
  <si>
    <t>Keperluan laboratorium</t>
  </si>
  <si>
    <t>Laboratorium suplies</t>
  </si>
  <si>
    <t>Keperluan kelas</t>
  </si>
  <si>
    <t>Class supplies</t>
  </si>
  <si>
    <t xml:space="preserve">Beras </t>
  </si>
  <si>
    <t>KS1</t>
  </si>
  <si>
    <t>Lauk pauk</t>
  </si>
  <si>
    <t xml:space="preserve">Side dishes </t>
  </si>
  <si>
    <t>Gula / teh / susu / kopi</t>
  </si>
  <si>
    <t>Sugar / tee / milk / coffee</t>
  </si>
  <si>
    <t>KS3</t>
  </si>
  <si>
    <t>Minyak tanah &amp; gas elpiji</t>
  </si>
  <si>
    <t>Gas oil and gas</t>
  </si>
  <si>
    <t>KS4</t>
  </si>
  <si>
    <t>Minyak goreng</t>
  </si>
  <si>
    <t>Coconut oil</t>
  </si>
  <si>
    <t>KS5</t>
  </si>
  <si>
    <t>Lauk-pauk santri sakit</t>
  </si>
  <si>
    <t>Side dishes  for student sick</t>
  </si>
  <si>
    <t>KS6</t>
  </si>
  <si>
    <t>Buah-buahan</t>
  </si>
  <si>
    <t>KS7</t>
  </si>
  <si>
    <t>Perlengkapan dapur</t>
  </si>
  <si>
    <t>Kicthen fixture</t>
  </si>
  <si>
    <t>KS8</t>
  </si>
  <si>
    <t>Keperluan laundry</t>
  </si>
  <si>
    <t>Laundry supplies</t>
  </si>
  <si>
    <t>Sabun cuci</t>
  </si>
  <si>
    <t>Detergent</t>
  </si>
  <si>
    <t>LS1</t>
  </si>
  <si>
    <t>Pemutih pakaian</t>
  </si>
  <si>
    <t>LS2</t>
  </si>
  <si>
    <t>Pewangi &amp; pelembut</t>
  </si>
  <si>
    <t>Whitener &amp; softener</t>
  </si>
  <si>
    <t>LS3</t>
  </si>
  <si>
    <t>Perlengkapan laundry</t>
  </si>
  <si>
    <t>Laundry fixture</t>
  </si>
  <si>
    <t>LS4</t>
  </si>
  <si>
    <t>Keperluan klinik</t>
  </si>
  <si>
    <t>Clinic supplies</t>
  </si>
  <si>
    <t>Obat</t>
  </si>
  <si>
    <t>Bahan dan alat habis pakai</t>
  </si>
  <si>
    <t>Material and tool one use</t>
  </si>
  <si>
    <t>Keperluan kebersihan</t>
  </si>
  <si>
    <t>Cleaning supplies</t>
  </si>
  <si>
    <t>Sapu</t>
  </si>
  <si>
    <t>Alat pel</t>
  </si>
  <si>
    <t>Kain pel</t>
  </si>
  <si>
    <t>Mop linen</t>
  </si>
  <si>
    <t>Trash can</t>
  </si>
  <si>
    <t xml:space="preserve">Pembersih </t>
  </si>
  <si>
    <t xml:space="preserve">Material cleaner </t>
  </si>
  <si>
    <t>Penyegar ruangan</t>
  </si>
  <si>
    <t>Keperluan asrama</t>
  </si>
  <si>
    <t>Boarding supplies</t>
  </si>
  <si>
    <t>Sprei dan sarung bantal</t>
  </si>
  <si>
    <t>Bedcovers</t>
  </si>
  <si>
    <t>BS1</t>
  </si>
  <si>
    <t>Selimut</t>
  </si>
  <si>
    <t>Blanket</t>
  </si>
  <si>
    <t>BS2</t>
  </si>
  <si>
    <t>Korden</t>
  </si>
  <si>
    <t>BS3</t>
  </si>
  <si>
    <t>Gayung dan timba</t>
  </si>
  <si>
    <t>Scoop and pail</t>
  </si>
  <si>
    <t>BS4</t>
  </si>
  <si>
    <t xml:space="preserve">Perlengkapan kamar </t>
  </si>
  <si>
    <t>Room supplies</t>
  </si>
  <si>
    <t>BS5</t>
  </si>
  <si>
    <t>Perlengkapan area asrama</t>
  </si>
  <si>
    <t>Dormitory supplies</t>
  </si>
  <si>
    <t>BS6</t>
  </si>
  <si>
    <t>Keperluan lain lain</t>
  </si>
  <si>
    <t>Other supplies</t>
  </si>
  <si>
    <t>Perlengkapan satpam</t>
  </si>
  <si>
    <t>Security supplies</t>
  </si>
  <si>
    <t>Perlengkapan gudang</t>
  </si>
  <si>
    <t>Warehouse supplies</t>
  </si>
  <si>
    <t>Perlengkapan radio</t>
  </si>
  <si>
    <t>Radio supplies</t>
  </si>
  <si>
    <t>Seragam karyawan</t>
  </si>
  <si>
    <t>Employee uniform</t>
  </si>
  <si>
    <t>OT5</t>
  </si>
  <si>
    <t>Transportasi dan perjalanan</t>
  </si>
  <si>
    <t>Trasnportation and traveling</t>
  </si>
  <si>
    <t>Bahan bakar mobil</t>
  </si>
  <si>
    <t>Tol dan parkir</t>
  </si>
  <si>
    <t>Toll &amp; parking</t>
  </si>
  <si>
    <t>Akomodasi</t>
  </si>
  <si>
    <t>Transportasi umum</t>
  </si>
  <si>
    <t>Public transportation</t>
  </si>
  <si>
    <t>Sewa kendaraan</t>
  </si>
  <si>
    <t>Vehicle rent</t>
  </si>
  <si>
    <t>Pos dan telekomunikasi</t>
  </si>
  <si>
    <t>Post and telecomunication</t>
  </si>
  <si>
    <t>Telpon dan fax</t>
  </si>
  <si>
    <t>Telephone and faxs</t>
  </si>
  <si>
    <t>Pengiriman surat</t>
  </si>
  <si>
    <t>Mail</t>
  </si>
  <si>
    <t>Pengiriman barang</t>
  </si>
  <si>
    <t>Shipping</t>
  </si>
  <si>
    <t>Perbaikan dan pemeliharaan</t>
  </si>
  <si>
    <t>Repair and maintenance</t>
  </si>
  <si>
    <t>Tanah dan gedung</t>
  </si>
  <si>
    <t>Land and building</t>
  </si>
  <si>
    <t>Mesin &amp; peralatan</t>
  </si>
  <si>
    <t>Mechine and equipment</t>
  </si>
  <si>
    <t>Mebeler dan perlengkapan</t>
  </si>
  <si>
    <t>Mebelair and fixture</t>
  </si>
  <si>
    <t>Buku dan materi perpustakaan</t>
  </si>
  <si>
    <t>Books and material library</t>
  </si>
  <si>
    <t>Listrik  &amp; air</t>
  </si>
  <si>
    <t>Electrycity and water</t>
  </si>
  <si>
    <t xml:space="preserve">Listrik </t>
  </si>
  <si>
    <t>Electric</t>
  </si>
  <si>
    <t>Solar disel</t>
  </si>
  <si>
    <t>Fuel for disel</t>
  </si>
  <si>
    <t>Air</t>
  </si>
  <si>
    <t>Water</t>
  </si>
  <si>
    <t>Sumbangan, iuran &amp; pajak</t>
  </si>
  <si>
    <t>Contribution, dues &amp; taxes</t>
  </si>
  <si>
    <t>Contribution</t>
  </si>
  <si>
    <t>Hadiah</t>
  </si>
  <si>
    <t>Dues</t>
  </si>
  <si>
    <t>Pajak</t>
  </si>
  <si>
    <t>Taxes</t>
  </si>
  <si>
    <t>Legal dan profesional</t>
  </si>
  <si>
    <t>Legal and professional</t>
  </si>
  <si>
    <t>Permit and registration</t>
  </si>
  <si>
    <t>Notaris</t>
  </si>
  <si>
    <t>Notary public</t>
  </si>
  <si>
    <t>Konsultan dan Auditor</t>
  </si>
  <si>
    <t>Consultan and auditor</t>
  </si>
  <si>
    <t>Honorarium pembicara</t>
  </si>
  <si>
    <t>Speaker honorarium</t>
  </si>
  <si>
    <t>Harga pokok penjualan</t>
  </si>
  <si>
    <t>Cost of good sold</t>
  </si>
  <si>
    <t>Buku santri</t>
  </si>
  <si>
    <t>Student books</t>
  </si>
  <si>
    <t>Seragam santri</t>
  </si>
  <si>
    <t>Student uniform</t>
  </si>
  <si>
    <t>Warung telekomunikasi</t>
  </si>
  <si>
    <t>CG3</t>
  </si>
  <si>
    <t>CG4</t>
  </si>
  <si>
    <t>CG5</t>
  </si>
  <si>
    <t>CG6</t>
  </si>
  <si>
    <t>CG7</t>
  </si>
  <si>
    <t>CG8</t>
  </si>
  <si>
    <t>Totals</t>
  </si>
  <si>
    <t>mtw</t>
  </si>
  <si>
    <t>ila</t>
  </si>
  <si>
    <t>sl</t>
  </si>
  <si>
    <t>ma</t>
  </si>
  <si>
    <t>TANAH</t>
  </si>
  <si>
    <t>PIAT 6</t>
  </si>
  <si>
    <t>CK030124</t>
  </si>
  <si>
    <t>K010124</t>
  </si>
  <si>
    <t>CK</t>
  </si>
  <si>
    <t>GEDUNG KELAS</t>
  </si>
  <si>
    <t>1 UNIT</t>
  </si>
  <si>
    <t>Gedung Kelas</t>
  </si>
  <si>
    <t>RUMAH GURU</t>
  </si>
  <si>
    <t>2 UNIT</t>
  </si>
  <si>
    <t>MASJID</t>
  </si>
  <si>
    <t>TEMPAT WUDHU + 9 KAMAR MANDI</t>
  </si>
  <si>
    <t>MATH'AM</t>
  </si>
  <si>
    <t>POS SATPAM</t>
  </si>
  <si>
    <t>KAKI TANDON AIR BETON</t>
  </si>
  <si>
    <t>Laptop Dell-3443 (operator MTs)</t>
  </si>
  <si>
    <t>Printer Epson L120</t>
  </si>
  <si>
    <t>PC Waka Kurikulum</t>
  </si>
  <si>
    <t>Printer Canon G2010</t>
  </si>
  <si>
    <t>Printer Laserjet LBP6030</t>
  </si>
  <si>
    <t>4 UNIT</t>
  </si>
  <si>
    <t>LED TV 43'</t>
  </si>
  <si>
    <t>Monitor LG 19'</t>
  </si>
  <si>
    <t>10 PC core i3 (Lab. Komp.)</t>
  </si>
  <si>
    <t>10 UNIT</t>
  </si>
  <si>
    <t>Laptop Asus M509BA</t>
  </si>
  <si>
    <t>Proyektor Epson EX500 + perangkat LAN</t>
  </si>
  <si>
    <t>PRINTER EPSON L3110</t>
  </si>
  <si>
    <t>1 SET</t>
  </si>
  <si>
    <t>PC + UPS MAKSOF</t>
  </si>
  <si>
    <t>LAPTOP DAN PRINTER</t>
  </si>
  <si>
    <t>PC MAKSOF</t>
  </si>
  <si>
    <t>PC RUANG GURU</t>
  </si>
  <si>
    <t>LAPTOP MUDIR</t>
  </si>
  <si>
    <t>LAPTOP KABID KEUANGAN</t>
  </si>
  <si>
    <t>Printer Mudir (EPSON L3210)</t>
  </si>
  <si>
    <t>komputer Staf media</t>
  </si>
  <si>
    <t>CCTV ASRAMA 2</t>
  </si>
  <si>
    <t>12 UNIT</t>
  </si>
  <si>
    <t>Lensa Kamera (MEDIA)</t>
  </si>
  <si>
    <t>Kamera dan Tripod</t>
  </si>
  <si>
    <t>Tambahan CCTV Asrama</t>
  </si>
  <si>
    <t>UPS (PROLINK)</t>
  </si>
  <si>
    <t>APLIKASI KASIR</t>
  </si>
  <si>
    <t>Maqsof &amp; Dapur</t>
  </si>
  <si>
    <t>HP POCO F3 8/128</t>
  </si>
  <si>
    <t>HP HUMAS</t>
  </si>
  <si>
    <t>HP KESANTRIAN</t>
  </si>
  <si>
    <t>PC New ComputernCore i5Gen 4 + Monitor LG 19 in</t>
  </si>
  <si>
    <t>Ruang Guru</t>
  </si>
  <si>
    <t>PC New ComputernCore i5Gen 4 + Samsung 22 in</t>
  </si>
  <si>
    <t>PC New ComputernCore i5Gen 10 + Monitor Fhilip 22 in</t>
  </si>
  <si>
    <t>Lab komputer</t>
  </si>
  <si>
    <t>PC New ComputernCore i3Gen 4 + Lg 19 in</t>
  </si>
  <si>
    <t>14 UNIT</t>
  </si>
  <si>
    <t>PC Kamad</t>
  </si>
  <si>
    <t>Speaker Portable + Mic wireless</t>
  </si>
  <si>
    <t>PC EDITING</t>
  </si>
  <si>
    <t>SOFTWARE SIPOND</t>
  </si>
  <si>
    <t>PC STAF KEPENGASUHAN</t>
  </si>
  <si>
    <t>SERVER MTS PIA NET</t>
  </si>
  <si>
    <t>Mesin Pemotong rumput</t>
  </si>
  <si>
    <t>Water boiler 25L</t>
  </si>
  <si>
    <t>AIR COOLER</t>
  </si>
  <si>
    <t>JET CLEANER</t>
  </si>
  <si>
    <t>MESIN BLOWER LAUNDRY</t>
  </si>
  <si>
    <t>Stand Fan</t>
  </si>
  <si>
    <t>Lemari Arsip TU</t>
  </si>
  <si>
    <t>Kipas orbital asrama</t>
  </si>
  <si>
    <t>Kipas angin kantor</t>
  </si>
  <si>
    <t>Jam waktu sholat</t>
  </si>
  <si>
    <t>TOA asrama</t>
  </si>
  <si>
    <t>Timbangan laundry</t>
  </si>
  <si>
    <t>Kipas asrama</t>
  </si>
  <si>
    <t>KIPAS REGENCY MASJID</t>
  </si>
  <si>
    <t>KIPAS KELAS</t>
  </si>
  <si>
    <t>TABUNG OKSIGEN UKS</t>
  </si>
  <si>
    <t>MESIN ABSEN</t>
  </si>
  <si>
    <t>MESIN BEL OTOMATIS</t>
  </si>
  <si>
    <t>INSTALASI BEL OTOMATIS</t>
  </si>
  <si>
    <t>KIPAS ASRAMA</t>
  </si>
  <si>
    <t>SHOWCASE MAKSOF</t>
  </si>
  <si>
    <t>PERALATAN LAUNDRY</t>
  </si>
  <si>
    <t>CELLING FUN</t>
  </si>
  <si>
    <t>MESIN HITUNG UANG</t>
  </si>
  <si>
    <t>KIPAS ORBIT ASRAMA</t>
  </si>
  <si>
    <t>Penyesuain IT dan mesin</t>
  </si>
  <si>
    <t>3 UNIT</t>
  </si>
  <si>
    <t>kompor rumah dinas</t>
  </si>
  <si>
    <t>mic imam masjid</t>
  </si>
  <si>
    <t>21 unit</t>
  </si>
  <si>
    <t xml:space="preserve">Kipas Angin </t>
  </si>
  <si>
    <t>K260424</t>
  </si>
  <si>
    <t>K. Guru Bujang</t>
  </si>
  <si>
    <t>AC Perpustakaan</t>
  </si>
  <si>
    <t>Inventaris Math'am</t>
  </si>
  <si>
    <t>Kompor Cor</t>
  </si>
  <si>
    <t>Peralatan dapur</t>
  </si>
  <si>
    <t>EXHAUST DAPUR KDK</t>
  </si>
  <si>
    <t>SHOWCASE</t>
  </si>
  <si>
    <t>OVEN DAPUR</t>
  </si>
  <si>
    <t>Gas Open Burner Getra</t>
  </si>
  <si>
    <t>Gas deep Fryer GETRA</t>
  </si>
  <si>
    <t>AC DAIKIN</t>
  </si>
  <si>
    <t>3 Unit</t>
  </si>
  <si>
    <t>KURSI RAPAT</t>
  </si>
  <si>
    <t>KURSI SUSUN</t>
  </si>
  <si>
    <t>20 UNIT</t>
  </si>
  <si>
    <t>Kursi Direktur Yayasan</t>
  </si>
  <si>
    <t>1 unit</t>
  </si>
  <si>
    <t>Meja Model Working Table  UK:100x75x55 cm</t>
  </si>
  <si>
    <t>Meja Model Working Table  UK ;150x60x85 cm</t>
  </si>
  <si>
    <t>Double Bowl Sink Table Uk:160x60x85 cm</t>
  </si>
  <si>
    <t>Singel Bowl Sink Table Uk:160x60x86 cm</t>
  </si>
  <si>
    <t>Meja Model Working Table Uk:180x90x85 cm</t>
  </si>
  <si>
    <t>KURSI KANTOR</t>
  </si>
  <si>
    <t>SOFA RUANG TAMU MUDIR</t>
  </si>
  <si>
    <t>FILLING CABINET</t>
  </si>
  <si>
    <t>Penyesuaian Furnitur</t>
  </si>
  <si>
    <t>Rak Perpustakaan</t>
  </si>
  <si>
    <t>Perpustaan</t>
  </si>
  <si>
    <t>KASUR SANTRI</t>
  </si>
  <si>
    <t>40 UNIT</t>
  </si>
  <si>
    <t>KASUR RUMAH USTADZ</t>
  </si>
  <si>
    <t>6 UNIT</t>
  </si>
  <si>
    <t>KASUR RUMAH TAMU</t>
  </si>
  <si>
    <t>KASUR + RANJANG</t>
  </si>
  <si>
    <t>RANJANG</t>
  </si>
  <si>
    <t>Ranjang Asrama</t>
  </si>
  <si>
    <t>50 unit</t>
  </si>
  <si>
    <t>90 unit</t>
  </si>
  <si>
    <t>Bantal Guling</t>
  </si>
  <si>
    <t>KASUR ASATIDZ</t>
  </si>
  <si>
    <t>LEMARI ARSIP KEPENGASUHAN</t>
  </si>
  <si>
    <t>RING BASKET</t>
  </si>
  <si>
    <t>LEMARI SANTRI</t>
  </si>
  <si>
    <t>TERALIS KELAS</t>
  </si>
  <si>
    <t>JEMURAN ASRAMA</t>
  </si>
  <si>
    <t>LEMARI ASRAMA</t>
  </si>
  <si>
    <t>BANGKU SISWA</t>
  </si>
  <si>
    <t>MEJA GURU</t>
  </si>
  <si>
    <t>MADING ASRAMA</t>
  </si>
  <si>
    <t>Bangku Kursi Kelas</t>
  </si>
  <si>
    <t>110 unit</t>
  </si>
  <si>
    <t>RAK DAPUR</t>
  </si>
  <si>
    <t>Peralatan Katering</t>
  </si>
  <si>
    <t>1 set</t>
  </si>
  <si>
    <t>Piring Stainlis Dapur</t>
  </si>
  <si>
    <t>60 pcs</t>
  </si>
  <si>
    <t>GORDEN KANTOR YAYASAN</t>
  </si>
  <si>
    <t>Lemari Kepengasuhan</t>
  </si>
  <si>
    <t>Spon Ustadz Habib</t>
  </si>
  <si>
    <t>FURNITUR</t>
  </si>
  <si>
    <t>Overshelf 3 Level uk:173x29x95 cm</t>
  </si>
  <si>
    <t>kipas angin dan kaca rumah dinas</t>
  </si>
  <si>
    <t>GORDEN</t>
  </si>
  <si>
    <t>MOBIL APV 2005</t>
  </si>
  <si>
    <t>1UNIT</t>
  </si>
  <si>
    <t>MOTOR BEAT</t>
  </si>
  <si>
    <t>INFRASTRUKTUR/INFRASTRUCTURE</t>
  </si>
  <si>
    <t>Infrastruktur Jalan / Infrastructure - Road</t>
  </si>
  <si>
    <t>Infrastruktur Selokan/ Infrastructure - Sewerage</t>
  </si>
  <si>
    <t xml:space="preserve"> paving</t>
  </si>
  <si>
    <t>Paving</t>
  </si>
  <si>
    <t>Infrastruktur Taman / Infrastructure -  Garden</t>
  </si>
  <si>
    <t>PAVING JALAN MASUK</t>
  </si>
  <si>
    <t>TAMAN MASUK</t>
  </si>
  <si>
    <t>PAVING RUMAH DINAS</t>
  </si>
  <si>
    <t xml:space="preserve">TAMAN </t>
  </si>
  <si>
    <t>TAMAN</t>
  </si>
  <si>
    <t>Infrastruktur Lapangan / Infrastructure - Field</t>
  </si>
  <si>
    <t>LAMPU GOR</t>
  </si>
  <si>
    <t>2 SET</t>
  </si>
  <si>
    <t>GERBANG GOR</t>
  </si>
  <si>
    <t>CAT GARIS GOR</t>
  </si>
  <si>
    <t>GAWANG BESAR</t>
  </si>
  <si>
    <t>GAWANG FUTSAL</t>
  </si>
  <si>
    <t>PANAHAN SANTRI</t>
  </si>
  <si>
    <t>Infrastruktur Fasilitas Umum / Infrastructure - Public Facilities</t>
  </si>
  <si>
    <t>KACA FILM KELAS BARU</t>
  </si>
  <si>
    <t>PERALATAN LAB IPA</t>
  </si>
  <si>
    <t>INFRASTUKTUR</t>
  </si>
  <si>
    <t>SIPON</t>
  </si>
  <si>
    <t>penyesuiaan infrastruktur</t>
  </si>
  <si>
    <t>BOR</t>
  </si>
  <si>
    <t>TOTAL INFRASTRUKTUR</t>
  </si>
  <si>
    <t>PESANTREN ISLAM AL IRSYAD TENGARAN 6 BONDOWOSO</t>
  </si>
  <si>
    <t>TENGARAN 6 - BONDOWOSO</t>
  </si>
  <si>
    <t>Kas Maksof</t>
  </si>
  <si>
    <t>Giro Bank Muamalat Indonesia</t>
  </si>
  <si>
    <t xml:space="preserve">Bank Muamalat Indonesia (BMI) </t>
  </si>
  <si>
    <t>BMI Yayasan</t>
  </si>
  <si>
    <t>Bank Syariah Indonesia (BSI)</t>
  </si>
  <si>
    <t>INDRA PUJIANTO</t>
  </si>
  <si>
    <t>MUHAMMAD ROMLI</t>
  </si>
  <si>
    <t>BENI SETIAWAN</t>
  </si>
  <si>
    <t>NANANG SUGIANTO</t>
  </si>
  <si>
    <t>MAHMUD</t>
  </si>
  <si>
    <t>EDY SUHARTONO</t>
  </si>
  <si>
    <t>UMAR</t>
  </si>
  <si>
    <t>HIDAYAT NUR MAULANA</t>
  </si>
  <si>
    <r>
      <t>PIUTANG LAIN - USAHA PELENGKAP /</t>
    </r>
    <r>
      <rPr>
        <b/>
        <i/>
        <sz val="10"/>
        <rFont val="Times New Roman"/>
        <family val="1"/>
      </rPr>
      <t xml:space="preserve"> AUXILIARY ENTERPISES OTHER RECEIVABLE</t>
    </r>
  </si>
  <si>
    <t>Piutang Operasional Yayasan</t>
  </si>
  <si>
    <r>
      <t>PIUTANG YAYASAN /</t>
    </r>
    <r>
      <rPr>
        <b/>
        <i/>
        <sz val="10"/>
        <color rgb="FFFF0000"/>
        <rFont val="Times New Roman"/>
        <family val="1"/>
      </rPr>
      <t xml:space="preserve"> INTITUTION RECEIVABLE</t>
    </r>
  </si>
  <si>
    <t>Daftar Ulang Atas Nama Ali Albar</t>
  </si>
  <si>
    <t>Cek Masuk BMI Yayasan</t>
  </si>
  <si>
    <t xml:space="preserve">Lain-Lain </t>
  </si>
  <si>
    <t>Sewa Rumah</t>
  </si>
  <si>
    <t xml:space="preserve">Gedung Asrama </t>
  </si>
  <si>
    <t>Gedung Dapur</t>
  </si>
  <si>
    <t>Gedung UKS</t>
  </si>
  <si>
    <t>Titipan Operasional Yayasan</t>
  </si>
  <si>
    <t>Dana gedung santri TP.24/25</t>
  </si>
  <si>
    <t>Dana gedung santri TP.25/26</t>
  </si>
  <si>
    <t>Lembaga sosial (Yayasan)</t>
  </si>
  <si>
    <t>PSB &amp; PWSB</t>
  </si>
  <si>
    <t>kunjungan pusat &amp; TOT</t>
  </si>
  <si>
    <t>USB Lan 3.0</t>
  </si>
  <si>
    <t>HUMAS</t>
  </si>
  <si>
    <t>Bola Mitre ML</t>
  </si>
  <si>
    <t>K760524</t>
  </si>
  <si>
    <t>K1050524</t>
  </si>
  <si>
    <t>CERMIN</t>
  </si>
  <si>
    <t>KAMAR MANDI ASATIDZ</t>
  </si>
  <si>
    <t>ASRAMA</t>
  </si>
  <si>
    <t xml:space="preserve">Ranjang </t>
  </si>
  <si>
    <t>K060524</t>
  </si>
  <si>
    <t>Gedung Masjid</t>
  </si>
  <si>
    <t>FingerPrint</t>
  </si>
  <si>
    <t>Kantor Guru</t>
  </si>
  <si>
    <t>Tempat Sampah Botol Plastik</t>
  </si>
  <si>
    <t>Bank Muamalat Indonesia (BMI)</t>
  </si>
  <si>
    <t>BMI YAYASAN</t>
  </si>
  <si>
    <t>Bank Syariah Indonesia - BSI</t>
  </si>
  <si>
    <t>Bank Muamalat III</t>
  </si>
  <si>
    <t>Bank Tabungan Negara</t>
  </si>
  <si>
    <t>Bank Cimb Niaga</t>
  </si>
  <si>
    <t>Internet MTS</t>
  </si>
  <si>
    <t>Operasional Yayasan</t>
  </si>
  <si>
    <t>Equipment - Office</t>
  </si>
  <si>
    <t>Interest BTN</t>
  </si>
  <si>
    <t>Interest BMT Sumber Usaha</t>
  </si>
  <si>
    <t>Rp1.300.000,00cr</t>
  </si>
  <si>
    <t>DFO Operasional Yayasan</t>
  </si>
  <si>
    <t>DFO Schoolarship Fund</t>
  </si>
  <si>
    <t>Rp1.274.465.697,63cr</t>
  </si>
  <si>
    <t>Rp1.274.465.698,00cr</t>
  </si>
  <si>
    <t>Rp1.274.465.697,00cr</t>
  </si>
  <si>
    <t>Rp1.438.749.776,00cr</t>
  </si>
  <si>
    <t>Rp1.993.901.012,00cr</t>
  </si>
  <si>
    <t>TR FA Cholid B Previous Year</t>
  </si>
  <si>
    <t>TR FA M Harhara Previous Year</t>
  </si>
  <si>
    <t>TR FA PP Al Irsy Previous Year</t>
  </si>
  <si>
    <t>TR FA Masjid PI Previous Year</t>
  </si>
  <si>
    <t>Land from Yayasan</t>
  </si>
  <si>
    <t>Rp3.359.970.000,00cr</t>
  </si>
  <si>
    <t>Gedung&amp;Bangunan</t>
  </si>
  <si>
    <t>Rp3.078.093.087,00cr</t>
  </si>
  <si>
    <t>GT</t>
  </si>
  <si>
    <r>
      <rPr>
        <b/>
        <sz val="11"/>
        <rFont val="Times New Roman"/>
        <family val="1"/>
      </rPr>
      <t>LAMPIRAN 12 /</t>
    </r>
    <r>
      <rPr>
        <b/>
        <i/>
        <sz val="11"/>
        <rFont val="Times New Roman"/>
        <family val="1"/>
      </rPr>
      <t xml:space="preserve"> APPENDIX 12</t>
    </r>
  </si>
  <si>
    <t>LAPORAN POSISI KEUANGAN USAHA PELENGKAP</t>
  </si>
  <si>
    <t>STATEMETS OF AUXILIARY ENTERPRISES FINANCIAL POSITION</t>
  </si>
  <si>
    <t xml:space="preserve">Aset </t>
  </si>
  <si>
    <t>Current assets</t>
  </si>
  <si>
    <t xml:space="preserve">Kas </t>
  </si>
  <si>
    <t>Cash</t>
  </si>
  <si>
    <t>Kas kecil</t>
  </si>
  <si>
    <t>Petty cash</t>
  </si>
  <si>
    <t>Piutang usaha - bersih</t>
  </si>
  <si>
    <t>Other receivable - net</t>
  </si>
  <si>
    <t>Advance payment</t>
  </si>
  <si>
    <t>Biaya ditangguhkan</t>
  </si>
  <si>
    <t>Deffered expense</t>
  </si>
  <si>
    <t>Total current assets</t>
  </si>
  <si>
    <t>Non current assets</t>
  </si>
  <si>
    <t>Penyertaan modal</t>
  </si>
  <si>
    <t>Invesment</t>
  </si>
  <si>
    <t>Acquisition</t>
  </si>
  <si>
    <t>Total non current assets</t>
  </si>
  <si>
    <t>Total assets</t>
  </si>
  <si>
    <t>Liabilitas dan Ekuitas</t>
  </si>
  <si>
    <t>Liabilities and net assets</t>
  </si>
  <si>
    <t>Current liabilities</t>
  </si>
  <si>
    <t>Hutang usaha</t>
  </si>
  <si>
    <t>Deposit payble</t>
  </si>
  <si>
    <t>Other payble</t>
  </si>
  <si>
    <t>Unearned revenue</t>
  </si>
  <si>
    <t>Uang muka penjualan</t>
  </si>
  <si>
    <t>Advance sales</t>
  </si>
  <si>
    <t>Total current liabilities</t>
  </si>
  <si>
    <t>Non current liabilities</t>
  </si>
  <si>
    <t xml:space="preserve">Pinjaman jangka panjang </t>
  </si>
  <si>
    <t>Long term loan - PIA</t>
  </si>
  <si>
    <t>Total non current liabilities</t>
  </si>
  <si>
    <t xml:space="preserve">Jumlah Liabilitas </t>
  </si>
  <si>
    <t>Total liabilities</t>
  </si>
  <si>
    <t>Ekuitas</t>
  </si>
  <si>
    <t>Laba ( rugi ) tahun tahun sebelumnya</t>
  </si>
  <si>
    <t>Net income ( loss ) for previous years</t>
  </si>
  <si>
    <t>Laba (Rugi) Tahun 22/23</t>
  </si>
  <si>
    <t>Operational reserve 2003 - 2008</t>
  </si>
  <si>
    <t>Laba (Rugi) Tahun 23/24</t>
  </si>
  <si>
    <t>Net income ( loss ) up to June '08</t>
  </si>
  <si>
    <t>Laba (Rugi) Tahun 24/25</t>
  </si>
  <si>
    <t>Net income ( loss )2009</t>
  </si>
  <si>
    <t>Laba (Rugi) Tahun 25/26</t>
  </si>
  <si>
    <t>Net income (loss)  2010</t>
  </si>
  <si>
    <t>Laba (Rugi) Tahun 26/27</t>
  </si>
  <si>
    <t>Net income (loss) 2011</t>
  </si>
  <si>
    <t>Profit sharing</t>
  </si>
  <si>
    <t>Bulan - bulan sebelumnya</t>
  </si>
  <si>
    <t>July - previous month</t>
  </si>
  <si>
    <t>Bulan berjalan</t>
  </si>
  <si>
    <t>Current month</t>
  </si>
  <si>
    <t>Pembagian SHU &amp; Alokasi biaya Juli - Des 2013</t>
  </si>
  <si>
    <t>Profit sharing &amp; expenses allocation July - Dec 2013</t>
  </si>
  <si>
    <t>Jumlah ekuitas</t>
  </si>
  <si>
    <t xml:space="preserve">Total equity </t>
  </si>
  <si>
    <t>Jumlah Liabilitas dan ekuitas</t>
  </si>
  <si>
    <t>Total liabilities and equity</t>
  </si>
  <si>
    <t>YAYASAN AN NAWAWI - ENAM MART (E-MART)</t>
  </si>
  <si>
    <t>Jl Raya Situbondo km 8 Kec Wonosari, Bondowoso, Jawa Timur</t>
  </si>
  <si>
    <t xml:space="preserve">LAPORAN PENDAPATAN DAN BIAYA </t>
  </si>
  <si>
    <t>Nama Akun</t>
  </si>
  <si>
    <t>Periode</t>
  </si>
  <si>
    <t>PENDAPATAN</t>
  </si>
  <si>
    <t>Total Penjualan</t>
  </si>
  <si>
    <t>HARGA POKOK PENJUALAN</t>
  </si>
  <si>
    <t>Jumlah HPP</t>
  </si>
  <si>
    <t>Laba Kotor</t>
  </si>
  <si>
    <t>BIAYA - BIAYA</t>
  </si>
  <si>
    <t>Beban Adm Bank</t>
  </si>
  <si>
    <t>Beban Pajak Bank</t>
  </si>
  <si>
    <t>TOTAL BIAYA</t>
  </si>
  <si>
    <t>LABA BERSIH</t>
  </si>
  <si>
    <t>LAPORAN POSISI KEUANGAN / NERACA (DETAIL)</t>
  </si>
  <si>
    <t>AKUN</t>
  </si>
  <si>
    <t>Jumlah Aset Tak Lancar</t>
  </si>
  <si>
    <t>Total Aset</t>
  </si>
  <si>
    <t>Jumlah Liabilitas tak lancar</t>
  </si>
  <si>
    <t>Total Liabilitas</t>
  </si>
  <si>
    <t>Total Ekuitas / Modal</t>
  </si>
  <si>
    <t>Total Modal dan Ekuitas</t>
  </si>
  <si>
    <t>Kas Kantin 6 Mart</t>
  </si>
  <si>
    <t>BMI 6 Mart</t>
  </si>
  <si>
    <t>Piutang Dagang 6 Mart</t>
  </si>
  <si>
    <t>Piutang Karyawan</t>
  </si>
  <si>
    <t>Piutang lain-lain</t>
  </si>
  <si>
    <t>Kantin 6 Mart</t>
  </si>
  <si>
    <t>Toko Tomi</t>
  </si>
  <si>
    <t>Tanah (Hibah)</t>
  </si>
  <si>
    <t>PIA</t>
  </si>
  <si>
    <t>Akta Hibah</t>
  </si>
  <si>
    <t>Inventaris PIAT 2</t>
  </si>
  <si>
    <t>RINCIAN NERACA KONSOLIDASI</t>
  </si>
  <si>
    <t>DETAIL OF CONSOLIDATION BALANCE SHEET</t>
  </si>
  <si>
    <t>Usaha</t>
  </si>
  <si>
    <t>Pendidikan</t>
  </si>
  <si>
    <t>Eleminasi</t>
  </si>
  <si>
    <t>Neraca Konsolidasi</t>
  </si>
  <si>
    <t>Auxiliary Enterprise</t>
  </si>
  <si>
    <t>Education</t>
  </si>
  <si>
    <t>Elemination</t>
  </si>
  <si>
    <t>Consolidation Balance Sheet</t>
  </si>
  <si>
    <t>Tidak terikat</t>
  </si>
  <si>
    <t>Bantuan</t>
  </si>
  <si>
    <t>Rp584.658,33cr</t>
  </si>
  <si>
    <t>3-4112</t>
  </si>
  <si>
    <t>CCTv</t>
  </si>
  <si>
    <t>Asrama</t>
  </si>
  <si>
    <t>Vacum cleaner</t>
  </si>
  <si>
    <t>Masjid</t>
  </si>
  <si>
    <t>k700624</t>
  </si>
  <si>
    <t>Ranjang</t>
  </si>
  <si>
    <t>jm030624</t>
  </si>
  <si>
    <t>guru, tamu</t>
  </si>
  <si>
    <t>Karpet</t>
  </si>
  <si>
    <t>Perpus</t>
  </si>
  <si>
    <t>Titipan Daftar Ulang santri</t>
  </si>
  <si>
    <t>PESANTREN ISLAM AL-IRSYAD TENGARAN 6 BONDOWOSO</t>
  </si>
  <si>
    <t>PIAT 6 BONDOWOSO</t>
  </si>
  <si>
    <t>Jl. Raya Situbondo Km.08 Wonosari</t>
  </si>
  <si>
    <t>Bondowoso</t>
  </si>
  <si>
    <r>
      <t xml:space="preserve">Kelas VII / </t>
    </r>
    <r>
      <rPr>
        <b/>
        <i/>
        <sz val="9"/>
        <rFont val="Times New Roman"/>
        <family val="1"/>
      </rPr>
      <t>Class VII</t>
    </r>
  </si>
  <si>
    <t>MTW VII</t>
  </si>
  <si>
    <r>
      <t xml:space="preserve">Kelas VIII / </t>
    </r>
    <r>
      <rPr>
        <b/>
        <i/>
        <sz val="9"/>
        <rFont val="Times New Roman"/>
        <family val="1"/>
      </rPr>
      <t>Class VIII</t>
    </r>
  </si>
  <si>
    <t>MTW VIII</t>
  </si>
  <si>
    <r>
      <t xml:space="preserve">Kelas IX / </t>
    </r>
    <r>
      <rPr>
        <b/>
        <i/>
        <sz val="9"/>
        <rFont val="Times New Roman"/>
        <family val="1"/>
      </rPr>
      <t>Class IX</t>
    </r>
  </si>
  <si>
    <t>MTW IX</t>
  </si>
  <si>
    <r>
      <t xml:space="preserve">Kelas X / </t>
    </r>
    <r>
      <rPr>
        <b/>
        <i/>
        <sz val="9"/>
        <rFont val="Times New Roman"/>
        <family val="1"/>
      </rPr>
      <t>Class X</t>
    </r>
  </si>
  <si>
    <t>IM X</t>
  </si>
  <si>
    <r>
      <t xml:space="preserve">Kelas XI / </t>
    </r>
    <r>
      <rPr>
        <b/>
        <i/>
        <sz val="9"/>
        <rFont val="Times New Roman"/>
        <family val="1"/>
      </rPr>
      <t>Class XI</t>
    </r>
  </si>
  <si>
    <t>IM XI</t>
  </si>
  <si>
    <r>
      <t xml:space="preserve">Kelas XII / </t>
    </r>
    <r>
      <rPr>
        <b/>
        <i/>
        <sz val="9"/>
        <rFont val="Times New Roman"/>
        <family val="1"/>
      </rPr>
      <t>Class XII</t>
    </r>
  </si>
  <si>
    <t>IM XII</t>
  </si>
  <si>
    <t>Kelas XII / Class XII</t>
  </si>
  <si>
    <t>PIAT</t>
  </si>
  <si>
    <r>
      <t xml:space="preserve">TITIPAN SANTRI / </t>
    </r>
    <r>
      <rPr>
        <b/>
        <i/>
        <sz val="9"/>
        <rFont val="Times New Roman"/>
        <family val="1"/>
      </rPr>
      <t>STUDENT RECEIVABLE</t>
    </r>
  </si>
  <si>
    <t>Jumlah MTW / Total SHS</t>
  </si>
  <si>
    <t>RIZAL JIBRAN</t>
  </si>
  <si>
    <r>
      <t xml:space="preserve">LAPORAN KEUANGAN / </t>
    </r>
    <r>
      <rPr>
        <b/>
        <i/>
        <sz val="16"/>
        <color indexed="9"/>
        <rFont val="Times New Roman"/>
        <family val="1"/>
      </rPr>
      <t>FINANCIAL STATEMENTS</t>
    </r>
  </si>
  <si>
    <t>Laptop</t>
  </si>
  <si>
    <t>Yayasan</t>
  </si>
  <si>
    <t>CK040724</t>
  </si>
  <si>
    <t>Laptop Asus</t>
  </si>
  <si>
    <t>Laptop Lenovo</t>
  </si>
  <si>
    <t>Kabid RT</t>
  </si>
  <si>
    <t>Kabid Kepengasuhan</t>
  </si>
  <si>
    <t xml:space="preserve">HP NOKIA </t>
  </si>
  <si>
    <t>HP Redmi</t>
  </si>
  <si>
    <t>AC Ruang: mudir, yayasan, dan Rapat</t>
  </si>
  <si>
    <t>Aplikasi BK</t>
  </si>
  <si>
    <t>Samsak &amp; Restok</t>
  </si>
  <si>
    <t>K050724</t>
  </si>
  <si>
    <t>Kursi Guru</t>
  </si>
  <si>
    <t>K580724</t>
  </si>
  <si>
    <t>Meja Kursi Kelas</t>
  </si>
  <si>
    <t>Kelas</t>
  </si>
  <si>
    <t>JM050724</t>
  </si>
  <si>
    <t>Lemari Asrama</t>
  </si>
  <si>
    <t>Kasur &amp; Bantal</t>
  </si>
  <si>
    <t>Pagar</t>
  </si>
  <si>
    <t>AC</t>
  </si>
  <si>
    <t>B010724</t>
  </si>
  <si>
    <t>Projektor EB X500</t>
  </si>
  <si>
    <t>B020724</t>
  </si>
  <si>
    <t>Cost Adminitration</t>
  </si>
  <si>
    <t>Student deposit BIMBEL</t>
  </si>
  <si>
    <t>Fandi Azwana Ibrahim</t>
  </si>
  <si>
    <t>Muadz Faisal Habasy</t>
  </si>
  <si>
    <t>Muhammad Alief Puji Septianto</t>
  </si>
  <si>
    <t>Muhammad Zahid Azka</t>
  </si>
  <si>
    <t>Aulia Laisy Yusuf Cokrokusumo</t>
  </si>
  <si>
    <t>Nabil Banawir</t>
  </si>
  <si>
    <t>Tsagif</t>
  </si>
  <si>
    <t>AHMAD SAFARAZ</t>
  </si>
  <si>
    <t>ARJUNA PUTRA RHAMADAN</t>
  </si>
  <si>
    <t>MOH RAYHAN BAWAZIER</t>
  </si>
  <si>
    <t>MUHAMMAD AYYASH FARID BARMEN</t>
  </si>
  <si>
    <t>SALMAN MUADZ BANAWIR</t>
  </si>
  <si>
    <t>UMAR AL MASHUR</t>
  </si>
  <si>
    <t>YUSUF AKMAL JANJWA</t>
  </si>
  <si>
    <t>Fahran Balafif</t>
  </si>
  <si>
    <t>Farhat Balafif</t>
  </si>
  <si>
    <t>Salman Bahanan</t>
  </si>
  <si>
    <t>Wildan Farid Hamadah</t>
  </si>
  <si>
    <t>Abdur Rohman</t>
  </si>
  <si>
    <t>Hilmi Fathi Rizqullah</t>
  </si>
  <si>
    <t>Ja'far Abdullah</t>
  </si>
  <si>
    <t>Muhammad Haniif Alfawwaz</t>
  </si>
  <si>
    <t>Umar Abdul Aziz</t>
  </si>
  <si>
    <t>Adam Said Bahanan</t>
  </si>
  <si>
    <t>El Yasa</t>
  </si>
  <si>
    <t>M. AHNAF AL ABID</t>
  </si>
  <si>
    <t>MUHAMMAD IMRON AL ROSYID</t>
  </si>
  <si>
    <t>Muhammad Raffa Satya</t>
  </si>
  <si>
    <t>Radhitya Pandu Siswoyo</t>
  </si>
  <si>
    <t>RAGIL KHARISMA</t>
  </si>
  <si>
    <t>ROID JAWAS</t>
  </si>
  <si>
    <t>SALMAN SYABABUL ISLAM</t>
  </si>
  <si>
    <t>Nezard Abbas</t>
  </si>
  <si>
    <t>Raihan Jawas</t>
  </si>
  <si>
    <t>Iqbal Hasan Baatwa (PINDAH)</t>
  </si>
  <si>
    <t>Fadhil Eka Kurniawan (BATAL)</t>
  </si>
  <si>
    <t>Muhammad Rayis (PINDAH)</t>
  </si>
  <si>
    <t>Mochammad Arva Zachary A (PINDAH)</t>
  </si>
  <si>
    <t>Muhammad Reza Dayyan Rismanto (PINDAH)</t>
  </si>
  <si>
    <t>Muhammad Wildan Fahrezi</t>
  </si>
  <si>
    <t>Muhammad Wildan Bawazier</t>
  </si>
  <si>
    <t>Rayyan Bin Syaeban</t>
  </si>
  <si>
    <t>IQBAL MAULANA ISHAQ</t>
  </si>
  <si>
    <t>Restu Pandhita Siswoyo</t>
  </si>
  <si>
    <t>Zhafran Nadif</t>
  </si>
  <si>
    <t>Afgan Muni Auliyah Akbar</t>
  </si>
  <si>
    <t>Izzatul Ibad</t>
  </si>
  <si>
    <t>AHMAD RADHIF WILDAN FATHURRAHMAN</t>
  </si>
  <si>
    <t>Haikal Malik Ibrahim</t>
  </si>
  <si>
    <t>Azza Dhiyaul Mu'tazz</t>
  </si>
  <si>
    <t>PESANTREN ISLAM AL-IRSYAD TENGARAN 6 BOBDOWOSO</t>
  </si>
  <si>
    <r>
      <rPr>
        <b/>
        <sz val="12"/>
        <rFont val="Times New Roman"/>
        <family val="1"/>
      </rPr>
      <t xml:space="preserve">RINCIAN ASET  TETAP  </t>
    </r>
    <r>
      <rPr>
        <b/>
        <i/>
        <sz val="12"/>
        <color rgb="FFC00000"/>
        <rFont val="Times New Roman"/>
        <family val="1"/>
      </rPr>
      <t>MAKSOF 6 MART</t>
    </r>
  </si>
  <si>
    <t>Gedung Maksof Piat 6</t>
  </si>
  <si>
    <t>Timbangan Moritz Laundry Digital (LDR)</t>
  </si>
  <si>
    <t>Setrika Uap Boiler Presto Modifikasi Laundry</t>
  </si>
  <si>
    <t>Kompor 1 Tungku (LDR)</t>
  </si>
  <si>
    <t>Jam Dinding (LDR)</t>
  </si>
  <si>
    <t>Kipas Angin Dinding/Stand (LDR)</t>
  </si>
  <si>
    <t>Mesin Cuci (LDR)</t>
  </si>
  <si>
    <t>Regulator Gas (LDR)</t>
  </si>
  <si>
    <t>Spon Alas Setrika (LDR)</t>
  </si>
  <si>
    <t>Meja Setrika Besar (LDR)</t>
  </si>
  <si>
    <t>Meja Setrika Kecil (LDR)</t>
  </si>
  <si>
    <t>Jrigen 25L (LDR)</t>
  </si>
  <si>
    <t>Gelas Ukur 2L (LDR)</t>
  </si>
  <si>
    <t>RFID Card Reader</t>
  </si>
  <si>
    <t>Showcase Putih 1 Pintu</t>
  </si>
  <si>
    <t>AC Lama</t>
  </si>
  <si>
    <t>CashDrawer</t>
  </si>
  <si>
    <t>CCTV Lama</t>
  </si>
  <si>
    <t>Bak Segi</t>
  </si>
  <si>
    <t>TP Link</t>
  </si>
  <si>
    <t>Keypad Numeric</t>
  </si>
  <si>
    <t>Kabel Perpanjangan USB</t>
  </si>
  <si>
    <t>AC Daikin</t>
  </si>
  <si>
    <t>Showcase Besar 2 Pintu</t>
  </si>
  <si>
    <t>Cikrak</t>
  </si>
  <si>
    <t>Mouse Wireless</t>
  </si>
  <si>
    <t>Bak Segi Silver</t>
  </si>
  <si>
    <t>Pompa Galon</t>
  </si>
  <si>
    <t>Stopkontak 5m</t>
  </si>
  <si>
    <t>Pembolong Kertas</t>
  </si>
  <si>
    <t>Kanebo Kecil Samurai</t>
  </si>
  <si>
    <t>Alat Pel Nagata</t>
  </si>
  <si>
    <t>Setrika Listrik Maspion (LDR)</t>
  </si>
  <si>
    <t>Kipas Angin Nachida 12" (LDR)</t>
  </si>
  <si>
    <t>Blender Philips</t>
  </si>
  <si>
    <t>Kompor Gas Rinnai 2 Tungku</t>
  </si>
  <si>
    <t>Kompor Gas Cor 2 Tungku</t>
  </si>
  <si>
    <t>Japit Kue Kecil</t>
  </si>
  <si>
    <t>Wajan 40FN</t>
  </si>
  <si>
    <t>Wajan 38FN</t>
  </si>
  <si>
    <t>Waskom Stainless</t>
  </si>
  <si>
    <t>Sotel</t>
  </si>
  <si>
    <t>Serok Minyak</t>
  </si>
  <si>
    <t>Alat Peras Jeruk</t>
  </si>
  <si>
    <t>Mesin Cup Sealer</t>
  </si>
  <si>
    <t>Freezer RSA CF 600</t>
  </si>
  <si>
    <t>Regulator Gas High Preasure(LDR)</t>
  </si>
  <si>
    <t>Adaptor Timbangan</t>
  </si>
  <si>
    <t>Nampan Stainless Steel 40x30cm Komodo</t>
  </si>
  <si>
    <t>Regulator Gas</t>
  </si>
  <si>
    <t>Selang Gas 6 Meter</t>
  </si>
  <si>
    <t>Piring Plastik Rotan Lusinan</t>
  </si>
  <si>
    <t>Botol Kecap Plastik Besar</t>
  </si>
  <si>
    <t>Celemek</t>
  </si>
  <si>
    <t>Dandang</t>
  </si>
  <si>
    <t>Saringan Santan</t>
  </si>
  <si>
    <t>Cabinet Mini</t>
  </si>
  <si>
    <t>Tabung Gas Melon 3 kg</t>
  </si>
  <si>
    <t>Toples 1300ml</t>
  </si>
  <si>
    <t>Ceret Lion Besar</t>
  </si>
  <si>
    <t>Gelas Ukur 1L</t>
  </si>
  <si>
    <t>Gelas Ukur 500ml</t>
  </si>
  <si>
    <t>Scanner Bprint OM200</t>
  </si>
  <si>
    <t>HP Poco M5</t>
  </si>
  <si>
    <t>Xundo Case Poco M5</t>
  </si>
  <si>
    <t>Semprotan Babyboz (PR)</t>
  </si>
  <si>
    <t>Apron (PR)</t>
  </si>
  <si>
    <t>Wahl Super Taper (PR)</t>
  </si>
  <si>
    <t>Courtier Jubah Apron (PR)</t>
  </si>
  <si>
    <t>Kemei Hair Clipper (PR)</t>
  </si>
  <si>
    <t>Gunting (PR)</t>
  </si>
  <si>
    <t>Sisir (PR)</t>
  </si>
  <si>
    <t>Brush (PR)</t>
  </si>
  <si>
    <t>Brush Besar (PR)</t>
  </si>
  <si>
    <t>Tas Alat Pangkas Rambut (PR)</t>
  </si>
  <si>
    <t>Pisau Cukur (PR)</t>
  </si>
  <si>
    <t>Jepit Rambut (PR)</t>
  </si>
  <si>
    <t>Kabel Roll Panjang</t>
  </si>
  <si>
    <t>CCTV Ezviz Baru</t>
  </si>
  <si>
    <t>Saringan Jeruk</t>
  </si>
  <si>
    <t>Keyboard Logitech</t>
  </si>
  <si>
    <t>Payung</t>
  </si>
  <si>
    <t>Keyboard Numeric</t>
  </si>
  <si>
    <t>Mouse Wireless Logitech</t>
  </si>
  <si>
    <t>Alat Pembersih Bunga Es</t>
  </si>
  <si>
    <t>Printer Kasir</t>
  </si>
  <si>
    <t>Printer PPOB</t>
  </si>
  <si>
    <t>Kipas 6 Food</t>
  </si>
  <si>
    <t>Setrika Uap</t>
  </si>
  <si>
    <t>note ust yoga</t>
  </si>
  <si>
    <t>K110224</t>
  </si>
  <si>
    <t>K180424</t>
  </si>
  <si>
    <t>Maksof</t>
  </si>
  <si>
    <r>
      <rPr>
        <b/>
        <sz val="9"/>
        <rFont val="Times New Roman"/>
        <family val="1"/>
      </rPr>
      <t xml:space="preserve">Jumlah / </t>
    </r>
    <r>
      <rPr>
        <b/>
        <i/>
        <sz val="9"/>
        <rFont val="Times New Roman"/>
        <family val="1"/>
      </rPr>
      <t>Total Equipment</t>
    </r>
  </si>
  <si>
    <r>
      <rPr>
        <b/>
        <sz val="9"/>
        <rFont val="Times New Roman"/>
        <family val="1"/>
      </rPr>
      <t xml:space="preserve">Jumlah / </t>
    </r>
    <r>
      <rPr>
        <b/>
        <i/>
        <sz val="9"/>
        <rFont val="Times New Roman"/>
        <family val="1"/>
      </rPr>
      <t>Total Gedung / Building</t>
    </r>
  </si>
  <si>
    <t>Rak Susun (LDR)</t>
  </si>
  <si>
    <t>Keranjang Pakaian (LDR)</t>
  </si>
  <si>
    <t>Keranjang Buah Bekas (LDR)</t>
  </si>
  <si>
    <t>Keranjang Pakaian Hitam (LDR)</t>
  </si>
  <si>
    <t>Rak Display Master</t>
  </si>
  <si>
    <t>Kursi Plastk Hijau Kecil</t>
  </si>
  <si>
    <t>Kursi Plastik Hijau Sedang Kasir</t>
  </si>
  <si>
    <t>Etalase Kaca Kecil</t>
  </si>
  <si>
    <t>Rak Gondola</t>
  </si>
  <si>
    <t>Rak Besi Susun Kecil</t>
  </si>
  <si>
    <t>Rak Susun Gudang + Diluar</t>
  </si>
  <si>
    <t>Meja Kasir</t>
  </si>
  <si>
    <t>Etalase Kaca Sedang</t>
  </si>
  <si>
    <t>Sign Buka Tutup</t>
  </si>
  <si>
    <t>Acrilic Susun</t>
  </si>
  <si>
    <t>Cermin</t>
  </si>
  <si>
    <t>Tangga 2.3m Alumunium 8 Step Mollar</t>
  </si>
  <si>
    <t>Kursi Kecil Merah Lion</t>
  </si>
  <si>
    <t>Keranjang Merah Tebal</t>
  </si>
  <si>
    <t>Troli Besi Max 150Kg</t>
  </si>
  <si>
    <t>Meja Enam Food</t>
  </si>
  <si>
    <t>Kursi Panjang Enam Food</t>
  </si>
  <si>
    <t>Kursi Duduk Plastik</t>
  </si>
  <si>
    <t>Loker Kecil Susun 4</t>
  </si>
  <si>
    <t>Rak Sandal Kecil</t>
  </si>
  <si>
    <t>Rak Susun Kertas Kado</t>
  </si>
  <si>
    <t>Ulanzi AM 18 U-Mic Wireles</t>
  </si>
  <si>
    <t>Media</t>
  </si>
  <si>
    <t>CK040824</t>
  </si>
  <si>
    <t>Meja Guru &amp; Staff</t>
  </si>
  <si>
    <t>JM030824</t>
  </si>
  <si>
    <t>K800824</t>
  </si>
  <si>
    <t>Rak Besi Serbaguna</t>
  </si>
  <si>
    <t>HARIS MAULANA ISHAQ</t>
  </si>
  <si>
    <t>MUZAMMIR</t>
  </si>
  <si>
    <t>Rp50.000,00cr</t>
  </si>
  <si>
    <t xml:space="preserve"> Lensa Tele Sony</t>
  </si>
  <si>
    <t>CK040924</t>
  </si>
  <si>
    <t>Ampli, Toa dan Mic</t>
  </si>
  <si>
    <t>K390924</t>
  </si>
  <si>
    <t>RUANG GURU</t>
  </si>
  <si>
    <t>LAP. Outdor</t>
  </si>
  <si>
    <t>JM030924</t>
  </si>
  <si>
    <t>AHMAD WARDIYANTO</t>
  </si>
  <si>
    <t>Showcase 2 pintu</t>
  </si>
  <si>
    <t>Aplikasi V3</t>
  </si>
  <si>
    <t>CK041024</t>
  </si>
  <si>
    <t>Lampu Sorot</t>
  </si>
  <si>
    <t>Lapangan Outdor</t>
  </si>
  <si>
    <t>K581024</t>
  </si>
  <si>
    <t>Bel Cerdas Cermat</t>
  </si>
  <si>
    <t>Pengajaran</t>
  </si>
  <si>
    <t>K691024</t>
  </si>
  <si>
    <t>Vertikal Bland</t>
  </si>
  <si>
    <t>Keuangan &amp; RT</t>
  </si>
  <si>
    <t>Kelas MA &amp; MTS</t>
  </si>
  <si>
    <t>K141024</t>
  </si>
  <si>
    <t>Letter Sign (Akrilik)</t>
  </si>
  <si>
    <t>Gapura &amp; Pintu Masuk</t>
  </si>
  <si>
    <t>JM031024</t>
  </si>
  <si>
    <t>K031024</t>
  </si>
  <si>
    <t>Lemari Obat</t>
  </si>
  <si>
    <t>UKS</t>
  </si>
  <si>
    <t xml:space="preserve">Kelas Baru </t>
  </si>
  <si>
    <t>KHOLIL DURAHMAN</t>
  </si>
  <si>
    <t>Furnitur</t>
  </si>
  <si>
    <t>RUMAH BUJANG &amp; UKS</t>
  </si>
  <si>
    <t>MATH'AM EXT</t>
  </si>
  <si>
    <t>Kantor EXT</t>
  </si>
  <si>
    <t>PIAT 7</t>
  </si>
  <si>
    <t>PIAT 8</t>
  </si>
  <si>
    <t>selama bulan July 2023 dan June 2023 adalah sebagai berikut :</t>
  </si>
  <si>
    <t>Harddisk Samsung T7 Portable 2 TB</t>
  </si>
  <si>
    <t>MEdia</t>
  </si>
  <si>
    <t>K411124</t>
  </si>
  <si>
    <t>LAPTOP Lenovo (LOQ 15IRX9 17)</t>
  </si>
  <si>
    <t>JM031124</t>
  </si>
  <si>
    <t xml:space="preserve">Pompa Air </t>
  </si>
  <si>
    <t>K371124</t>
  </si>
  <si>
    <t>Apartemen</t>
  </si>
  <si>
    <t>K471124</t>
  </si>
  <si>
    <t>Nebul Omron Ne-C28</t>
  </si>
  <si>
    <t>K421124</t>
  </si>
  <si>
    <t>GORDEN KUPU-KUPU</t>
  </si>
  <si>
    <t>Keuangan &amp; Kepengasuhan</t>
  </si>
  <si>
    <t>K091124</t>
  </si>
  <si>
    <t>Rak piring</t>
  </si>
  <si>
    <t>Tranfer BMI Pesantren</t>
  </si>
  <si>
    <t>UPS (ProlinkPro 1200VA)</t>
  </si>
  <si>
    <t>Shopeepay</t>
  </si>
  <si>
    <t>Rp17.403.272,17cr</t>
  </si>
  <si>
    <t>Titipan santri SPP</t>
  </si>
  <si>
    <t>kenaikan/penurunan dari bulan sblmnya</t>
  </si>
  <si>
    <t>Laba/rugi</t>
  </si>
  <si>
    <t>Konsolidasi</t>
  </si>
  <si>
    <t>RINCIAN LABA/RUGI KONSOLIDASI</t>
  </si>
  <si>
    <t>Unit Usaha</t>
  </si>
  <si>
    <t>Kulkas Apartemen</t>
  </si>
  <si>
    <t>Mochamad Lionel Chandra Diputro</t>
  </si>
  <si>
    <t>Proyektor Epson EB-X06</t>
  </si>
  <si>
    <t>Kelas MTW</t>
  </si>
  <si>
    <t>B.011224</t>
  </si>
  <si>
    <t>ASRAMA &amp; POST SECURITY</t>
  </si>
  <si>
    <t>RUANG OB</t>
  </si>
  <si>
    <t>CK041224</t>
  </si>
  <si>
    <t>Tandon</t>
  </si>
  <si>
    <t>K231224</t>
  </si>
  <si>
    <t>ANDI PRATAMA</t>
  </si>
  <si>
    <t>Tranfer Giro BMI</t>
  </si>
  <si>
    <t>Bpk. Ilyas (Sound System Masjid)</t>
  </si>
  <si>
    <t>K450125</t>
  </si>
  <si>
    <t xml:space="preserve">CCTV </t>
  </si>
  <si>
    <t>SECURITY</t>
  </si>
  <si>
    <t>CK040125</t>
  </si>
  <si>
    <t>K430125</t>
  </si>
  <si>
    <t>Tower Tandon</t>
  </si>
  <si>
    <t>CK050125</t>
  </si>
  <si>
    <t>Hutang Tabungan</t>
  </si>
  <si>
    <t>Rp13.408.750,00cr</t>
  </si>
  <si>
    <t>Rp4.352.608,33cr</t>
  </si>
  <si>
    <t>Total Pendapatan Pesantren</t>
  </si>
  <si>
    <t>Penjualan Enam Mart</t>
  </si>
  <si>
    <t>Biaya Pesantren</t>
  </si>
  <si>
    <t>Biaya Enam Mart</t>
  </si>
  <si>
    <t>Laba/rugi Pesantren</t>
  </si>
  <si>
    <t>BOS</t>
  </si>
  <si>
    <t>Donasi Pembangunan</t>
  </si>
  <si>
    <t>Laba/Rugi Ditambah Donasi</t>
  </si>
  <si>
    <t>Kas Kecil, Tabungan &amp; Kas Bos</t>
  </si>
  <si>
    <t>Biaya Operasional</t>
  </si>
  <si>
    <t>Investasi Aset Tetap</t>
  </si>
  <si>
    <t>Penerimaan Donasi Pembangunan</t>
  </si>
  <si>
    <t>Penerimaan Tabungan</t>
  </si>
  <si>
    <t>Kas Keluar Tabungan</t>
  </si>
  <si>
    <t>Penerimaan Usaha Pelengkap</t>
  </si>
  <si>
    <t>Kas Keluar Usaha Pelengkap</t>
  </si>
  <si>
    <t>Dirinci</t>
  </si>
  <si>
    <t>Infrastruktur Intallation</t>
  </si>
  <si>
    <t>Travo/Gardu 66000 VA</t>
  </si>
  <si>
    <t>CK040225</t>
  </si>
  <si>
    <t>PIAT6</t>
  </si>
  <si>
    <t>Backdrop / Penyangga Banner</t>
  </si>
  <si>
    <t>Tiang Voli &amp; Gawang Kecil 2 set</t>
  </si>
  <si>
    <t>8.43.33</t>
  </si>
  <si>
    <t>Rp972.954,67cr</t>
  </si>
  <si>
    <t>JUALI EFENDI</t>
  </si>
  <si>
    <t>Tambahan material Gardu 66000 VA</t>
  </si>
  <si>
    <t>CK040325</t>
  </si>
  <si>
    <t>JeMURAN ASRAMA &amp; Bak Kontrol</t>
  </si>
  <si>
    <t>K150325</t>
  </si>
  <si>
    <t>Gaji Karyawan bulan April 2025</t>
  </si>
  <si>
    <t>Pia Pusat - Buku dan Seragam</t>
  </si>
  <si>
    <t>CK040425</t>
  </si>
  <si>
    <t>DAPUR</t>
  </si>
  <si>
    <t>Tool Box Kotak Besar 17 19 inc</t>
  </si>
  <si>
    <t>MEDIA</t>
  </si>
  <si>
    <t>Pintu Gerbang</t>
  </si>
  <si>
    <t>Teralis</t>
  </si>
  <si>
    <t>Monitor Lenovo D20-3</t>
  </si>
  <si>
    <t>LKH</t>
  </si>
  <si>
    <t>Bnagun Masjid &amp; Kelas Baru</t>
  </si>
  <si>
    <t>Saldo /
Balance</t>
  </si>
  <si>
    <t>Haidar Almairi Tsaqib</t>
  </si>
  <si>
    <t>ZAKI YUSUF ADAMI</t>
  </si>
  <si>
    <t>FARIS</t>
  </si>
  <si>
    <t>Instalatir Listrik</t>
  </si>
  <si>
    <t>CK040525</t>
  </si>
  <si>
    <t>Tablet itek Vista Tab 30 Pro 8/256GB) CCTV</t>
  </si>
  <si>
    <t>IT</t>
  </si>
  <si>
    <t>KIPAS ANGIN SEKAI</t>
  </si>
  <si>
    <t>K200525</t>
  </si>
  <si>
    <t>Pompa Air Grunfos</t>
  </si>
  <si>
    <t>KELAS</t>
  </si>
  <si>
    <t>Bpk. Ilyas (Ranjang)</t>
  </si>
  <si>
    <t>YAMAS</t>
  </si>
  <si>
    <t>Titipan Daftar Ulang 25/26</t>
  </si>
  <si>
    <t>Rp22.500.000,00cr</t>
  </si>
  <si>
    <t>Infrastruktur Lapangan / Infrastructure - Fence</t>
  </si>
  <si>
    <t>Pagar Utara (Kelas Baru)</t>
  </si>
  <si>
    <t>Instalasi Jaringan &amp; Jasa</t>
  </si>
  <si>
    <t>K620625</t>
  </si>
  <si>
    <t>Tiang Listrik</t>
  </si>
  <si>
    <t>JM030625</t>
  </si>
  <si>
    <t>Meja Kasir &amp; Meja Kajian</t>
  </si>
  <si>
    <t>Keuangan &amp; Masid</t>
  </si>
  <si>
    <t>Lanang Maulana Ibrahim</t>
  </si>
  <si>
    <t>Abdurrahman Sudais</t>
  </si>
  <si>
    <t>Tranfer Giro BMI Flips</t>
  </si>
  <si>
    <t>Rp3.299.047,92cr</t>
  </si>
  <si>
    <t>Kas masuk usaha pelengkap (U. Usaha)</t>
  </si>
  <si>
    <t>Kas keluar usaha pelengkap (U. Usaha)</t>
  </si>
  <si>
    <t>Muhammad Yusuf (VII)</t>
  </si>
  <si>
    <t>TAHUN PELAJARAN 2025 - 2026</t>
  </si>
  <si>
    <t>EDUCATION YEAR 2025 - 2026</t>
  </si>
  <si>
    <t>Juli 2025 /</t>
  </si>
  <si>
    <t>July 2025</t>
  </si>
  <si>
    <r>
      <t>Tahun pendidikan 2025 - 2026 (Juli 2025 - Juni 2026) /</t>
    </r>
    <r>
      <rPr>
        <b/>
        <i/>
        <sz val="10"/>
        <rFont val="Times New Roman"/>
        <family val="1"/>
      </rPr>
      <t xml:space="preserve"> Education Year 2025- 2026 (July 2025 - June 2026)</t>
    </r>
  </si>
  <si>
    <t>Agustus 2025 /</t>
  </si>
  <si>
    <t>August 2025</t>
  </si>
  <si>
    <t>September 2025 /</t>
  </si>
  <si>
    <t>Oktober 2025/</t>
  </si>
  <si>
    <t>Nopember 2025 /</t>
  </si>
  <si>
    <t>Desember 2025 /</t>
  </si>
  <si>
    <t>September 2025</t>
  </si>
  <si>
    <t>October 2025</t>
  </si>
  <si>
    <t>November 2025</t>
  </si>
  <si>
    <t>December 2025</t>
  </si>
  <si>
    <t>Januari 2026 /</t>
  </si>
  <si>
    <t>Maret 2026 /</t>
  </si>
  <si>
    <t>April 2026 /</t>
  </si>
  <si>
    <t>Mei 2026 /</t>
  </si>
  <si>
    <t>Juni 2026 /</t>
  </si>
  <si>
    <t>January 2026</t>
  </si>
  <si>
    <t>February 2026</t>
  </si>
  <si>
    <t>March 2026</t>
  </si>
  <si>
    <t>April 2026</t>
  </si>
  <si>
    <t>May 2026</t>
  </si>
  <si>
    <t>June 2026</t>
  </si>
  <si>
    <t>HP Monocrome</t>
  </si>
  <si>
    <t>Samsung Galaxi A26</t>
  </si>
  <si>
    <t>CK040725</t>
  </si>
  <si>
    <t>Lemari Plastik</t>
  </si>
  <si>
    <t>K890725</t>
  </si>
  <si>
    <t>Kasur 80*15*180</t>
  </si>
  <si>
    <t>Bungkus Kasur Oscar</t>
  </si>
  <si>
    <t>Bantal</t>
  </si>
  <si>
    <t>Guling</t>
  </si>
  <si>
    <t>Ranjang 190*80</t>
  </si>
  <si>
    <t>Tranfer GIRO BMI</t>
  </si>
  <si>
    <t>Rp4.585.634.153,11cr</t>
  </si>
  <si>
    <t>Rp48.981.600,00cr</t>
  </si>
  <si>
    <t>Rp23.167.300,00cr</t>
  </si>
  <si>
    <t>Rp217.551.000,00cr</t>
  </si>
  <si>
    <t>Rp945.000.000,00cr</t>
  </si>
  <si>
    <t>Rp360.738.000,00cr</t>
  </si>
  <si>
    <t>Rp262.500.000,00cr</t>
  </si>
  <si>
    <t>5-6277</t>
  </si>
  <si>
    <t>Keset</t>
  </si>
  <si>
    <t>ABDUL GHOWI TAMIM IMRAN</t>
  </si>
  <si>
    <t>AHNAF ISMAIL AL FAQIH</t>
  </si>
  <si>
    <t>ZUBAIR RAJAB</t>
  </si>
  <si>
    <t>Fahri Balafif</t>
  </si>
  <si>
    <t>Fahri Muhamad Bakrak</t>
  </si>
  <si>
    <t>Fawwaz Tamim Imran</t>
  </si>
  <si>
    <t>Muhammad Azmi Elhaq</t>
  </si>
  <si>
    <t>Muhammad Rafi IL</t>
  </si>
  <si>
    <t>Muhammad Zaid Elhaq</t>
  </si>
  <si>
    <t>ADIL BIN AYYUB BALA</t>
  </si>
  <si>
    <t>ANAS MUBARAK BANAWIR</t>
  </si>
  <si>
    <t>FATHI</t>
  </si>
  <si>
    <t>MUHAMMAD AQILANO HAFIDZ AL</t>
  </si>
  <si>
    <t>ALRASYID MAHARDIKA AFANDI</t>
  </si>
  <si>
    <t>Muhammad Akbar Maulana</t>
  </si>
  <si>
    <t>Ahmad Daniar Bi Arsy Diaz Sandjita</t>
  </si>
  <si>
    <t>Azzam Abiyu Adis</t>
  </si>
  <si>
    <t>OUT</t>
  </si>
  <si>
    <t>Kenaikan/Penurunan</t>
  </si>
  <si>
    <t>Uks &amp; Perpustakaan</t>
  </si>
  <si>
    <t>DIAGRAM PENDAPATAN &amp; BIAYA</t>
  </si>
  <si>
    <t xml:space="preserve">Pendapatan </t>
  </si>
  <si>
    <t>pendidikan</t>
  </si>
  <si>
    <t>Sumbangan Dll</t>
  </si>
  <si>
    <t>Pembebasan Program</t>
  </si>
  <si>
    <t>Biaya</t>
  </si>
  <si>
    <t>Kamar (Layanan Tamu)</t>
  </si>
  <si>
    <t>Beras (Makan Libur Santri Asatidz)</t>
  </si>
  <si>
    <t>Kepengasuhan MTs &amp; MA</t>
  </si>
  <si>
    <t>Perijinan &amp; regristrasi (Beasiswa)</t>
  </si>
  <si>
    <t>Lain lain (Pelatihan)</t>
  </si>
  <si>
    <t>Iuran (Mgmp &amp; Member Asatidz)</t>
  </si>
  <si>
    <t>Bpk. Dimas Wahyu Mahardika, S.H,. M.Kn. (DP Notaris)</t>
  </si>
  <si>
    <t>Reward Pegawai</t>
  </si>
  <si>
    <t>Printer (Epson L3250)</t>
  </si>
  <si>
    <t>K700825</t>
  </si>
  <si>
    <t>UPS (PROLINK 700SFC 700VA))</t>
  </si>
  <si>
    <t>TV (IFFALCON TCLS55 40inc)</t>
  </si>
  <si>
    <t>CK040825</t>
  </si>
  <si>
    <t xml:space="preserve">PC (Proc. intel i5, Monitor AOC 22inc) </t>
  </si>
  <si>
    <t>Lensa (Sigma 16mm f1 Sony E APSC)</t>
  </si>
  <si>
    <t>HT (WLN C1 UHF Handy Talky C1 400-470Mhz)</t>
  </si>
  <si>
    <t>Total Equipment -  Office</t>
  </si>
  <si>
    <t>Metal Detector (Garret)</t>
  </si>
  <si>
    <t>Mesin Laminating (JOYCO LM-063in 1 function)</t>
  </si>
  <si>
    <t>Lemari Besi (Imperium Furniture Surabaya)</t>
  </si>
  <si>
    <t>CK0825</t>
  </si>
  <si>
    <t>Vertikal Bland (Ruang Guru)</t>
  </si>
  <si>
    <t>K400825</t>
  </si>
  <si>
    <t>Tangga Teleskopik (Singel 5,2 M)</t>
  </si>
  <si>
    <t>Bor (Impact Drill BRUSH)</t>
  </si>
  <si>
    <t>Fikri Akid</t>
  </si>
  <si>
    <t>MUHAMMAD ARIF ARIWAKRI</t>
  </si>
  <si>
    <t>Muhammad Rafkhi Al Ayyubi</t>
  </si>
  <si>
    <t>Dhaifullah M. Marshus</t>
  </si>
  <si>
    <t>Yasa Ageng Suryana</t>
  </si>
  <si>
    <t>Ahmad Faris Abrisam</t>
  </si>
  <si>
    <t>Meja Guru</t>
  </si>
  <si>
    <t>JM030825</t>
  </si>
  <si>
    <t>JM050825</t>
  </si>
  <si>
    <t>Tranfer GIRO BMI (RIZKY FARIZA )</t>
  </si>
  <si>
    <t>4-0000</t>
  </si>
  <si>
    <t>4-1000</t>
  </si>
  <si>
    <t>4-1100</t>
  </si>
  <si>
    <t>4-1200</t>
  </si>
  <si>
    <t>4-1300</t>
  </si>
  <si>
    <t>5-0000</t>
  </si>
  <si>
    <t>5-1000</t>
  </si>
  <si>
    <t>5-1100</t>
  </si>
  <si>
    <t>5-1200</t>
  </si>
  <si>
    <t>5-1300</t>
  </si>
  <si>
    <t>Office Equipment</t>
  </si>
  <si>
    <t>Office Supllies</t>
  </si>
  <si>
    <t>6-0000</t>
  </si>
  <si>
    <t>6-1000</t>
  </si>
  <si>
    <t>6-1100</t>
  </si>
  <si>
    <t>6-1200</t>
  </si>
  <si>
    <t>8-0000</t>
  </si>
  <si>
    <t>8-1000</t>
  </si>
  <si>
    <t>9-0000</t>
  </si>
  <si>
    <t>9-1000</t>
  </si>
  <si>
    <t>4-2000</t>
  </si>
  <si>
    <t>4-2100</t>
  </si>
  <si>
    <t>4-2200</t>
  </si>
  <si>
    <t>4-2300</t>
  </si>
  <si>
    <t>4-2400</t>
  </si>
  <si>
    <t>4-2500</t>
  </si>
  <si>
    <t>4-2600</t>
  </si>
  <si>
    <t>4-3000</t>
  </si>
  <si>
    <t>4-3100</t>
  </si>
  <si>
    <t>4-3200</t>
  </si>
  <si>
    <t>4-3300</t>
  </si>
  <si>
    <t>4-4000</t>
  </si>
  <si>
    <t>4-4100</t>
  </si>
  <si>
    <t>4-4200</t>
  </si>
  <si>
    <t>4-4300</t>
  </si>
  <si>
    <t>4-4400</t>
  </si>
  <si>
    <t>4-4500</t>
  </si>
  <si>
    <t>4-4600</t>
  </si>
  <si>
    <t>4-5000</t>
  </si>
  <si>
    <t>4-5100</t>
  </si>
  <si>
    <t>4-5200</t>
  </si>
  <si>
    <t>4-5300</t>
  </si>
  <si>
    <t>4-9000</t>
  </si>
  <si>
    <t>4-9100</t>
  </si>
  <si>
    <t>4-9200</t>
  </si>
  <si>
    <t>5-2000</t>
  </si>
  <si>
    <t>5-2100</t>
  </si>
  <si>
    <t>5-2200</t>
  </si>
  <si>
    <t>5-2300</t>
  </si>
  <si>
    <t>5-2400</t>
  </si>
  <si>
    <t>5-3000</t>
  </si>
  <si>
    <t>5-3100</t>
  </si>
  <si>
    <t>5-3200</t>
  </si>
  <si>
    <t>5-3300</t>
  </si>
  <si>
    <t>5-3400</t>
  </si>
  <si>
    <t>5-3500</t>
  </si>
  <si>
    <t>5-3538</t>
  </si>
  <si>
    <t>5-3600</t>
  </si>
  <si>
    <t>5-3700</t>
  </si>
  <si>
    <t>5-4000</t>
  </si>
  <si>
    <t>5-4100</t>
  </si>
  <si>
    <t>5-4200</t>
  </si>
  <si>
    <t>5-4300</t>
  </si>
  <si>
    <t>5-4400</t>
  </si>
  <si>
    <t>5-4500</t>
  </si>
  <si>
    <t>5-4600</t>
  </si>
  <si>
    <t>5-4700</t>
  </si>
  <si>
    <t>5-5000</t>
  </si>
  <si>
    <t>5-5100</t>
  </si>
  <si>
    <t>5-5200</t>
  </si>
  <si>
    <t>5-5300</t>
  </si>
  <si>
    <t>5-5400</t>
  </si>
  <si>
    <t>5-5417</t>
  </si>
  <si>
    <t>5-5500</t>
  </si>
  <si>
    <t>5-5538</t>
  </si>
  <si>
    <t>5-5600</t>
  </si>
  <si>
    <t>5-5638</t>
  </si>
  <si>
    <t>5-6000</t>
  </si>
  <si>
    <t>5-6100</t>
  </si>
  <si>
    <t>5-6200</t>
  </si>
  <si>
    <t>5-6300</t>
  </si>
  <si>
    <t>5-6400</t>
  </si>
  <si>
    <t>5-6500</t>
  </si>
  <si>
    <t>5-6600</t>
  </si>
  <si>
    <t>5-6700</t>
  </si>
  <si>
    <t>5-6800</t>
  </si>
  <si>
    <t>5-6900</t>
  </si>
  <si>
    <t>5-7000</t>
  </si>
  <si>
    <t>5-7100</t>
  </si>
  <si>
    <t>5-7200</t>
  </si>
  <si>
    <t>5-8000</t>
  </si>
  <si>
    <t>5-8100</t>
  </si>
  <si>
    <t>5-8200</t>
  </si>
  <si>
    <t>5-8300</t>
  </si>
  <si>
    <t>5-9000</t>
  </si>
  <si>
    <t>5-9100</t>
  </si>
  <si>
    <t>5-9200</t>
  </si>
  <si>
    <t>5-9300</t>
  </si>
  <si>
    <t>Excess Students Payment</t>
  </si>
  <si>
    <t>Student deposit B&amp;U 21/22</t>
  </si>
  <si>
    <t>Enrollment Fee MTS</t>
  </si>
  <si>
    <t>Enrollment Fee MA&amp;IL</t>
  </si>
  <si>
    <t>Pertemuan Masyarakat</t>
  </si>
  <si>
    <t>Permitt and legacy</t>
  </si>
  <si>
    <t>Electricity - Housing 1</t>
  </si>
  <si>
    <t>Electricity - Housing 2</t>
  </si>
  <si>
    <t>Electricity - Boarding II MTW</t>
  </si>
  <si>
    <t>Electricity - MTW</t>
  </si>
  <si>
    <t>Electricity - Boarding I MA</t>
  </si>
  <si>
    <t>Joint Salary</t>
  </si>
  <si>
    <t>Penyesuaian</t>
  </si>
  <si>
    <t>Hutang Unit Usaha</t>
  </si>
  <si>
    <t>Total Pendapatan</t>
  </si>
  <si>
    <t>Total Biaya</t>
  </si>
  <si>
    <t>Laba/Rugi</t>
  </si>
  <si>
    <t>BPJS Ketenagakerjaan</t>
  </si>
  <si>
    <t>BPJS Kesehatan</t>
  </si>
  <si>
    <t>K210925</t>
  </si>
  <si>
    <t>TAMAN (Depan Masjid)</t>
  </si>
  <si>
    <t>Mic Wireles (Bosstron BS-77 X3)</t>
  </si>
  <si>
    <t>CK040925</t>
  </si>
  <si>
    <t>Toa Mixer Amlifier ZA2060</t>
  </si>
  <si>
    <t>CCTV (SERVERNVR IP CAM EZVIZ)</t>
  </si>
  <si>
    <t>Kipas angin (SEKAI IWF2025)</t>
  </si>
  <si>
    <t>Masjid Lt.2</t>
  </si>
  <si>
    <t>Asrama santri</t>
  </si>
  <si>
    <t>K440925</t>
  </si>
  <si>
    <t>5-5397</t>
  </si>
  <si>
    <t>5-3593</t>
  </si>
  <si>
    <t>Kelas MA</t>
  </si>
  <si>
    <t>BOS0925</t>
  </si>
  <si>
    <t>HANIF MUFTI AL ISLAM</t>
  </si>
  <si>
    <t>ADI PRAKARSA KURNIAWAN</t>
  </si>
  <si>
    <t>Muhammad Faisal Rasyid</t>
  </si>
  <si>
    <t>Rifat Ali Ihsan</t>
  </si>
  <si>
    <t>Bagi Hasil Piat Pusat</t>
  </si>
  <si>
    <t>Bimbel (Ruang Guru)</t>
  </si>
  <si>
    <t>Lain-lain Buku (Yudhistira) Buku MA Al0Irsyad Tengaran 6 Bondowoso</t>
  </si>
  <si>
    <t>Titipan Bimbel (Ruang Guru)</t>
  </si>
  <si>
    <t>Rp58.333,33cr</t>
  </si>
  <si>
    <t>Supplier kantin 1 (Bang Zein)</t>
  </si>
  <si>
    <t>Lain lain (Titpan Operasional Yayasan)</t>
  </si>
  <si>
    <t>Donasi Pengeboran Kelas Baru</t>
  </si>
  <si>
    <t>Hardisk Eksternal 2TB 4TB Black P10</t>
  </si>
  <si>
    <t>CK041025</t>
  </si>
  <si>
    <t>Kabel HDMI</t>
  </si>
  <si>
    <t>Kabel HDMI 15 Meter</t>
  </si>
  <si>
    <t>Kelas MTS &amp; Kelas MA</t>
  </si>
  <si>
    <t xml:space="preserve">BOSMTS&amp;MA 1025      </t>
  </si>
  <si>
    <t>BEL Sekolah Otomatis</t>
  </si>
  <si>
    <t>BOSMTS&amp;MA 1026</t>
  </si>
  <si>
    <t>Dandang 25 Kg</t>
  </si>
  <si>
    <t>K1091025</t>
  </si>
  <si>
    <t>MASJID Ditambah Ke masjid no.3 Bulan Oktober 2025</t>
  </si>
  <si>
    <t>JM091025</t>
  </si>
  <si>
    <t>Rp1.150.000,00cr</t>
  </si>
  <si>
    <t>Rp74.100.000,00cr</t>
  </si>
  <si>
    <t>Rp275.000,00cr</t>
  </si>
  <si>
    <t>Biaya Bagi Hasil</t>
  </si>
  <si>
    <t>Beban lain lain &amp; kerugian (Bagi Hasil)</t>
  </si>
  <si>
    <t>Hutang bagi hasil - Pia Pusat</t>
  </si>
  <si>
    <t>TANAH (Angga Purnama Sari)</t>
  </si>
  <si>
    <t>TANAH (DP1) Deny Haji Cung</t>
  </si>
  <si>
    <t>TANAH (DP2) Deny Haji Cung</t>
  </si>
  <si>
    <t>TANAH (DP3) Deny Haji Cung</t>
  </si>
  <si>
    <t>TANAH (Pelunasan) Deny Haji Cung</t>
  </si>
  <si>
    <t>24/25</t>
  </si>
  <si>
    <t>23/24</t>
  </si>
  <si>
    <t>TA. 23/24</t>
  </si>
  <si>
    <t>TA. 24/25</t>
  </si>
  <si>
    <t>YOGA NUGRAHA PERMANA (Potong Mulai 5 Des 25)</t>
  </si>
  <si>
    <t>FIRDAUS AL'ROSI</t>
  </si>
  <si>
    <t>T.A</t>
  </si>
  <si>
    <t>Allowance of Hulled Rice (Makan Libur)</t>
  </si>
  <si>
    <t>Allowance of BPJS Ketenagakerjaan</t>
  </si>
  <si>
    <t>Allowance of Reward Pegawai</t>
  </si>
  <si>
    <t>Alowance of BPJS Kesehatan</t>
  </si>
  <si>
    <t>Syafik Muhamad Bakrak</t>
  </si>
  <si>
    <t>AJI MAULANA MAJID</t>
  </si>
  <si>
    <t>RIZAL HABIBULLOH (Potong mulai Jan 26)</t>
  </si>
  <si>
    <t>JM051125</t>
  </si>
  <si>
    <t>Sound Masjid 1 Set</t>
  </si>
  <si>
    <t>Mading MTS (6 Tanpa Kaca 600 1 Pakai Kaca 1,2 jt)</t>
  </si>
  <si>
    <t>Mading MA (7 Tanpa Kaca)</t>
  </si>
  <si>
    <t>Kelas MTS</t>
  </si>
  <si>
    <t>BOSMTS1125</t>
  </si>
  <si>
    <t>BOSMA1125</t>
  </si>
  <si>
    <t>Abdul Karim</t>
  </si>
  <si>
    <t>Titipan pangkal 2026/2027</t>
  </si>
  <si>
    <t>Titipan pangkal 2027/2028</t>
  </si>
  <si>
    <t>Titipan pangkal 2028/2029</t>
  </si>
  <si>
    <t>Rp61.760.328,00cr</t>
  </si>
  <si>
    <t>Rincian Konsolidasi Per Juni 2025</t>
  </si>
  <si>
    <t>Kenaikan Sampai Bulan Berjalan</t>
  </si>
  <si>
    <t>Per Juni 2025</t>
  </si>
  <si>
    <t>Ahmad Adnan Bayasyut</t>
  </si>
  <si>
    <t>Sprei dan Sarung Bantal</t>
  </si>
  <si>
    <t>Masjid Baru</t>
  </si>
  <si>
    <t>Masjid Baru (Galvalum Sebelah Kiri)</t>
  </si>
  <si>
    <t>K551225</t>
  </si>
  <si>
    <t>MATH'AM EXT (Penggantian Atap)</t>
  </si>
  <si>
    <t>CK041225</t>
  </si>
  <si>
    <t>HT (Boafeng)</t>
  </si>
  <si>
    <t>RT</t>
  </si>
  <si>
    <t>K361225</t>
  </si>
  <si>
    <t>Podium Stainles</t>
  </si>
  <si>
    <t>K571225</t>
  </si>
  <si>
    <t>Wastafel Cor</t>
  </si>
  <si>
    <t>Depan Ruang Guru</t>
  </si>
  <si>
    <t>K461225</t>
  </si>
  <si>
    <t>Troli</t>
  </si>
  <si>
    <t>K201225</t>
  </si>
  <si>
    <t>K291225</t>
  </si>
  <si>
    <t>Rp13.792.294,74cr</t>
  </si>
  <si>
    <t>Rp2.336.259,38cr</t>
  </si>
  <si>
    <t>Rp100,00cr</t>
  </si>
  <si>
    <t xml:space="preserve">Kotak Infak Masjid </t>
  </si>
  <si>
    <t xml:space="preserve">Donasi Bencana Sumatera &amp; Aceh </t>
  </si>
  <si>
    <t>Hutang Akomodasi Pusat</t>
  </si>
  <si>
    <t>PENDIDIKAN</t>
  </si>
  <si>
    <t>Perbandingan dengan bulan sebelumnya</t>
  </si>
  <si>
    <t>Perbandingan dengan awal tahun 25/26</t>
  </si>
  <si>
    <t>UNIT USAHA</t>
  </si>
  <si>
    <t>Terikat Temporer</t>
  </si>
  <si>
    <t>Pendapatan Terikat Temporer</t>
  </si>
  <si>
    <t>Februari 2026 /</t>
  </si>
  <si>
    <t>Rumah Dinas</t>
  </si>
  <si>
    <t>K670126</t>
  </si>
  <si>
    <t>EXHAUST DAPUR</t>
  </si>
  <si>
    <t>Filling Cabinet 2 Susun</t>
  </si>
  <si>
    <t>Keuangan</t>
  </si>
  <si>
    <t>K150126</t>
  </si>
  <si>
    <t>K760126</t>
  </si>
  <si>
    <t>Laptop (Asus Vivobook Go E1404GA)</t>
  </si>
  <si>
    <t>Staff Keuangan</t>
  </si>
  <si>
    <t>JM060126</t>
  </si>
  <si>
    <t>Beat Pop</t>
  </si>
  <si>
    <t>Spacy</t>
  </si>
  <si>
    <t>Picup Carry 2022</t>
  </si>
  <si>
    <t>Ambulance Hyundai H1 2008</t>
  </si>
  <si>
    <t>Lemari Kabinet (Azko)</t>
  </si>
  <si>
    <t>Kantor MTS</t>
  </si>
  <si>
    <t>Kantor MA</t>
  </si>
  <si>
    <t>BOS MTS_0126</t>
  </si>
  <si>
    <t>BOS MA_0126</t>
  </si>
  <si>
    <t>Darrell Attharizt Zaidan Alvaro</t>
  </si>
  <si>
    <t>BABUN AGUS TIANTORO</t>
  </si>
  <si>
    <t>MOCH. SOFYAN HIDAYATULLAH</t>
  </si>
  <si>
    <t>DWI INDRA SETIA PRIYONO</t>
  </si>
  <si>
    <t>Rp26.069.293,90cr</t>
  </si>
  <si>
    <t>Rp1.544.154,51cr</t>
  </si>
  <si>
    <t>Rp1.435.713,83cr</t>
  </si>
  <si>
    <t>Rp634.329,73cr</t>
  </si>
  <si>
    <t>Rp298.958,33cr</t>
  </si>
  <si>
    <t>Rp11.963.300,00cr</t>
  </si>
  <si>
    <t>Rp524.000.000,00cr</t>
  </si>
  <si>
    <t>Rp215.150.000,00cr</t>
  </si>
  <si>
    <t>s/d 31-Jan-26</t>
  </si>
  <si>
    <t>Printer Epson L121</t>
  </si>
  <si>
    <t>LKH Unit Usaha</t>
  </si>
  <si>
    <t>SDM</t>
  </si>
  <si>
    <t>Zabdan Zabir</t>
  </si>
  <si>
    <t>Ahmad Alfan Firdaus</t>
  </si>
  <si>
    <t>NURUL ANWAR JANUAR</t>
  </si>
  <si>
    <t>E66 PowerBank Retractable Cable 20000</t>
  </si>
  <si>
    <t>JM060226</t>
  </si>
  <si>
    <t>Tas Kamera Backpack Dslr Laptop Quarzel Ka
limaya</t>
  </si>
  <si>
    <t>Kamera Panasonic LUMIX GH6 Body Only</t>
  </si>
  <si>
    <t>SANDISK Extreme Pro CFexpress Card Type B
128GB</t>
  </si>
  <si>
    <t>Lensa Olympus 12-40mm F2.8 PRO M.Zuiko
Digital ED Lens Second Bekas Grade A / MFT
Lens - LS250148</t>
  </si>
  <si>
    <t>K360226</t>
  </si>
  <si>
    <t>HP Nokia 105</t>
  </si>
  <si>
    <t>K920226</t>
  </si>
  <si>
    <t>Lampu Sorot Outdoor</t>
  </si>
  <si>
    <t>K770226</t>
  </si>
  <si>
    <t>Bpk. Ilyas (Ranjang UKS 12 Pcs)</t>
  </si>
  <si>
    <t>Rp715.958,33cr</t>
  </si>
  <si>
    <t>Rp1.872.200.000,00cr</t>
  </si>
  <si>
    <t>Rp28.736.544,00cr</t>
  </si>
  <si>
    <t>Rp2.396.200.000,00cr</t>
  </si>
  <si>
    <t>Rp243.886.544,00cr</t>
  </si>
  <si>
    <t>Elektrik Steamer 15 Liter</t>
  </si>
  <si>
    <t>Meja Hitam Kayu Portable</t>
  </si>
  <si>
    <t>Meja Kerja Dapur Stainless steel 2 T-100 cm</t>
  </si>
  <si>
    <t>Meja Kerja Dapur Stainless steel 1 T-80 cm</t>
  </si>
  <si>
    <t>Abdul Malik Bawazier</t>
  </si>
  <si>
    <t>Muhammad Fauzan Fahriansha</t>
  </si>
  <si>
    <t>MUHAMMAD DAFFA MAESNA</t>
  </si>
  <si>
    <t>Faiz Essyah Hanif</t>
  </si>
  <si>
    <t>Muhamad Luqman Hakim</t>
  </si>
  <si>
    <t>5-2293</t>
  </si>
  <si>
    <t>Zakat Mall Idul fitri 1447 H</t>
  </si>
  <si>
    <t>Alat Bor ZPER</t>
  </si>
  <si>
    <t>K220326</t>
  </si>
  <si>
    <t>Kursi Kantor</t>
  </si>
  <si>
    <t>Tangga Teleskopik Alumunium 6.3m</t>
  </si>
  <si>
    <t>Rp370.022.227,00cr</t>
  </si>
  <si>
    <t>Rp5.000.000,00cr</t>
  </si>
  <si>
    <t>Rp22.200.000,00cr</t>
  </si>
  <si>
    <t>Ibuk. Novitasari (Gorden Kepengasuhan)</t>
  </si>
  <si>
    <t>Bpk. Hendrik Setiaywan (Janitor)</t>
  </si>
  <si>
    <t>PSB</t>
  </si>
  <si>
    <t xml:space="preserve">Perubahan aset bersih terikat selama bulan </t>
  </si>
  <si>
    <t>Usaha pelengkap (Enam Mart)</t>
  </si>
  <si>
    <t>Kiriman bank (Transfer Pending)</t>
  </si>
  <si>
    <t>Bank Muamalat Indonesia</t>
  </si>
  <si>
    <t>Bank Syariah Indonesia</t>
  </si>
  <si>
    <t>Bank Muamalat Indonesia 7350016529</t>
  </si>
  <si>
    <t>Bank Muamalat Indonesia 7350013979</t>
  </si>
  <si>
    <t>Bank Muamalat Indonesia 7350014923</t>
  </si>
  <si>
    <t>Daffa Ibrahim Nurul Imam</t>
  </si>
  <si>
    <t>Muhammad Rakha Ghazali</t>
  </si>
  <si>
    <t>Ikram</t>
  </si>
  <si>
    <t>Anang Saputra</t>
  </si>
  <si>
    <t>ALFAF ISMAIL</t>
  </si>
  <si>
    <t>RIFAN INDRA PRATAMA</t>
  </si>
  <si>
    <t>M. FARIKI</t>
  </si>
  <si>
    <t>Persediaan seragam santri 26/27</t>
  </si>
  <si>
    <t>Persediaan Buku santri 26/27</t>
  </si>
  <si>
    <t xml:space="preserve">Meja </t>
  </si>
  <si>
    <t>JM070426</t>
  </si>
  <si>
    <t>Ranjang (menggunakan Bahan Ranjang Sebelumnya)</t>
  </si>
  <si>
    <t xml:space="preserve">Gorden </t>
  </si>
  <si>
    <t>Maghribi Abdul Aziim</t>
  </si>
  <si>
    <t xml:space="preserve"> Qurban</t>
  </si>
  <si>
    <t>Buku  - PIAT Pusat (T.A 2026/2027)</t>
  </si>
  <si>
    <t>Seragam  - PIAT Pusat (T.A 2026/2027)</t>
  </si>
  <si>
    <t>Student deposit B&amp;U 26/27</t>
  </si>
  <si>
    <t xml:space="preserve">Titipan biaya pendidikan </t>
  </si>
  <si>
    <t>Rp17.764.342,00cr</t>
  </si>
  <si>
    <t>Rp6.055.000,00cr</t>
  </si>
  <si>
    <t>Rp2.500.000,00cr</t>
  </si>
  <si>
    <t>Rp7.500.000,00cr</t>
  </si>
  <si>
    <t>Penerimaan Pendidikan + Donasi + Lain2</t>
  </si>
  <si>
    <t>Rasio Kas</t>
  </si>
  <si>
    <t>Min</t>
  </si>
  <si>
    <t>Rasio Lancar</t>
  </si>
  <si>
    <t>Likuiditas</t>
  </si>
  <si>
    <t>Solvabilitas</t>
  </si>
  <si>
    <t>Rasio Utang terhadap Aset</t>
  </si>
  <si>
    <t>Rasio Utang terhadap Ekuitas</t>
  </si>
  <si>
    <t>Mak</t>
  </si>
  <si>
    <t>Roa (Efesiensi Menghasilkan Laba</t>
  </si>
  <si>
    <t>Roe (Laba Dari Modal)</t>
  </si>
  <si>
    <t>Profitabilitas</t>
  </si>
  <si>
    <t>NPM (Laba Bersih Dari total Pendapatan)</t>
  </si>
  <si>
    <t>min.</t>
  </si>
  <si>
    <t>5%-20%</t>
  </si>
  <si>
    <r>
      <t xml:space="preserve">Kiriman BMI - pending / </t>
    </r>
    <r>
      <rPr>
        <b/>
        <i/>
        <sz val="10"/>
        <rFont val="Times New Roman"/>
        <family val="1"/>
      </rPr>
      <t>BMI transfer - pending</t>
    </r>
  </si>
  <si>
    <t>Transfer</t>
  </si>
  <si>
    <t>Gedung MA</t>
  </si>
  <si>
    <t>CK030526</t>
  </si>
  <si>
    <t>K090526</t>
  </si>
  <si>
    <t>Janitor</t>
  </si>
  <si>
    <t>JM060526</t>
  </si>
  <si>
    <t>Muhammad Al-fatih</t>
  </si>
  <si>
    <t>Dhafin Riziq Prastyo</t>
  </si>
  <si>
    <t>Musa Ahmad Dziban</t>
  </si>
  <si>
    <t>Nazha Satria Sembada</t>
  </si>
  <si>
    <t>Muhamad Fikri Ramadhani</t>
  </si>
  <si>
    <t>ABDULLAH AHMAD</t>
  </si>
  <si>
    <t xml:space="preserve">Brezy Aurel </t>
  </si>
  <si>
    <t>Firdiansya Danish Prabowo</t>
  </si>
  <si>
    <t>Husein Bafadal</t>
  </si>
  <si>
    <r>
      <t xml:space="preserve">Kiriman GIRO BMI - pending / </t>
    </r>
    <r>
      <rPr>
        <b/>
        <i/>
        <sz val="10"/>
        <rFont val="Times New Roman"/>
        <family val="1"/>
      </rPr>
      <t>BMI transfer - pending</t>
    </r>
  </si>
  <si>
    <t>Rp1.010.521.631,75cr</t>
  </si>
  <si>
    <t>Rp321.952.191,66cr</t>
  </si>
  <si>
    <t>Rp278.444.445,62cr</t>
  </si>
  <si>
    <t>Rp166.934.795,00cr</t>
  </si>
  <si>
    <t>Rp119.017.556,26cr</t>
  </si>
  <si>
    <t>Rp29.150.007,34cr</t>
  </si>
  <si>
    <t>Rp29.634.971,59cr</t>
  </si>
  <si>
    <t>Rp15.824.996,98cr</t>
  </si>
  <si>
    <t>Rp51.888.184,68cr</t>
  </si>
  <si>
    <t>Rp23.348.161,76cr</t>
  </si>
  <si>
    <t>Rp38.472.134,79cr</t>
  </si>
  <si>
    <t>Rp308.972.553,89cr</t>
  </si>
  <si>
    <t>Rp410.890,80cr</t>
  </si>
  <si>
    <t>Rp13.966.629,30cr</t>
  </si>
  <si>
    <t>Rp15.275.904,93cr</t>
  </si>
  <si>
    <t>Rp98.209.385,35cr</t>
  </si>
  <si>
    <t>Rp35.877.286,75cr</t>
  </si>
  <si>
    <t>Rp56.257.599,85cr</t>
  </si>
  <si>
    <t>Rp26.171.647,19cr</t>
  </si>
  <si>
    <t>Rp560.948.961,65cr</t>
  </si>
  <si>
    <t>Rp153.340.848,99cr</t>
  </si>
  <si>
    <t>Rp73.592.045,61cr</t>
  </si>
  <si>
    <t>Rp15.213.372,78cr</t>
  </si>
  <si>
    <t>Rp285.276,17cr</t>
  </si>
  <si>
    <t>Rp1.919.626,70cr</t>
  </si>
  <si>
    <t>Rp24.744.819,12cr</t>
  </si>
  <si>
    <t>Rp2.031.250,00cr</t>
  </si>
  <si>
    <t>Rp90.156.248,26cr</t>
  </si>
  <si>
    <t>Rp7.194.569,32cr</t>
  </si>
  <si>
    <t>Rp101.107.200,00cr</t>
  </si>
  <si>
    <t>Rp119.152.000,00cr</t>
  </si>
  <si>
    <t>Rp111.846.900,00cr</t>
  </si>
  <si>
    <t>Rp758.400.000,00cr</t>
  </si>
  <si>
    <t>Rp7.200.000,00cr</t>
  </si>
  <si>
    <t>Rp236.651.952,33cr</t>
  </si>
  <si>
    <t>Rp15.000.000,00cr</t>
  </si>
  <si>
    <t>Rp232.080.000,00cr</t>
  </si>
  <si>
    <t>Rp296.996.100,00cr</t>
  </si>
  <si>
    <t>Rp69.500.000,00cr</t>
  </si>
  <si>
    <t>Rp2.883.200.000,00cr</t>
  </si>
  <si>
    <t>Rp3.262.050.000,00cr</t>
  </si>
  <si>
    <t>Rp31.104,33cr</t>
  </si>
  <si>
    <t>Rp1.374.500,00cr</t>
  </si>
  <si>
    <t>Rp1.714.950,00cr</t>
  </si>
  <si>
    <t>Rp102.542.300,00cr</t>
  </si>
  <si>
    <t>Rp147.460.800,00cr</t>
  </si>
  <si>
    <t>Rp108.663.300,00cr</t>
  </si>
  <si>
    <t>Titipan SPP Juli 2026 (Yamas)</t>
  </si>
  <si>
    <t>Bpk. Faruk (Rak Penyimpanan Barang UKS &amp; Meja Guru)</t>
  </si>
  <si>
    <t>06/06/2026</t>
  </si>
  <si>
    <t>09/06/2026</t>
  </si>
  <si>
    <t>s/d 30-Apr-26</t>
  </si>
  <si>
    <t>PWSB &amp; Per. Pusat &amp; wisuda</t>
  </si>
  <si>
    <t>Donasi</t>
  </si>
  <si>
    <t>FAHRI</t>
  </si>
  <si>
    <t>Kayana Alden Pradita Yudistira</t>
  </si>
  <si>
    <t>Amir Ahmad</t>
  </si>
  <si>
    <t>FAHMI AYUBI</t>
  </si>
  <si>
    <t>Faizul Anwar Abd Jalil</t>
  </si>
  <si>
    <t>AHMAD THORIF ASSYAM</t>
  </si>
  <si>
    <t>Muhammad Akhnaf A. Jabli</t>
  </si>
  <si>
    <t>Naufal Setya Affiq</t>
  </si>
  <si>
    <t>RIZIK MUHAMAD MASHADI</t>
  </si>
  <si>
    <t>IRZADULIBAD</t>
  </si>
  <si>
    <t>MARWA ROFIQUL ILHAM (Potong Mulai 1 Agustus)</t>
  </si>
  <si>
    <t>CK030626</t>
  </si>
  <si>
    <t>ALVARO ABDILLAH PRATAMA</t>
  </si>
  <si>
    <t>MUHAMMAD ZAHIR</t>
  </si>
  <si>
    <t>Arkaan Dewa Fauzaan</t>
  </si>
  <si>
    <t>Muhammad Aidan Maheswara</t>
  </si>
  <si>
    <t>Muhammad As Silmi Sulaiman</t>
  </si>
  <si>
    <t>Abdul Azhim Azfar Ats Tsaqib Ibrohim</t>
  </si>
  <si>
    <t>FABYAN AL GHAZALY</t>
  </si>
  <si>
    <t>MUHAMMAD WAHBI FAYYADI</t>
  </si>
  <si>
    <t>Radhif</t>
  </si>
  <si>
    <t>Rp101.021.600,00cr</t>
  </si>
  <si>
    <t>Rp129.553.103,00cr</t>
  </si>
  <si>
    <t>Rp282.000,00cr</t>
  </si>
  <si>
    <t>Rp1.000.000,00cr</t>
  </si>
  <si>
    <t>Rp1.666.666,67cr</t>
  </si>
  <si>
    <t>Rp1.027.924.903,92cr</t>
  </si>
  <si>
    <t>Rp335.360.941,66cr</t>
  </si>
  <si>
    <t>Rp180.727.089,74cr</t>
  </si>
  <si>
    <t>Rp121.353.815,64cr</t>
  </si>
  <si>
    <t>Rp29.200.007,34cr</t>
  </si>
  <si>
    <t>Rp30.219.629,92cr</t>
  </si>
  <si>
    <t>Rp15.883.330,31cr</t>
  </si>
  <si>
    <t>Rp55.187.232,60cr</t>
  </si>
  <si>
    <t>Rp24.892.316,27cr</t>
  </si>
  <si>
    <t>Rp761.404,33cr</t>
  </si>
  <si>
    <t>Rp39.233.539,12cr</t>
  </si>
  <si>
    <t>Rp14.377.520,10cr</t>
  </si>
  <si>
    <t>Rp169.513,17cr</t>
  </si>
  <si>
    <t>Rp15.445.418,10cr</t>
  </si>
  <si>
    <t>Rp2.808.334,88cr</t>
  </si>
  <si>
    <t>Rp101.017.720,23cr</t>
  </si>
  <si>
    <t>Rp36.593.245,08cr</t>
  </si>
  <si>
    <t>Rp1.651.771,68cr</t>
  </si>
  <si>
    <t>Rp57.909.371,53cr</t>
  </si>
  <si>
    <t>Rp27.607.361,02cr</t>
  </si>
  <si>
    <t>Rp9.831.774,00cr</t>
  </si>
  <si>
    <t>Rp570.780.735,65cr</t>
  </si>
  <si>
    <t>Rp3.629.855,83cr</t>
  </si>
  <si>
    <t>Rp156.970.704,82cr</t>
  </si>
  <si>
    <t>Rp475.410,30cr</t>
  </si>
  <si>
    <t>Rp74.067.455,91cr</t>
  </si>
  <si>
    <t>Rp15.847.702,51cr</t>
  </si>
  <si>
    <t>Rp2.204.902,87cr</t>
  </si>
  <si>
    <t>Rp25.717.773,79cr</t>
  </si>
  <si>
    <t>Rp92.187.498,26cr</t>
  </si>
  <si>
    <t>Rp7.493.527,65cr</t>
  </si>
  <si>
    <t>Rp85.600,00cr</t>
  </si>
  <si>
    <t>Rp106.402.000,00cr</t>
  </si>
  <si>
    <t>Rp80.036.000,00cr</t>
  </si>
  <si>
    <t>Rp191.882.900,00cr</t>
  </si>
  <si>
    <t>Rp70.070.000,00cr</t>
  </si>
  <si>
    <t>Rp72.570.000,00cr</t>
  </si>
  <si>
    <t>Rp2.000.000,00cr</t>
  </si>
  <si>
    <t>Rp760.400.000,00cr</t>
  </si>
  <si>
    <t>Rp150.000,00cr</t>
  </si>
  <si>
    <t>Rp10.036.479,00cr</t>
  </si>
  <si>
    <t>Rp246.688.431,33cr</t>
  </si>
  <si>
    <t>Rp600.000,00cr</t>
  </si>
  <si>
    <t>Rp15.600.000,00cr</t>
  </si>
  <si>
    <t>Rp2.653.911.211,31cr</t>
  </si>
  <si>
    <t>Rp500.000,00cr</t>
  </si>
  <si>
    <t>Rp70.000.000,00cr</t>
  </si>
  <si>
    <t>Rp256.700.000,00cr</t>
  </si>
  <si>
    <t>Rp3.139.900.000,00cr</t>
  </si>
  <si>
    <t>Rp290.700.000,00cr</t>
  </si>
  <si>
    <t>Rp3.552.750.000,00cr</t>
  </si>
  <si>
    <t>Rp31.204,33cr</t>
  </si>
  <si>
    <t>Rp1.764.950,00cr</t>
  </si>
  <si>
    <t>Rp109.163.300,00cr</t>
  </si>
  <si>
    <t>01/06/2026 To 30/06/2026</t>
  </si>
  <si>
    <t>13/07/2026</t>
  </si>
  <si>
    <t>7:33:41</t>
  </si>
  <si>
    <t>CR</t>
  </si>
  <si>
    <t>05/06/2026</t>
  </si>
  <si>
    <t>Pengembalian Kelebihan Gaji Mei 2026 (Husein Bafadal)</t>
  </si>
  <si>
    <t>M010626</t>
  </si>
  <si>
    <t>SPP &amp; KTS</t>
  </si>
  <si>
    <t>M020626</t>
  </si>
  <si>
    <t>KTS &amp; Pengembalian</t>
  </si>
  <si>
    <t>M030626</t>
  </si>
  <si>
    <t>10/06/2026</t>
  </si>
  <si>
    <t>SPP Juni Santri Muhammad Zhafran Wardana - 8B</t>
  </si>
  <si>
    <t>M040626</t>
  </si>
  <si>
    <t>16/06/2026</t>
  </si>
  <si>
    <t>Pengembalian Dana Top Up Saldo Fastpay Unit Usaha</t>
  </si>
  <si>
    <t>M050626</t>
  </si>
  <si>
    <t>20/06/2026</t>
  </si>
  <si>
    <t>SPP Juni Santri Abdurrahim - 7B</t>
  </si>
  <si>
    <t>M060626</t>
  </si>
  <si>
    <t>Daftar Ulang Santri Fawwaz Tamim Imran</t>
  </si>
  <si>
    <t>M070626</t>
  </si>
  <si>
    <t>23/06/2026</t>
  </si>
  <si>
    <t>Pendaftaran PSB a.n. Muhammad Zed Alfath</t>
  </si>
  <si>
    <t>M080626</t>
  </si>
  <si>
    <t>Pengembalian Internet, Fast Pay, &amp; Rowoll</t>
  </si>
  <si>
    <t>Grand Total:</t>
  </si>
  <si>
    <t>7:33:18</t>
  </si>
  <si>
    <t>01/06/2026</t>
  </si>
  <si>
    <t>Gas Mat'am &amp; Pin-TAR Pegawai</t>
  </si>
  <si>
    <t>K010626</t>
  </si>
  <si>
    <t>02/06/2026</t>
  </si>
  <si>
    <t>Kudapan Asatidzah</t>
  </si>
  <si>
    <t>K020626</t>
  </si>
  <si>
    <t>Gas Math'am 6 Tabung @19.000</t>
  </si>
  <si>
    <t>K030636</t>
  </si>
  <si>
    <t>Obat UKS</t>
  </si>
  <si>
    <t>K040626</t>
  </si>
  <si>
    <t>03/06/2026</t>
  </si>
  <si>
    <t>Perdin Cetak Tiket Konsul Santri di Jember (3 Asatidzah)</t>
  </si>
  <si>
    <t>K050626</t>
  </si>
  <si>
    <t>Minsok Asatidz &amp; Perdin Navara Kelas 9</t>
  </si>
  <si>
    <t>K060626</t>
  </si>
  <si>
    <t>K070626</t>
  </si>
  <si>
    <t>'Kudapan Asatidzah</t>
  </si>
  <si>
    <t>K080626</t>
  </si>
  <si>
    <t>'Gas Math'am 5 Tabung @19.000</t>
  </si>
  <si>
    <t>K090626</t>
  </si>
  <si>
    <t>'Pengembalian Dana ke BMI Pesantren (Batal Penginapan Dr. Helman Aris Rahmana)</t>
  </si>
  <si>
    <t>K100626</t>
  </si>
  <si>
    <t>04/06/2026</t>
  </si>
  <si>
    <t>Majlas Imam Muadzin Kls. 9 (Kepengasuhan Bagian Ibadah)</t>
  </si>
  <si>
    <t>K110626</t>
  </si>
  <si>
    <t>Gas Math'am 10 Tabung @19.000</t>
  </si>
  <si>
    <t>K120626</t>
  </si>
  <si>
    <t>Olahraga Bulu Tangkis Asatidzah 3 Juni</t>
  </si>
  <si>
    <t>K130626</t>
  </si>
  <si>
    <t>K150626</t>
  </si>
  <si>
    <t>K160626</t>
  </si>
  <si>
    <t>K170626</t>
  </si>
  <si>
    <t>Pelayanan Tamu Dr. Helman Aris Rahmana (BBM &amp; Makan Malam)</t>
  </si>
  <si>
    <t>K180626</t>
  </si>
  <si>
    <t>BBM Mobdin APV</t>
  </si>
  <si>
    <t>K190616</t>
  </si>
  <si>
    <t>K200626</t>
  </si>
  <si>
    <t>Pin-Tar Pegawai M. Arif Ariwakri</t>
  </si>
  <si>
    <t>K210626</t>
  </si>
  <si>
    <t>08/06/2026</t>
  </si>
  <si>
    <t>Olahraga Mini Soccer Asatidzah 7 Juni</t>
  </si>
  <si>
    <t>K220626</t>
  </si>
  <si>
    <t>K230626</t>
  </si>
  <si>
    <t>Gas Math'am 15 Tabung @19.000</t>
  </si>
  <si>
    <t>K240626</t>
  </si>
  <si>
    <t>Kartu Kepengasuhan &amp; Layanan Tamu</t>
  </si>
  <si>
    <t>K250626</t>
  </si>
  <si>
    <t>K260626</t>
  </si>
  <si>
    <t>4 Pcs Steker T Broco</t>
  </si>
  <si>
    <t>K270626</t>
  </si>
  <si>
    <t>BPJS Kesehatan PIAT 6 Juni</t>
  </si>
  <si>
    <t>K300626</t>
  </si>
  <si>
    <t>Allowance of BPJS Kesehatan</t>
  </si>
  <si>
    <t>'Gas Math'am 6 Tabung @19.000</t>
  </si>
  <si>
    <t>K310626</t>
  </si>
  <si>
    <t>K320626</t>
  </si>
  <si>
    <t>Belanja Rumah Tangga</t>
  </si>
  <si>
    <t>K330626</t>
  </si>
  <si>
    <t>K340626</t>
  </si>
  <si>
    <t>Perdin Pengantaran DPP (Probolinggo - Dr. Helman Aris Rahmana)</t>
  </si>
  <si>
    <t>K350626</t>
  </si>
  <si>
    <t>K360626</t>
  </si>
  <si>
    <t>Pangkas Rambut &amp; Badminton</t>
  </si>
  <si>
    <t>K370626</t>
  </si>
  <si>
    <t>Pangkas Rambut</t>
  </si>
  <si>
    <t>Kegiatan TASYRIQ FEST 1447 H (Anggaran Rp. 4,180,000)</t>
  </si>
  <si>
    <t>K380626</t>
  </si>
  <si>
    <t>11/06/2026</t>
  </si>
  <si>
    <t>K390626</t>
  </si>
  <si>
    <t>12/06/2026</t>
  </si>
  <si>
    <t>K410626</t>
  </si>
  <si>
    <t>13/06/2026</t>
  </si>
  <si>
    <t>Perdin Jember Antar Ustadz Hajid &amp; Ustadz Zein Muhammad (Perdin. JKT)</t>
  </si>
  <si>
    <t>K420626</t>
  </si>
  <si>
    <t>K430626</t>
  </si>
  <si>
    <t>Gas Math'am 11 Tabung @19.000</t>
  </si>
  <si>
    <t>K440626</t>
  </si>
  <si>
    <t>K450626</t>
  </si>
  <si>
    <t>BBM Mobdin Pick Up</t>
  </si>
  <si>
    <t>K460626</t>
  </si>
  <si>
    <t>Perdin Ustadz Hajid &amp; Ketua Yayasan An-Nawawi Bondowoso ke Jakarta</t>
  </si>
  <si>
    <t>K470626</t>
  </si>
  <si>
    <t>Gas Math'am 14 Tabung @19.000</t>
  </si>
  <si>
    <t>K480626</t>
  </si>
  <si>
    <t>K490626</t>
  </si>
  <si>
    <t>Pangkas Rambut Cak Mahmud 43 Santri</t>
  </si>
  <si>
    <t>K500626</t>
  </si>
  <si>
    <t>Jami'iyyah Tholabah Kepengasuhan Juni</t>
  </si>
  <si>
    <t>K510626</t>
  </si>
  <si>
    <t>17/06/2026</t>
  </si>
  <si>
    <t>K520626</t>
  </si>
  <si>
    <t>Majlas Muadzin (Kepengasuhan Bagian Ibadah)</t>
  </si>
  <si>
    <t>K530626</t>
  </si>
  <si>
    <t>Konsumsi Raker Kepengasuhan (8 - 13 Juni)</t>
  </si>
  <si>
    <t>K540626</t>
  </si>
  <si>
    <t>K550626</t>
  </si>
  <si>
    <t>18/06/2026</t>
  </si>
  <si>
    <t>K560626</t>
  </si>
  <si>
    <t>BBM Genset</t>
  </si>
  <si>
    <t>K570626</t>
  </si>
  <si>
    <t>Pembinaan Santri bersama Kabid Kepengasuhan</t>
  </si>
  <si>
    <t>K580616</t>
  </si>
  <si>
    <t>Kegiatan Lomba USBU' TSAQOFAH (Kepengasuhan - Anggaran Rp. 2,115,000)</t>
  </si>
  <si>
    <t>K600626</t>
  </si>
  <si>
    <t>19/06/2026</t>
  </si>
  <si>
    <t>K610626</t>
  </si>
  <si>
    <t>K620626</t>
  </si>
  <si>
    <t>Konsumsi Tes PSB (1 Calon Santri)</t>
  </si>
  <si>
    <t>K630626</t>
  </si>
  <si>
    <t>2 Zak Beras 25Kg</t>
  </si>
  <si>
    <t>K640626</t>
  </si>
  <si>
    <t>K650626</t>
  </si>
  <si>
    <t>K660626</t>
  </si>
  <si>
    <t>Gas Math'am 3 Tabung @19.000</t>
  </si>
  <si>
    <t>k670626</t>
  </si>
  <si>
    <t>22/06/2026</t>
  </si>
  <si>
    <t>2 Pcs Stempel TTD Mudir</t>
  </si>
  <si>
    <t>K690626</t>
  </si>
  <si>
    <t>Olahraga Mini Soccer Asatidzah 21 Juni</t>
  </si>
  <si>
    <t>K700626</t>
  </si>
  <si>
    <t>Bumbu Matha'm</t>
  </si>
  <si>
    <t>K710626</t>
  </si>
  <si>
    <t>K730626</t>
  </si>
  <si>
    <t>7:34:00</t>
  </si>
  <si>
    <t>GJ</t>
  </si>
  <si>
    <t>Pengakuan Pendapatan SPP Juni 2026</t>
  </si>
  <si>
    <t>JM010626</t>
  </si>
  <si>
    <t>Pengakuan Subsidi &amp; Pembayaran dengan PYD SPP Juni 2026#</t>
  </si>
  <si>
    <t>JM020626</t>
  </si>
  <si>
    <t>Sponsor A/R - YAMAS</t>
  </si>
  <si>
    <t>29/06/2026</t>
  </si>
  <si>
    <t>Cek Masuk Giro Pesantren</t>
  </si>
  <si>
    <t>CM010626</t>
  </si>
  <si>
    <t>Cek Masuk BMI Pesantren</t>
  </si>
  <si>
    <t>CM020626</t>
  </si>
  <si>
    <t>Tabungan Santri Juni 2026</t>
  </si>
  <si>
    <t>TAB.0626</t>
  </si>
  <si>
    <t>30/06/2026</t>
  </si>
  <si>
    <t>Biaya Bos MTS</t>
  </si>
  <si>
    <t>BOS.0626</t>
  </si>
  <si>
    <t>Biaya Bos MA</t>
  </si>
  <si>
    <t>Belanja Dapur</t>
  </si>
  <si>
    <t>CK010626</t>
  </si>
  <si>
    <t>CK020626</t>
  </si>
  <si>
    <t>Alowance of BPJS Ketenagakerja</t>
  </si>
  <si>
    <t>Pengadaan Aset Tetap</t>
  </si>
  <si>
    <t>Perlengkapan &amp; Pengembalian SPP &amp; DU</t>
  </si>
  <si>
    <t>CK040626</t>
  </si>
  <si>
    <t>Sipond &amp; Internet</t>
  </si>
  <si>
    <t>CK050626</t>
  </si>
  <si>
    <t>Perdin &amp; Honor Konsultan</t>
  </si>
  <si>
    <t>CK060626</t>
  </si>
  <si>
    <t>Cek Keluar Giro Pesantren</t>
  </si>
  <si>
    <t>CK080626</t>
  </si>
  <si>
    <t>Payroll &amp; Admin</t>
  </si>
  <si>
    <t>CKSI0626</t>
  </si>
  <si>
    <t>Pengakuan Piutang, dan Hutanh serta sewa rumah Asatidz</t>
  </si>
  <si>
    <t>JM040626</t>
  </si>
  <si>
    <t>Pengakuan Release Bos dan Donasi</t>
  </si>
  <si>
    <t>JM050626</t>
  </si>
  <si>
    <t>Pengakuan Transfer pending pada donasi</t>
  </si>
  <si>
    <t>JM060626</t>
  </si>
  <si>
    <t>JM080626</t>
  </si>
  <si>
    <t>As of June 2026</t>
  </si>
  <si>
    <t>11/07/2026</t>
  </si>
  <si>
    <t>16:39:04</t>
  </si>
  <si>
    <t>01/06/2026 through 30/06/2026</t>
  </si>
  <si>
    <t>16:39:25</t>
  </si>
  <si>
    <t>Rp966.100,00cr</t>
  </si>
  <si>
    <t>Rp282.797.053,95cr</t>
  </si>
  <si>
    <t>Rp7.361.800,00cr</t>
  </si>
  <si>
    <t>Rp6.216.400,00cr</t>
  </si>
  <si>
    <t>Rp104.048.233,00cr</t>
  </si>
  <si>
    <t>Rp109.904.100,00cr</t>
  </si>
  <si>
    <t>Rp153.677.200,00cr</t>
  </si>
  <si>
    <t>Huawei Matepad 11.5bTaoxingzhi 8GB-256GB Grey</t>
  </si>
  <si>
    <t>Mudir</t>
  </si>
  <si>
    <t>JM090626</t>
  </si>
  <si>
    <t>Rp8.877.958,23cr</t>
  </si>
  <si>
    <t>Rp317.850.512,12cr</t>
  </si>
  <si>
    <t>Maksof, RT Dll</t>
  </si>
  <si>
    <t>Pengakuan Hutang Biaya Juni 2026</t>
  </si>
  <si>
    <t>Electricity - Kantor</t>
  </si>
  <si>
    <t>Electricity - Boarding</t>
  </si>
  <si>
    <t>Electricity - Kelas</t>
  </si>
  <si>
    <t>Internet &amp; Pulsa</t>
  </si>
  <si>
    <t>Allowance of Makan Liburan</t>
  </si>
  <si>
    <t>Maksof DLL</t>
  </si>
  <si>
    <t>k51</t>
  </si>
</sst>
</file>

<file path=xl/styles.xml><?xml version="1.0" encoding="utf-8"?>
<styleSheet xmlns="http://schemas.openxmlformats.org/spreadsheetml/2006/main" xmlns:mc="http://schemas.openxmlformats.org/markup-compatibility/2006" xmlns:x14ac="http://schemas.microsoft.com/office/spreadsheetml/2009/9/ac" mc:Ignorable="x14ac">
  <numFmts count="48">
    <numFmt numFmtId="8" formatCode="&quot;Rp&quot;#,##0.00;[Red]\-&quot;Rp&quot;#,##0.00"/>
    <numFmt numFmtId="42" formatCode="_-&quot;Rp&quot;* #,##0_-;\-&quot;Rp&quot;* #,##0_-;_-&quot;Rp&quot;* &quot;-&quot;_-;_-@_-"/>
    <numFmt numFmtId="41" formatCode="_-* #,##0_-;\-* #,##0_-;_-* &quot;-&quot;_-;_-@_-"/>
    <numFmt numFmtId="44" formatCode="_-&quot;Rp&quot;* #,##0.00_-;\-&quot;Rp&quot;* #,##0.00_-;_-&quot;Rp&quot;* &quot;-&quot;??_-;_-@_-"/>
    <numFmt numFmtId="43" formatCode="_-* #,##0.00_-;\-* #,##0.00_-;_-* &quot;-&quot;??_-;_-@_-"/>
    <numFmt numFmtId="164" formatCode="[$-421]dd\ mmmm\ yyyy;@"/>
    <numFmt numFmtId="165" formatCode="[$-409]mmmm\-yy;@"/>
    <numFmt numFmtId="166" formatCode="[$-409]dd\-mmm\-yy;@"/>
    <numFmt numFmtId="167" formatCode="_(* #,##0.00_);_(* \(#,##0.00\);_(* &quot;-&quot;_);_(@_)"/>
    <numFmt numFmtId="168" formatCode="[$-409]mmmm\ d\,\ yyyy;@"/>
    <numFmt numFmtId="169" formatCode="[$-F800]dddd\,\ mmmm\ dd\,\ yyyy"/>
    <numFmt numFmtId="170" formatCode="m/d;@"/>
    <numFmt numFmtId="171" formatCode="[$-409]d\-mmm\-yy;@"/>
    <numFmt numFmtId="172" formatCode="_(* #,##0_);_(* \(#,##0\);_(* &quot;-&quot;_);_(@_)"/>
    <numFmt numFmtId="173" formatCode="_(* #,##0.00_);_(* \(#,##0.00\);_(* &quot;-&quot;??_);_(@_)"/>
    <numFmt numFmtId="174" formatCode="_-* #,##0_-;_-* #,##0\-;_-* \-_-;_-@_-"/>
    <numFmt numFmtId="175" formatCode="_-* #,##0.00_-;_-* #,##0.00\-;_-* \-??_-;_-@_-"/>
    <numFmt numFmtId="176" formatCode="_(* #,##0.00_);_(* \(#,##0.00\);_(* \-_);_(@_)"/>
    <numFmt numFmtId="177" formatCode="_(* #,##0.00_);_(* \(#,##0.00\);_(* \-??_);_(@_)"/>
    <numFmt numFmtId="178" formatCode="dd\ mmmm\ yyyy;@"/>
    <numFmt numFmtId="179" formatCode="_(&quot;$&quot;* #,##0_);_(&quot;$&quot;* \(#,##0\);_(&quot;$&quot;* \-_);_(@_)"/>
    <numFmt numFmtId="180" formatCode="_(* #,##0_);_(* \(#,##0\);_(* \-?????????????_);_(@_)"/>
    <numFmt numFmtId="181" formatCode="_(* #,##0.00_);_(* \(#,##0.00\);_(* \-?????????????_);_(@_)"/>
    <numFmt numFmtId="182" formatCode="&quot;$&quot;#,##0.00_);[Red]\(&quot;$&quot;#,##0.00\)"/>
    <numFmt numFmtId="183" formatCode="&quot;B1&quot;mmm\-yy"/>
    <numFmt numFmtId="184" formatCode="_(* #,##0_);_(* \(#,##0\);_(* \-??_);_(@_)"/>
    <numFmt numFmtId="185" formatCode="_(* #,##0_);_(* \(#,##0\);_(* \-_);_(@_)"/>
    <numFmt numFmtId="186" formatCode="mmmm\-yy;@"/>
    <numFmt numFmtId="187" formatCode="#,##0.00\ ;&quot; (&quot;#,##0.00\);&quot; -&quot;#\ ;@\ "/>
    <numFmt numFmtId="188" formatCode="_(* #,##0_);_(* \(#,##0\);_(* &quot;-&quot;??_);_(@_)"/>
    <numFmt numFmtId="189" formatCode="#,##0.00;[Red]#,##0.00"/>
    <numFmt numFmtId="190" formatCode="_-* #,##0.00_-;_-* #,##0.00\-;_-* \-_-;_-@_-"/>
    <numFmt numFmtId="191" formatCode="000000"/>
    <numFmt numFmtId="192" formatCode="#,##0\ ;&quot; (&quot;#,##0\);&quot; - &quot;;@\ "/>
    <numFmt numFmtId="193" formatCode="0\-0000"/>
    <numFmt numFmtId="194" formatCode="#,##0.00_ ;\-#,##0.00\ "/>
    <numFmt numFmtId="195" formatCode="d/mmm/yy;@"/>
    <numFmt numFmtId="196" formatCode="dd/mm/yy;@"/>
    <numFmt numFmtId="197" formatCode="dd/mm/yyyy;@"/>
    <numFmt numFmtId="198" formatCode="_ * #,##0_ ;_ * \-#,##0_ ;_ * &quot;-&quot;??_ ;_ @_ "/>
    <numFmt numFmtId="199" formatCode="0.E+00"/>
    <numFmt numFmtId="200" formatCode="_(&quot;$&quot;* #,##0.00_);_(&quot;$&quot;* \(#,##0.00\);_(&quot;$&quot;* \-??_);_(@_)"/>
    <numFmt numFmtId="201" formatCode="_(* #,##0.0_);_(* \(#,##0.0\);_(* &quot;-&quot;_);_(@_)"/>
    <numFmt numFmtId="202" formatCode="_ * #,##0.00_ ;_ * \-#,##0.00_ ;_ * &quot;-&quot;??_ ;_ @_ "/>
    <numFmt numFmtId="203" formatCode="_(&quot;Rp&quot;* #,##0_);_(&quot;Rp&quot;* \(#,##0\);_(&quot;Rp&quot;* \-_);_(@_)"/>
    <numFmt numFmtId="204" formatCode="_-* #,##0_-;\-* #,##0_-;_-* &quot;-&quot;??_-;_-@_-"/>
    <numFmt numFmtId="205" formatCode="[$-1C09]dd\ mmmm\ yyyy;@"/>
    <numFmt numFmtId="206" formatCode="_-* #,##0.00_-;\-* #,##0.00_-;_-* &quot;-&quot;_-;_-@_-"/>
  </numFmts>
  <fonts count="189" x14ac:knownFonts="1">
    <font>
      <sz val="11"/>
      <color theme="1"/>
      <name val="Calibri"/>
      <family val="2"/>
      <charset val="1"/>
      <scheme val="minor"/>
    </font>
    <font>
      <sz val="11"/>
      <color theme="1"/>
      <name val="Calibri"/>
      <family val="2"/>
      <charset val="1"/>
      <scheme val="minor"/>
    </font>
    <font>
      <u/>
      <sz val="11"/>
      <color theme="10"/>
      <name val="Calibri"/>
      <family val="2"/>
      <charset val="1"/>
      <scheme val="minor"/>
    </font>
    <font>
      <sz val="11"/>
      <color theme="1"/>
      <name val="Times New Roman"/>
      <family val="1"/>
    </font>
    <font>
      <b/>
      <sz val="11"/>
      <color theme="1"/>
      <name val="Times New Roman"/>
      <family val="1"/>
    </font>
    <font>
      <b/>
      <sz val="20"/>
      <color theme="1"/>
      <name val="Times New Roman"/>
      <family val="1"/>
    </font>
    <font>
      <b/>
      <u/>
      <sz val="14"/>
      <color theme="10"/>
      <name val="Times New Roman"/>
      <family val="1"/>
    </font>
    <font>
      <b/>
      <sz val="14"/>
      <color theme="1"/>
      <name val="Times New Roman"/>
      <family val="1"/>
    </font>
    <font>
      <sz val="14"/>
      <color theme="1"/>
      <name val="Times New Roman"/>
      <family val="1"/>
    </font>
    <font>
      <sz val="10"/>
      <name val="Arial"/>
      <family val="2"/>
    </font>
    <font>
      <sz val="12"/>
      <name val="Times New Roman"/>
      <family val="1"/>
    </font>
    <font>
      <b/>
      <sz val="12"/>
      <name val="Times New Roman"/>
      <family val="1"/>
    </font>
    <font>
      <b/>
      <sz val="24"/>
      <name val="Times New Roman"/>
      <family val="1"/>
    </font>
    <font>
      <b/>
      <sz val="16"/>
      <name val="Times New Roman"/>
      <family val="1"/>
    </font>
    <font>
      <b/>
      <i/>
      <sz val="16"/>
      <name val="Times New Roman"/>
      <family val="1"/>
    </font>
    <font>
      <b/>
      <i/>
      <sz val="11"/>
      <name val="Times New Roman"/>
      <family val="1"/>
    </font>
    <font>
      <b/>
      <i/>
      <sz val="11"/>
      <color theme="1"/>
      <name val="Times New Roman"/>
      <family val="1"/>
    </font>
    <font>
      <b/>
      <sz val="20"/>
      <name val="Times New Roman"/>
      <family val="1"/>
    </font>
    <font>
      <b/>
      <sz val="14"/>
      <color indexed="9"/>
      <name val="Times New Roman"/>
      <family val="1"/>
    </font>
    <font>
      <b/>
      <i/>
      <sz val="14"/>
      <color indexed="9"/>
      <name val="Times New Roman"/>
      <family val="1"/>
    </font>
    <font>
      <b/>
      <sz val="14"/>
      <name val="Times New Roman"/>
      <family val="1"/>
    </font>
    <font>
      <sz val="12"/>
      <color rgb="FFFF0000"/>
      <name val="Times New Roman"/>
      <family val="1"/>
    </font>
    <font>
      <sz val="10"/>
      <name val="Arial"/>
      <family val="2"/>
      <charset val="178"/>
    </font>
    <font>
      <sz val="10"/>
      <color theme="0" tint="-0.249977111117893"/>
      <name val="Arial"/>
      <family val="2"/>
      <charset val="178"/>
    </font>
    <font>
      <b/>
      <i/>
      <sz val="12"/>
      <name val="Times New Roman"/>
      <family val="1"/>
    </font>
    <font>
      <sz val="10"/>
      <name val="Times New Roman"/>
      <family val="1"/>
    </font>
    <font>
      <b/>
      <sz val="10"/>
      <name val="Times New Roman"/>
      <family val="1"/>
    </font>
    <font>
      <sz val="10"/>
      <color rgb="FFFF0000"/>
      <name val="Times New Roman"/>
      <family val="1"/>
    </font>
    <font>
      <b/>
      <i/>
      <sz val="10"/>
      <name val="Times New Roman"/>
      <family val="1"/>
    </font>
    <font>
      <i/>
      <sz val="10"/>
      <name val="Times New Roman"/>
      <family val="1"/>
    </font>
    <font>
      <b/>
      <sz val="10"/>
      <name val="Calibri"/>
      <family val="2"/>
      <scheme val="minor"/>
    </font>
    <font>
      <b/>
      <sz val="10"/>
      <color theme="0" tint="-0.249977111117893"/>
      <name val="Arial"/>
      <family val="2"/>
    </font>
    <font>
      <b/>
      <sz val="10"/>
      <color rgb="FFFF0000"/>
      <name val="Calibri"/>
      <family val="2"/>
      <scheme val="minor"/>
    </font>
    <font>
      <sz val="10"/>
      <color theme="0"/>
      <name val="Arial"/>
      <family val="2"/>
    </font>
    <font>
      <b/>
      <sz val="11"/>
      <color theme="0"/>
      <name val="Times New Roman"/>
      <family val="1"/>
    </font>
    <font>
      <sz val="11"/>
      <color theme="0"/>
      <name val="Times New Roman"/>
      <family val="1"/>
    </font>
    <font>
      <b/>
      <sz val="11"/>
      <name val="Times New Roman"/>
      <family val="1"/>
    </font>
    <font>
      <sz val="11"/>
      <name val="Times New Roman"/>
      <family val="1"/>
    </font>
    <font>
      <i/>
      <sz val="11"/>
      <name val="Times New Roman"/>
      <family val="1"/>
    </font>
    <font>
      <b/>
      <sz val="7"/>
      <name val="Times New Roman"/>
      <family val="1"/>
    </font>
    <font>
      <b/>
      <i/>
      <sz val="7"/>
      <name val="Times New Roman"/>
      <family val="1"/>
    </font>
    <font>
      <sz val="10"/>
      <color rgb="FFFF0000"/>
      <name val="Arial"/>
      <family val="2"/>
    </font>
    <font>
      <b/>
      <sz val="10"/>
      <color rgb="FFFF0000"/>
      <name val="Times New Roman"/>
      <family val="1"/>
    </font>
    <font>
      <i/>
      <sz val="10"/>
      <color rgb="FFFF0000"/>
      <name val="Times New Roman"/>
      <family val="1"/>
    </font>
    <font>
      <sz val="9"/>
      <name val="Arial"/>
      <family val="2"/>
    </font>
    <font>
      <b/>
      <sz val="10.5"/>
      <color theme="0"/>
      <name val="Times New Roman"/>
      <family val="1"/>
    </font>
    <font>
      <b/>
      <i/>
      <sz val="10.5"/>
      <color theme="0"/>
      <name val="Times New Roman"/>
      <family val="1"/>
    </font>
    <font>
      <sz val="10"/>
      <color theme="0"/>
      <name val="Times New Roman"/>
      <family val="1"/>
    </font>
    <font>
      <b/>
      <sz val="10"/>
      <color theme="0"/>
      <name val="Times New Roman"/>
      <family val="1"/>
    </font>
    <font>
      <i/>
      <sz val="10"/>
      <color theme="0"/>
      <name val="Times New Roman"/>
      <family val="1"/>
    </font>
    <font>
      <b/>
      <sz val="9"/>
      <color indexed="81"/>
      <name val="Tahoma"/>
      <family val="2"/>
    </font>
    <font>
      <sz val="9"/>
      <color indexed="81"/>
      <name val="Tahoma"/>
      <family val="2"/>
    </font>
    <font>
      <b/>
      <sz val="9"/>
      <name val="Tahoma"/>
      <family val="2"/>
    </font>
    <font>
      <sz val="9"/>
      <name val="Tahoma"/>
      <family val="2"/>
    </font>
    <font>
      <b/>
      <sz val="14"/>
      <color theme="0"/>
      <name val="Times New Roman"/>
      <family val="1"/>
    </font>
    <font>
      <b/>
      <i/>
      <sz val="10"/>
      <color theme="0"/>
      <name val="Times New Roman"/>
      <family val="1"/>
    </font>
    <font>
      <b/>
      <i/>
      <sz val="14"/>
      <color theme="0"/>
      <name val="Times New Roman"/>
      <family val="1"/>
    </font>
    <font>
      <b/>
      <sz val="11"/>
      <color indexed="9"/>
      <name val="Times New Roman"/>
      <family val="1"/>
    </font>
    <font>
      <sz val="9"/>
      <name val="Times New Roman"/>
      <family val="1"/>
    </font>
    <font>
      <b/>
      <sz val="9"/>
      <name val="Times New Roman"/>
      <family val="1"/>
    </font>
    <font>
      <sz val="10"/>
      <color indexed="12"/>
      <name val="Times New Roman"/>
      <family val="1"/>
    </font>
    <font>
      <b/>
      <sz val="9.5"/>
      <name val="Times New Roman"/>
      <family val="1"/>
    </font>
    <font>
      <sz val="9"/>
      <color rgb="FFFF0000"/>
      <name val="Times New Roman"/>
      <family val="1"/>
    </font>
    <font>
      <sz val="8"/>
      <color rgb="FFFF0000"/>
      <name val="Times New Roman"/>
      <family val="1"/>
    </font>
    <font>
      <sz val="7"/>
      <name val="Times New Roman"/>
      <family val="1"/>
    </font>
    <font>
      <i/>
      <sz val="9"/>
      <name val="Times New Roman"/>
      <family val="1"/>
    </font>
    <font>
      <i/>
      <sz val="7"/>
      <name val="Times New Roman"/>
      <family val="1"/>
    </font>
    <font>
      <sz val="10"/>
      <color indexed="9"/>
      <name val="Times New Roman"/>
      <family val="1"/>
    </font>
    <font>
      <b/>
      <sz val="12"/>
      <color indexed="9"/>
      <name val="Times New Roman"/>
      <family val="1"/>
    </font>
    <font>
      <b/>
      <i/>
      <sz val="12"/>
      <color indexed="9"/>
      <name val="Times New Roman"/>
      <family val="1"/>
    </font>
    <font>
      <sz val="10"/>
      <color rgb="FFC00000"/>
      <name val="Times New Roman"/>
      <family val="1"/>
    </font>
    <font>
      <sz val="9"/>
      <color rgb="FFC00000"/>
      <name val="Times New Roman"/>
      <family val="1"/>
    </font>
    <font>
      <sz val="9"/>
      <color rgb="FFFF0000"/>
      <name val="Arial"/>
      <family val="2"/>
    </font>
    <font>
      <sz val="9"/>
      <color theme="0"/>
      <name val="Times New Roman"/>
      <family val="1"/>
    </font>
    <font>
      <sz val="11"/>
      <color indexed="9"/>
      <name val="Times New Roman"/>
      <family val="1"/>
    </font>
    <font>
      <sz val="10"/>
      <color rgb="FF000000"/>
      <name val="Times New Roman"/>
      <family val="1"/>
    </font>
    <font>
      <i/>
      <sz val="8"/>
      <name val="Times New Roman"/>
      <family val="1"/>
    </font>
    <font>
      <b/>
      <i/>
      <sz val="9"/>
      <name val="Times New Roman"/>
      <family val="1"/>
    </font>
    <font>
      <b/>
      <sz val="13"/>
      <color theme="0"/>
      <name val="Times New Roman"/>
      <family val="1"/>
    </font>
    <font>
      <b/>
      <i/>
      <sz val="13"/>
      <color theme="0"/>
      <name val="Times New Roman"/>
      <family val="1"/>
    </font>
    <font>
      <sz val="10"/>
      <color theme="1"/>
      <name val="Times New Roman"/>
      <family val="1"/>
    </font>
    <font>
      <sz val="8"/>
      <name val="Arial"/>
      <family val="2"/>
    </font>
    <font>
      <b/>
      <sz val="10"/>
      <color theme="1"/>
      <name val="Times New Roman"/>
      <family val="1"/>
    </font>
    <font>
      <b/>
      <sz val="12"/>
      <color rgb="FFFF0000"/>
      <name val="Times New Roman"/>
      <family val="1"/>
    </font>
    <font>
      <b/>
      <i/>
      <sz val="10"/>
      <color rgb="FFFF0000"/>
      <name val="Times New Roman"/>
      <family val="1"/>
    </font>
    <font>
      <b/>
      <sz val="12"/>
      <color theme="0"/>
      <name val="Times New Roman"/>
      <family val="1"/>
    </font>
    <font>
      <b/>
      <i/>
      <sz val="12"/>
      <color theme="0"/>
      <name val="Times New Roman"/>
      <family val="1"/>
    </font>
    <font>
      <b/>
      <sz val="10.5"/>
      <name val="Times New Roman"/>
      <family val="1"/>
    </font>
    <font>
      <sz val="12"/>
      <color theme="0"/>
      <name val="Times New Roman"/>
      <family val="1"/>
    </font>
    <font>
      <b/>
      <sz val="15"/>
      <color theme="0"/>
      <name val="Times New Roman"/>
      <family val="1"/>
    </font>
    <font>
      <b/>
      <i/>
      <sz val="15"/>
      <color theme="0"/>
      <name val="Times New Roman"/>
      <family val="1"/>
    </font>
    <font>
      <b/>
      <i/>
      <sz val="10"/>
      <color rgb="FFC00000"/>
      <name val="Times New Roman"/>
      <family val="1"/>
    </font>
    <font>
      <b/>
      <sz val="10.5"/>
      <color theme="1"/>
      <name val="Times New Roman"/>
      <family val="1"/>
    </font>
    <font>
      <b/>
      <i/>
      <sz val="10.5"/>
      <name val="Times New Roman"/>
      <family val="1"/>
    </font>
    <font>
      <sz val="11"/>
      <color theme="1"/>
      <name val="Times New Roman"/>
      <family val="2"/>
    </font>
    <font>
      <i/>
      <sz val="9.5"/>
      <color rgb="FFFF0000"/>
      <name val="Times New Roman"/>
      <family val="1"/>
    </font>
    <font>
      <b/>
      <sz val="9.5"/>
      <color rgb="FFFF0000"/>
      <name val="Times New Roman"/>
      <family val="1"/>
    </font>
    <font>
      <sz val="9.5"/>
      <color rgb="FFFF0000"/>
      <name val="Times New Roman"/>
      <family val="1"/>
    </font>
    <font>
      <i/>
      <sz val="9.5"/>
      <name val="Times New Roman"/>
      <family val="1"/>
    </font>
    <font>
      <b/>
      <sz val="8.5"/>
      <name val="Times New Roman"/>
      <family val="1"/>
    </font>
    <font>
      <b/>
      <sz val="9"/>
      <color rgb="FFFF0000"/>
      <name val="Times New Roman"/>
      <family val="1"/>
    </font>
    <font>
      <b/>
      <sz val="9"/>
      <color theme="0"/>
      <name val="Times New Roman"/>
      <family val="1"/>
    </font>
    <font>
      <b/>
      <i/>
      <sz val="9"/>
      <color rgb="FFFF0000"/>
      <name val="Times New Roman"/>
      <family val="1"/>
    </font>
    <font>
      <b/>
      <sz val="7.5"/>
      <name val="Times New Roman"/>
      <family val="1"/>
    </font>
    <font>
      <b/>
      <i/>
      <sz val="7.5"/>
      <name val="Times New Roman"/>
      <family val="1"/>
    </font>
    <font>
      <b/>
      <i/>
      <sz val="8.5"/>
      <name val="Times New Roman"/>
      <family val="1"/>
    </font>
    <font>
      <sz val="8"/>
      <name val="Times New Roman"/>
      <family val="1"/>
    </font>
    <font>
      <sz val="8"/>
      <color theme="0"/>
      <name val="Times New Roman"/>
      <family val="1"/>
    </font>
    <font>
      <i/>
      <sz val="8"/>
      <color theme="0"/>
      <name val="Times New Roman"/>
      <family val="1"/>
    </font>
    <font>
      <b/>
      <sz val="8"/>
      <name val="Times New Roman"/>
      <family val="1"/>
    </font>
    <font>
      <b/>
      <i/>
      <sz val="8"/>
      <name val="Times New Roman"/>
      <family val="1"/>
    </font>
    <font>
      <sz val="10"/>
      <color indexed="10"/>
      <name val="Times New Roman"/>
      <family val="1"/>
    </font>
    <font>
      <sz val="11"/>
      <color indexed="10"/>
      <name val="Times New Roman"/>
      <family val="1"/>
    </font>
    <font>
      <b/>
      <sz val="11"/>
      <color indexed="10"/>
      <name val="Times New Roman"/>
      <family val="1"/>
    </font>
    <font>
      <sz val="10"/>
      <color rgb="FF0000FF"/>
      <name val="Times New Roman"/>
      <family val="1"/>
    </font>
    <font>
      <sz val="10"/>
      <color rgb="FF401BC0"/>
      <name val="Times New Roman"/>
      <family val="1"/>
    </font>
    <font>
      <b/>
      <sz val="10"/>
      <color rgb="FFC00000"/>
      <name val="Times New Roman"/>
      <family val="1"/>
    </font>
    <font>
      <sz val="10"/>
      <color rgb="FF00B050"/>
      <name val="Times New Roman"/>
      <family val="1"/>
    </font>
    <font>
      <sz val="10"/>
      <color rgb="FF0070C0"/>
      <name val="Times New Roman"/>
      <family val="1"/>
    </font>
    <font>
      <sz val="10"/>
      <color rgb="FF7030A0"/>
      <name val="Times New Roman"/>
      <family val="1"/>
    </font>
    <font>
      <b/>
      <sz val="10.5"/>
      <color indexed="9"/>
      <name val="Times New Roman"/>
      <family val="1"/>
    </font>
    <font>
      <b/>
      <sz val="10.5"/>
      <color indexed="10"/>
      <name val="Times New Roman"/>
      <family val="1"/>
    </font>
    <font>
      <b/>
      <i/>
      <sz val="10.5"/>
      <color indexed="9"/>
      <name val="Times New Roman"/>
      <family val="1"/>
    </font>
    <font>
      <sz val="10.5"/>
      <color indexed="9"/>
      <name val="Times New Roman"/>
      <family val="1"/>
    </font>
    <font>
      <sz val="10"/>
      <color theme="0" tint="-0.34998626667073579"/>
      <name val="Times New Roman"/>
      <family val="1"/>
    </font>
    <font>
      <sz val="10"/>
      <color theme="3"/>
      <name val="Times New Roman"/>
      <family val="1"/>
    </font>
    <font>
      <b/>
      <sz val="10"/>
      <color rgb="FF0070C0"/>
      <name val="Times New Roman"/>
      <family val="1"/>
    </font>
    <font>
      <b/>
      <i/>
      <sz val="9.5"/>
      <name val="Times New Roman"/>
      <family val="1"/>
    </font>
    <font>
      <sz val="9.5"/>
      <name val="Times New Roman"/>
      <family val="1"/>
    </font>
    <font>
      <b/>
      <sz val="17"/>
      <color theme="0"/>
      <name val="Times New Roman"/>
      <family val="1"/>
    </font>
    <font>
      <b/>
      <sz val="17"/>
      <name val="Times New Roman"/>
      <family val="1"/>
    </font>
    <font>
      <b/>
      <i/>
      <sz val="17"/>
      <color theme="0"/>
      <name val="Times New Roman"/>
      <family val="1"/>
    </font>
    <font>
      <b/>
      <u/>
      <sz val="9"/>
      <name val="Times New Roman"/>
      <family val="1"/>
    </font>
    <font>
      <sz val="7.5"/>
      <name val="Times New Roman"/>
      <family val="1"/>
    </font>
    <font>
      <sz val="11"/>
      <color rgb="FFFF0000"/>
      <name val="Calibri"/>
      <family val="2"/>
      <charset val="1"/>
      <scheme val="minor"/>
    </font>
    <font>
      <b/>
      <sz val="8"/>
      <color rgb="FFFF0000"/>
      <name val="Times New Roman"/>
      <family val="1"/>
    </font>
    <font>
      <sz val="11"/>
      <color rgb="FF333333"/>
      <name val="Calibri"/>
      <family val="2"/>
    </font>
    <font>
      <sz val="10"/>
      <color rgb="FF7030A0"/>
      <name val="Arial"/>
      <family val="2"/>
    </font>
    <font>
      <b/>
      <sz val="14"/>
      <color indexed="10"/>
      <name val="Times New Roman"/>
      <family val="1"/>
    </font>
    <font>
      <sz val="14"/>
      <name val="Times New Roman"/>
      <family val="1"/>
    </font>
    <font>
      <b/>
      <sz val="10"/>
      <color rgb="FF0000FF"/>
      <name val="Times New Roman"/>
      <family val="1"/>
    </font>
    <font>
      <b/>
      <i/>
      <sz val="10"/>
      <color indexed="10"/>
      <name val="Times New Roman"/>
      <family val="1"/>
    </font>
    <font>
      <b/>
      <sz val="10"/>
      <color indexed="10"/>
      <name val="Times New Roman"/>
      <family val="1"/>
    </font>
    <font>
      <b/>
      <sz val="10"/>
      <color indexed="9"/>
      <name val="Times New Roman"/>
      <family val="1"/>
    </font>
    <font>
      <b/>
      <sz val="11.5"/>
      <color indexed="9"/>
      <name val="Times New Roman"/>
      <family val="1"/>
    </font>
    <font>
      <b/>
      <i/>
      <sz val="11.5"/>
      <color indexed="9"/>
      <name val="Times New Roman"/>
      <family val="1"/>
    </font>
    <font>
      <sz val="11.5"/>
      <name val="Arial"/>
      <family val="2"/>
    </font>
    <font>
      <i/>
      <sz val="10"/>
      <color rgb="FFC00000"/>
      <name val="Times New Roman"/>
      <family val="1"/>
    </font>
    <font>
      <sz val="9"/>
      <color indexed="9"/>
      <name val="Times New Roman"/>
      <family val="1"/>
    </font>
    <font>
      <b/>
      <i/>
      <sz val="10"/>
      <color indexed="9"/>
      <name val="Times New Roman"/>
      <family val="1"/>
    </font>
    <font>
      <sz val="11"/>
      <color rgb="FFFF0000"/>
      <name val="Times New Roman"/>
      <family val="1"/>
    </font>
    <font>
      <b/>
      <sz val="9"/>
      <color rgb="FFC00000"/>
      <name val="Times New Roman"/>
      <family val="1"/>
    </font>
    <font>
      <b/>
      <sz val="13"/>
      <color indexed="9"/>
      <name val="Times New Roman"/>
      <family val="1"/>
    </font>
    <font>
      <b/>
      <sz val="11"/>
      <color indexed="16"/>
      <name val="Times New Roman"/>
      <family val="1"/>
    </font>
    <font>
      <sz val="11"/>
      <color indexed="56"/>
      <name val="Times New Roman"/>
      <family val="1"/>
    </font>
    <font>
      <b/>
      <sz val="11"/>
      <color rgb="FFFF0000"/>
      <name val="Times New Roman"/>
      <family val="1"/>
    </font>
    <font>
      <sz val="14"/>
      <color rgb="FFFF0000"/>
      <name val="Times New Roman"/>
      <family val="1"/>
    </font>
    <font>
      <b/>
      <i/>
      <sz val="11"/>
      <color rgb="FFFF0000"/>
      <name val="Times New Roman"/>
      <family val="1"/>
    </font>
    <font>
      <b/>
      <i/>
      <sz val="14"/>
      <name val="Times New Roman"/>
      <family val="1"/>
    </font>
    <font>
      <sz val="14"/>
      <color theme="0"/>
      <name val="Times New Roman"/>
      <family val="1"/>
    </font>
    <font>
      <sz val="11"/>
      <color theme="1"/>
      <name val="Calibri"/>
      <family val="2"/>
      <scheme val="minor"/>
    </font>
    <font>
      <sz val="7.5"/>
      <color rgb="FFFF0000"/>
      <name val="Times New Roman"/>
      <family val="1"/>
    </font>
    <font>
      <sz val="11"/>
      <color theme="1"/>
      <name val="Calibri"/>
      <family val="2"/>
      <scheme val="minor"/>
    </font>
    <font>
      <sz val="11"/>
      <name val="Calibri"/>
      <family val="2"/>
    </font>
    <font>
      <b/>
      <i/>
      <sz val="11"/>
      <color theme="0"/>
      <name val="Times New Roman"/>
      <family val="1"/>
    </font>
    <font>
      <sz val="10"/>
      <color theme="1"/>
      <name val="Calibri"/>
      <family val="2"/>
      <scheme val="minor"/>
    </font>
    <font>
      <b/>
      <sz val="11"/>
      <color theme="1"/>
      <name val="Calibri"/>
      <family val="2"/>
      <scheme val="minor"/>
    </font>
    <font>
      <sz val="11"/>
      <color theme="0"/>
      <name val="Calibri"/>
      <family val="2"/>
      <scheme val="minor"/>
    </font>
    <font>
      <b/>
      <sz val="11"/>
      <name val="Calibri"/>
      <family val="2"/>
      <scheme val="minor"/>
    </font>
    <font>
      <b/>
      <sz val="11"/>
      <color theme="0"/>
      <name val="Calibri"/>
      <family val="2"/>
      <scheme val="minor"/>
    </font>
    <font>
      <sz val="11"/>
      <name val="Calibri"/>
      <family val="2"/>
      <scheme val="minor"/>
    </font>
    <font>
      <b/>
      <sz val="11"/>
      <color theme="0"/>
      <name val="Arial Narrow"/>
      <family val="2"/>
    </font>
    <font>
      <sz val="11"/>
      <color theme="0"/>
      <name val="Arial Narrow"/>
      <family val="2"/>
    </font>
    <font>
      <b/>
      <i/>
      <sz val="11"/>
      <color theme="1"/>
      <name val="Calibri"/>
      <family val="2"/>
      <scheme val="minor"/>
    </font>
    <font>
      <sz val="8"/>
      <name val="Calibri"/>
      <family val="2"/>
      <charset val="1"/>
      <scheme val="minor"/>
    </font>
    <font>
      <b/>
      <sz val="26"/>
      <name val="Times New Roman"/>
      <family val="1"/>
    </font>
    <font>
      <b/>
      <sz val="16"/>
      <color indexed="9"/>
      <name val="Times New Roman"/>
      <family val="1"/>
    </font>
    <font>
      <b/>
      <i/>
      <sz val="16"/>
      <color indexed="9"/>
      <name val="Times New Roman"/>
      <family val="1"/>
    </font>
    <font>
      <b/>
      <i/>
      <sz val="12"/>
      <color rgb="FFC00000"/>
      <name val="Times New Roman"/>
      <family val="1"/>
    </font>
    <font>
      <sz val="11"/>
      <color rgb="FFFF0000"/>
      <name val="Calibri"/>
      <family val="2"/>
      <scheme val="minor"/>
    </font>
    <font>
      <sz val="11"/>
      <name val="Calibri"/>
      <family val="2"/>
      <charset val="1"/>
      <scheme val="minor"/>
    </font>
    <font>
      <b/>
      <sz val="11"/>
      <color rgb="FFE40000"/>
      <name val="Times New Roman"/>
      <family val="1"/>
    </font>
    <font>
      <sz val="6"/>
      <name val="Times New Roman"/>
      <family val="1"/>
    </font>
    <font>
      <sz val="6"/>
      <color theme="0"/>
      <name val="Times New Roman"/>
      <family val="1"/>
    </font>
    <font>
      <b/>
      <sz val="6"/>
      <name val="Times New Roman"/>
      <family val="1"/>
    </font>
    <font>
      <sz val="6"/>
      <color rgb="FFFF0000"/>
      <name val="Times New Roman"/>
      <family val="1"/>
    </font>
    <font>
      <b/>
      <sz val="6"/>
      <color theme="0"/>
      <name val="Times New Roman"/>
      <family val="1"/>
    </font>
    <font>
      <sz val="8"/>
      <color indexed="81"/>
      <name val="Tahoma"/>
      <family val="2"/>
    </font>
    <font>
      <b/>
      <sz val="10"/>
      <color indexed="12"/>
      <name val="Times New Roman"/>
      <family val="1"/>
    </font>
  </fonts>
  <fills count="75">
    <fill>
      <patternFill patternType="none"/>
    </fill>
    <fill>
      <patternFill patternType="gray125"/>
    </fill>
    <fill>
      <patternFill patternType="solid">
        <fgColor theme="9" tint="0.79998168889431442"/>
        <bgColor indexed="64"/>
      </patternFill>
    </fill>
    <fill>
      <patternFill patternType="solid">
        <fgColor theme="0"/>
        <bgColor indexed="64"/>
      </patternFill>
    </fill>
    <fill>
      <patternFill patternType="solid">
        <fgColor rgb="FF00B0F0"/>
        <bgColor indexed="64"/>
      </patternFill>
    </fill>
    <fill>
      <patternFill patternType="solid">
        <fgColor indexed="8"/>
        <bgColor indexed="64"/>
      </patternFill>
    </fill>
    <fill>
      <patternFill patternType="solid">
        <fgColor indexed="8"/>
        <bgColor indexed="58"/>
      </patternFill>
    </fill>
    <fill>
      <patternFill patternType="solid">
        <fgColor rgb="FFCCFFCC"/>
        <bgColor indexed="27"/>
      </patternFill>
    </fill>
    <fill>
      <patternFill patternType="solid">
        <fgColor indexed="9"/>
        <bgColor indexed="64"/>
      </patternFill>
    </fill>
    <fill>
      <patternFill patternType="solid">
        <fgColor rgb="FFFFFF00"/>
        <bgColor indexed="64"/>
      </patternFill>
    </fill>
    <fill>
      <patternFill patternType="solid">
        <fgColor theme="1"/>
        <bgColor indexed="64"/>
      </patternFill>
    </fill>
    <fill>
      <patternFill patternType="solid">
        <fgColor rgb="FFCCFFCC"/>
        <bgColor indexed="64"/>
      </patternFill>
    </fill>
    <fill>
      <patternFill patternType="solid">
        <fgColor indexed="55"/>
        <bgColor indexed="27"/>
      </patternFill>
    </fill>
    <fill>
      <patternFill patternType="solid">
        <fgColor indexed="55"/>
        <bgColor indexed="64"/>
      </patternFill>
    </fill>
    <fill>
      <patternFill patternType="solid">
        <fgColor indexed="42"/>
        <bgColor indexed="27"/>
      </patternFill>
    </fill>
    <fill>
      <patternFill patternType="solid">
        <fgColor rgb="FFFFFFCC"/>
        <bgColor indexed="64"/>
      </patternFill>
    </fill>
    <fill>
      <patternFill patternType="solid">
        <fgColor theme="1"/>
        <bgColor indexed="58"/>
      </patternFill>
    </fill>
    <fill>
      <patternFill patternType="solid">
        <fgColor theme="6" tint="0.79998168889431442"/>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theme="7" tint="0.79995117038483843"/>
        <bgColor indexed="64"/>
      </patternFill>
    </fill>
    <fill>
      <patternFill patternType="solid">
        <fgColor theme="0"/>
        <bgColor indexed="26"/>
      </patternFill>
    </fill>
    <fill>
      <patternFill patternType="solid">
        <fgColor indexed="9"/>
        <bgColor indexed="26"/>
      </patternFill>
    </fill>
    <fill>
      <patternFill patternType="solid">
        <fgColor indexed="8"/>
        <bgColor indexed="59"/>
      </patternFill>
    </fill>
    <fill>
      <patternFill patternType="solid">
        <fgColor theme="0"/>
        <bgColor indexed="41"/>
      </patternFill>
    </fill>
    <fill>
      <patternFill patternType="solid">
        <fgColor rgb="FFCCFFFF"/>
        <bgColor indexed="64"/>
      </patternFill>
    </fill>
    <fill>
      <patternFill patternType="solid">
        <fgColor rgb="FFCCFFFF"/>
        <bgColor indexed="27"/>
      </patternFill>
    </fill>
    <fill>
      <patternFill patternType="solid">
        <fgColor rgb="FFCCFFFF"/>
        <bgColor indexed="31"/>
      </patternFill>
    </fill>
    <fill>
      <patternFill patternType="solid">
        <fgColor theme="0"/>
        <bgColor indexed="27"/>
      </patternFill>
    </fill>
    <fill>
      <patternFill patternType="solid">
        <fgColor theme="0"/>
        <bgColor indexed="31"/>
      </patternFill>
    </fill>
    <fill>
      <patternFill patternType="solid">
        <fgColor rgb="FFCCFFFF"/>
        <bgColor indexed="21"/>
      </patternFill>
    </fill>
    <fill>
      <patternFill patternType="solid">
        <fgColor rgb="FFCCFFFF"/>
        <bgColor indexed="26"/>
      </patternFill>
    </fill>
    <fill>
      <patternFill patternType="solid">
        <fgColor theme="0"/>
        <bgColor indexed="21"/>
      </patternFill>
    </fill>
    <fill>
      <patternFill patternType="solid">
        <fgColor rgb="FF00B050"/>
        <bgColor indexed="64"/>
      </patternFill>
    </fill>
    <fill>
      <patternFill patternType="solid">
        <fgColor indexed="27"/>
        <bgColor indexed="41"/>
      </patternFill>
    </fill>
    <fill>
      <patternFill patternType="solid">
        <fgColor theme="5" tint="0.7993408001953185"/>
        <bgColor indexed="64"/>
      </patternFill>
    </fill>
    <fill>
      <patternFill patternType="solid">
        <fgColor rgb="FF00B050"/>
        <bgColor indexed="41"/>
      </patternFill>
    </fill>
    <fill>
      <patternFill patternType="solid">
        <fgColor theme="4" tint="0.79998168889431442"/>
        <bgColor indexed="41"/>
      </patternFill>
    </fill>
    <fill>
      <patternFill patternType="solid">
        <fgColor theme="6" tint="0.7993408001953185"/>
        <bgColor indexed="64"/>
      </patternFill>
    </fill>
    <fill>
      <patternFill patternType="solid">
        <fgColor rgb="FFFFFFFF"/>
        <bgColor rgb="FFFFFFCC"/>
      </patternFill>
    </fill>
    <fill>
      <patternFill patternType="solid">
        <fgColor theme="5"/>
        <bgColor indexed="64"/>
      </patternFill>
    </fill>
    <fill>
      <patternFill patternType="solid">
        <fgColor rgb="FFCCFF66"/>
        <bgColor indexed="27"/>
      </patternFill>
    </fill>
    <fill>
      <patternFill patternType="solid">
        <fgColor theme="4"/>
        <bgColor indexed="64"/>
      </patternFill>
    </fill>
    <fill>
      <patternFill patternType="solid">
        <fgColor theme="8" tint="0.79998168889431442"/>
        <bgColor indexed="64"/>
      </patternFill>
    </fill>
    <fill>
      <patternFill patternType="solid">
        <fgColor rgb="FFCCFFCC"/>
        <bgColor indexed="26"/>
      </patternFill>
    </fill>
    <fill>
      <patternFill patternType="solid">
        <fgColor theme="0"/>
        <bgColor indexed="59"/>
      </patternFill>
    </fill>
    <fill>
      <patternFill patternType="solid">
        <fgColor theme="7" tint="0.7993408001953185"/>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indexed="22"/>
        <bgColor indexed="64"/>
      </patternFill>
    </fill>
    <fill>
      <patternFill patternType="solid">
        <fgColor indexed="18"/>
        <bgColor indexed="64"/>
      </patternFill>
    </fill>
    <fill>
      <patternFill patternType="solid">
        <fgColor rgb="FFFF0000"/>
        <bgColor indexed="64"/>
      </patternFill>
    </fill>
    <fill>
      <patternFill patternType="solid">
        <fgColor theme="8" tint="0.79995117038483843"/>
        <bgColor indexed="64"/>
      </patternFill>
    </fill>
    <fill>
      <patternFill patternType="solid">
        <fgColor rgb="FFFFC000"/>
        <bgColor indexed="64"/>
      </patternFill>
    </fill>
    <fill>
      <patternFill patternType="solid">
        <fgColor rgb="FF0070C0"/>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2"/>
        <bgColor indexed="64"/>
      </patternFill>
    </fill>
    <fill>
      <patternFill patternType="solid">
        <fgColor theme="7"/>
        <bgColor indexed="64"/>
      </patternFill>
    </fill>
    <fill>
      <patternFill patternType="solid">
        <fgColor theme="9" tint="0.39997558519241921"/>
        <bgColor indexed="64"/>
      </patternFill>
    </fill>
    <fill>
      <patternFill patternType="solid">
        <fgColor theme="6" tint="0.39997558519241921"/>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rgb="FFFFFF00"/>
        <bgColor indexed="27"/>
      </patternFill>
    </fill>
    <fill>
      <patternFill patternType="solid">
        <fgColor rgb="FFCCFFCC"/>
        <bgColor indexed="41"/>
      </patternFill>
    </fill>
    <fill>
      <patternFill patternType="solid">
        <fgColor rgb="FF92D050"/>
        <bgColor indexed="64"/>
      </patternFill>
    </fill>
    <fill>
      <patternFill patternType="solid">
        <fgColor rgb="FFFFC000"/>
        <bgColor indexed="41"/>
      </patternFill>
    </fill>
    <fill>
      <patternFill patternType="solid">
        <fgColor theme="0" tint="-0.249977111117893"/>
        <bgColor indexed="64"/>
      </patternFill>
    </fill>
    <fill>
      <patternFill patternType="solid">
        <fgColor theme="7" tint="0.59999389629810485"/>
        <bgColor indexed="27"/>
      </patternFill>
    </fill>
    <fill>
      <patternFill patternType="solid">
        <fgColor theme="8" tint="0.79998168889431442"/>
        <bgColor indexed="27"/>
      </patternFill>
    </fill>
    <fill>
      <patternFill patternType="solid">
        <fgColor theme="3" tint="0.79998168889431442"/>
        <bgColor indexed="64"/>
      </patternFill>
    </fill>
    <fill>
      <patternFill patternType="solid">
        <fgColor rgb="FFFFFF00"/>
        <bgColor indexed="26"/>
      </patternFill>
    </fill>
    <fill>
      <patternFill patternType="solid">
        <fgColor theme="8" tint="0.59999389629810485"/>
        <bgColor indexed="41"/>
      </patternFill>
    </fill>
    <fill>
      <patternFill patternType="solid">
        <fgColor theme="8" tint="0.59999389629810485"/>
        <bgColor indexed="27"/>
      </patternFill>
    </fill>
  </fills>
  <borders count="482">
    <border>
      <left/>
      <right/>
      <top/>
      <bottom/>
      <diagonal/>
    </border>
    <border>
      <left style="medium">
        <color indexed="64"/>
      </left>
      <right style="medium">
        <color indexed="64"/>
      </right>
      <top style="medium">
        <color indexed="64"/>
      </top>
      <bottom style="medium">
        <color indexed="64"/>
      </bottom>
      <diagonal/>
    </border>
    <border>
      <left/>
      <right style="double">
        <color auto="1"/>
      </right>
      <top/>
      <bottom/>
      <diagonal/>
    </border>
    <border>
      <left style="medium">
        <color auto="1"/>
      </left>
      <right style="thin">
        <color indexed="8"/>
      </right>
      <top style="medium">
        <color auto="1"/>
      </top>
      <bottom style="medium">
        <color indexed="8"/>
      </bottom>
      <diagonal/>
    </border>
    <border>
      <left style="medium">
        <color indexed="8"/>
      </left>
      <right style="thin">
        <color indexed="8"/>
      </right>
      <top style="medium">
        <color auto="1"/>
      </top>
      <bottom style="medium">
        <color indexed="8"/>
      </bottom>
      <diagonal/>
    </border>
    <border>
      <left style="thin">
        <color indexed="8"/>
      </left>
      <right style="thin">
        <color indexed="8"/>
      </right>
      <top style="medium">
        <color auto="1"/>
      </top>
      <bottom/>
      <diagonal/>
    </border>
    <border>
      <left style="thin">
        <color indexed="8"/>
      </left>
      <right/>
      <top style="medium">
        <color auto="1"/>
      </top>
      <bottom/>
      <diagonal/>
    </border>
    <border>
      <left style="thin">
        <color indexed="8"/>
      </left>
      <right style="medium">
        <color indexed="8"/>
      </right>
      <top style="medium">
        <color auto="1"/>
      </top>
      <bottom style="medium">
        <color indexed="8"/>
      </bottom>
      <diagonal/>
    </border>
    <border>
      <left style="thin">
        <color indexed="8"/>
      </left>
      <right style="medium">
        <color auto="1"/>
      </right>
      <top style="medium">
        <color auto="1"/>
      </top>
      <bottom style="medium">
        <color indexed="8"/>
      </bottom>
      <diagonal/>
    </border>
    <border>
      <left style="medium">
        <color auto="1"/>
      </left>
      <right style="thin">
        <color indexed="8"/>
      </right>
      <top style="medium">
        <color indexed="8"/>
      </top>
      <bottom style="medium">
        <color indexed="8"/>
      </bottom>
      <diagonal/>
    </border>
    <border>
      <left style="medium">
        <color indexed="8"/>
      </left>
      <right style="thin">
        <color indexed="8"/>
      </right>
      <top style="medium">
        <color indexed="8"/>
      </top>
      <bottom style="medium">
        <color indexed="8"/>
      </bottom>
      <diagonal/>
    </border>
    <border>
      <left style="thin">
        <color indexed="8"/>
      </left>
      <right style="thin">
        <color indexed="8"/>
      </right>
      <top/>
      <bottom style="medium">
        <color indexed="8"/>
      </bottom>
      <diagonal/>
    </border>
    <border>
      <left style="thin">
        <color indexed="8"/>
      </left>
      <right/>
      <top/>
      <bottom style="medium">
        <color indexed="8"/>
      </bottom>
      <diagonal/>
    </border>
    <border>
      <left style="thin">
        <color indexed="8"/>
      </left>
      <right style="medium">
        <color indexed="8"/>
      </right>
      <top style="medium">
        <color indexed="8"/>
      </top>
      <bottom style="medium">
        <color indexed="8"/>
      </bottom>
      <diagonal/>
    </border>
    <border>
      <left style="thin">
        <color indexed="8"/>
      </left>
      <right style="medium">
        <color auto="1"/>
      </right>
      <top style="medium">
        <color indexed="8"/>
      </top>
      <bottom style="medium">
        <color indexed="8"/>
      </bottom>
      <diagonal/>
    </border>
    <border>
      <left style="medium">
        <color auto="1"/>
      </left>
      <right/>
      <top/>
      <bottom/>
      <diagonal/>
    </border>
    <border>
      <left/>
      <right style="thin">
        <color indexed="8"/>
      </right>
      <top/>
      <bottom/>
      <diagonal/>
    </border>
    <border>
      <left style="thin">
        <color indexed="8"/>
      </left>
      <right style="thin">
        <color indexed="8"/>
      </right>
      <top/>
      <bottom/>
      <diagonal/>
    </border>
    <border>
      <left style="thin">
        <color indexed="8"/>
      </left>
      <right/>
      <top style="medium">
        <color indexed="8"/>
      </top>
      <bottom/>
      <diagonal/>
    </border>
    <border>
      <left/>
      <right/>
      <top style="medium">
        <color indexed="8"/>
      </top>
      <bottom/>
      <diagonal/>
    </border>
    <border>
      <left/>
      <right style="medium">
        <color auto="1"/>
      </right>
      <top/>
      <bottom/>
      <diagonal/>
    </border>
    <border>
      <left style="thin">
        <color indexed="8"/>
      </left>
      <right/>
      <top/>
      <bottom/>
      <diagonal/>
    </border>
    <border>
      <left style="thin">
        <color auto="1"/>
      </left>
      <right style="thin">
        <color indexed="8"/>
      </right>
      <top/>
      <bottom/>
      <diagonal/>
    </border>
    <border>
      <left style="thin">
        <color indexed="8"/>
      </left>
      <right/>
      <top/>
      <bottom style="thin">
        <color indexed="8"/>
      </bottom>
      <diagonal/>
    </border>
    <border>
      <left style="thin">
        <color auto="1"/>
      </left>
      <right style="thin">
        <color indexed="8"/>
      </right>
      <top/>
      <bottom style="thin">
        <color auto="1"/>
      </bottom>
      <diagonal/>
    </border>
    <border>
      <left style="medium">
        <color auto="1"/>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style="medium">
        <color auto="1"/>
      </right>
      <top style="thin">
        <color indexed="8"/>
      </top>
      <bottom style="thin">
        <color indexed="8"/>
      </bottom>
      <diagonal/>
    </border>
    <border>
      <left style="thin">
        <color indexed="8"/>
      </left>
      <right style="thin">
        <color auto="1"/>
      </right>
      <top/>
      <bottom style="thin">
        <color auto="1"/>
      </bottom>
      <diagonal/>
    </border>
    <border>
      <left style="thin">
        <color indexed="8"/>
      </left>
      <right style="thin">
        <color indexed="8"/>
      </right>
      <top/>
      <bottom style="thin">
        <color auto="1"/>
      </bottom>
      <diagonal/>
    </border>
    <border>
      <left style="thin">
        <color auto="1"/>
      </left>
      <right style="thin">
        <color indexed="8"/>
      </right>
      <top style="thin">
        <color auto="1"/>
      </top>
      <bottom style="thin">
        <color auto="1"/>
      </bottom>
      <diagonal/>
    </border>
    <border>
      <left style="thin">
        <color indexed="8"/>
      </left>
      <right style="thin">
        <color indexed="8"/>
      </right>
      <top style="medium">
        <color indexed="8"/>
      </top>
      <bottom style="medium">
        <color indexed="8"/>
      </bottom>
      <diagonal/>
    </border>
    <border>
      <left style="thin">
        <color indexed="8"/>
      </left>
      <right style="thin">
        <color indexed="8"/>
      </right>
      <top style="medium">
        <color indexed="8"/>
      </top>
      <bottom style="medium">
        <color auto="1"/>
      </bottom>
      <diagonal/>
    </border>
    <border>
      <left style="thin">
        <color indexed="8"/>
      </left>
      <right/>
      <top style="medium">
        <color indexed="8"/>
      </top>
      <bottom style="medium">
        <color indexed="8"/>
      </bottom>
      <diagonal/>
    </border>
    <border>
      <left style="medium">
        <color auto="1"/>
      </left>
      <right/>
      <top style="medium">
        <color indexed="8"/>
      </top>
      <bottom style="medium">
        <color indexed="8"/>
      </bottom>
      <diagonal/>
    </border>
    <border>
      <left/>
      <right/>
      <top style="medium">
        <color indexed="8"/>
      </top>
      <bottom style="medium">
        <color indexed="8"/>
      </bottom>
      <diagonal/>
    </border>
    <border>
      <left/>
      <right style="medium">
        <color auto="1"/>
      </right>
      <top style="medium">
        <color indexed="8"/>
      </top>
      <bottom style="medium">
        <color indexed="8"/>
      </bottom>
      <diagonal/>
    </border>
    <border>
      <left style="thin">
        <color auto="1"/>
      </left>
      <right style="thin">
        <color indexed="8"/>
      </right>
      <top/>
      <bottom style="medium">
        <color auto="1"/>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medium">
        <color auto="1"/>
      </left>
      <right/>
      <top style="medium">
        <color indexed="8"/>
      </top>
      <bottom style="medium">
        <color auto="1"/>
      </bottom>
      <diagonal/>
    </border>
    <border>
      <left/>
      <right/>
      <top style="medium">
        <color indexed="8"/>
      </top>
      <bottom style="medium">
        <color auto="1"/>
      </bottom>
      <diagonal/>
    </border>
    <border>
      <left style="thin">
        <color indexed="8"/>
      </left>
      <right/>
      <top style="medium">
        <color indexed="8"/>
      </top>
      <bottom style="medium">
        <color auto="1"/>
      </bottom>
      <diagonal/>
    </border>
    <border>
      <left/>
      <right style="medium">
        <color auto="1"/>
      </right>
      <top style="medium">
        <color indexed="8"/>
      </top>
      <bottom style="medium">
        <color auto="1"/>
      </bottom>
      <diagonal/>
    </border>
    <border>
      <left style="medium">
        <color indexed="8"/>
      </left>
      <right/>
      <top style="medium">
        <color indexed="8"/>
      </top>
      <bottom/>
      <diagonal/>
    </border>
    <border>
      <left/>
      <right style="thin">
        <color indexed="8"/>
      </right>
      <top style="medium">
        <color indexed="8"/>
      </top>
      <bottom style="medium">
        <color indexed="8"/>
      </bottom>
      <diagonal/>
    </border>
    <border>
      <left style="thin">
        <color indexed="8"/>
      </left>
      <right style="thin">
        <color indexed="8"/>
      </right>
      <top style="medium">
        <color indexed="8"/>
      </top>
      <bottom/>
      <diagonal/>
    </border>
    <border>
      <left style="medium">
        <color indexed="8"/>
      </left>
      <right/>
      <top/>
      <bottom style="medium">
        <color indexed="8"/>
      </bottom>
      <diagonal/>
    </border>
    <border>
      <left style="medium">
        <color indexed="8"/>
      </left>
      <right/>
      <top/>
      <bottom/>
      <diagonal/>
    </border>
    <border>
      <left/>
      <right style="medium">
        <color indexed="8"/>
      </right>
      <top/>
      <bottom/>
      <diagonal/>
    </border>
    <border>
      <left style="thin">
        <color indexed="8"/>
      </left>
      <right style="thin">
        <color indexed="8"/>
      </right>
      <top style="thin">
        <color indexed="8"/>
      </top>
      <bottom/>
      <diagonal/>
    </border>
    <border>
      <left style="thin">
        <color auto="1"/>
      </left>
      <right/>
      <top/>
      <bottom/>
      <diagonal/>
    </border>
    <border>
      <left/>
      <right/>
      <top/>
      <bottom style="medium">
        <color indexed="8"/>
      </bottom>
      <diagonal/>
    </border>
    <border>
      <left/>
      <right style="thin">
        <color indexed="8"/>
      </right>
      <top/>
      <bottom style="medium">
        <color indexed="8"/>
      </bottom>
      <diagonal/>
    </border>
    <border>
      <left/>
      <right style="medium">
        <color indexed="8"/>
      </right>
      <top/>
      <bottom style="medium">
        <color indexed="8"/>
      </bottom>
      <diagonal/>
    </border>
    <border>
      <left/>
      <right style="thin">
        <color indexed="8"/>
      </right>
      <top style="medium">
        <color indexed="8"/>
      </top>
      <bottom/>
      <diagonal/>
    </border>
    <border>
      <left/>
      <right style="medium">
        <color indexed="8"/>
      </right>
      <top style="medium">
        <color indexed="8"/>
      </top>
      <bottom/>
      <diagonal/>
    </border>
    <border>
      <left style="medium">
        <color indexed="8"/>
      </left>
      <right/>
      <top style="medium">
        <color indexed="8"/>
      </top>
      <bottom style="medium">
        <color indexed="8"/>
      </bottom>
      <diagonal/>
    </border>
    <border>
      <left/>
      <right style="thin">
        <color indexed="8"/>
      </right>
      <top style="medium">
        <color indexed="8"/>
      </top>
      <bottom style="medium">
        <color auto="1"/>
      </bottom>
      <diagonal/>
    </border>
    <border>
      <left/>
      <right style="medium">
        <color indexed="8"/>
      </right>
      <top style="medium">
        <color indexed="8"/>
      </top>
      <bottom style="medium">
        <color indexed="8"/>
      </bottom>
      <diagonal/>
    </border>
    <border>
      <left/>
      <right style="thin">
        <color indexed="8"/>
      </right>
      <top/>
      <bottom style="medium">
        <color auto="1"/>
      </bottom>
      <diagonal/>
    </border>
    <border>
      <left style="thin">
        <color indexed="8"/>
      </left>
      <right style="thin">
        <color indexed="8"/>
      </right>
      <top/>
      <bottom style="medium">
        <color auto="1"/>
      </bottom>
      <diagonal/>
    </border>
    <border>
      <left style="thin">
        <color indexed="8"/>
      </left>
      <right/>
      <top/>
      <bottom style="medium">
        <color auto="1"/>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thin">
        <color auto="1"/>
      </top>
      <bottom/>
      <diagonal/>
    </border>
    <border>
      <left/>
      <right style="thin">
        <color indexed="8"/>
      </right>
      <top style="thin">
        <color auto="1"/>
      </top>
      <bottom/>
      <diagonal/>
    </border>
    <border>
      <left style="thin">
        <color indexed="8"/>
      </left>
      <right/>
      <top style="thin">
        <color auto="1"/>
      </top>
      <bottom/>
      <diagonal/>
    </border>
    <border>
      <left/>
      <right style="medium">
        <color auto="1"/>
      </right>
      <top style="medium">
        <color auto="1"/>
      </top>
      <bottom style="medium">
        <color auto="1"/>
      </bottom>
      <diagonal/>
    </border>
    <border>
      <left style="thin">
        <color indexed="8"/>
      </left>
      <right style="medium">
        <color indexed="8"/>
      </right>
      <top style="medium">
        <color indexed="8"/>
      </top>
      <bottom/>
      <diagonal/>
    </border>
    <border>
      <left style="thin">
        <color indexed="8"/>
      </left>
      <right style="medium">
        <color indexed="8"/>
      </right>
      <top/>
      <bottom style="medium">
        <color auto="1"/>
      </bottom>
      <diagonal/>
    </border>
    <border>
      <left style="thin">
        <color indexed="8"/>
      </left>
      <right/>
      <top style="thin">
        <color indexed="8"/>
      </top>
      <bottom/>
      <diagonal/>
    </border>
    <border>
      <left style="medium">
        <color indexed="8"/>
      </left>
      <right/>
      <top/>
      <bottom style="medium">
        <color auto="1"/>
      </bottom>
      <diagonal/>
    </border>
    <border>
      <left style="thin">
        <color indexed="8"/>
      </left>
      <right style="thin">
        <color auto="1"/>
      </right>
      <top/>
      <bottom/>
      <diagonal/>
    </border>
    <border>
      <left/>
      <right/>
      <top style="thin">
        <color indexed="8"/>
      </top>
      <bottom/>
      <diagonal/>
    </border>
    <border>
      <left/>
      <right/>
      <top/>
      <bottom style="thin">
        <color auto="1"/>
      </bottom>
      <diagonal/>
    </border>
    <border>
      <left/>
      <right/>
      <top style="thin">
        <color indexed="8"/>
      </top>
      <bottom style="double">
        <color indexed="8"/>
      </bottom>
      <diagonal/>
    </border>
    <border>
      <left/>
      <right/>
      <top style="thin">
        <color auto="1"/>
      </top>
      <bottom style="double">
        <color auto="1"/>
      </bottom>
      <diagonal/>
    </border>
    <border>
      <left/>
      <right/>
      <top style="double">
        <color indexed="8"/>
      </top>
      <bottom/>
      <diagonal/>
    </border>
    <border>
      <left/>
      <right/>
      <top/>
      <bottom style="thin">
        <color indexed="8"/>
      </bottom>
      <diagonal/>
    </border>
    <border>
      <left/>
      <right/>
      <top/>
      <bottom style="medium">
        <color auto="1"/>
      </bottom>
      <diagonal/>
    </border>
    <border>
      <left style="medium">
        <color auto="1"/>
      </left>
      <right/>
      <top style="medium">
        <color indexed="8"/>
      </top>
      <bottom/>
      <diagonal/>
    </border>
    <border>
      <left/>
      <right style="medium">
        <color auto="1"/>
      </right>
      <top style="medium">
        <color indexed="8"/>
      </top>
      <bottom/>
      <diagonal/>
    </border>
    <border>
      <left style="medium">
        <color auto="1"/>
      </left>
      <right/>
      <top/>
      <bottom style="medium">
        <color indexed="8"/>
      </bottom>
      <diagonal/>
    </border>
    <border>
      <left/>
      <right style="medium">
        <color auto="1"/>
      </right>
      <top/>
      <bottom style="medium">
        <color indexed="8"/>
      </bottom>
      <diagonal/>
    </border>
    <border>
      <left style="medium">
        <color auto="1"/>
      </left>
      <right/>
      <top style="medium">
        <color indexed="8"/>
      </top>
      <bottom style="thin">
        <color auto="1"/>
      </bottom>
      <diagonal/>
    </border>
    <border>
      <left/>
      <right/>
      <top style="medium">
        <color indexed="8"/>
      </top>
      <bottom style="thin">
        <color auto="1"/>
      </bottom>
      <diagonal/>
    </border>
    <border>
      <left style="thin">
        <color indexed="8"/>
      </left>
      <right style="thin">
        <color indexed="8"/>
      </right>
      <top style="medium">
        <color indexed="8"/>
      </top>
      <bottom style="thin">
        <color auto="1"/>
      </bottom>
      <diagonal/>
    </border>
    <border>
      <left style="thin">
        <color indexed="8"/>
      </left>
      <right/>
      <top style="medium">
        <color indexed="8"/>
      </top>
      <bottom style="thin">
        <color auto="1"/>
      </bottom>
      <diagonal/>
    </border>
    <border>
      <left/>
      <right style="medium">
        <color auto="1"/>
      </right>
      <top style="medium">
        <color indexed="8"/>
      </top>
      <bottom style="thin">
        <color auto="1"/>
      </bottom>
      <diagonal/>
    </border>
    <border>
      <left style="medium">
        <color indexed="8"/>
      </left>
      <right style="medium">
        <color auto="1"/>
      </right>
      <top/>
      <bottom/>
      <diagonal/>
    </border>
    <border>
      <left style="medium">
        <color auto="1"/>
      </left>
      <right style="thin">
        <color indexed="8"/>
      </right>
      <top style="medium">
        <color indexed="8"/>
      </top>
      <bottom style="medium">
        <color auto="1"/>
      </bottom>
      <diagonal/>
    </border>
    <border>
      <left style="medium">
        <color indexed="8"/>
      </left>
      <right style="thin">
        <color indexed="8"/>
      </right>
      <top style="medium">
        <color indexed="8"/>
      </top>
      <bottom style="medium">
        <color auto="1"/>
      </bottom>
      <diagonal/>
    </border>
    <border>
      <left style="thin">
        <color indexed="8"/>
      </left>
      <right/>
      <top/>
      <bottom style="thin">
        <color auto="1"/>
      </bottom>
      <diagonal/>
    </border>
    <border>
      <left/>
      <right style="thin">
        <color indexed="8"/>
      </right>
      <top/>
      <bottom style="thin">
        <color auto="1"/>
      </bottom>
      <diagonal/>
    </border>
    <border>
      <left/>
      <right style="thin">
        <color indexed="8"/>
      </right>
      <top/>
      <bottom style="thin">
        <color indexed="8"/>
      </bottom>
      <diagonal/>
    </border>
    <border>
      <left/>
      <right style="thin">
        <color indexed="8"/>
      </right>
      <top style="thin">
        <color indexed="8"/>
      </top>
      <bottom/>
      <diagonal/>
    </border>
    <border>
      <left style="medium">
        <color indexed="8"/>
      </left>
      <right style="medium">
        <color indexed="8"/>
      </right>
      <top/>
      <bottom/>
      <diagonal/>
    </border>
    <border>
      <left style="medium">
        <color indexed="8"/>
      </left>
      <right style="thin">
        <color indexed="8"/>
      </right>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bottom/>
      <diagonal/>
    </border>
    <border>
      <left style="medium">
        <color indexed="8"/>
      </left>
      <right/>
      <top/>
      <bottom style="thin">
        <color auto="1"/>
      </bottom>
      <diagonal/>
    </border>
    <border>
      <left style="thin">
        <color indexed="8"/>
      </left>
      <right style="thin">
        <color indexed="8"/>
      </right>
      <top style="thin">
        <color indexed="8"/>
      </top>
      <bottom style="thin">
        <color auto="1"/>
      </bottom>
      <diagonal/>
    </border>
    <border>
      <left/>
      <right style="medium">
        <color indexed="8"/>
      </right>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medium">
        <color auto="1"/>
      </top>
      <bottom/>
      <diagonal/>
    </border>
    <border>
      <left/>
      <right style="thin">
        <color auto="1"/>
      </right>
      <top style="medium">
        <color auto="1"/>
      </top>
      <bottom/>
      <diagonal/>
    </border>
    <border>
      <left/>
      <right style="medium">
        <color auto="1"/>
      </right>
      <top style="medium">
        <color auto="1"/>
      </top>
      <bottom/>
      <diagonal/>
    </border>
    <border>
      <left style="thin">
        <color auto="1"/>
      </left>
      <right/>
      <top/>
      <bottom style="medium">
        <color auto="1"/>
      </bottom>
      <diagonal/>
    </border>
    <border>
      <left/>
      <right style="thin">
        <color auto="1"/>
      </right>
      <top/>
      <bottom style="medium">
        <color auto="1"/>
      </bottom>
      <diagonal/>
    </border>
    <border>
      <left/>
      <right/>
      <top style="medium">
        <color auto="1"/>
      </top>
      <bottom style="medium">
        <color auto="1"/>
      </bottom>
      <diagonal/>
    </border>
    <border>
      <left style="thin">
        <color auto="1"/>
      </left>
      <right/>
      <top style="medium">
        <color auto="1"/>
      </top>
      <bottom style="medium">
        <color auto="1"/>
      </bottom>
      <diagonal/>
    </border>
    <border>
      <left/>
      <right style="thin">
        <color auto="1"/>
      </right>
      <top style="medium">
        <color auto="1"/>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medium">
        <color auto="1"/>
      </left>
      <right/>
      <top/>
      <bottom style="thin">
        <color auto="1"/>
      </bottom>
      <diagonal/>
    </border>
    <border>
      <left/>
      <right style="medium">
        <color auto="1"/>
      </right>
      <top/>
      <bottom style="thin">
        <color auto="1"/>
      </bottom>
      <diagonal/>
    </border>
    <border>
      <left style="thin">
        <color indexed="8"/>
      </left>
      <right style="medium">
        <color indexed="8"/>
      </right>
      <top/>
      <bottom/>
      <diagonal/>
    </border>
    <border>
      <left/>
      <right style="medium">
        <color indexed="8"/>
      </right>
      <top style="medium">
        <color indexed="8"/>
      </top>
      <bottom style="thin">
        <color indexed="8"/>
      </bottom>
      <diagonal/>
    </border>
    <border>
      <left/>
      <right style="medium">
        <color indexed="8"/>
      </right>
      <top style="thin">
        <color indexed="8"/>
      </top>
      <bottom/>
      <diagonal/>
    </border>
    <border>
      <left style="thin">
        <color indexed="8"/>
      </left>
      <right style="medium">
        <color indexed="8"/>
      </right>
      <top/>
      <bottom style="medium">
        <color indexed="8"/>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style="thin">
        <color indexed="59"/>
      </bottom>
      <diagonal/>
    </border>
    <border>
      <left/>
      <right/>
      <top style="medium">
        <color auto="1"/>
      </top>
      <bottom style="thin">
        <color indexed="59"/>
      </bottom>
      <diagonal/>
    </border>
    <border>
      <left/>
      <right style="thin">
        <color auto="1"/>
      </right>
      <top style="medium">
        <color auto="1"/>
      </top>
      <bottom style="thin">
        <color indexed="59"/>
      </bottom>
      <diagonal/>
    </border>
    <border>
      <left style="medium">
        <color indexed="59"/>
      </left>
      <right style="thin">
        <color indexed="59"/>
      </right>
      <top style="medium">
        <color indexed="59"/>
      </top>
      <bottom/>
      <diagonal/>
    </border>
    <border>
      <left style="thin">
        <color indexed="59"/>
      </left>
      <right style="thin">
        <color indexed="59"/>
      </right>
      <top style="medium">
        <color indexed="59"/>
      </top>
      <bottom/>
      <diagonal/>
    </border>
    <border>
      <left style="thin">
        <color indexed="59"/>
      </left>
      <right/>
      <top style="medium">
        <color indexed="59"/>
      </top>
      <bottom style="thin">
        <color indexed="59"/>
      </bottom>
      <diagonal/>
    </border>
    <border>
      <left/>
      <right/>
      <top style="medium">
        <color indexed="59"/>
      </top>
      <bottom style="thin">
        <color indexed="59"/>
      </bottom>
      <diagonal/>
    </border>
    <border>
      <left/>
      <right style="thin">
        <color indexed="59"/>
      </right>
      <top style="medium">
        <color indexed="59"/>
      </top>
      <bottom style="thin">
        <color indexed="59"/>
      </bottom>
      <diagonal/>
    </border>
    <border>
      <left style="thin">
        <color indexed="59"/>
      </left>
      <right/>
      <top style="medium">
        <color indexed="59"/>
      </top>
      <bottom/>
      <diagonal/>
    </border>
    <border>
      <left style="thin">
        <color indexed="59"/>
      </left>
      <right style="medium">
        <color indexed="59"/>
      </right>
      <top style="medium">
        <color indexed="59"/>
      </top>
      <bottom/>
      <diagonal/>
    </border>
    <border>
      <left style="medium">
        <color auto="1"/>
      </left>
      <right style="thin">
        <color auto="1"/>
      </right>
      <top/>
      <bottom/>
      <diagonal/>
    </border>
    <border>
      <left style="thin">
        <color auto="1"/>
      </left>
      <right style="thin">
        <color auto="1"/>
      </right>
      <top/>
      <bottom/>
      <diagonal/>
    </border>
    <border>
      <left style="medium">
        <color indexed="59"/>
      </left>
      <right style="thin">
        <color indexed="59"/>
      </right>
      <top/>
      <bottom/>
      <diagonal/>
    </border>
    <border>
      <left style="thin">
        <color indexed="59"/>
      </left>
      <right style="thin">
        <color indexed="59"/>
      </right>
      <top/>
      <bottom/>
      <diagonal/>
    </border>
    <border>
      <left style="thin">
        <color indexed="59"/>
      </left>
      <right/>
      <top/>
      <bottom/>
      <diagonal/>
    </border>
    <border>
      <left style="thin">
        <color indexed="59"/>
      </left>
      <right style="medium">
        <color indexed="59"/>
      </right>
      <top/>
      <bottom/>
      <diagonal/>
    </border>
    <border>
      <left style="medium">
        <color auto="1"/>
      </left>
      <right style="thin">
        <color auto="1"/>
      </right>
      <top/>
      <bottom style="medium">
        <color indexed="59"/>
      </bottom>
      <diagonal/>
    </border>
    <border>
      <left style="thin">
        <color auto="1"/>
      </left>
      <right/>
      <top/>
      <bottom style="medium">
        <color indexed="59"/>
      </bottom>
      <diagonal/>
    </border>
    <border>
      <left/>
      <right style="thin">
        <color auto="1"/>
      </right>
      <top/>
      <bottom style="medium">
        <color indexed="59"/>
      </bottom>
      <diagonal/>
    </border>
    <border>
      <left style="thin">
        <color auto="1"/>
      </left>
      <right style="thin">
        <color auto="1"/>
      </right>
      <top/>
      <bottom style="medium">
        <color indexed="59"/>
      </bottom>
      <diagonal/>
    </border>
    <border>
      <left/>
      <right style="medium">
        <color auto="1"/>
      </right>
      <top/>
      <bottom style="medium">
        <color indexed="59"/>
      </bottom>
      <diagonal/>
    </border>
    <border>
      <left style="medium">
        <color auto="1"/>
      </left>
      <right style="thin">
        <color auto="1"/>
      </right>
      <top style="medium">
        <color indexed="59"/>
      </top>
      <bottom/>
      <diagonal/>
    </border>
    <border>
      <left style="thin">
        <color auto="1"/>
      </left>
      <right style="thin">
        <color auto="1"/>
      </right>
      <top style="medium">
        <color indexed="59"/>
      </top>
      <bottom/>
      <diagonal/>
    </border>
    <border>
      <left style="thin">
        <color auto="1"/>
      </left>
      <right style="medium">
        <color auto="1"/>
      </right>
      <top style="medium">
        <color indexed="59"/>
      </top>
      <bottom/>
      <diagonal/>
    </border>
    <border>
      <left style="thin">
        <color auto="1"/>
      </left>
      <right style="medium">
        <color auto="1"/>
      </right>
      <top/>
      <bottom/>
      <diagonal/>
    </border>
    <border>
      <left style="thin">
        <color indexed="59"/>
      </left>
      <right style="thin">
        <color indexed="59"/>
      </right>
      <top style="thin">
        <color indexed="59"/>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indexed="8"/>
      </right>
      <top style="medium">
        <color indexed="8"/>
      </top>
      <bottom/>
      <diagonal/>
    </border>
    <border>
      <left style="thin">
        <color indexed="8"/>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indexed="8"/>
      </right>
      <top/>
      <bottom style="medium">
        <color auto="1"/>
      </bottom>
      <diagonal/>
    </border>
    <border>
      <left style="thin">
        <color indexed="8"/>
      </left>
      <right style="thin">
        <color auto="1"/>
      </right>
      <top/>
      <bottom style="medium">
        <color indexed="8"/>
      </bottom>
      <diagonal/>
    </border>
    <border>
      <left style="thin">
        <color auto="1"/>
      </left>
      <right style="thin">
        <color auto="1"/>
      </right>
      <top/>
      <bottom style="medium">
        <color indexed="8"/>
      </bottom>
      <diagonal/>
    </border>
    <border>
      <left style="thin">
        <color auto="1"/>
      </left>
      <right style="medium">
        <color auto="1"/>
      </right>
      <top/>
      <bottom style="medium">
        <color indexed="8"/>
      </bottom>
      <diagonal/>
    </border>
    <border>
      <left style="medium">
        <color auto="1"/>
      </left>
      <right style="thin">
        <color indexed="59"/>
      </right>
      <top/>
      <bottom/>
      <diagonal/>
    </border>
    <border>
      <left/>
      <right style="thin">
        <color indexed="59"/>
      </right>
      <top/>
      <bottom/>
      <diagonal/>
    </border>
    <border>
      <left style="medium">
        <color auto="1"/>
      </left>
      <right/>
      <top style="medium">
        <color indexed="59"/>
      </top>
      <bottom/>
      <diagonal/>
    </border>
    <border>
      <left/>
      <right/>
      <top style="medium">
        <color indexed="59"/>
      </top>
      <bottom/>
      <diagonal/>
    </border>
    <border>
      <left/>
      <right style="thin">
        <color auto="1"/>
      </right>
      <top style="medium">
        <color indexed="59"/>
      </top>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thin">
        <color auto="1"/>
      </right>
      <top/>
      <bottom style="medium">
        <color auto="1"/>
      </bottom>
      <diagonal/>
    </border>
    <border>
      <left style="medium">
        <color auto="1"/>
      </left>
      <right style="thin">
        <color indexed="8"/>
      </right>
      <top style="medium">
        <color auto="1"/>
      </top>
      <bottom/>
      <diagonal/>
    </border>
    <border>
      <left style="thin">
        <color auto="1"/>
      </left>
      <right style="thin">
        <color indexed="8"/>
      </right>
      <top style="medium">
        <color auto="1"/>
      </top>
      <bottom/>
      <diagonal/>
    </border>
    <border>
      <left style="thin">
        <color indexed="8"/>
      </left>
      <right style="medium">
        <color auto="1"/>
      </right>
      <top style="medium">
        <color auto="1"/>
      </top>
      <bottom/>
      <diagonal/>
    </border>
    <border>
      <left style="medium">
        <color indexed="8"/>
      </left>
      <right style="thin">
        <color indexed="8"/>
      </right>
      <top style="medium">
        <color indexed="8"/>
      </top>
      <bottom/>
      <diagonal/>
    </border>
    <border>
      <left style="thin">
        <color indexed="8"/>
      </left>
      <right style="thin">
        <color indexed="8"/>
      </right>
      <top style="medium">
        <color indexed="8"/>
      </top>
      <bottom style="thin">
        <color indexed="8"/>
      </bottom>
      <diagonal/>
    </border>
    <border>
      <left style="medium">
        <color auto="1"/>
      </left>
      <right style="thin">
        <color indexed="8"/>
      </right>
      <top/>
      <bottom style="medium">
        <color indexed="8"/>
      </bottom>
      <diagonal/>
    </border>
    <border>
      <left style="thin">
        <color auto="1"/>
      </left>
      <right style="thin">
        <color indexed="8"/>
      </right>
      <top/>
      <bottom style="medium">
        <color indexed="8"/>
      </bottom>
      <diagonal/>
    </border>
    <border>
      <left style="thin">
        <color indexed="8"/>
      </left>
      <right style="medium">
        <color auto="1"/>
      </right>
      <top/>
      <bottom style="medium">
        <color indexed="8"/>
      </bottom>
      <diagonal/>
    </border>
    <border>
      <left style="medium">
        <color auto="1"/>
      </left>
      <right style="thin">
        <color indexed="8"/>
      </right>
      <top/>
      <bottom/>
      <diagonal/>
    </border>
    <border>
      <left style="thin">
        <color indexed="8"/>
      </left>
      <right style="medium">
        <color auto="1"/>
      </right>
      <top/>
      <bottom/>
      <diagonal/>
    </border>
    <border>
      <left style="thin">
        <color auto="1"/>
      </left>
      <right style="thin">
        <color indexed="8"/>
      </right>
      <top style="medium">
        <color indexed="8"/>
      </top>
      <bottom style="medium">
        <color auto="1"/>
      </bottom>
      <diagonal/>
    </border>
    <border>
      <left style="thin">
        <color indexed="8"/>
      </left>
      <right style="medium">
        <color auto="1"/>
      </right>
      <top style="medium">
        <color indexed="8"/>
      </top>
      <bottom style="medium">
        <color auto="1"/>
      </bottom>
      <diagonal/>
    </border>
    <border>
      <left style="medium">
        <color auto="1"/>
      </left>
      <right style="thin">
        <color indexed="8"/>
      </right>
      <top style="medium">
        <color auto="1"/>
      </top>
      <bottom style="medium">
        <color auto="1"/>
      </bottom>
      <diagonal/>
    </border>
    <border>
      <left style="thin">
        <color indexed="8"/>
      </left>
      <right style="thin">
        <color indexed="8"/>
      </right>
      <top style="medium">
        <color auto="1"/>
      </top>
      <bottom style="medium">
        <color auto="1"/>
      </bottom>
      <diagonal/>
    </border>
    <border>
      <left style="thin">
        <color auto="1"/>
      </left>
      <right style="thin">
        <color indexed="8"/>
      </right>
      <top style="medium">
        <color auto="1"/>
      </top>
      <bottom style="medium">
        <color auto="1"/>
      </bottom>
      <diagonal/>
    </border>
    <border>
      <left style="thin">
        <color indexed="8"/>
      </left>
      <right style="medium">
        <color auto="1"/>
      </right>
      <top style="medium">
        <color auto="1"/>
      </top>
      <bottom style="medium">
        <color auto="1"/>
      </bottom>
      <diagonal/>
    </border>
    <border>
      <left style="thin">
        <color auto="1"/>
      </left>
      <right style="thin">
        <color indexed="8"/>
      </right>
      <top style="medium">
        <color indexed="8"/>
      </top>
      <bottom style="medium">
        <color indexed="8"/>
      </bottom>
      <diagonal/>
    </border>
    <border>
      <left style="thin">
        <color indexed="8"/>
      </left>
      <right style="thin">
        <color auto="1"/>
      </right>
      <top style="medium">
        <color indexed="8"/>
      </top>
      <bottom/>
      <diagonal/>
    </border>
    <border>
      <left style="thin">
        <color auto="1"/>
      </left>
      <right style="thin">
        <color auto="1"/>
      </right>
      <top style="thin">
        <color auto="1"/>
      </top>
      <bottom style="thin">
        <color auto="1"/>
      </bottom>
      <diagonal/>
    </border>
    <border>
      <left style="thin">
        <color indexed="8"/>
      </left>
      <right style="medium">
        <color auto="1"/>
      </right>
      <top/>
      <bottom style="medium">
        <color auto="1"/>
      </bottom>
      <diagonal/>
    </border>
    <border>
      <left style="medium">
        <color indexed="8"/>
      </left>
      <right style="thin">
        <color indexed="8"/>
      </right>
      <top/>
      <bottom style="medium">
        <color indexed="8"/>
      </bottom>
      <diagonal/>
    </border>
    <border>
      <left style="medium">
        <color indexed="8"/>
      </left>
      <right style="thin">
        <color indexed="8"/>
      </right>
      <top style="medium">
        <color indexed="8"/>
      </top>
      <bottom style="thin">
        <color indexed="8"/>
      </bottom>
      <diagonal/>
    </border>
    <border>
      <left style="thin">
        <color indexed="8"/>
      </left>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bottom style="thin">
        <color indexed="8"/>
      </bottom>
      <diagonal/>
    </border>
    <border>
      <left style="thin">
        <color indexed="8"/>
      </left>
      <right style="medium">
        <color indexed="8"/>
      </right>
      <top/>
      <bottom style="thin">
        <color indexed="8"/>
      </bottom>
      <diagonal/>
    </border>
    <border>
      <left style="medium">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style="thin">
        <color indexed="8"/>
      </left>
      <right style="thin">
        <color indexed="8"/>
      </right>
      <top style="medium">
        <color auto="1"/>
      </top>
      <bottom style="thin">
        <color indexed="8"/>
      </bottom>
      <diagonal/>
    </border>
    <border>
      <left style="thin">
        <color indexed="8"/>
      </left>
      <right style="medium">
        <color indexed="8"/>
      </right>
      <top style="medium">
        <color auto="1"/>
      </top>
      <bottom style="thin">
        <color indexed="8"/>
      </bottom>
      <diagonal/>
    </border>
    <border>
      <left style="thin">
        <color indexed="8"/>
      </left>
      <right style="thin">
        <color indexed="8"/>
      </right>
      <top style="thin">
        <color indexed="8"/>
      </top>
      <bottom style="medium">
        <color auto="1"/>
      </bottom>
      <diagonal/>
    </border>
    <border>
      <left style="thin">
        <color indexed="8"/>
      </left>
      <right style="medium">
        <color auto="1"/>
      </right>
      <top style="thin">
        <color indexed="8"/>
      </top>
      <bottom style="medium">
        <color auto="1"/>
      </bottom>
      <diagonal/>
    </border>
    <border>
      <left style="thin">
        <color indexed="8"/>
      </left>
      <right style="medium">
        <color indexed="8"/>
      </right>
      <top/>
      <bottom style="thin">
        <color auto="1"/>
      </bottom>
      <diagonal/>
    </border>
    <border>
      <left style="thin">
        <color indexed="8"/>
      </left>
      <right style="medium">
        <color auto="1"/>
      </right>
      <top/>
      <bottom style="thin">
        <color auto="1"/>
      </bottom>
      <diagonal/>
    </border>
    <border>
      <left style="thin">
        <color indexed="8"/>
      </left>
      <right style="medium">
        <color indexed="8"/>
      </right>
      <top style="thin">
        <color auto="1"/>
      </top>
      <bottom/>
      <diagonal/>
    </border>
    <border>
      <left style="medium">
        <color auto="1"/>
      </left>
      <right style="thin">
        <color indexed="8"/>
      </right>
      <top/>
      <bottom style="thin">
        <color auto="1"/>
      </bottom>
      <diagonal/>
    </border>
    <border>
      <left style="thin">
        <color indexed="8"/>
      </left>
      <right style="thin">
        <color rgb="FF000000"/>
      </right>
      <top style="thin">
        <color indexed="8"/>
      </top>
      <bottom style="thin">
        <color auto="1"/>
      </bottom>
      <diagonal/>
    </border>
    <border>
      <left style="thin">
        <color rgb="FF000000"/>
      </left>
      <right style="thin">
        <color rgb="FF000000"/>
      </right>
      <top style="thin">
        <color indexed="8"/>
      </top>
      <bottom style="thin">
        <color auto="1"/>
      </bottom>
      <diagonal/>
    </border>
    <border>
      <left style="thin">
        <color rgb="FF000000"/>
      </left>
      <right style="medium">
        <color indexed="8"/>
      </right>
      <top style="thin">
        <color indexed="8"/>
      </top>
      <bottom style="thin">
        <color auto="1"/>
      </bottom>
      <diagonal/>
    </border>
    <border>
      <left style="medium">
        <color indexed="8"/>
      </left>
      <right style="thin">
        <color indexed="8"/>
      </right>
      <top style="medium">
        <color auto="1"/>
      </top>
      <bottom style="medium">
        <color auto="1"/>
      </bottom>
      <diagonal/>
    </border>
    <border>
      <left style="thin">
        <color indexed="8"/>
      </left>
      <right style="medium">
        <color indexed="8"/>
      </right>
      <top style="medium">
        <color auto="1"/>
      </top>
      <bottom style="medium">
        <color auto="1"/>
      </bottom>
      <diagonal/>
    </border>
    <border>
      <left style="thin">
        <color indexed="8"/>
      </left>
      <right/>
      <top style="medium">
        <color auto="1"/>
      </top>
      <bottom style="medium">
        <color auto="1"/>
      </bottom>
      <diagonal/>
    </border>
    <border>
      <left style="thin">
        <color indexed="8"/>
      </left>
      <right style="thin">
        <color indexed="8"/>
      </right>
      <top style="medium">
        <color auto="1"/>
      </top>
      <bottom style="medium">
        <color indexed="8"/>
      </bottom>
      <diagonal/>
    </border>
    <border>
      <left style="thin">
        <color indexed="8"/>
      </left>
      <right/>
      <top style="medium">
        <color auto="1"/>
      </top>
      <bottom style="thin">
        <color indexed="8"/>
      </bottom>
      <diagonal/>
    </border>
    <border>
      <left style="thin">
        <color indexed="8"/>
      </left>
      <right style="thin">
        <color indexed="8"/>
      </right>
      <top style="thin">
        <color indexed="8"/>
      </top>
      <bottom/>
      <diagonal/>
    </border>
    <border>
      <left style="thin">
        <color auto="1"/>
      </left>
      <right style="thin">
        <color indexed="8"/>
      </right>
      <top style="medium">
        <color indexed="8"/>
      </top>
      <bottom/>
      <diagonal/>
    </border>
    <border>
      <left/>
      <right style="thin">
        <color auto="1"/>
      </right>
      <top style="thin">
        <color auto="1"/>
      </top>
      <bottom/>
      <diagonal/>
    </border>
    <border>
      <left/>
      <right style="thin">
        <color indexed="8"/>
      </right>
      <top style="medium">
        <color auto="1"/>
      </top>
      <bottom/>
      <diagonal/>
    </border>
    <border>
      <left style="thin">
        <color indexed="8"/>
      </left>
      <right style="medium">
        <color indexed="8"/>
      </right>
      <top style="medium">
        <color auto="1"/>
      </top>
      <bottom/>
      <diagonal/>
    </border>
    <border>
      <left style="medium">
        <color indexed="64"/>
      </left>
      <right style="thin">
        <color indexed="8"/>
      </right>
      <top style="medium">
        <color indexed="64"/>
      </top>
      <bottom style="medium">
        <color indexed="64"/>
      </bottom>
      <diagonal/>
    </border>
    <border>
      <left style="thin">
        <color indexed="8"/>
      </left>
      <right style="thin">
        <color indexed="8"/>
      </right>
      <top style="medium">
        <color indexed="64"/>
      </top>
      <bottom style="medium">
        <color indexed="64"/>
      </bottom>
      <diagonal/>
    </border>
    <border>
      <left style="thin">
        <color indexed="8"/>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8"/>
      </left>
      <right style="thin">
        <color indexed="64"/>
      </right>
      <top/>
      <bottom/>
      <diagonal/>
    </border>
    <border>
      <left/>
      <right style="thin">
        <color indexed="8"/>
      </right>
      <top style="medium">
        <color indexed="64"/>
      </top>
      <bottom style="medium">
        <color indexed="64"/>
      </bottom>
      <diagonal/>
    </border>
    <border>
      <left style="thin">
        <color indexed="8"/>
      </left>
      <right style="medium">
        <color auto="1"/>
      </right>
      <top/>
      <bottom style="thin">
        <color indexed="64"/>
      </bottom>
      <diagonal/>
    </border>
    <border>
      <left style="thin">
        <color indexed="8"/>
      </left>
      <right style="thin">
        <color indexed="8"/>
      </right>
      <top/>
      <bottom style="thin">
        <color indexed="64"/>
      </bottom>
      <diagonal/>
    </border>
    <border>
      <left style="thin">
        <color indexed="8"/>
      </left>
      <right style="thin">
        <color indexed="64"/>
      </right>
      <top style="medium">
        <color indexed="64"/>
      </top>
      <bottom style="medium">
        <color indexed="64"/>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right/>
      <top/>
      <bottom style="medium">
        <color indexed="59"/>
      </bottom>
      <diagonal/>
    </border>
    <border>
      <left style="thin">
        <color auto="1"/>
      </left>
      <right style="medium">
        <color auto="1"/>
      </right>
      <top/>
      <bottom style="medium">
        <color indexed="59"/>
      </bottom>
      <diagonal/>
    </border>
    <border>
      <left style="medium">
        <color auto="1"/>
      </left>
      <right style="thin">
        <color auto="1"/>
      </right>
      <top style="medium">
        <color indexed="59"/>
      </top>
      <bottom/>
      <diagonal/>
    </border>
    <border>
      <left style="thin">
        <color auto="1"/>
      </left>
      <right style="thin">
        <color auto="1"/>
      </right>
      <top style="medium">
        <color indexed="59"/>
      </top>
      <bottom/>
      <diagonal/>
    </border>
    <border>
      <left style="thin">
        <color auto="1"/>
      </left>
      <right/>
      <top style="medium">
        <color indexed="59"/>
      </top>
      <bottom/>
      <diagonal/>
    </border>
    <border>
      <left style="thin">
        <color auto="1"/>
      </left>
      <right style="medium">
        <color auto="1"/>
      </right>
      <top style="medium">
        <color indexed="59"/>
      </top>
      <bottom/>
      <diagonal/>
    </border>
    <border>
      <left style="medium">
        <color auto="1"/>
      </left>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top style="medium">
        <color indexed="8"/>
      </top>
      <bottom style="medium">
        <color indexed="8"/>
      </bottom>
      <diagonal/>
    </border>
    <border>
      <left style="medium">
        <color auto="1"/>
      </left>
      <right style="thin">
        <color indexed="8"/>
      </right>
      <top style="medium">
        <color indexed="8"/>
      </top>
      <bottom/>
      <diagonal/>
    </border>
    <border>
      <left style="thin">
        <color indexed="8"/>
      </left>
      <right style="thin">
        <color indexed="8"/>
      </right>
      <top style="medium">
        <color indexed="8"/>
      </top>
      <bottom/>
      <diagonal/>
    </border>
    <border>
      <left style="thin">
        <color auto="1"/>
      </left>
      <right/>
      <top/>
      <bottom style="medium">
        <color indexed="8"/>
      </bottom>
      <diagonal/>
    </border>
    <border>
      <left style="thin">
        <color indexed="59"/>
      </left>
      <right style="medium">
        <color auto="1"/>
      </right>
      <top/>
      <bottom/>
      <diagonal/>
    </border>
    <border>
      <left style="thin">
        <color indexed="59"/>
      </left>
      <right style="medium">
        <color auto="1"/>
      </right>
      <top style="thin">
        <color indexed="59"/>
      </top>
      <bottom/>
      <diagonal/>
    </border>
    <border>
      <left style="thin">
        <color indexed="59"/>
      </left>
      <right style="thin">
        <color indexed="59"/>
      </right>
      <top/>
      <bottom style="medium">
        <color auto="1"/>
      </bottom>
      <diagonal/>
    </border>
    <border>
      <left/>
      <right/>
      <top style="medium">
        <color auto="1"/>
      </top>
      <bottom style="medium">
        <color indexed="8"/>
      </bottom>
      <diagonal/>
    </border>
    <border>
      <left style="medium">
        <color auto="1"/>
      </left>
      <right/>
      <top style="medium">
        <color indexed="59"/>
      </top>
      <bottom style="medium">
        <color indexed="59"/>
      </bottom>
      <diagonal/>
    </border>
    <border>
      <left/>
      <right/>
      <top style="medium">
        <color indexed="59"/>
      </top>
      <bottom style="medium">
        <color indexed="59"/>
      </bottom>
      <diagonal/>
    </border>
    <border>
      <left/>
      <right style="thin">
        <color indexed="59"/>
      </right>
      <top style="medium">
        <color indexed="59"/>
      </top>
      <bottom style="medium">
        <color indexed="59"/>
      </bottom>
      <diagonal/>
    </border>
    <border>
      <left style="thin">
        <color indexed="59"/>
      </left>
      <right style="thin">
        <color indexed="59"/>
      </right>
      <top style="medium">
        <color indexed="59"/>
      </top>
      <bottom style="medium">
        <color indexed="59"/>
      </bottom>
      <diagonal/>
    </border>
    <border>
      <left style="thin">
        <color indexed="59"/>
      </left>
      <right style="medium">
        <color auto="1"/>
      </right>
      <top style="medium">
        <color indexed="59"/>
      </top>
      <bottom style="medium">
        <color indexed="59"/>
      </bottom>
      <diagonal/>
    </border>
    <border>
      <left style="medium">
        <color auto="1"/>
      </left>
      <right style="thin">
        <color indexed="59"/>
      </right>
      <top style="medium">
        <color indexed="59"/>
      </top>
      <bottom/>
      <diagonal/>
    </border>
    <border>
      <left style="medium">
        <color indexed="59"/>
      </left>
      <right style="thin">
        <color indexed="59"/>
      </right>
      <top style="medium">
        <color indexed="59"/>
      </top>
      <bottom/>
      <diagonal/>
    </border>
    <border>
      <left style="thin">
        <color indexed="59"/>
      </left>
      <right style="thin">
        <color indexed="59"/>
      </right>
      <top style="medium">
        <color indexed="59"/>
      </top>
      <bottom/>
      <diagonal/>
    </border>
    <border>
      <left style="medium">
        <color auto="1"/>
      </left>
      <right style="thin">
        <color indexed="59"/>
      </right>
      <top/>
      <bottom style="medium">
        <color auto="1"/>
      </bottom>
      <diagonal/>
    </border>
    <border>
      <left style="medium">
        <color indexed="8"/>
      </left>
      <right style="thin">
        <color indexed="8"/>
      </right>
      <top style="medium">
        <color indexed="8"/>
      </top>
      <bottom/>
      <diagonal/>
    </border>
    <border>
      <left style="thin">
        <color indexed="8"/>
      </left>
      <right style="thin">
        <color indexed="8"/>
      </right>
      <top style="medium">
        <color indexed="8"/>
      </top>
      <bottom style="thin">
        <color indexed="8"/>
      </bottom>
      <diagonal/>
    </border>
    <border>
      <left style="thin">
        <color indexed="8"/>
      </left>
      <right/>
      <top style="medium">
        <color indexed="8"/>
      </top>
      <bottom/>
      <diagonal/>
    </border>
    <border>
      <left style="thin">
        <color indexed="8"/>
      </left>
      <right style="medium">
        <color indexed="8"/>
      </right>
      <top style="medium">
        <color indexed="8"/>
      </top>
      <bottom/>
      <diagonal/>
    </border>
    <border>
      <left style="medium">
        <color auto="1"/>
      </left>
      <right style="thin">
        <color auto="1"/>
      </right>
      <top style="medium">
        <color indexed="8"/>
      </top>
      <bottom/>
      <diagonal/>
    </border>
    <border>
      <left style="thin">
        <color auto="1"/>
      </left>
      <right style="thin">
        <color auto="1"/>
      </right>
      <top style="medium">
        <color indexed="8"/>
      </top>
      <bottom/>
      <diagonal/>
    </border>
    <border>
      <left style="thin">
        <color auto="1"/>
      </left>
      <right style="medium">
        <color auto="1"/>
      </right>
      <top style="medium">
        <color indexed="8"/>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style="thin">
        <color indexed="8"/>
      </left>
      <right/>
      <top/>
      <bottom style="thin">
        <color indexed="8"/>
      </bottom>
      <diagonal/>
    </border>
    <border>
      <left/>
      <right/>
      <top/>
      <bottom style="thin">
        <color indexed="8"/>
      </bottom>
      <diagonal/>
    </border>
    <border>
      <left/>
      <right style="medium">
        <color auto="1"/>
      </right>
      <top/>
      <bottom style="thin">
        <color indexed="8"/>
      </bottom>
      <diagonal/>
    </border>
    <border>
      <left style="medium">
        <color auto="1"/>
      </left>
      <right style="thin">
        <color indexed="8"/>
      </right>
      <top/>
      <bottom style="thin">
        <color auto="1"/>
      </bottom>
      <diagonal/>
    </border>
    <border>
      <left style="medium">
        <color auto="1"/>
      </left>
      <right style="thin">
        <color indexed="8"/>
      </right>
      <top style="medium">
        <color indexed="8"/>
      </top>
      <bottom style="medium">
        <color indexed="8"/>
      </bottom>
      <diagonal/>
    </border>
    <border>
      <left style="medium">
        <color indexed="8"/>
      </left>
      <right style="thin">
        <color indexed="8"/>
      </right>
      <top style="medium">
        <color indexed="8"/>
      </top>
      <bottom style="medium">
        <color indexed="8"/>
      </bottom>
      <diagonal/>
    </border>
    <border>
      <left style="medium">
        <color indexed="8"/>
      </left>
      <right/>
      <top style="medium">
        <color indexed="8"/>
      </top>
      <bottom style="medium">
        <color indexed="8"/>
      </bottom>
      <diagonal/>
    </border>
    <border>
      <left/>
      <right style="medium">
        <color auto="1"/>
      </right>
      <top style="medium">
        <color indexed="8"/>
      </top>
      <bottom style="medium">
        <color indexed="8"/>
      </bottom>
      <diagonal/>
    </border>
    <border>
      <left style="thin">
        <color auto="1"/>
      </left>
      <right style="thin">
        <color auto="1"/>
      </right>
      <top style="medium">
        <color indexed="8"/>
      </top>
      <bottom style="medium">
        <color indexed="8"/>
      </bottom>
      <diagonal/>
    </border>
    <border>
      <left style="medium">
        <color auto="1"/>
      </left>
      <right style="thin">
        <color indexed="8"/>
      </right>
      <top style="medium">
        <color indexed="8"/>
      </top>
      <bottom style="medium">
        <color auto="1"/>
      </bottom>
      <diagonal/>
    </border>
    <border>
      <left style="medium">
        <color indexed="8"/>
      </left>
      <right style="thin">
        <color indexed="8"/>
      </right>
      <top style="medium">
        <color indexed="8"/>
      </top>
      <bottom style="medium">
        <color auto="1"/>
      </bottom>
      <diagonal/>
    </border>
    <border>
      <left style="medium">
        <color indexed="8"/>
      </left>
      <right/>
      <top style="medium">
        <color indexed="8"/>
      </top>
      <bottom style="medium">
        <color auto="1"/>
      </bottom>
      <diagonal/>
    </border>
    <border>
      <left style="thin">
        <color auto="1"/>
      </left>
      <right style="thin">
        <color auto="1"/>
      </right>
      <top style="medium">
        <color indexed="8"/>
      </top>
      <bottom style="medium">
        <color auto="1"/>
      </bottom>
      <diagonal/>
    </border>
    <border>
      <left/>
      <right style="medium">
        <color auto="1"/>
      </right>
      <top style="medium">
        <color indexed="8"/>
      </top>
      <bottom style="medium">
        <color auto="1"/>
      </bottom>
      <diagonal/>
    </border>
    <border>
      <left style="thin">
        <color auto="1"/>
      </left>
      <right style="thin">
        <color auto="1"/>
      </right>
      <top/>
      <bottom style="thin">
        <color indexed="64"/>
      </bottom>
      <diagonal/>
    </border>
    <border>
      <left/>
      <right style="medium">
        <color auto="1"/>
      </right>
      <top style="thin">
        <color indexed="8"/>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auto="1"/>
      </right>
      <top style="medium">
        <color indexed="64"/>
      </top>
      <bottom style="medium">
        <color indexed="64"/>
      </bottom>
      <diagonal/>
    </border>
    <border>
      <left/>
      <right style="medium">
        <color auto="1"/>
      </right>
      <top/>
      <bottom style="thin">
        <color indexed="64"/>
      </bottom>
      <diagonal/>
    </border>
    <border>
      <left style="thin">
        <color indexed="8"/>
      </left>
      <right/>
      <top style="medium">
        <color indexed="8"/>
      </top>
      <bottom style="medium">
        <color auto="1"/>
      </bottom>
      <diagonal/>
    </border>
    <border>
      <left style="thin">
        <color indexed="8"/>
      </left>
      <right style="medium">
        <color auto="1"/>
      </right>
      <top style="medium">
        <color indexed="8"/>
      </top>
      <bottom style="medium">
        <color auto="1"/>
      </bottom>
      <diagonal/>
    </border>
    <border>
      <left style="thin">
        <color indexed="8"/>
      </left>
      <right style="thin">
        <color indexed="8"/>
      </right>
      <top/>
      <bottom style="thin">
        <color indexed="64"/>
      </bottom>
      <diagonal/>
    </border>
    <border>
      <left style="thin">
        <color indexed="8"/>
      </left>
      <right style="medium">
        <color auto="1"/>
      </right>
      <top/>
      <bottom style="thin">
        <color indexed="8"/>
      </bottom>
      <diagonal/>
    </border>
    <border>
      <left style="thin">
        <color indexed="8"/>
      </left>
      <right style="thin">
        <color indexed="8"/>
      </right>
      <top style="medium">
        <color indexed="8"/>
      </top>
      <bottom style="medium">
        <color indexed="8"/>
      </bottom>
      <diagonal/>
    </border>
    <border>
      <left style="thin">
        <color indexed="8"/>
      </left>
      <right style="medium">
        <color auto="1"/>
      </right>
      <top style="medium">
        <color indexed="8"/>
      </top>
      <bottom style="medium">
        <color indexed="8"/>
      </bottom>
      <diagonal/>
    </border>
    <border>
      <left/>
      <right/>
      <top style="medium">
        <color indexed="8"/>
      </top>
      <bottom/>
      <diagonal/>
    </border>
    <border>
      <left/>
      <right style="medium">
        <color auto="1"/>
      </right>
      <top style="medium">
        <color indexed="8"/>
      </top>
      <bottom/>
      <diagonal/>
    </border>
    <border>
      <left style="thin">
        <color indexed="8"/>
      </left>
      <right style="medium">
        <color auto="1"/>
      </right>
      <top/>
      <bottom style="thin">
        <color indexed="64"/>
      </bottom>
      <diagonal/>
    </border>
    <border>
      <left style="thin">
        <color indexed="8"/>
      </left>
      <right style="thin">
        <color indexed="8"/>
      </right>
      <top/>
      <bottom style="thin">
        <color indexed="64"/>
      </bottom>
      <diagonal/>
    </border>
    <border>
      <left style="medium">
        <color indexed="64"/>
      </left>
      <right style="thin">
        <color indexed="8"/>
      </right>
      <top style="medium">
        <color indexed="64"/>
      </top>
      <bottom/>
      <diagonal/>
    </border>
    <border>
      <left/>
      <right/>
      <top style="medium">
        <color indexed="64"/>
      </top>
      <bottom/>
      <diagonal/>
    </border>
    <border>
      <left style="thin">
        <color indexed="8"/>
      </left>
      <right style="thin">
        <color indexed="8"/>
      </right>
      <top style="medium">
        <color indexed="64"/>
      </top>
      <bottom/>
      <diagonal/>
    </border>
    <border>
      <left/>
      <right style="medium">
        <color indexed="64"/>
      </right>
      <top style="medium">
        <color indexed="64"/>
      </top>
      <bottom/>
      <diagonal/>
    </border>
    <border>
      <left/>
      <right style="medium">
        <color indexed="64"/>
      </right>
      <top/>
      <bottom style="thin">
        <color indexed="8"/>
      </bottom>
      <diagonal/>
    </border>
    <border>
      <left style="thin">
        <color indexed="8"/>
      </left>
      <right style="medium">
        <color indexed="64"/>
      </right>
      <top/>
      <bottom style="thin">
        <color auto="1"/>
      </bottom>
      <diagonal/>
    </border>
    <border>
      <left style="medium">
        <color indexed="64"/>
      </left>
      <right style="thin">
        <color indexed="8"/>
      </right>
      <top style="medium">
        <color indexed="8"/>
      </top>
      <bottom style="medium">
        <color indexed="8"/>
      </bottom>
      <diagonal/>
    </border>
    <border>
      <left style="medium">
        <color indexed="64"/>
      </left>
      <right style="thin">
        <color indexed="8"/>
      </right>
      <top style="medium">
        <color indexed="8"/>
      </top>
      <bottom style="medium">
        <color indexed="64"/>
      </bottom>
      <diagonal/>
    </border>
    <border>
      <left style="medium">
        <color indexed="8"/>
      </left>
      <right style="thin">
        <color indexed="8"/>
      </right>
      <top style="medium">
        <color indexed="8"/>
      </top>
      <bottom style="medium">
        <color indexed="64"/>
      </bottom>
      <diagonal/>
    </border>
    <border>
      <left style="thin">
        <color indexed="8"/>
      </left>
      <right style="medium">
        <color auto="1"/>
      </right>
      <top style="medium">
        <color indexed="8"/>
      </top>
      <bottom style="medium">
        <color indexed="64"/>
      </bottom>
      <diagonal/>
    </border>
    <border>
      <left style="medium">
        <color indexed="8"/>
      </left>
      <right/>
      <top style="medium">
        <color indexed="8"/>
      </top>
      <bottom/>
      <diagonal/>
    </border>
    <border>
      <left/>
      <right style="thin">
        <color indexed="8"/>
      </right>
      <top style="medium">
        <color indexed="8"/>
      </top>
      <bottom style="medium">
        <color indexed="8"/>
      </bottom>
      <diagonal/>
    </border>
    <border>
      <left style="thin">
        <color indexed="8"/>
      </left>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right style="thin">
        <color indexed="8"/>
      </right>
      <top style="medium">
        <color indexed="8"/>
      </top>
      <bottom/>
      <diagonal/>
    </border>
    <border>
      <left/>
      <right style="medium">
        <color indexed="8"/>
      </right>
      <top style="medium">
        <color indexed="8"/>
      </top>
      <bottom/>
      <diagonal/>
    </border>
    <border>
      <left style="thin">
        <color indexed="8"/>
      </left>
      <right/>
      <top/>
      <bottom style="thin">
        <color indexed="64"/>
      </bottom>
      <diagonal/>
    </border>
    <border>
      <left/>
      <right/>
      <top style="double">
        <color indexed="64"/>
      </top>
      <bottom/>
      <diagonal/>
    </border>
    <border>
      <left/>
      <right style="double">
        <color auto="1"/>
      </right>
      <top style="double">
        <color auto="1"/>
      </top>
      <bottom/>
      <diagonal/>
    </border>
    <border>
      <left style="double">
        <color auto="1"/>
      </left>
      <right/>
      <top/>
      <bottom/>
      <diagonal/>
    </border>
    <border>
      <left/>
      <right/>
      <top/>
      <bottom style="double">
        <color auto="1"/>
      </bottom>
      <diagonal/>
    </border>
    <border>
      <left/>
      <right style="double">
        <color indexed="64"/>
      </right>
      <top/>
      <bottom style="double">
        <color indexed="64"/>
      </bottom>
      <diagonal/>
    </border>
    <border>
      <left style="thin">
        <color indexed="8"/>
      </left>
      <right style="double">
        <color auto="1"/>
      </right>
      <top/>
      <bottom style="thin">
        <color auto="1"/>
      </bottom>
      <diagonal/>
    </border>
    <border>
      <left/>
      <right style="medium">
        <color indexed="8"/>
      </right>
      <top style="medium">
        <color indexed="8"/>
      </top>
      <bottom style="medium">
        <color indexed="8"/>
      </bottom>
      <diagonal/>
    </border>
    <border>
      <left style="thin">
        <color auto="1"/>
      </left>
      <right style="thin">
        <color indexed="8"/>
      </right>
      <top style="medium">
        <color auto="1"/>
      </top>
      <bottom style="thin">
        <color indexed="8"/>
      </bottom>
      <diagonal/>
    </border>
    <border>
      <left style="medium">
        <color indexed="8"/>
      </left>
      <right/>
      <top/>
      <bottom style="thin">
        <color indexed="8"/>
      </bottom>
      <diagonal/>
    </border>
    <border>
      <left style="thin">
        <color indexed="8"/>
      </left>
      <right style="thin">
        <color indexed="8"/>
      </right>
      <top/>
      <bottom style="thin">
        <color indexed="8"/>
      </bottom>
      <diagonal/>
    </border>
    <border>
      <left style="thin">
        <color indexed="8"/>
      </left>
      <right/>
      <top/>
      <bottom style="thin">
        <color indexed="8"/>
      </bottom>
      <diagonal/>
    </border>
    <border>
      <left/>
      <right/>
      <top/>
      <bottom style="thin">
        <color indexed="8"/>
      </bottom>
      <diagonal/>
    </border>
    <border>
      <left/>
      <right style="medium">
        <color auto="1"/>
      </right>
      <top/>
      <bottom style="thin">
        <color indexed="8"/>
      </bottom>
      <diagonal/>
    </border>
    <border>
      <left style="medium">
        <color indexed="8"/>
      </left>
      <right style="thin">
        <color indexed="8"/>
      </right>
      <top/>
      <bottom style="thin">
        <color indexed="8"/>
      </bottom>
      <diagonal/>
    </border>
    <border>
      <left/>
      <right style="thin">
        <color indexed="8"/>
      </right>
      <top/>
      <bottom style="thin">
        <color indexed="8"/>
      </bottom>
      <diagonal/>
    </border>
    <border>
      <left style="thin">
        <color indexed="8"/>
      </left>
      <right style="thin">
        <color indexed="8"/>
      </right>
      <top/>
      <bottom style="thin">
        <color auto="1"/>
      </bottom>
      <diagonal/>
    </border>
    <border>
      <left style="medium">
        <color indexed="8"/>
      </left>
      <right/>
      <top/>
      <bottom style="thin">
        <color indexed="8"/>
      </bottom>
      <diagonal/>
    </border>
    <border>
      <left style="medium">
        <color indexed="8"/>
      </left>
      <right/>
      <top style="thin">
        <color indexed="8"/>
      </top>
      <bottom/>
      <diagonal/>
    </border>
    <border>
      <left style="thin">
        <color auto="1"/>
      </left>
      <right style="thin">
        <color indexed="8"/>
      </right>
      <top style="thin">
        <color indexed="8"/>
      </top>
      <bottom/>
      <diagonal/>
    </border>
    <border>
      <left style="thin">
        <color indexed="8"/>
      </left>
      <right style="medium">
        <color auto="1"/>
      </right>
      <top/>
      <bottom style="thin">
        <color indexed="8"/>
      </bottom>
      <diagonal/>
    </border>
    <border>
      <left style="medium">
        <color indexed="8"/>
      </left>
      <right/>
      <top/>
      <bottom style="thin">
        <color auto="1"/>
      </bottom>
      <diagonal/>
    </border>
    <border>
      <left style="thin">
        <color indexed="8"/>
      </left>
      <right style="thin">
        <color auto="1"/>
      </right>
      <top/>
      <bottom style="thin">
        <color indexed="64"/>
      </bottom>
      <diagonal/>
    </border>
    <border>
      <left style="thin">
        <color auto="1"/>
      </left>
      <right style="thin">
        <color auto="1"/>
      </right>
      <top/>
      <bottom style="thin">
        <color indexed="64"/>
      </bottom>
      <diagonal/>
    </border>
    <border>
      <left style="thin">
        <color auto="1"/>
      </left>
      <right style="thin">
        <color indexed="8"/>
      </right>
      <top/>
      <bottom style="thin">
        <color indexed="64"/>
      </bottom>
      <diagonal/>
    </border>
    <border>
      <left style="medium">
        <color auto="1"/>
      </left>
      <right style="medium">
        <color auto="1"/>
      </right>
      <top/>
      <bottom/>
      <diagonal/>
    </border>
    <border>
      <left style="thin">
        <color indexed="8"/>
      </left>
      <right style="medium">
        <color auto="1"/>
      </right>
      <top/>
      <bottom style="medium">
        <color indexed="64"/>
      </bottom>
      <diagonal/>
    </border>
    <border>
      <left style="thin">
        <color indexed="8"/>
      </left>
      <right style="thin">
        <color indexed="8"/>
      </right>
      <top/>
      <bottom style="medium">
        <color indexed="64"/>
      </bottom>
      <diagonal/>
    </border>
    <border>
      <left style="thin">
        <color indexed="8"/>
      </left>
      <right style="thin">
        <color indexed="8"/>
      </right>
      <top/>
      <bottom style="medium">
        <color indexed="64"/>
      </bottom>
      <diagonal/>
    </border>
    <border>
      <left style="thin">
        <color indexed="8"/>
      </left>
      <right/>
      <top/>
      <bottom style="medium">
        <color indexed="8"/>
      </bottom>
      <diagonal/>
    </border>
    <border>
      <left style="thin">
        <color indexed="8"/>
      </left>
      <right style="thin">
        <color indexed="8"/>
      </right>
      <top/>
      <bottom style="thin">
        <color indexed="8"/>
      </bottom>
      <diagonal/>
    </border>
    <border>
      <left style="thin">
        <color indexed="8"/>
      </left>
      <right/>
      <top/>
      <bottom style="thin">
        <color auto="1"/>
      </bottom>
      <diagonal/>
    </border>
    <border>
      <left style="thin">
        <color indexed="8"/>
      </left>
      <right style="thin">
        <color indexed="8"/>
      </right>
      <top/>
      <bottom style="thin">
        <color auto="1"/>
      </bottom>
      <diagonal/>
    </border>
    <border>
      <left style="thin">
        <color indexed="8"/>
      </left>
      <right/>
      <top/>
      <bottom style="thin">
        <color indexed="8"/>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style="thin">
        <color auto="1"/>
      </bottom>
      <diagonal/>
    </border>
    <border>
      <left style="medium">
        <color auto="1"/>
      </left>
      <right style="medium">
        <color auto="1"/>
      </right>
      <top/>
      <bottom style="medium">
        <color auto="1"/>
      </bottom>
      <diagonal/>
    </border>
    <border>
      <left style="thin">
        <color indexed="8"/>
      </left>
      <right style="thin">
        <color indexed="8"/>
      </right>
      <top/>
      <bottom style="medium">
        <color indexed="8"/>
      </bottom>
      <diagonal/>
    </border>
    <border>
      <left style="thin">
        <color indexed="8"/>
      </left>
      <right style="medium">
        <color auto="1"/>
      </right>
      <top/>
      <bottom style="medium">
        <color indexed="8"/>
      </bottom>
      <diagonal/>
    </border>
    <border>
      <left style="thin">
        <color indexed="8"/>
      </left>
      <right style="thin">
        <color indexed="8"/>
      </right>
      <top/>
      <bottom style="thin">
        <color indexed="8"/>
      </bottom>
      <diagonal/>
    </border>
    <border>
      <left style="thin">
        <color indexed="64"/>
      </left>
      <right style="thin">
        <color indexed="8"/>
      </right>
      <top/>
      <bottom/>
      <diagonal/>
    </border>
    <border>
      <left style="thin">
        <color indexed="8"/>
      </left>
      <right style="thin">
        <color indexed="8"/>
      </right>
      <top/>
      <bottom style="thin">
        <color indexed="64"/>
      </bottom>
      <diagonal/>
    </border>
    <border>
      <left style="medium">
        <color indexed="8"/>
      </left>
      <right style="thin">
        <color indexed="8"/>
      </right>
      <top style="medium">
        <color indexed="8"/>
      </top>
      <bottom style="medium">
        <color indexed="8"/>
      </bottom>
      <diagonal/>
    </border>
    <border>
      <left/>
      <right/>
      <top/>
      <bottom style="thin">
        <color indexed="8"/>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8"/>
      </bottom>
      <diagonal/>
    </border>
    <border>
      <left style="medium">
        <color indexed="64"/>
      </left>
      <right style="medium">
        <color indexed="64"/>
      </right>
      <top style="thin">
        <color indexed="8"/>
      </top>
      <bottom/>
      <diagonal/>
    </border>
    <border>
      <left style="medium">
        <color indexed="64"/>
      </left>
      <right style="medium">
        <color indexed="64"/>
      </right>
      <top style="medium">
        <color indexed="8"/>
      </top>
      <bottom/>
      <diagonal/>
    </border>
    <border>
      <left style="medium">
        <color auto="1"/>
      </left>
      <right style="medium">
        <color auto="1"/>
      </right>
      <top/>
      <bottom style="thin">
        <color indexed="64"/>
      </bottom>
      <diagonal/>
    </border>
    <border>
      <left style="medium">
        <color indexed="64"/>
      </left>
      <right style="medium">
        <color indexed="64"/>
      </right>
      <top/>
      <bottom style="medium">
        <color indexed="64"/>
      </bottom>
      <diagonal/>
    </border>
    <border>
      <left style="thin">
        <color indexed="8"/>
      </left>
      <right style="thin">
        <color indexed="8"/>
      </right>
      <top style="thin">
        <color indexed="64"/>
      </top>
      <bottom style="thin">
        <color auto="1"/>
      </bottom>
      <diagonal/>
    </border>
    <border>
      <left style="thin">
        <color indexed="8"/>
      </left>
      <right style="thin">
        <color indexed="8"/>
      </right>
      <top/>
      <bottom style="thin">
        <color indexed="64"/>
      </bottom>
      <diagonal/>
    </border>
    <border>
      <left style="thin">
        <color indexed="8"/>
      </left>
      <right style="medium">
        <color auto="1"/>
      </right>
      <top/>
      <bottom style="thin">
        <color indexed="64"/>
      </bottom>
      <diagonal/>
    </border>
    <border>
      <left style="thin">
        <color indexed="64"/>
      </left>
      <right style="thin">
        <color indexed="8"/>
      </right>
      <top/>
      <bottom style="medium">
        <color auto="1"/>
      </bottom>
      <diagonal/>
    </border>
    <border>
      <left style="thin">
        <color indexed="8"/>
      </left>
      <right/>
      <top style="medium">
        <color indexed="64"/>
      </top>
      <bottom style="medium">
        <color indexed="64"/>
      </bottom>
      <diagonal/>
    </border>
    <border>
      <left/>
      <right style="medium">
        <color auto="1"/>
      </right>
      <top style="medium">
        <color indexed="64"/>
      </top>
      <bottom style="medium">
        <color indexed="64"/>
      </bottom>
      <diagonal/>
    </border>
    <border>
      <left/>
      <right style="medium">
        <color auto="1"/>
      </right>
      <top style="medium">
        <color indexed="8"/>
      </top>
      <bottom style="medium">
        <color indexed="64"/>
      </bottom>
      <diagonal/>
    </border>
    <border>
      <left/>
      <right/>
      <top style="medium">
        <color indexed="8"/>
      </top>
      <bottom style="medium">
        <color indexed="64"/>
      </bottom>
      <diagonal/>
    </border>
    <border>
      <left style="medium">
        <color indexed="64"/>
      </left>
      <right style="thin">
        <color indexed="8"/>
      </right>
      <top style="medium">
        <color indexed="64"/>
      </top>
      <bottom style="medium">
        <color indexed="8"/>
      </bottom>
      <diagonal/>
    </border>
    <border>
      <left style="medium">
        <color indexed="8"/>
      </left>
      <right style="thin">
        <color indexed="8"/>
      </right>
      <top style="medium">
        <color indexed="64"/>
      </top>
      <bottom style="medium">
        <color indexed="8"/>
      </bottom>
      <diagonal/>
    </border>
    <border>
      <left style="thin">
        <color indexed="8"/>
      </left>
      <right/>
      <top style="medium">
        <color indexed="64"/>
      </top>
      <bottom/>
      <diagonal/>
    </border>
    <border>
      <left style="medium">
        <color indexed="64"/>
      </left>
      <right style="thin">
        <color indexed="8"/>
      </right>
      <top style="medium">
        <color indexed="8"/>
      </top>
      <bottom style="medium">
        <color indexed="8"/>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8"/>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diagonal/>
    </border>
    <border>
      <left style="medium">
        <color auto="1"/>
      </left>
      <right style="medium">
        <color indexed="64"/>
      </right>
      <top style="medium">
        <color indexed="64"/>
      </top>
      <bottom style="medium">
        <color auto="1"/>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8"/>
      </left>
      <right style="thin">
        <color indexed="8"/>
      </right>
      <top/>
      <bottom style="medium">
        <color indexed="64"/>
      </bottom>
      <diagonal/>
    </border>
    <border>
      <left style="thin">
        <color indexed="8"/>
      </left>
      <right style="medium">
        <color indexed="8"/>
      </right>
      <top style="medium">
        <color indexed="64"/>
      </top>
      <bottom/>
      <diagonal/>
    </border>
    <border>
      <left style="thin">
        <color indexed="8"/>
      </left>
      <right style="thin">
        <color indexed="8"/>
      </right>
      <top/>
      <bottom style="medium">
        <color indexed="64"/>
      </bottom>
      <diagonal/>
    </border>
    <border>
      <left style="thin">
        <color indexed="8"/>
      </left>
      <right style="medium">
        <color auto="1"/>
      </right>
      <top/>
      <bottom style="medium">
        <color indexed="64"/>
      </bottom>
      <diagonal/>
    </border>
    <border>
      <left style="thin">
        <color indexed="8"/>
      </left>
      <right style="thin">
        <color indexed="8"/>
      </right>
      <top/>
      <bottom style="medium">
        <color indexed="64"/>
      </bottom>
      <diagonal/>
    </border>
    <border>
      <left style="medium">
        <color indexed="64"/>
      </left>
      <right/>
      <top style="medium">
        <color indexed="64"/>
      </top>
      <bottom/>
      <diagonal/>
    </border>
    <border>
      <left style="medium">
        <color auto="1"/>
      </left>
      <right/>
      <top/>
      <bottom style="thin">
        <color indexed="64"/>
      </bottom>
      <diagonal/>
    </border>
    <border>
      <left style="thin">
        <color indexed="8"/>
      </left>
      <right style="medium">
        <color auto="1"/>
      </right>
      <top style="thin">
        <color indexed="64"/>
      </top>
      <bottom/>
      <diagonal/>
    </border>
    <border>
      <left style="thin">
        <color indexed="8"/>
      </left>
      <right style="thin">
        <color indexed="8"/>
      </right>
      <top style="thin">
        <color indexed="64"/>
      </top>
      <bottom/>
      <diagonal/>
    </border>
    <border>
      <left style="thin">
        <color indexed="64"/>
      </left>
      <right style="medium">
        <color auto="1"/>
      </right>
      <top/>
      <bottom/>
      <diagonal/>
    </border>
    <border>
      <left style="thin">
        <color indexed="64"/>
      </left>
      <right style="medium">
        <color auto="1"/>
      </right>
      <top/>
      <bottom style="thin">
        <color indexed="64"/>
      </bottom>
      <diagonal/>
    </border>
    <border>
      <left style="thin">
        <color indexed="64"/>
      </left>
      <right style="medium">
        <color auto="1"/>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auto="1"/>
      </right>
      <top/>
      <bottom style="medium">
        <color auto="1"/>
      </bottom>
      <diagonal/>
    </border>
    <border>
      <left style="thin">
        <color indexed="8"/>
      </left>
      <right style="medium">
        <color indexed="64"/>
      </right>
      <top style="medium">
        <color indexed="8"/>
      </top>
      <bottom style="medium">
        <color indexed="8"/>
      </bottom>
      <diagonal/>
    </border>
    <border>
      <left style="medium">
        <color indexed="64"/>
      </left>
      <right style="medium">
        <color auto="1"/>
      </right>
      <top style="medium">
        <color indexed="8"/>
      </top>
      <bottom style="medium">
        <color indexed="8"/>
      </bottom>
      <diagonal/>
    </border>
    <border>
      <left style="medium">
        <color indexed="64"/>
      </left>
      <right style="thin">
        <color indexed="64"/>
      </right>
      <top/>
      <bottom style="medium">
        <color auto="1"/>
      </bottom>
      <diagonal/>
    </border>
    <border>
      <left style="thin">
        <color indexed="64"/>
      </left>
      <right style="thin">
        <color indexed="64"/>
      </right>
      <top/>
      <bottom/>
      <diagonal/>
    </border>
    <border>
      <left style="thin">
        <color auto="1"/>
      </left>
      <right style="thin">
        <color indexed="8"/>
      </right>
      <top style="thin">
        <color auto="1"/>
      </top>
      <bottom style="thin">
        <color indexed="64"/>
      </bottom>
      <diagonal/>
    </border>
    <border>
      <left style="thin">
        <color indexed="8"/>
      </left>
      <right style="medium">
        <color indexed="8"/>
      </right>
      <top/>
      <bottom style="medium">
        <color indexed="8"/>
      </bottom>
      <diagonal/>
    </border>
    <border>
      <left style="thin">
        <color indexed="8"/>
      </left>
      <right style="thin">
        <color indexed="8"/>
      </right>
      <top style="thin">
        <color indexed="8"/>
      </top>
      <bottom style="thin">
        <color indexed="8"/>
      </bottom>
      <diagonal/>
    </border>
    <border>
      <left/>
      <right style="thin">
        <color indexed="64"/>
      </right>
      <top/>
      <bottom style="thin">
        <color indexed="8"/>
      </bottom>
      <diagonal/>
    </border>
    <border>
      <left/>
      <right style="thin">
        <color indexed="8"/>
      </right>
      <top/>
      <bottom style="thin">
        <color indexed="8"/>
      </bottom>
      <diagonal/>
    </border>
    <border>
      <left style="thin">
        <color auto="1"/>
      </left>
      <right/>
      <top/>
      <bottom style="thin">
        <color indexed="64"/>
      </bottom>
      <diagonal/>
    </border>
    <border>
      <left/>
      <right/>
      <top/>
      <bottom style="thin">
        <color indexed="64"/>
      </bottom>
      <diagonal/>
    </border>
    <border>
      <left/>
      <right style="thin">
        <color auto="1"/>
      </right>
      <top/>
      <bottom style="thin">
        <color indexed="64"/>
      </bottom>
      <diagonal/>
    </border>
    <border>
      <left style="medium">
        <color indexed="64"/>
      </left>
      <right style="medium">
        <color indexed="64"/>
      </right>
      <top style="thin">
        <color indexed="64"/>
      </top>
      <bottom/>
      <diagonal/>
    </border>
    <border>
      <left style="medium">
        <color indexed="8"/>
      </left>
      <right style="medium">
        <color indexed="8"/>
      </right>
      <top style="thin">
        <color indexed="8"/>
      </top>
      <bottom/>
      <diagonal/>
    </border>
    <border>
      <left style="medium">
        <color indexed="8"/>
      </left>
      <right style="medium">
        <color indexed="8"/>
      </right>
      <top/>
      <bottom style="thin">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style="medium">
        <color auto="1"/>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8"/>
      </left>
      <right style="medium">
        <color indexed="8"/>
      </right>
      <top/>
      <bottom style="thin">
        <color indexed="64"/>
      </bottom>
      <diagonal/>
    </border>
    <border>
      <left style="thin">
        <color indexed="8"/>
      </left>
      <right style="medium">
        <color indexed="64"/>
      </right>
      <top style="medium">
        <color indexed="64"/>
      </top>
      <bottom/>
      <diagonal/>
    </border>
    <border>
      <left style="medium">
        <color indexed="64"/>
      </left>
      <right style="thin">
        <color indexed="8"/>
      </right>
      <top/>
      <bottom style="medium">
        <color indexed="8"/>
      </bottom>
      <diagonal/>
    </border>
    <border>
      <left style="thin">
        <color indexed="8"/>
      </left>
      <right style="medium">
        <color indexed="64"/>
      </right>
      <top/>
      <bottom style="medium">
        <color indexed="8"/>
      </bottom>
      <diagonal/>
    </border>
    <border>
      <left/>
      <right style="medium">
        <color indexed="64"/>
      </right>
      <top style="medium">
        <color indexed="8"/>
      </top>
      <bottom style="medium">
        <color indexed="8"/>
      </bottom>
      <diagonal/>
    </border>
    <border>
      <left style="medium">
        <color indexed="64"/>
      </left>
      <right style="thin">
        <color indexed="8"/>
      </right>
      <top/>
      <bottom style="thin">
        <color indexed="8"/>
      </bottom>
      <diagonal/>
    </border>
    <border>
      <left style="thin">
        <color indexed="8"/>
      </left>
      <right style="medium">
        <color indexed="64"/>
      </right>
      <top/>
      <bottom style="thin">
        <color indexed="8"/>
      </bottom>
      <diagonal/>
    </border>
    <border>
      <left style="thin">
        <color auto="1"/>
      </left>
      <right style="medium">
        <color indexed="64"/>
      </right>
      <top style="medium">
        <color indexed="8"/>
      </top>
      <bottom style="medium">
        <color indexed="8"/>
      </bottom>
      <diagonal/>
    </border>
    <border>
      <left style="medium">
        <color indexed="64"/>
      </left>
      <right style="thin">
        <color indexed="8"/>
      </right>
      <top style="medium">
        <color indexed="8"/>
      </top>
      <bottom/>
      <diagonal/>
    </border>
    <border>
      <left style="medium">
        <color indexed="64"/>
      </left>
      <right/>
      <top style="medium">
        <color indexed="8"/>
      </top>
      <bottom style="medium">
        <color indexed="8"/>
      </bottom>
      <diagonal/>
    </border>
    <border>
      <left style="medium">
        <color indexed="64"/>
      </left>
      <right style="thin">
        <color indexed="8"/>
      </right>
      <top/>
      <bottom style="thin">
        <color auto="1"/>
      </bottom>
      <diagonal/>
    </border>
    <border>
      <left style="thin">
        <color indexed="8"/>
      </left>
      <right style="medium">
        <color indexed="64"/>
      </right>
      <top/>
      <bottom style="thin">
        <color auto="1"/>
      </bottom>
      <diagonal/>
    </border>
    <border>
      <left style="medium">
        <color indexed="64"/>
      </left>
      <right/>
      <top style="medium">
        <color indexed="8"/>
      </top>
      <bottom style="medium">
        <color indexed="64"/>
      </bottom>
      <diagonal/>
    </border>
    <border>
      <left style="medium">
        <color indexed="64"/>
      </left>
      <right style="medium">
        <color indexed="64"/>
      </right>
      <top/>
      <bottom style="thin">
        <color indexed="8"/>
      </bottom>
      <diagonal/>
    </border>
    <border>
      <left style="medium">
        <color indexed="64"/>
      </left>
      <right style="medium">
        <color indexed="64"/>
      </right>
      <top style="thin">
        <color indexed="8"/>
      </top>
      <bottom/>
      <diagonal/>
    </border>
    <border>
      <left style="medium">
        <color auto="1"/>
      </left>
      <right style="thin">
        <color auto="1"/>
      </right>
      <top/>
      <bottom style="medium">
        <color indexed="64"/>
      </bottom>
      <diagonal/>
    </border>
    <border>
      <left style="thin">
        <color auto="1"/>
      </left>
      <right style="medium">
        <color auto="1"/>
      </right>
      <top/>
      <bottom style="medium">
        <color indexed="64"/>
      </bottom>
      <diagonal/>
    </border>
    <border>
      <left style="thin">
        <color auto="1"/>
      </left>
      <right style="thin">
        <color auto="1"/>
      </right>
      <top/>
      <bottom style="thin">
        <color indexed="64"/>
      </bottom>
      <diagonal/>
    </border>
    <border>
      <left style="thin">
        <color auto="1"/>
      </left>
      <right style="medium">
        <color auto="1"/>
      </right>
      <top/>
      <bottom style="thin">
        <color indexed="64"/>
      </bottom>
      <diagonal/>
    </border>
    <border>
      <left style="thin">
        <color indexed="8"/>
      </left>
      <right style="medium">
        <color auto="1"/>
      </right>
      <top style="thin">
        <color indexed="64"/>
      </top>
      <bottom/>
      <diagonal/>
    </border>
    <border>
      <left style="medium">
        <color auto="1"/>
      </left>
      <right style="thin">
        <color auto="1"/>
      </right>
      <top/>
      <bottom style="medium">
        <color indexed="8"/>
      </bottom>
      <diagonal/>
    </border>
    <border>
      <left style="thin">
        <color auto="1"/>
      </left>
      <right style="thin">
        <color auto="1"/>
      </right>
      <top/>
      <bottom style="medium">
        <color indexed="8"/>
      </bottom>
      <diagonal/>
    </border>
    <border>
      <left style="thin">
        <color auto="1"/>
      </left>
      <right style="medium">
        <color auto="1"/>
      </right>
      <top/>
      <bottom style="medium">
        <color indexed="8"/>
      </bottom>
      <diagonal/>
    </border>
    <border>
      <left style="thin">
        <color indexed="64"/>
      </left>
      <right/>
      <top/>
      <bottom/>
      <diagonal/>
    </border>
    <border>
      <left style="thin">
        <color indexed="64"/>
      </left>
      <right/>
      <top style="thin">
        <color indexed="8"/>
      </top>
      <bottom/>
      <diagonal/>
    </border>
    <border>
      <left style="thin">
        <color auto="1"/>
      </left>
      <right style="thin">
        <color indexed="8"/>
      </right>
      <top style="thin">
        <color indexed="8"/>
      </top>
      <bottom/>
      <diagonal/>
    </border>
    <border>
      <left style="thin">
        <color indexed="64"/>
      </left>
      <right/>
      <top style="thin">
        <color indexed="8"/>
      </top>
      <bottom/>
      <diagonal/>
    </border>
    <border>
      <left style="thin">
        <color indexed="8"/>
      </left>
      <right style="thin">
        <color indexed="64"/>
      </right>
      <top style="thin">
        <color indexed="8"/>
      </top>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8"/>
      </left>
      <right style="thin">
        <color indexed="64"/>
      </right>
      <top style="medium">
        <color indexed="64"/>
      </top>
      <bottom/>
      <diagonal/>
    </border>
    <border>
      <left style="thin">
        <color indexed="8"/>
      </left>
      <right style="thin">
        <color indexed="8"/>
      </right>
      <top style="thin">
        <color indexed="8"/>
      </top>
      <bottom/>
      <diagonal/>
    </border>
    <border>
      <left style="thin">
        <color indexed="8"/>
      </left>
      <right style="thin">
        <color indexed="8"/>
      </right>
      <top/>
      <bottom style="medium">
        <color indexed="8"/>
      </bottom>
      <diagonal/>
    </border>
    <border>
      <left/>
      <right style="thin">
        <color indexed="8"/>
      </right>
      <top/>
      <bottom style="medium">
        <color indexed="8"/>
      </bottom>
      <diagonal/>
    </border>
    <border>
      <left/>
      <right style="thin">
        <color indexed="8"/>
      </right>
      <top style="medium">
        <color indexed="64"/>
      </top>
      <bottom/>
      <diagonal/>
    </border>
    <border>
      <left style="thin">
        <color indexed="8"/>
      </left>
      <right style="thin">
        <color indexed="8"/>
      </right>
      <top style="thin">
        <color indexed="8"/>
      </top>
      <bottom/>
      <diagonal/>
    </border>
    <border>
      <left style="medium">
        <color indexed="64"/>
      </left>
      <right/>
      <top/>
      <bottom style="medium">
        <color indexed="64"/>
      </bottom>
      <diagonal/>
    </border>
    <border>
      <left style="thin">
        <color indexed="8"/>
      </left>
      <right style="thin">
        <color indexed="8"/>
      </right>
      <top/>
      <bottom style="thin">
        <color indexed="8"/>
      </bottom>
      <diagonal/>
    </border>
  </borders>
  <cellStyleXfs count="148">
    <xf numFmtId="0" fontId="0" fillId="0" borderId="0"/>
    <xf numFmtId="43" fontId="1" fillId="0" borderId="0" applyFont="0" applyFill="0" applyBorder="0" applyAlignment="0" applyProtection="0"/>
    <xf numFmtId="41" fontId="1" fillId="0" borderId="0" applyFont="0" applyFill="0" applyBorder="0" applyAlignment="0" applyProtection="0"/>
    <xf numFmtId="0" fontId="2" fillId="0" borderId="0" applyNumberFormat="0" applyFill="0" applyBorder="0" applyAlignment="0" applyProtection="0"/>
    <xf numFmtId="0" fontId="9" fillId="0" borderId="0"/>
    <xf numFmtId="41" fontId="9" fillId="0" borderId="0" applyFont="0" applyFill="0" applyBorder="0" applyAlignment="0" applyProtection="0"/>
    <xf numFmtId="43" fontId="9" fillId="0" borderId="0" applyFont="0" applyFill="0" applyBorder="0" applyAlignment="0" applyProtection="0"/>
    <xf numFmtId="174" fontId="22" fillId="0" borderId="0" applyFill="0" applyBorder="0" applyAlignment="0" applyProtection="0"/>
    <xf numFmtId="175" fontId="22" fillId="0" borderId="0" applyFill="0" applyBorder="0" applyAlignment="0" applyProtection="0"/>
    <xf numFmtId="0" fontId="9" fillId="0" borderId="0"/>
    <xf numFmtId="0" fontId="9" fillId="0" borderId="0"/>
    <xf numFmtId="0" fontId="9" fillId="0" borderId="0"/>
    <xf numFmtId="173" fontId="94" fillId="0" borderId="0" applyFont="0" applyFill="0" applyBorder="0" applyAlignment="0" applyProtection="0"/>
    <xf numFmtId="0" fontId="94" fillId="0" borderId="0"/>
    <xf numFmtId="0" fontId="9" fillId="0" borderId="0"/>
    <xf numFmtId="185" fontId="9" fillId="0" borderId="0" applyFill="0" applyBorder="0" applyAlignment="0" applyProtection="0"/>
    <xf numFmtId="0" fontId="9" fillId="0" borderId="0"/>
    <xf numFmtId="177" fontId="9" fillId="0" borderId="0" applyFill="0" applyBorder="0" applyAlignment="0" applyProtection="0"/>
    <xf numFmtId="0" fontId="9" fillId="0" borderId="0"/>
    <xf numFmtId="42" fontId="1" fillId="0" borderId="0" applyFont="0" applyFill="0" applyBorder="0" applyAlignment="0" applyProtection="0"/>
    <xf numFmtId="0" fontId="25"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136" fillId="0" borderId="0">
      <alignment vertical="center"/>
    </xf>
    <xf numFmtId="0" fontId="9" fillId="0" borderId="0">
      <alignment vertical="center"/>
    </xf>
    <xf numFmtId="0" fontId="160" fillId="0" borderId="0">
      <alignment vertical="center"/>
    </xf>
    <xf numFmtId="43" fontId="1" fillId="0" borderId="0" applyFont="0" applyFill="0" applyBorder="0" applyAlignment="0" applyProtection="0"/>
    <xf numFmtId="41" fontId="1" fillId="0" borderId="0" applyFont="0" applyFill="0" applyBorder="0" applyAlignment="0" applyProtection="0"/>
    <xf numFmtId="41" fontId="160" fillId="0" borderId="0" applyFont="0" applyFill="0" applyBorder="0" applyAlignment="0" applyProtection="0"/>
    <xf numFmtId="43" fontId="160" fillId="0" borderId="0" applyFont="0" applyFill="0" applyBorder="0" applyAlignment="0" applyProtection="0"/>
    <xf numFmtId="41" fontId="160" fillId="0" borderId="0" applyFont="0" applyFill="0" applyBorder="0" applyAlignment="0" applyProtection="0"/>
    <xf numFmtId="9" fontId="160" fillId="0" borderId="0" applyFont="0" applyFill="0" applyBorder="0" applyAlignment="0" applyProtection="0"/>
    <xf numFmtId="43" fontId="94" fillId="0" borderId="0" applyFont="0" applyFill="0" applyBorder="0" applyAlignment="0" applyProtection="0"/>
    <xf numFmtId="44" fontId="160" fillId="0" borderId="0" applyFont="0" applyFill="0" applyBorder="0" applyAlignment="0" applyProtection="0">
      <alignment vertical="center"/>
    </xf>
    <xf numFmtId="41" fontId="160" fillId="0" borderId="0" applyFont="0" applyFill="0" applyBorder="0" applyAlignment="0" applyProtection="0">
      <alignment vertical="center"/>
    </xf>
    <xf numFmtId="41" fontId="160" fillId="0" borderId="0" applyFont="0" applyFill="0" applyBorder="0" applyAlignment="0" applyProtection="0"/>
    <xf numFmtId="41" fontId="160" fillId="0" borderId="0" applyFont="0" applyFill="0" applyBorder="0" applyAlignment="0" applyProtection="0">
      <alignment vertical="center"/>
    </xf>
    <xf numFmtId="42" fontId="1" fillId="0" borderId="0" applyFont="0" applyFill="0" applyBorder="0" applyAlignment="0" applyProtection="0"/>
    <xf numFmtId="41" fontId="160" fillId="0" borderId="0" applyFont="0" applyFill="0" applyBorder="0" applyAlignment="0" applyProtection="0"/>
    <xf numFmtId="43" fontId="160" fillId="0" borderId="0" applyFont="0" applyFill="0" applyBorder="0" applyAlignment="0" applyProtection="0"/>
    <xf numFmtId="0" fontId="162" fillId="0" borderId="0">
      <alignment vertical="center"/>
    </xf>
    <xf numFmtId="43" fontId="1" fillId="0" borderId="0" applyFont="0" applyFill="0" applyBorder="0" applyAlignment="0" applyProtection="0"/>
    <xf numFmtId="43" fontId="1" fillId="0" borderId="0" applyFont="0" applyFill="0" applyBorder="0" applyAlignment="0" applyProtection="0"/>
    <xf numFmtId="41" fontId="160" fillId="0" borderId="0" applyFont="0" applyFill="0" applyBorder="0" applyAlignment="0" applyProtection="0"/>
    <xf numFmtId="41" fontId="160" fillId="0" borderId="0" applyFont="0" applyFill="0" applyBorder="0" applyAlignment="0" applyProtection="0"/>
    <xf numFmtId="41" fontId="160" fillId="0" borderId="0" applyFont="0" applyFill="0" applyBorder="0" applyAlignment="0" applyProtection="0">
      <alignment vertical="center"/>
    </xf>
    <xf numFmtId="41" fontId="160" fillId="0" borderId="0" applyFont="0" applyFill="0" applyBorder="0" applyAlignment="0" applyProtection="0">
      <alignment vertical="center"/>
    </xf>
    <xf numFmtId="202" fontId="160" fillId="0" borderId="0" applyFont="0" applyFill="0" applyBorder="0" applyAlignment="0" applyProtection="0">
      <alignment vertical="center"/>
    </xf>
    <xf numFmtId="41" fontId="160" fillId="0" borderId="0" applyFont="0" applyFill="0" applyBorder="0" applyAlignment="0" applyProtection="0">
      <alignment vertical="center"/>
    </xf>
    <xf numFmtId="41" fontId="160" fillId="0" borderId="0" applyFont="0" applyFill="0" applyBorder="0" applyAlignment="0" applyProtection="0">
      <alignment vertical="center"/>
    </xf>
    <xf numFmtId="41" fontId="160" fillId="0" borderId="0" applyFont="0" applyFill="0" applyBorder="0" applyAlignment="0" applyProtection="0">
      <alignment vertical="center"/>
    </xf>
    <xf numFmtId="41" fontId="160" fillId="0" borderId="0" applyFont="0" applyFill="0" applyBorder="0" applyAlignment="0" applyProtection="0">
      <alignment vertical="center"/>
    </xf>
    <xf numFmtId="202" fontId="160" fillId="0" borderId="0" applyFont="0" applyFill="0" applyBorder="0" applyAlignment="0" applyProtection="0">
      <alignment vertical="center"/>
    </xf>
    <xf numFmtId="41" fontId="160" fillId="0" borderId="0" applyFont="0" applyFill="0" applyBorder="0" applyAlignment="0" applyProtection="0"/>
    <xf numFmtId="43" fontId="160" fillId="0" borderId="0" applyFont="0" applyFill="0" applyBorder="0" applyAlignment="0" applyProtection="0"/>
    <xf numFmtId="202" fontId="160" fillId="0" borderId="0" applyFont="0" applyFill="0" applyBorder="0" applyAlignment="0" applyProtection="0">
      <alignment vertical="center"/>
    </xf>
    <xf numFmtId="202" fontId="160" fillId="0" borderId="0" applyFont="0" applyFill="0" applyBorder="0" applyAlignment="0" applyProtection="0">
      <alignment vertical="center"/>
    </xf>
    <xf numFmtId="43" fontId="160" fillId="0" borderId="0" applyFont="0" applyFill="0" applyBorder="0" applyAlignment="0" applyProtection="0"/>
    <xf numFmtId="43" fontId="160" fillId="0" borderId="0" applyFont="0" applyFill="0" applyBorder="0" applyAlignment="0" applyProtection="0"/>
    <xf numFmtId="43" fontId="163" fillId="0" borderId="0" applyFont="0" applyFill="0" applyBorder="0" applyAlignment="0" applyProtection="0"/>
    <xf numFmtId="43" fontId="160" fillId="0" borderId="0" applyFont="0" applyFill="0" applyBorder="0" applyAlignment="0" applyProtection="0"/>
    <xf numFmtId="43" fontId="160" fillId="0" borderId="0" applyFont="0" applyFill="0" applyBorder="0" applyAlignment="0" applyProtection="0"/>
    <xf numFmtId="43" fontId="160" fillId="0" borderId="0" applyFont="0" applyFill="0" applyBorder="0" applyAlignment="0" applyProtection="0"/>
    <xf numFmtId="43" fontId="160" fillId="0" borderId="0" applyFont="0" applyFill="0" applyBorder="0" applyAlignment="0" applyProtection="0"/>
    <xf numFmtId="43" fontId="160" fillId="0" borderId="0" applyFont="0" applyFill="0" applyBorder="0" applyAlignment="0" applyProtection="0"/>
    <xf numFmtId="0" fontId="160" fillId="0" borderId="0"/>
    <xf numFmtId="0" fontId="160" fillId="0" borderId="0"/>
    <xf numFmtId="0" fontId="160" fillId="0" borderId="0"/>
    <xf numFmtId="0" fontId="160" fillId="0" borderId="0"/>
    <xf numFmtId="0" fontId="160" fillId="0" borderId="0"/>
    <xf numFmtId="0" fontId="160" fillId="0" borderId="0"/>
    <xf numFmtId="0" fontId="160" fillId="0" borderId="0"/>
    <xf numFmtId="0" fontId="160" fillId="0" borderId="0"/>
    <xf numFmtId="0" fontId="160" fillId="0" borderId="0"/>
    <xf numFmtId="0" fontId="160" fillId="0" borderId="0"/>
    <xf numFmtId="0" fontId="160" fillId="0" borderId="0"/>
    <xf numFmtId="0" fontId="160" fillId="0" borderId="0"/>
    <xf numFmtId="0" fontId="160" fillId="0" borderId="0"/>
    <xf numFmtId="0" fontId="160" fillId="0" borderId="0">
      <alignment vertical="center"/>
    </xf>
    <xf numFmtId="0" fontId="160" fillId="0" borderId="0">
      <alignment vertical="center"/>
    </xf>
    <xf numFmtId="0" fontId="163" fillId="0" borderId="0"/>
    <xf numFmtId="0" fontId="160" fillId="0" borderId="0"/>
    <xf numFmtId="0" fontId="160" fillId="0" borderId="0"/>
    <xf numFmtId="0" fontId="160" fillId="0" borderId="0"/>
    <xf numFmtId="0" fontId="160" fillId="0" borderId="0"/>
    <xf numFmtId="0" fontId="160" fillId="0" borderId="0"/>
    <xf numFmtId="0" fontId="160" fillId="0" borderId="0"/>
    <xf numFmtId="0" fontId="160" fillId="0" borderId="0"/>
    <xf numFmtId="0" fontId="160" fillId="0" borderId="0"/>
    <xf numFmtId="0" fontId="160" fillId="0" borderId="0"/>
    <xf numFmtId="0" fontId="160" fillId="0" borderId="0"/>
    <xf numFmtId="0" fontId="160" fillId="0" borderId="0"/>
    <xf numFmtId="0" fontId="160" fillId="0" borderId="0">
      <alignment vertical="center"/>
    </xf>
    <xf numFmtId="0" fontId="160" fillId="0" borderId="0">
      <alignment vertical="center"/>
    </xf>
    <xf numFmtId="0" fontId="160" fillId="0" borderId="0">
      <alignment vertical="center"/>
    </xf>
    <xf numFmtId="0" fontId="160" fillId="0" borderId="0">
      <alignment vertical="center"/>
    </xf>
    <xf numFmtId="202" fontId="160" fillId="0" borderId="0" applyFont="0" applyFill="0" applyBorder="0" applyAlignment="0" applyProtection="0">
      <alignment vertical="center"/>
    </xf>
    <xf numFmtId="0" fontId="160" fillId="0" borderId="0"/>
    <xf numFmtId="0" fontId="160" fillId="0" borderId="0"/>
    <xf numFmtId="0" fontId="160" fillId="0" borderId="0"/>
    <xf numFmtId="0" fontId="160" fillId="0" borderId="0"/>
    <xf numFmtId="0" fontId="160" fillId="0" borderId="0"/>
    <xf numFmtId="0" fontId="160" fillId="0" borderId="0"/>
    <xf numFmtId="0" fontId="160" fillId="0" borderId="0"/>
    <xf numFmtId="0" fontId="160" fillId="0" borderId="0"/>
    <xf numFmtId="0" fontId="160" fillId="0" borderId="0"/>
    <xf numFmtId="0" fontId="160" fillId="0" borderId="0"/>
    <xf numFmtId="0" fontId="160" fillId="0" borderId="0"/>
    <xf numFmtId="0" fontId="160" fillId="0" borderId="0"/>
    <xf numFmtId="0" fontId="160" fillId="0" borderId="0"/>
    <xf numFmtId="0" fontId="160" fillId="0" borderId="0"/>
    <xf numFmtId="0" fontId="160" fillId="0" borderId="0"/>
    <xf numFmtId="0" fontId="160" fillId="0" borderId="0"/>
    <xf numFmtId="0" fontId="160" fillId="0" borderId="0">
      <alignment vertical="center"/>
    </xf>
    <xf numFmtId="202" fontId="160" fillId="0" borderId="0" applyFont="0" applyFill="0" applyBorder="0" applyAlignment="0" applyProtection="0">
      <alignment vertical="center"/>
    </xf>
    <xf numFmtId="0" fontId="160" fillId="0" borderId="0"/>
    <xf numFmtId="0" fontId="1" fillId="0" borderId="0"/>
    <xf numFmtId="43" fontId="1" fillId="0" borderId="0" applyFont="0" applyFill="0" applyBorder="0" applyAlignment="0" applyProtection="0"/>
    <xf numFmtId="0" fontId="160" fillId="0" borderId="0"/>
    <xf numFmtId="43" fontId="160" fillId="0" borderId="0" applyFont="0" applyFill="0" applyBorder="0" applyAlignment="0" applyProtection="0"/>
    <xf numFmtId="41" fontId="160" fillId="0" borderId="0" applyFont="0" applyFill="0" applyBorder="0" applyAlignment="0" applyProtection="0">
      <alignment vertical="center"/>
    </xf>
    <xf numFmtId="0" fontId="160" fillId="0" borderId="0"/>
    <xf numFmtId="41" fontId="160" fillId="0" borderId="0" applyFont="0" applyFill="0" applyBorder="0" applyAlignment="0" applyProtection="0">
      <alignment vertical="center"/>
    </xf>
    <xf numFmtId="0" fontId="160" fillId="0" borderId="0"/>
    <xf numFmtId="0" fontId="160" fillId="0" borderId="0"/>
    <xf numFmtId="0" fontId="160" fillId="0" borderId="0">
      <alignment vertical="center"/>
    </xf>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1" fontId="1" fillId="0" borderId="0" applyFont="0" applyFill="0" applyBorder="0" applyAlignment="0" applyProtection="0"/>
    <xf numFmtId="0" fontId="162" fillId="0" borderId="0"/>
    <xf numFmtId="0" fontId="1" fillId="0" borderId="0"/>
    <xf numFmtId="43" fontId="1" fillId="0" borderId="0" applyFont="0" applyFill="0" applyBorder="0" applyAlignment="0" applyProtection="0"/>
    <xf numFmtId="0" fontId="162" fillId="0" borderId="0"/>
    <xf numFmtId="0" fontId="162" fillId="0" borderId="0"/>
    <xf numFmtId="0" fontId="162" fillId="0" borderId="0"/>
    <xf numFmtId="202" fontId="160" fillId="0" borderId="0" applyFont="0" applyFill="0" applyBorder="0" applyAlignment="0" applyProtection="0">
      <alignment vertical="center"/>
    </xf>
    <xf numFmtId="0" fontId="160" fillId="0" borderId="0"/>
    <xf numFmtId="0" fontId="160" fillId="0" borderId="0"/>
    <xf numFmtId="202" fontId="160" fillId="0" borderId="0" applyFont="0" applyFill="0" applyBorder="0" applyAlignment="0" applyProtection="0">
      <alignment vertical="center"/>
    </xf>
    <xf numFmtId="202" fontId="160" fillId="0" borderId="0" applyFont="0" applyFill="0" applyBorder="0" applyAlignment="0" applyProtection="0">
      <alignment vertical="center"/>
    </xf>
    <xf numFmtId="0" fontId="160" fillId="0" borderId="0"/>
    <xf numFmtId="9" fontId="1" fillId="0" borderId="0" applyFont="0" applyFill="0" applyBorder="0" applyAlignment="0" applyProtection="0"/>
  </cellStyleXfs>
  <cellXfs count="3949">
    <xf numFmtId="0" fontId="0" fillId="0" borderId="0" xfId="0"/>
    <xf numFmtId="0" fontId="3" fillId="2" borderId="0" xfId="0" applyFont="1" applyFill="1"/>
    <xf numFmtId="164" fontId="3" fillId="2" borderId="0" xfId="0" applyNumberFormat="1" applyFont="1" applyFill="1"/>
    <xf numFmtId="0" fontId="4" fillId="2" borderId="0" xfId="0" applyFont="1" applyFill="1" applyAlignment="1">
      <alignment horizontal="left" vertical="center"/>
    </xf>
    <xf numFmtId="165" fontId="7" fillId="2" borderId="1" xfId="0" applyNumberFormat="1" applyFont="1" applyFill="1" applyBorder="1" applyAlignment="1">
      <alignment horizontal="center" vertical="center"/>
    </xf>
    <xf numFmtId="164" fontId="8" fillId="2" borderId="0" xfId="0" applyNumberFormat="1" applyFont="1" applyFill="1"/>
    <xf numFmtId="0" fontId="4" fillId="2" borderId="0" xfId="0" applyFont="1" applyFill="1" applyAlignment="1">
      <alignment vertical="center"/>
    </xf>
    <xf numFmtId="166" fontId="6" fillId="0" borderId="1" xfId="3" applyNumberFormat="1" applyFont="1" applyFill="1" applyBorder="1" applyAlignment="1">
      <alignment horizontal="center" vertical="center"/>
    </xf>
    <xf numFmtId="166" fontId="6" fillId="2" borderId="1" xfId="3" applyNumberFormat="1" applyFont="1" applyFill="1" applyBorder="1" applyAlignment="1">
      <alignment horizontal="center" vertical="center"/>
    </xf>
    <xf numFmtId="0" fontId="3" fillId="4" borderId="0" xfId="0" applyFont="1" applyFill="1"/>
    <xf numFmtId="164" fontId="3" fillId="4" borderId="0" xfId="0" applyNumberFormat="1" applyFont="1" applyFill="1"/>
    <xf numFmtId="0" fontId="10" fillId="0" borderId="0" xfId="4" applyFont="1" applyAlignment="1">
      <alignment horizontal="center"/>
    </xf>
    <xf numFmtId="167" fontId="10" fillId="0" borderId="0" xfId="5" applyNumberFormat="1" applyFont="1"/>
    <xf numFmtId="2" fontId="10" fillId="0" borderId="0" xfId="4" applyNumberFormat="1" applyFont="1"/>
    <xf numFmtId="2" fontId="11" fillId="0" borderId="0" xfId="4" applyNumberFormat="1" applyFont="1"/>
    <xf numFmtId="0" fontId="10" fillId="0" borderId="0" xfId="4" applyFont="1"/>
    <xf numFmtId="49" fontId="10" fillId="0" borderId="0" xfId="6" applyNumberFormat="1" applyFont="1" applyFill="1" applyBorder="1" applyAlignment="1">
      <alignment horizontal="left"/>
    </xf>
    <xf numFmtId="2" fontId="10" fillId="0" borderId="0" xfId="4" applyNumberFormat="1" applyFont="1" applyAlignment="1">
      <alignment horizontal="center"/>
    </xf>
    <xf numFmtId="0" fontId="10" fillId="0" borderId="0" xfId="4" applyFont="1" applyAlignment="1">
      <alignment horizontal="left"/>
    </xf>
    <xf numFmtId="0" fontId="12" fillId="0" borderId="0" xfId="4" applyFont="1" applyAlignment="1">
      <alignment vertical="center"/>
    </xf>
    <xf numFmtId="0" fontId="11" fillId="0" borderId="0" xfId="4" applyFont="1"/>
    <xf numFmtId="0" fontId="11" fillId="0" borderId="0" xfId="4" applyFont="1" applyAlignment="1">
      <alignment vertical="center"/>
    </xf>
    <xf numFmtId="0" fontId="10" fillId="0" borderId="0" xfId="4" applyFont="1" applyAlignment="1">
      <alignment vertical="center"/>
    </xf>
    <xf numFmtId="168" fontId="10" fillId="0" borderId="0" xfId="4" applyNumberFormat="1" applyFont="1"/>
    <xf numFmtId="4" fontId="10" fillId="0" borderId="0" xfId="4" applyNumberFormat="1" applyFont="1"/>
    <xf numFmtId="2" fontId="10" fillId="0" borderId="0" xfId="4" applyNumberFormat="1" applyFont="1" applyAlignment="1">
      <alignment vertical="center"/>
    </xf>
    <xf numFmtId="2" fontId="11" fillId="0" borderId="0" xfId="4" applyNumberFormat="1" applyFont="1" applyAlignment="1">
      <alignment vertical="center"/>
    </xf>
    <xf numFmtId="0" fontId="11" fillId="0" borderId="0" xfId="4" applyFont="1" applyAlignment="1">
      <alignment horizontal="center"/>
    </xf>
    <xf numFmtId="167" fontId="10" fillId="0" borderId="0" xfId="5" applyNumberFormat="1" applyFont="1" applyFill="1" applyBorder="1"/>
    <xf numFmtId="0" fontId="4" fillId="4" borderId="0" xfId="0" applyFont="1" applyFill="1"/>
    <xf numFmtId="0" fontId="16" fillId="4" borderId="0" xfId="0" applyFont="1" applyFill="1"/>
    <xf numFmtId="0" fontId="4" fillId="4" borderId="0" xfId="0" applyFont="1" applyFill="1" applyAlignment="1">
      <alignment vertical="center"/>
    </xf>
    <xf numFmtId="168" fontId="16" fillId="4" borderId="0" xfId="0" applyNumberFormat="1" applyFont="1" applyFill="1" applyAlignment="1">
      <alignment horizontal="left" vertical="center"/>
    </xf>
    <xf numFmtId="0" fontId="18" fillId="5" borderId="0" xfId="4" applyFont="1" applyFill="1" applyAlignment="1">
      <alignment horizontal="left" vertical="center"/>
    </xf>
    <xf numFmtId="0" fontId="18" fillId="5" borderId="0" xfId="4" applyFont="1" applyFill="1" applyAlignment="1">
      <alignment horizontal="center" vertical="center"/>
    </xf>
    <xf numFmtId="0" fontId="18" fillId="5" borderId="0" xfId="4" applyFont="1" applyFill="1" applyAlignment="1">
      <alignment vertical="center"/>
    </xf>
    <xf numFmtId="2" fontId="18" fillId="5" borderId="0" xfId="4" applyNumberFormat="1" applyFont="1" applyFill="1" applyAlignment="1">
      <alignment vertical="center"/>
    </xf>
    <xf numFmtId="0" fontId="20" fillId="0" borderId="0" xfId="4" applyFont="1" applyAlignment="1">
      <alignment vertical="center"/>
    </xf>
    <xf numFmtId="0" fontId="10" fillId="0" borderId="0" xfId="0" applyFont="1"/>
    <xf numFmtId="0" fontId="21" fillId="0" borderId="0" xfId="0" applyFont="1" applyAlignment="1">
      <alignment vertical="center"/>
    </xf>
    <xf numFmtId="174" fontId="23" fillId="0" borderId="0" xfId="7" applyFont="1" applyAlignment="1">
      <alignment horizontal="center"/>
    </xf>
    <xf numFmtId="0" fontId="11" fillId="0" borderId="0" xfId="0" applyFont="1" applyAlignment="1">
      <alignment horizontal="center"/>
    </xf>
    <xf numFmtId="0" fontId="11" fillId="0" borderId="0" xfId="0" applyFont="1"/>
    <xf numFmtId="0" fontId="25" fillId="0" borderId="0" xfId="0" applyFont="1"/>
    <xf numFmtId="0" fontId="13" fillId="0" borderId="0" xfId="0" applyFont="1"/>
    <xf numFmtId="0" fontId="14" fillId="0" borderId="0" xfId="0" applyFont="1"/>
    <xf numFmtId="0" fontId="26" fillId="0" borderId="0" xfId="0" applyFont="1" applyAlignment="1">
      <alignment horizontal="center"/>
    </xf>
    <xf numFmtId="49" fontId="25" fillId="0" borderId="0" xfId="8" applyNumberFormat="1" applyFont="1" applyFill="1" applyBorder="1" applyAlignment="1" applyProtection="1">
      <alignment horizontal="left"/>
    </xf>
    <xf numFmtId="0" fontId="25" fillId="0" borderId="0" xfId="0" applyFont="1" applyAlignment="1">
      <alignment horizontal="center"/>
    </xf>
    <xf numFmtId="0" fontId="27" fillId="0" borderId="0" xfId="0" applyFont="1" applyAlignment="1">
      <alignment vertical="center"/>
    </xf>
    <xf numFmtId="0" fontId="26" fillId="0" borderId="0" xfId="0" applyFont="1"/>
    <xf numFmtId="0" fontId="26" fillId="0" borderId="0" xfId="0" applyFont="1" applyAlignment="1">
      <alignment horizontal="left"/>
    </xf>
    <xf numFmtId="168" fontId="25" fillId="0" borderId="0" xfId="0" applyNumberFormat="1" applyFont="1"/>
    <xf numFmtId="0" fontId="25" fillId="0" borderId="0" xfId="0" applyFont="1" applyAlignment="1">
      <alignment horizontal="left"/>
    </xf>
    <xf numFmtId="0" fontId="25" fillId="0" borderId="0" xfId="0" applyFont="1" applyAlignment="1">
      <alignment horizontal="right"/>
    </xf>
    <xf numFmtId="49" fontId="25" fillId="0" borderId="0" xfId="0" applyNumberFormat="1" applyFont="1" applyAlignment="1">
      <alignment horizontal="right"/>
    </xf>
    <xf numFmtId="49" fontId="25" fillId="0" borderId="0" xfId="0" applyNumberFormat="1" applyFont="1" applyAlignment="1">
      <alignment horizontal="center"/>
    </xf>
    <xf numFmtId="49" fontId="25" fillId="0" borderId="0" xfId="0" applyNumberFormat="1" applyFont="1" applyAlignment="1">
      <alignment horizontal="left"/>
    </xf>
    <xf numFmtId="0" fontId="29" fillId="0" borderId="0" xfId="0" applyFont="1" applyAlignment="1">
      <alignment horizontal="right"/>
    </xf>
    <xf numFmtId="169" fontId="25" fillId="0" borderId="0" xfId="0" applyNumberFormat="1" applyFont="1"/>
    <xf numFmtId="0" fontId="30" fillId="0" borderId="0" xfId="7" applyNumberFormat="1" applyFont="1" applyAlignment="1">
      <alignment horizontal="center" vertical="center"/>
    </xf>
    <xf numFmtId="174" fontId="31" fillId="0" borderId="0" xfId="7" applyFont="1" applyAlignment="1">
      <alignment horizontal="center"/>
    </xf>
    <xf numFmtId="0" fontId="32" fillId="0" borderId="0" xfId="0" applyFont="1" applyAlignment="1">
      <alignment horizontal="center" vertical="center"/>
    </xf>
    <xf numFmtId="0" fontId="26" fillId="0" borderId="0" xfId="0" applyFont="1" applyAlignment="1">
      <alignment horizontal="center" vertical="center"/>
    </xf>
    <xf numFmtId="0" fontId="26" fillId="0" borderId="0" xfId="0" applyFont="1" applyAlignment="1">
      <alignment vertical="center"/>
    </xf>
    <xf numFmtId="176" fontId="25" fillId="0" borderId="0" xfId="7" applyNumberFormat="1" applyFont="1" applyFill="1" applyBorder="1" applyAlignment="1" applyProtection="1"/>
    <xf numFmtId="176" fontId="25" fillId="0" borderId="0" xfId="7" applyNumberFormat="1" applyFont="1" applyFill="1" applyBorder="1" applyAlignment="1" applyProtection="1">
      <alignment horizontal="center"/>
    </xf>
    <xf numFmtId="41" fontId="9" fillId="0" borderId="0" xfId="2" applyFont="1"/>
    <xf numFmtId="177" fontId="25" fillId="0" borderId="0" xfId="0" applyNumberFormat="1" applyFont="1"/>
    <xf numFmtId="49" fontId="29" fillId="0" borderId="0" xfId="0" applyNumberFormat="1" applyFont="1"/>
    <xf numFmtId="41" fontId="33" fillId="0" borderId="0" xfId="2" applyFont="1"/>
    <xf numFmtId="0" fontId="35" fillId="0" borderId="0" xfId="0" applyFont="1"/>
    <xf numFmtId="41" fontId="9" fillId="0" borderId="0" xfId="2" applyFont="1" applyFill="1"/>
    <xf numFmtId="0" fontId="36" fillId="0" borderId="0" xfId="0" applyFont="1" applyAlignment="1">
      <alignment horizontal="center"/>
    </xf>
    <xf numFmtId="177" fontId="36" fillId="0" borderId="0" xfId="0" applyNumberFormat="1" applyFont="1"/>
    <xf numFmtId="0" fontId="36" fillId="0" borderId="0" xfId="0" applyFont="1"/>
    <xf numFmtId="49" fontId="36" fillId="0" borderId="0" xfId="0" applyNumberFormat="1" applyFont="1" applyAlignment="1">
      <alignment horizontal="center"/>
    </xf>
    <xf numFmtId="0" fontId="37" fillId="0" borderId="0" xfId="0" applyFont="1"/>
    <xf numFmtId="49" fontId="36" fillId="0" borderId="0" xfId="0" applyNumberFormat="1" applyFont="1"/>
    <xf numFmtId="49" fontId="38" fillId="0" borderId="0" xfId="0" applyNumberFormat="1" applyFont="1" applyAlignment="1">
      <alignment horizontal="right"/>
    </xf>
    <xf numFmtId="49" fontId="15" fillId="0" borderId="0" xfId="0" applyNumberFormat="1" applyFont="1" applyAlignment="1">
      <alignment horizontal="right"/>
    </xf>
    <xf numFmtId="49" fontId="37" fillId="0" borderId="0" xfId="0" applyNumberFormat="1" applyFont="1"/>
    <xf numFmtId="0" fontId="15" fillId="0" borderId="0" xfId="0" applyFont="1" applyAlignment="1">
      <alignment horizontal="right"/>
    </xf>
    <xf numFmtId="0" fontId="39" fillId="0" borderId="0" xfId="0" applyFont="1" applyAlignment="1">
      <alignment horizontal="left" vertical="center"/>
    </xf>
    <xf numFmtId="0" fontId="25" fillId="0" borderId="0" xfId="0" applyFont="1" applyAlignment="1">
      <alignment horizontal="left" vertical="center"/>
    </xf>
    <xf numFmtId="177" fontId="25" fillId="0" borderId="0" xfId="0" applyNumberFormat="1" applyFont="1" applyAlignment="1">
      <alignment vertical="center"/>
    </xf>
    <xf numFmtId="0" fontId="25" fillId="0" borderId="0" xfId="0" applyFont="1" applyAlignment="1">
      <alignment horizontal="center" vertical="center"/>
    </xf>
    <xf numFmtId="0" fontId="29" fillId="0" borderId="0" xfId="0" applyFont="1" applyAlignment="1">
      <alignment horizontal="right" vertical="center"/>
    </xf>
    <xf numFmtId="0" fontId="28" fillId="0" borderId="0" xfId="0" applyFont="1" applyAlignment="1">
      <alignment horizontal="right" vertical="center"/>
    </xf>
    <xf numFmtId="49" fontId="40" fillId="0" borderId="0" xfId="0" applyNumberFormat="1" applyFont="1" applyAlignment="1">
      <alignment horizontal="right"/>
    </xf>
    <xf numFmtId="177" fontId="26" fillId="7" borderId="5" xfId="0" quotePrefix="1" applyNumberFormat="1" applyFont="1" applyFill="1" applyBorder="1" applyAlignment="1">
      <alignment horizontal="center" vertical="center"/>
    </xf>
    <xf numFmtId="0" fontId="26" fillId="7" borderId="5" xfId="0" applyFont="1" applyFill="1" applyBorder="1" applyAlignment="1">
      <alignment horizontal="center" vertical="center"/>
    </xf>
    <xf numFmtId="177" fontId="26" fillId="7" borderId="6" xfId="0" quotePrefix="1" applyNumberFormat="1" applyFont="1" applyFill="1" applyBorder="1" applyAlignment="1">
      <alignment horizontal="center" vertical="center"/>
    </xf>
    <xf numFmtId="168" fontId="28" fillId="7" borderId="11" xfId="0" quotePrefix="1" applyNumberFormat="1" applyFont="1" applyFill="1" applyBorder="1" applyAlignment="1">
      <alignment horizontal="center" vertical="center"/>
    </xf>
    <xf numFmtId="0" fontId="28" fillId="7" borderId="12" xfId="0" applyFont="1" applyFill="1" applyBorder="1" applyAlignment="1">
      <alignment horizontal="center" vertical="center"/>
    </xf>
    <xf numFmtId="168" fontId="28" fillId="7" borderId="12" xfId="0" quotePrefix="1" applyNumberFormat="1" applyFont="1" applyFill="1" applyBorder="1" applyAlignment="1">
      <alignment horizontal="center" vertical="center"/>
    </xf>
    <xf numFmtId="41" fontId="9" fillId="0" borderId="0" xfId="2" applyFont="1" applyBorder="1"/>
    <xf numFmtId="0" fontId="26" fillId="0" borderId="15" xfId="0" applyFont="1" applyBorder="1" applyAlignment="1">
      <alignment horizontal="center" vertical="center"/>
    </xf>
    <xf numFmtId="0" fontId="26" fillId="0" borderId="16" xfId="0" applyFont="1" applyBorder="1" applyAlignment="1">
      <alignment horizontal="left" vertical="center"/>
    </xf>
    <xf numFmtId="0" fontId="26" fillId="0" borderId="16" xfId="0" applyFont="1" applyBorder="1" applyAlignment="1">
      <alignment horizontal="center" vertical="center"/>
    </xf>
    <xf numFmtId="177" fontId="26" fillId="0" borderId="17" xfId="0" applyNumberFormat="1" applyFont="1" applyBorder="1" applyAlignment="1">
      <alignment vertical="center"/>
    </xf>
    <xf numFmtId="0" fontId="26" fillId="0" borderId="18" xfId="0" applyFont="1" applyBorder="1" applyAlignment="1">
      <alignment vertical="center"/>
    </xf>
    <xf numFmtId="0" fontId="28" fillId="0" borderId="18" xfId="0" applyFont="1" applyBorder="1" applyAlignment="1">
      <alignment horizontal="right" vertical="center"/>
    </xf>
    <xf numFmtId="0" fontId="28" fillId="0" borderId="19" xfId="0" applyFont="1" applyBorder="1" applyAlignment="1">
      <alignment horizontal="right" vertical="center"/>
    </xf>
    <xf numFmtId="49" fontId="29" fillId="0" borderId="20" xfId="0" applyNumberFormat="1" applyFont="1" applyBorder="1"/>
    <xf numFmtId="177" fontId="37" fillId="0" borderId="21" xfId="0" applyNumberFormat="1" applyFont="1" applyBorder="1" applyAlignment="1">
      <alignment vertical="center"/>
    </xf>
    <xf numFmtId="0" fontId="25" fillId="0" borderId="22" xfId="0" applyFont="1" applyBorder="1" applyAlignment="1">
      <alignment horizontal="center"/>
    </xf>
    <xf numFmtId="176" fontId="26" fillId="0" borderId="21" xfId="0" applyNumberFormat="1" applyFont="1" applyBorder="1" applyAlignment="1">
      <alignment vertical="center"/>
    </xf>
    <xf numFmtId="0" fontId="28" fillId="0" borderId="21" xfId="0" applyFont="1" applyBorder="1" applyAlignment="1">
      <alignment horizontal="right" vertical="center"/>
    </xf>
    <xf numFmtId="0" fontId="25" fillId="0" borderId="16" xfId="0" applyFont="1" applyBorder="1" applyAlignment="1">
      <alignment horizontal="left" vertical="center"/>
    </xf>
    <xf numFmtId="177" fontId="25" fillId="0" borderId="21" xfId="0" applyNumberFormat="1" applyFont="1" applyBorder="1" applyAlignment="1">
      <alignment vertical="center"/>
    </xf>
    <xf numFmtId="0" fontId="29" fillId="0" borderId="21" xfId="0" applyFont="1" applyBorder="1" applyAlignment="1">
      <alignment horizontal="right" vertical="center"/>
    </xf>
    <xf numFmtId="43" fontId="25" fillId="0" borderId="0" xfId="1" applyFont="1"/>
    <xf numFmtId="177" fontId="25" fillId="0" borderId="21" xfId="0" applyNumberFormat="1" applyFont="1" applyBorder="1"/>
    <xf numFmtId="49" fontId="28" fillId="0" borderId="20" xfId="0" applyNumberFormat="1" applyFont="1" applyBorder="1"/>
    <xf numFmtId="177" fontId="25" fillId="0" borderId="23" xfId="0" applyNumberFormat="1" applyFont="1" applyBorder="1"/>
    <xf numFmtId="0" fontId="25" fillId="0" borderId="24" xfId="0" applyFont="1" applyBorder="1" applyAlignment="1">
      <alignment horizontal="center"/>
    </xf>
    <xf numFmtId="41" fontId="9" fillId="0" borderId="0" xfId="2" applyFont="1" applyBorder="1" applyAlignment="1">
      <alignment vertical="center"/>
    </xf>
    <xf numFmtId="177" fontId="26" fillId="0" borderId="21" xfId="0" applyNumberFormat="1" applyFont="1" applyBorder="1" applyAlignment="1">
      <alignment vertical="center"/>
    </xf>
    <xf numFmtId="0" fontId="25" fillId="0" borderId="22" xfId="0" applyFont="1" applyBorder="1" applyAlignment="1">
      <alignment horizontal="center" vertical="center"/>
    </xf>
    <xf numFmtId="49" fontId="28" fillId="0" borderId="20" xfId="0" applyNumberFormat="1" applyFont="1" applyBorder="1" applyAlignment="1">
      <alignment vertical="center"/>
    </xf>
    <xf numFmtId="172" fontId="25" fillId="0" borderId="0" xfId="0" applyNumberFormat="1" applyFont="1"/>
    <xf numFmtId="0" fontId="26" fillId="0" borderId="25" xfId="0" applyFont="1" applyBorder="1" applyAlignment="1">
      <alignment horizontal="center" vertical="center"/>
    </xf>
    <xf numFmtId="0" fontId="26" fillId="0" borderId="26" xfId="0" applyFont="1" applyBorder="1" applyAlignment="1">
      <alignment horizontal="left" vertical="center"/>
    </xf>
    <xf numFmtId="0" fontId="26" fillId="0" borderId="27" xfId="0" applyFont="1" applyBorder="1" applyAlignment="1">
      <alignment horizontal="left" vertical="center"/>
    </xf>
    <xf numFmtId="177" fontId="26" fillId="0" borderId="28" xfId="0" applyNumberFormat="1" applyFont="1" applyBorder="1" applyAlignment="1">
      <alignment vertical="center"/>
    </xf>
    <xf numFmtId="0" fontId="28" fillId="0" borderId="28" xfId="0" applyFont="1" applyBorder="1" applyAlignment="1">
      <alignment horizontal="right" vertical="center"/>
    </xf>
    <xf numFmtId="0" fontId="28" fillId="0" borderId="26" xfId="0" applyFont="1" applyBorder="1" applyAlignment="1">
      <alignment horizontal="right" vertical="center"/>
    </xf>
    <xf numFmtId="49" fontId="29" fillId="0" borderId="29" xfId="0" applyNumberFormat="1" applyFont="1" applyBorder="1"/>
    <xf numFmtId="0" fontId="25" fillId="0" borderId="15" xfId="0" applyFont="1" applyBorder="1" applyAlignment="1">
      <alignment horizontal="center" vertical="center"/>
    </xf>
    <xf numFmtId="0" fontId="26" fillId="0" borderId="0" xfId="0" applyFont="1" applyAlignment="1">
      <alignment horizontal="left" vertical="center"/>
    </xf>
    <xf numFmtId="177" fontId="26" fillId="0" borderId="21" xfId="0" applyNumberFormat="1" applyFont="1" applyBorder="1"/>
    <xf numFmtId="0" fontId="10" fillId="0" borderId="0" xfId="0" applyFont="1" applyAlignment="1">
      <alignment horizontal="left" vertical="center"/>
    </xf>
    <xf numFmtId="177" fontId="25" fillId="0" borderId="30" xfId="0" applyNumberFormat="1" applyFont="1" applyBorder="1"/>
    <xf numFmtId="177" fontId="25" fillId="0" borderId="31" xfId="0" applyNumberFormat="1" applyFont="1" applyBorder="1"/>
    <xf numFmtId="0" fontId="25" fillId="0" borderId="32" xfId="0" applyFont="1" applyBorder="1" applyAlignment="1">
      <alignment horizontal="center"/>
    </xf>
    <xf numFmtId="177" fontId="25" fillId="0" borderId="17" xfId="0" applyNumberFormat="1" applyFont="1" applyBorder="1" applyAlignment="1">
      <alignment vertical="center"/>
    </xf>
    <xf numFmtId="177" fontId="26" fillId="7" borderId="33" xfId="0" applyNumberFormat="1" applyFont="1" applyFill="1" applyBorder="1" applyAlignment="1">
      <alignment vertical="center"/>
    </xf>
    <xf numFmtId="0" fontId="25" fillId="7" borderId="34" xfId="0" applyFont="1" applyFill="1" applyBorder="1" applyAlignment="1">
      <alignment horizontal="center" vertical="center"/>
    </xf>
    <xf numFmtId="177" fontId="26" fillId="7" borderId="35" xfId="0" applyNumberFormat="1" applyFont="1" applyFill="1" applyBorder="1" applyAlignment="1">
      <alignment vertical="center"/>
    </xf>
    <xf numFmtId="177" fontId="26" fillId="0" borderId="17" xfId="0" applyNumberFormat="1" applyFont="1" applyBorder="1"/>
    <xf numFmtId="177" fontId="25" fillId="0" borderId="23" xfId="0" applyNumberFormat="1" applyFont="1" applyBorder="1" applyAlignment="1">
      <alignment vertical="center"/>
    </xf>
    <xf numFmtId="0" fontId="29" fillId="0" borderId="0" xfId="0" applyFont="1" applyAlignment="1">
      <alignment vertical="center"/>
    </xf>
    <xf numFmtId="41" fontId="25" fillId="0" borderId="0" xfId="2" applyFont="1"/>
    <xf numFmtId="0" fontId="26" fillId="0" borderId="36" xfId="0" applyFont="1" applyBorder="1" applyAlignment="1">
      <alignment horizontal="center" vertical="center"/>
    </xf>
    <xf numFmtId="0" fontId="26" fillId="0" borderId="37" xfId="0" applyFont="1" applyBorder="1" applyAlignment="1">
      <alignment horizontal="left" vertical="center"/>
    </xf>
    <xf numFmtId="177" fontId="26" fillId="0" borderId="35" xfId="0" applyNumberFormat="1" applyFont="1" applyBorder="1" applyAlignment="1">
      <alignment vertical="center"/>
    </xf>
    <xf numFmtId="0" fontId="28" fillId="0" borderId="35" xfId="0" applyFont="1" applyBorder="1" applyAlignment="1">
      <alignment horizontal="right" vertical="center"/>
    </xf>
    <xf numFmtId="0" fontId="28" fillId="0" borderId="37" xfId="0" applyFont="1" applyBorder="1" applyAlignment="1">
      <alignment horizontal="right" vertical="center"/>
    </xf>
    <xf numFmtId="49" fontId="29" fillId="0" borderId="38" xfId="0" applyNumberFormat="1" applyFont="1" applyBorder="1"/>
    <xf numFmtId="0" fontId="25" fillId="0" borderId="39" xfId="0" applyFont="1" applyBorder="1" applyAlignment="1">
      <alignment horizontal="center"/>
    </xf>
    <xf numFmtId="173" fontId="25" fillId="0" borderId="0" xfId="0" applyNumberFormat="1" applyFont="1"/>
    <xf numFmtId="177" fontId="25" fillId="0" borderId="0" xfId="0" applyNumberFormat="1" applyFont="1" applyAlignment="1">
      <alignment horizontal="left" vertical="center"/>
    </xf>
    <xf numFmtId="0" fontId="25" fillId="0" borderId="17" xfId="0" applyFont="1" applyBorder="1" applyAlignment="1">
      <alignment horizontal="center" vertical="center"/>
    </xf>
    <xf numFmtId="177" fontId="25" fillId="0" borderId="40" xfId="0" applyNumberFormat="1" applyFont="1" applyBorder="1" applyAlignment="1">
      <alignment vertical="center"/>
    </xf>
    <xf numFmtId="177" fontId="25" fillId="0" borderId="40" xfId="0" applyNumberFormat="1" applyFont="1" applyBorder="1"/>
    <xf numFmtId="0" fontId="26" fillId="0" borderId="17" xfId="0" applyFont="1" applyBorder="1" applyAlignment="1">
      <alignment horizontal="center" vertical="center"/>
    </xf>
    <xf numFmtId="177" fontId="26" fillId="0" borderId="28" xfId="0" applyNumberFormat="1" applyFont="1" applyBorder="1"/>
    <xf numFmtId="0" fontId="26" fillId="0" borderId="41" xfId="0" applyFont="1" applyBorder="1" applyAlignment="1">
      <alignment horizontal="center" vertical="center"/>
    </xf>
    <xf numFmtId="43" fontId="25" fillId="0" borderId="0" xfId="0" applyNumberFormat="1" applyFont="1"/>
    <xf numFmtId="0" fontId="26" fillId="7" borderId="42" xfId="0" applyFont="1" applyFill="1" applyBorder="1" applyAlignment="1">
      <alignment vertical="center"/>
    </xf>
    <xf numFmtId="0" fontId="26" fillId="7" borderId="43" xfId="0" applyFont="1" applyFill="1" applyBorder="1" applyAlignment="1">
      <alignment vertical="center"/>
    </xf>
    <xf numFmtId="177" fontId="26" fillId="7" borderId="44" xfId="0" applyNumberFormat="1" applyFont="1" applyFill="1" applyBorder="1" applyAlignment="1">
      <alignment vertical="center"/>
    </xf>
    <xf numFmtId="0" fontId="26" fillId="7" borderId="34" xfId="0" applyFont="1" applyFill="1" applyBorder="1" applyAlignment="1">
      <alignment horizontal="center" vertical="center"/>
    </xf>
    <xf numFmtId="0" fontId="28" fillId="7" borderId="44" xfId="0" applyFont="1" applyFill="1" applyBorder="1" applyAlignment="1">
      <alignment horizontal="right" vertical="center"/>
    </xf>
    <xf numFmtId="0" fontId="28" fillId="7" borderId="43" xfId="0" applyFont="1" applyFill="1" applyBorder="1" applyAlignment="1">
      <alignment horizontal="right" vertical="center"/>
    </xf>
    <xf numFmtId="49" fontId="29" fillId="7" borderId="45" xfId="0" applyNumberFormat="1" applyFont="1" applyFill="1" applyBorder="1"/>
    <xf numFmtId="41" fontId="41" fillId="0" borderId="0" xfId="2" applyFont="1" applyBorder="1"/>
    <xf numFmtId="0" fontId="27" fillId="0" borderId="0" xfId="0" applyFont="1" applyAlignment="1">
      <alignment horizontal="center" vertical="center"/>
    </xf>
    <xf numFmtId="0" fontId="27" fillId="0" borderId="0" xfId="0" applyFont="1" applyAlignment="1">
      <alignment horizontal="left" vertical="center"/>
    </xf>
    <xf numFmtId="177" fontId="42" fillId="0" borderId="0" xfId="0" applyNumberFormat="1" applyFont="1" applyAlignment="1">
      <alignment vertical="center"/>
    </xf>
    <xf numFmtId="180" fontId="42" fillId="0" borderId="0" xfId="0" applyNumberFormat="1" applyFont="1" applyAlignment="1">
      <alignment horizontal="center" vertical="center"/>
    </xf>
    <xf numFmtId="181" fontId="42" fillId="0" borderId="0" xfId="0" applyNumberFormat="1" applyFont="1" applyAlignment="1">
      <alignment vertical="center"/>
    </xf>
    <xf numFmtId="177" fontId="43" fillId="0" borderId="0" xfId="0" applyNumberFormat="1" applyFont="1" applyAlignment="1">
      <alignment horizontal="right" vertical="center"/>
    </xf>
    <xf numFmtId="0" fontId="43" fillId="0" borderId="0" xfId="0" applyFont="1" applyAlignment="1">
      <alignment horizontal="right" vertical="center"/>
    </xf>
    <xf numFmtId="49" fontId="43" fillId="0" borderId="0" xfId="0" applyNumberFormat="1" applyFont="1"/>
    <xf numFmtId="0" fontId="27" fillId="0" borderId="0" xfId="0" applyFont="1"/>
    <xf numFmtId="180" fontId="42" fillId="0" borderId="0" xfId="0" applyNumberFormat="1" applyFont="1" applyAlignment="1">
      <alignment vertical="center"/>
    </xf>
    <xf numFmtId="177" fontId="27" fillId="0" borderId="0" xfId="0" applyNumberFormat="1" applyFont="1" applyAlignment="1">
      <alignment vertical="center"/>
    </xf>
    <xf numFmtId="0" fontId="25" fillId="0" borderId="0" xfId="0" applyFont="1" applyAlignment="1">
      <alignment horizontal="right" vertical="center"/>
    </xf>
    <xf numFmtId="177" fontId="26" fillId="0" borderId="0" xfId="0" applyNumberFormat="1" applyFont="1" applyAlignment="1">
      <alignment vertical="center"/>
    </xf>
    <xf numFmtId="0" fontId="25" fillId="0" borderId="0" xfId="0" applyFont="1" applyAlignment="1">
      <alignment vertical="center"/>
    </xf>
    <xf numFmtId="41" fontId="33" fillId="0" borderId="0" xfId="2" applyFont="1" applyBorder="1"/>
    <xf numFmtId="0" fontId="45" fillId="6" borderId="0" xfId="0" applyFont="1" applyFill="1"/>
    <xf numFmtId="0" fontId="45" fillId="6" borderId="0" xfId="0" applyFont="1" applyFill="1" applyAlignment="1">
      <alignment horizontal="center"/>
    </xf>
    <xf numFmtId="0" fontId="46" fillId="6" borderId="0" xfId="0" applyFont="1" applyFill="1" applyAlignment="1">
      <alignment horizontal="right"/>
    </xf>
    <xf numFmtId="0" fontId="45" fillId="0" borderId="0" xfId="0" applyFont="1"/>
    <xf numFmtId="0" fontId="47" fillId="3" borderId="0" xfId="0" applyFont="1" applyFill="1" applyAlignment="1">
      <alignment horizontal="center" vertical="center"/>
    </xf>
    <xf numFmtId="177" fontId="47" fillId="3" borderId="0" xfId="0" applyNumberFormat="1" applyFont="1" applyFill="1" applyAlignment="1">
      <alignment vertical="center"/>
    </xf>
    <xf numFmtId="0" fontId="49" fillId="3" borderId="0" xfId="0" applyFont="1" applyFill="1" applyAlignment="1">
      <alignment horizontal="right" vertical="center"/>
    </xf>
    <xf numFmtId="0" fontId="42" fillId="0" borderId="0" xfId="0" applyFont="1" applyAlignment="1">
      <alignment horizontal="center" vertical="center"/>
    </xf>
    <xf numFmtId="0" fontId="27" fillId="3" borderId="0" xfId="0" applyFont="1" applyFill="1" applyAlignment="1">
      <alignment horizontal="center" vertical="center"/>
    </xf>
    <xf numFmtId="0" fontId="42" fillId="3" borderId="0" xfId="0" applyFont="1" applyFill="1" applyAlignment="1">
      <alignment horizontal="center" vertical="center"/>
    </xf>
    <xf numFmtId="4" fontId="42" fillId="9" borderId="0" xfId="0" applyNumberFormat="1" applyFont="1" applyFill="1"/>
    <xf numFmtId="41" fontId="41" fillId="0" borderId="0" xfId="2" applyFont="1"/>
    <xf numFmtId="0" fontId="27" fillId="0" borderId="0" xfId="0" applyFont="1" applyAlignment="1">
      <alignment horizontal="center"/>
    </xf>
    <xf numFmtId="4" fontId="26" fillId="0" borderId="0" xfId="0" applyNumberFormat="1" applyFont="1"/>
    <xf numFmtId="183" fontId="26" fillId="0" borderId="0" xfId="0" applyNumberFormat="1" applyFont="1"/>
    <xf numFmtId="171" fontId="25" fillId="0" borderId="0" xfId="0" applyNumberFormat="1" applyFont="1"/>
    <xf numFmtId="0" fontId="47" fillId="10" borderId="0" xfId="0" applyFont="1" applyFill="1" applyAlignment="1">
      <alignment horizontal="left" vertical="center"/>
    </xf>
    <xf numFmtId="177" fontId="48" fillId="10" borderId="0" xfId="0" applyNumberFormat="1" applyFont="1" applyFill="1" applyAlignment="1">
      <alignment vertical="center"/>
    </xf>
    <xf numFmtId="180" fontId="48" fillId="10" borderId="0" xfId="0" applyNumberFormat="1" applyFont="1" applyFill="1" applyAlignment="1">
      <alignment horizontal="center" vertical="center"/>
    </xf>
    <xf numFmtId="180" fontId="48" fillId="10" borderId="0" xfId="0" applyNumberFormat="1" applyFont="1" applyFill="1" applyAlignment="1">
      <alignment vertical="center"/>
    </xf>
    <xf numFmtId="0" fontId="49" fillId="10" borderId="0" xfId="0" applyFont="1" applyFill="1" applyAlignment="1">
      <alignment horizontal="right" vertical="center"/>
    </xf>
    <xf numFmtId="0" fontId="54" fillId="10" borderId="0" xfId="0" applyFont="1" applyFill="1" applyAlignment="1">
      <alignment horizontal="left" vertical="center"/>
    </xf>
    <xf numFmtId="0" fontId="56" fillId="10" borderId="0" xfId="0" applyFont="1" applyFill="1" applyAlignment="1">
      <alignment horizontal="right" vertical="center"/>
    </xf>
    <xf numFmtId="4" fontId="37" fillId="0" borderId="0" xfId="0" applyNumberFormat="1" applyFont="1" applyAlignment="1">
      <alignment horizontal="right"/>
    </xf>
    <xf numFmtId="3" fontId="37" fillId="0" borderId="0" xfId="0" applyNumberFormat="1" applyFont="1" applyAlignment="1">
      <alignment horizontal="center"/>
    </xf>
    <xf numFmtId="3" fontId="58" fillId="0" borderId="0" xfId="0" applyNumberFormat="1" applyFont="1" applyAlignment="1">
      <alignment horizontal="center"/>
    </xf>
    <xf numFmtId="0" fontId="38" fillId="0" borderId="0" xfId="0" applyFont="1" applyAlignment="1">
      <alignment horizontal="right"/>
    </xf>
    <xf numFmtId="2" fontId="37" fillId="0" borderId="0" xfId="0" applyNumberFormat="1" applyFont="1"/>
    <xf numFmtId="0" fontId="59" fillId="0" borderId="0" xfId="0" applyFont="1"/>
    <xf numFmtId="1" fontId="36" fillId="0" borderId="0" xfId="0" applyNumberFormat="1" applyFont="1"/>
    <xf numFmtId="0" fontId="36" fillId="0" borderId="0" xfId="0" applyFont="1" applyAlignment="1">
      <alignment horizontal="left" vertical="center"/>
    </xf>
    <xf numFmtId="4" fontId="25" fillId="0" borderId="0" xfId="0" applyNumberFormat="1" applyFont="1" applyAlignment="1">
      <alignment horizontal="right" vertical="center"/>
    </xf>
    <xf numFmtId="3" fontId="58" fillId="0" borderId="0" xfId="0" applyNumberFormat="1" applyFont="1" applyAlignment="1">
      <alignment horizontal="center" vertical="center"/>
    </xf>
    <xf numFmtId="3" fontId="58" fillId="0" borderId="0" xfId="0" applyNumberFormat="1" applyFont="1" applyAlignment="1">
      <alignment horizontal="right"/>
    </xf>
    <xf numFmtId="2" fontId="25" fillId="0" borderId="0" xfId="0" applyNumberFormat="1" applyFont="1"/>
    <xf numFmtId="49" fontId="25" fillId="0" borderId="0" xfId="0" applyNumberFormat="1" applyFont="1"/>
    <xf numFmtId="0" fontId="26" fillId="7" borderId="46" xfId="0" applyFont="1" applyFill="1" applyBorder="1" applyAlignment="1">
      <alignment horizontal="center" vertical="center"/>
    </xf>
    <xf numFmtId="0" fontId="26" fillId="7" borderId="48" xfId="0" applyFont="1" applyFill="1" applyBorder="1" applyAlignment="1">
      <alignment horizontal="center" vertical="center"/>
    </xf>
    <xf numFmtId="3" fontId="59" fillId="7" borderId="18" xfId="0" applyNumberFormat="1" applyFont="1" applyFill="1" applyBorder="1" applyAlignment="1">
      <alignment horizontal="center" vertical="center"/>
    </xf>
    <xf numFmtId="4" fontId="26" fillId="7" borderId="18" xfId="0" applyNumberFormat="1" applyFont="1" applyFill="1" applyBorder="1" applyAlignment="1">
      <alignment horizontal="center" vertical="center"/>
    </xf>
    <xf numFmtId="2" fontId="25" fillId="0" borderId="0" xfId="0" applyNumberFormat="1" applyFont="1" applyAlignment="1">
      <alignment horizontal="center" vertical="center"/>
    </xf>
    <xf numFmtId="49" fontId="25" fillId="0" borderId="0" xfId="0" applyNumberFormat="1" applyFont="1" applyAlignment="1">
      <alignment horizontal="center" vertical="center"/>
    </xf>
    <xf numFmtId="0" fontId="26" fillId="7" borderId="49" xfId="0" applyFont="1" applyFill="1" applyBorder="1" applyAlignment="1">
      <alignment horizontal="center" vertical="center"/>
    </xf>
    <xf numFmtId="0" fontId="28" fillId="7" borderId="11" xfId="0" applyFont="1" applyFill="1" applyBorder="1" applyAlignment="1">
      <alignment horizontal="center" vertical="center"/>
    </xf>
    <xf numFmtId="3" fontId="59" fillId="7" borderId="11" xfId="0" applyNumberFormat="1" applyFont="1" applyFill="1" applyBorder="1" applyAlignment="1">
      <alignment horizontal="center" vertical="center"/>
    </xf>
    <xf numFmtId="0" fontId="26" fillId="0" borderId="50" xfId="0" applyFont="1" applyBorder="1" applyAlignment="1">
      <alignment horizontal="center" vertical="center"/>
    </xf>
    <xf numFmtId="4" fontId="26" fillId="0" borderId="17" xfId="0" applyNumberFormat="1" applyFont="1" applyBorder="1" applyAlignment="1">
      <alignment horizontal="right" vertical="center"/>
    </xf>
    <xf numFmtId="3" fontId="58" fillId="0" borderId="21" xfId="0" applyNumberFormat="1" applyFont="1" applyBorder="1" applyAlignment="1">
      <alignment horizontal="center" vertical="center"/>
    </xf>
    <xf numFmtId="4" fontId="26" fillId="0" borderId="21" xfId="0" applyNumberFormat="1" applyFont="1" applyBorder="1" applyAlignment="1">
      <alignment horizontal="right" vertical="center"/>
    </xf>
    <xf numFmtId="0" fontId="28" fillId="0" borderId="51" xfId="0" applyFont="1" applyBorder="1" applyAlignment="1">
      <alignment horizontal="right" vertical="center"/>
    </xf>
    <xf numFmtId="177" fontId="25" fillId="0" borderId="17" xfId="0" applyNumberFormat="1" applyFont="1" applyBorder="1" applyAlignment="1">
      <alignment horizontal="right" vertical="center"/>
    </xf>
    <xf numFmtId="0" fontId="26" fillId="0" borderId="17" xfId="0" applyFont="1" applyBorder="1" applyAlignment="1">
      <alignment horizontal="left" vertical="center"/>
    </xf>
    <xf numFmtId="177" fontId="25" fillId="0" borderId="21" xfId="0" applyNumberFormat="1" applyFont="1" applyBorder="1" applyAlignment="1">
      <alignment horizontal="right" vertical="center"/>
    </xf>
    <xf numFmtId="0" fontId="29" fillId="0" borderId="51" xfId="0" applyFont="1" applyBorder="1" applyAlignment="1">
      <alignment horizontal="right" vertical="center"/>
    </xf>
    <xf numFmtId="0" fontId="29" fillId="0" borderId="0" xfId="0" applyFont="1" applyAlignment="1">
      <alignment horizontal="center" vertical="center"/>
    </xf>
    <xf numFmtId="177" fontId="60" fillId="0" borderId="0" xfId="0" applyNumberFormat="1" applyFont="1"/>
    <xf numFmtId="3" fontId="58" fillId="0" borderId="21" xfId="0" applyNumberFormat="1" applyFont="1" applyBorder="1" applyAlignment="1">
      <alignment vertical="center"/>
    </xf>
    <xf numFmtId="3" fontId="58" fillId="0" borderId="17" xfId="0" applyNumberFormat="1" applyFont="1" applyBorder="1" applyAlignment="1">
      <alignment horizontal="center" vertical="center"/>
    </xf>
    <xf numFmtId="177" fontId="25" fillId="0" borderId="52" xfId="0" applyNumberFormat="1" applyFont="1" applyBorder="1" applyAlignment="1">
      <alignment horizontal="right" vertical="center"/>
    </xf>
    <xf numFmtId="177" fontId="58" fillId="0" borderId="52" xfId="0" applyNumberFormat="1" applyFont="1" applyBorder="1" applyAlignment="1">
      <alignment horizontal="right" vertical="center"/>
    </xf>
    <xf numFmtId="177" fontId="58" fillId="0" borderId="52" xfId="0" applyNumberFormat="1" applyFont="1" applyBorder="1" applyAlignment="1">
      <alignment vertical="center"/>
    </xf>
    <xf numFmtId="3" fontId="58" fillId="0" borderId="52" xfId="0" applyNumberFormat="1" applyFont="1" applyBorder="1" applyAlignment="1">
      <alignment horizontal="center" vertical="center"/>
    </xf>
    <xf numFmtId="177" fontId="25" fillId="0" borderId="40" xfId="0" applyNumberFormat="1" applyFont="1" applyBorder="1" applyAlignment="1">
      <alignment horizontal="right" vertical="center"/>
    </xf>
    <xf numFmtId="3" fontId="58" fillId="0" borderId="40" xfId="0" applyNumberFormat="1" applyFont="1" applyBorder="1" applyAlignment="1">
      <alignment horizontal="center" vertical="center"/>
    </xf>
    <xf numFmtId="0" fontId="26" fillId="0" borderId="31" xfId="0" applyFont="1" applyBorder="1" applyAlignment="1">
      <alignment horizontal="left" vertical="center"/>
    </xf>
    <xf numFmtId="3" fontId="58" fillId="0" borderId="23" xfId="0" applyNumberFormat="1" applyFont="1" applyBorder="1" applyAlignment="1">
      <alignment horizontal="center" vertical="center"/>
    </xf>
    <xf numFmtId="3" fontId="58" fillId="0" borderId="23" xfId="0" applyNumberFormat="1" applyFont="1" applyBorder="1" applyAlignment="1">
      <alignment vertical="center"/>
    </xf>
    <xf numFmtId="177" fontId="26" fillId="0" borderId="17" xfId="0" applyNumberFormat="1" applyFont="1" applyBorder="1" applyAlignment="1">
      <alignment horizontal="right" vertical="center"/>
    </xf>
    <xf numFmtId="1" fontId="58" fillId="0" borderId="17" xfId="0" applyNumberFormat="1" applyFont="1" applyBorder="1" applyAlignment="1">
      <alignment horizontal="center" vertical="center"/>
    </xf>
    <xf numFmtId="184" fontId="58" fillId="0" borderId="17" xfId="0" applyNumberFormat="1" applyFont="1" applyBorder="1" applyAlignment="1">
      <alignment horizontal="right" vertical="center"/>
    </xf>
    <xf numFmtId="184" fontId="58" fillId="0" borderId="17" xfId="0" applyNumberFormat="1" applyFont="1" applyBorder="1" applyAlignment="1">
      <alignment vertical="center"/>
    </xf>
    <xf numFmtId="49" fontId="29" fillId="0" borderId="0" xfId="0" applyNumberFormat="1" applyFont="1" applyAlignment="1">
      <alignment horizontal="right" vertical="center"/>
    </xf>
    <xf numFmtId="177" fontId="25" fillId="0" borderId="17" xfId="0" applyNumberFormat="1" applyFont="1" applyBorder="1" applyAlignment="1">
      <alignment horizontal="left" vertical="center"/>
    </xf>
    <xf numFmtId="177" fontId="26" fillId="0" borderId="52" xfId="0" applyNumberFormat="1" applyFont="1" applyBorder="1" applyAlignment="1">
      <alignment horizontal="right" vertical="center"/>
    </xf>
    <xf numFmtId="1" fontId="58" fillId="0" borderId="52" xfId="0" applyNumberFormat="1" applyFont="1" applyBorder="1" applyAlignment="1">
      <alignment horizontal="center" vertical="center"/>
    </xf>
    <xf numFmtId="0" fontId="26" fillId="0" borderId="52" xfId="0" applyFont="1" applyBorder="1" applyAlignment="1">
      <alignment horizontal="left" vertical="center"/>
    </xf>
    <xf numFmtId="184" fontId="58" fillId="0" borderId="52" xfId="0" applyNumberFormat="1" applyFont="1" applyBorder="1" applyAlignment="1">
      <alignment horizontal="right" vertical="center"/>
    </xf>
    <xf numFmtId="184" fontId="58" fillId="0" borderId="52" xfId="0" applyNumberFormat="1" applyFont="1" applyBorder="1" applyAlignment="1">
      <alignment vertical="center"/>
    </xf>
    <xf numFmtId="4" fontId="25" fillId="0" borderId="16" xfId="0" applyNumberFormat="1" applyFont="1" applyBorder="1"/>
    <xf numFmtId="4" fontId="29" fillId="0" borderId="21" xfId="0" applyNumberFormat="1" applyFont="1" applyBorder="1" applyAlignment="1">
      <alignment horizontal="right"/>
    </xf>
    <xf numFmtId="0" fontId="29" fillId="0" borderId="53" xfId="0" applyFont="1" applyBorder="1" applyAlignment="1">
      <alignment horizontal="right" vertical="center"/>
    </xf>
    <xf numFmtId="0" fontId="25" fillId="0" borderId="54" xfId="0" applyFont="1" applyBorder="1" applyAlignment="1">
      <alignment horizontal="left" vertical="center"/>
    </xf>
    <xf numFmtId="0" fontId="25" fillId="0" borderId="55" xfId="0" applyFont="1" applyBorder="1" applyAlignment="1">
      <alignment horizontal="left" vertical="center"/>
    </xf>
    <xf numFmtId="177" fontId="25" fillId="0" borderId="11" xfId="0" applyNumberFormat="1" applyFont="1" applyBorder="1" applyAlignment="1">
      <alignment horizontal="right" vertical="center"/>
    </xf>
    <xf numFmtId="3" fontId="58" fillId="0" borderId="12" xfId="0" applyNumberFormat="1" applyFont="1" applyBorder="1" applyAlignment="1">
      <alignment horizontal="center" vertical="center"/>
    </xf>
    <xf numFmtId="0" fontId="26" fillId="0" borderId="11" xfId="0" applyFont="1" applyBorder="1" applyAlignment="1">
      <alignment horizontal="left" vertical="center"/>
    </xf>
    <xf numFmtId="3" fontId="58" fillId="0" borderId="12" xfId="0" applyNumberFormat="1" applyFont="1" applyBorder="1" applyAlignment="1">
      <alignment vertical="center"/>
    </xf>
    <xf numFmtId="177" fontId="25" fillId="0" borderId="12" xfId="0" applyNumberFormat="1" applyFont="1" applyBorder="1" applyAlignment="1">
      <alignment horizontal="right" vertical="center"/>
    </xf>
    <xf numFmtId="0" fontId="29" fillId="0" borderId="12" xfId="0" applyFont="1" applyBorder="1" applyAlignment="1">
      <alignment horizontal="right" vertical="center"/>
    </xf>
    <xf numFmtId="0" fontId="29" fillId="0" borderId="54" xfId="0" applyFont="1" applyBorder="1" applyAlignment="1">
      <alignment horizontal="right" vertical="center"/>
    </xf>
    <xf numFmtId="0" fontId="29" fillId="0" borderId="56" xfId="0" applyFont="1" applyBorder="1" applyAlignment="1">
      <alignment horizontal="right" vertical="center"/>
    </xf>
    <xf numFmtId="177" fontId="59" fillId="0" borderId="17" xfId="0" applyNumberFormat="1" applyFont="1" applyBorder="1" applyAlignment="1">
      <alignment horizontal="right" vertical="center"/>
    </xf>
    <xf numFmtId="177" fontId="59" fillId="0" borderId="17" xfId="0" applyNumberFormat="1" applyFont="1" applyBorder="1" applyAlignment="1">
      <alignment vertical="center"/>
    </xf>
    <xf numFmtId="3" fontId="59" fillId="0" borderId="21" xfId="0" applyNumberFormat="1" applyFont="1" applyBorder="1" applyAlignment="1">
      <alignment horizontal="center" vertical="center"/>
    </xf>
    <xf numFmtId="3" fontId="59" fillId="0" borderId="21" xfId="0" applyNumberFormat="1" applyFont="1" applyBorder="1" applyAlignment="1">
      <alignment vertical="center"/>
    </xf>
    <xf numFmtId="177" fontId="26" fillId="0" borderId="21" xfId="0" applyNumberFormat="1" applyFont="1" applyBorder="1" applyAlignment="1">
      <alignment horizontal="right" vertical="center"/>
    </xf>
    <xf numFmtId="0" fontId="26" fillId="0" borderId="40" xfId="0" applyFont="1" applyBorder="1" applyAlignment="1">
      <alignment horizontal="left" vertical="center"/>
    </xf>
    <xf numFmtId="0" fontId="26" fillId="0" borderId="51" xfId="0" applyFont="1" applyBorder="1"/>
    <xf numFmtId="0" fontId="26" fillId="11" borderId="46" xfId="0" applyFont="1" applyFill="1" applyBorder="1" applyAlignment="1">
      <alignment horizontal="center" vertical="center"/>
    </xf>
    <xf numFmtId="0" fontId="26" fillId="7" borderId="19" xfId="0" applyFont="1" applyFill="1" applyBorder="1" applyAlignment="1">
      <alignment horizontal="left" vertical="center"/>
    </xf>
    <xf numFmtId="0" fontId="26" fillId="7" borderId="57" xfId="0" applyFont="1" applyFill="1" applyBorder="1" applyAlignment="1">
      <alignment horizontal="left" vertical="center"/>
    </xf>
    <xf numFmtId="177" fontId="26" fillId="7" borderId="48" xfId="0" applyNumberFormat="1" applyFont="1" applyFill="1" applyBorder="1" applyAlignment="1">
      <alignment horizontal="right"/>
    </xf>
    <xf numFmtId="0" fontId="59" fillId="7" borderId="18" xfId="0" applyFont="1" applyFill="1" applyBorder="1" applyAlignment="1">
      <alignment horizontal="center"/>
    </xf>
    <xf numFmtId="0" fontId="26" fillId="7" borderId="48" xfId="0" applyFont="1" applyFill="1" applyBorder="1" applyAlignment="1">
      <alignment horizontal="left" vertical="center"/>
    </xf>
    <xf numFmtId="3" fontId="59" fillId="7" borderId="48" xfId="0" applyNumberFormat="1" applyFont="1" applyFill="1" applyBorder="1" applyAlignment="1">
      <alignment horizontal="center"/>
    </xf>
    <xf numFmtId="3" fontId="59" fillId="7" borderId="48" xfId="0" applyNumberFormat="1" applyFont="1" applyFill="1" applyBorder="1"/>
    <xf numFmtId="3" fontId="59" fillId="7" borderId="18" xfId="0" applyNumberFormat="1" applyFont="1" applyFill="1" applyBorder="1" applyAlignment="1">
      <alignment horizontal="center"/>
    </xf>
    <xf numFmtId="0" fontId="28" fillId="7" borderId="18" xfId="0" applyFont="1" applyFill="1" applyBorder="1" applyAlignment="1">
      <alignment horizontal="right" vertical="center"/>
    </xf>
    <xf numFmtId="0" fontId="28" fillId="7" borderId="19" xfId="0" applyFont="1" applyFill="1" applyBorder="1" applyAlignment="1">
      <alignment horizontal="right" vertical="center"/>
    </xf>
    <xf numFmtId="0" fontId="28" fillId="12" borderId="58" xfId="0" applyFont="1" applyFill="1" applyBorder="1" applyAlignment="1">
      <alignment horizontal="right" vertical="center"/>
    </xf>
    <xf numFmtId="2" fontId="26" fillId="0" borderId="0" xfId="0" applyNumberFormat="1" applyFont="1" applyAlignment="1">
      <alignment horizontal="center" vertical="center"/>
    </xf>
    <xf numFmtId="49" fontId="26" fillId="0" borderId="0" xfId="0" applyNumberFormat="1" applyFont="1" applyAlignment="1">
      <alignment horizontal="center" vertical="center"/>
    </xf>
    <xf numFmtId="0" fontId="26" fillId="11" borderId="49" xfId="0" applyFont="1" applyFill="1" applyBorder="1" applyAlignment="1">
      <alignment horizontal="center" vertical="center"/>
    </xf>
    <xf numFmtId="0" fontId="26" fillId="7" borderId="54" xfId="0" applyFont="1" applyFill="1" applyBorder="1" applyAlignment="1">
      <alignment horizontal="left" vertical="center"/>
    </xf>
    <xf numFmtId="0" fontId="26" fillId="7" borderId="55" xfId="0" applyFont="1" applyFill="1" applyBorder="1" applyAlignment="1">
      <alignment horizontal="left" vertical="center"/>
    </xf>
    <xf numFmtId="177" fontId="26" fillId="7" borderId="11" xfId="0" applyNumberFormat="1" applyFont="1" applyFill="1" applyBorder="1" applyAlignment="1">
      <alignment horizontal="right"/>
    </xf>
    <xf numFmtId="0" fontId="59" fillId="7" borderId="12" xfId="0" applyFont="1" applyFill="1" applyBorder="1" applyAlignment="1">
      <alignment horizontal="center"/>
    </xf>
    <xf numFmtId="0" fontId="26" fillId="7" borderId="11" xfId="0" applyFont="1" applyFill="1" applyBorder="1" applyAlignment="1">
      <alignment horizontal="left" vertical="center"/>
    </xf>
    <xf numFmtId="3" fontId="59" fillId="7" borderId="12" xfId="0" applyNumberFormat="1" applyFont="1" applyFill="1" applyBorder="1" applyAlignment="1">
      <alignment horizontal="center"/>
    </xf>
    <xf numFmtId="3" fontId="59" fillId="7" borderId="12" xfId="0" applyNumberFormat="1" applyFont="1" applyFill="1" applyBorder="1"/>
    <xf numFmtId="0" fontId="28" fillId="7" borderId="12" xfId="0" applyFont="1" applyFill="1" applyBorder="1" applyAlignment="1">
      <alignment horizontal="right" vertical="center"/>
    </xf>
    <xf numFmtId="0" fontId="28" fillId="7" borderId="54" xfId="0" applyFont="1" applyFill="1" applyBorder="1" applyAlignment="1">
      <alignment horizontal="right" vertical="center"/>
    </xf>
    <xf numFmtId="0" fontId="28" fillId="12" borderId="56" xfId="0" applyFont="1" applyFill="1" applyBorder="1" applyAlignment="1">
      <alignment horizontal="right" vertical="center"/>
    </xf>
    <xf numFmtId="177" fontId="25" fillId="0" borderId="31" xfId="0" applyNumberFormat="1" applyFont="1" applyBorder="1" applyAlignment="1">
      <alignment horizontal="right" vertical="center"/>
    </xf>
    <xf numFmtId="3" fontId="58" fillId="0" borderId="40" xfId="0" applyNumberFormat="1" applyFont="1" applyBorder="1" applyAlignment="1">
      <alignment vertical="center"/>
    </xf>
    <xf numFmtId="3" fontId="59" fillId="0" borderId="17" xfId="0" applyNumberFormat="1" applyFont="1" applyBorder="1" applyAlignment="1">
      <alignment horizontal="center" vertical="center"/>
    </xf>
    <xf numFmtId="3" fontId="59" fillId="0" borderId="17" xfId="0" applyNumberFormat="1" applyFont="1" applyBorder="1" applyAlignment="1">
      <alignment vertical="center"/>
    </xf>
    <xf numFmtId="0" fontId="26" fillId="11" borderId="59" xfId="0" applyFont="1" applyFill="1" applyBorder="1" applyAlignment="1">
      <alignment horizontal="center" vertical="center"/>
    </xf>
    <xf numFmtId="0" fontId="26" fillId="7" borderId="37" xfId="0" applyFont="1" applyFill="1" applyBorder="1" applyAlignment="1">
      <alignment horizontal="left" vertical="center"/>
    </xf>
    <xf numFmtId="0" fontId="26" fillId="7" borderId="60" xfId="0" applyFont="1" applyFill="1" applyBorder="1" applyAlignment="1">
      <alignment horizontal="left" vertical="center"/>
    </xf>
    <xf numFmtId="177" fontId="26" fillId="7" borderId="34" xfId="0" applyNumberFormat="1" applyFont="1" applyFill="1" applyBorder="1" applyAlignment="1">
      <alignment horizontal="right" vertical="center"/>
    </xf>
    <xf numFmtId="3" fontId="59" fillId="7" borderId="44" xfId="0" applyNumberFormat="1" applyFont="1" applyFill="1" applyBorder="1" applyAlignment="1">
      <alignment horizontal="center" vertical="center"/>
    </xf>
    <xf numFmtId="0" fontId="26" fillId="7" borderId="34" xfId="0" applyFont="1" applyFill="1" applyBorder="1" applyAlignment="1">
      <alignment horizontal="left" vertical="center"/>
    </xf>
    <xf numFmtId="3" fontId="59" fillId="7" borderId="34" xfId="0" applyNumberFormat="1" applyFont="1" applyFill="1" applyBorder="1" applyAlignment="1">
      <alignment horizontal="center" vertical="center"/>
    </xf>
    <xf numFmtId="3" fontId="59" fillId="7" borderId="34" xfId="0" applyNumberFormat="1" applyFont="1" applyFill="1" applyBorder="1" applyAlignment="1">
      <alignment vertical="center"/>
    </xf>
    <xf numFmtId="0" fontId="28" fillId="7" borderId="37" xfId="0" applyFont="1" applyFill="1" applyBorder="1" applyAlignment="1">
      <alignment horizontal="right" vertical="center"/>
    </xf>
    <xf numFmtId="0" fontId="28" fillId="13" borderId="61" xfId="0" applyFont="1" applyFill="1" applyBorder="1" applyAlignment="1">
      <alignment horizontal="right" vertical="center"/>
    </xf>
    <xf numFmtId="0" fontId="26" fillId="12" borderId="46" xfId="0" applyFont="1" applyFill="1" applyBorder="1" applyAlignment="1">
      <alignment horizontal="center" vertical="center"/>
    </xf>
    <xf numFmtId="177" fontId="26" fillId="7" borderId="48" xfId="0" applyNumberFormat="1" applyFont="1" applyFill="1" applyBorder="1" applyAlignment="1">
      <alignment horizontal="right" vertical="center"/>
    </xf>
    <xf numFmtId="3" fontId="59" fillId="7" borderId="48" xfId="0" applyNumberFormat="1" applyFont="1" applyFill="1" applyBorder="1" applyAlignment="1">
      <alignment horizontal="center" vertical="center"/>
    </xf>
    <xf numFmtId="3" fontId="59" fillId="7" borderId="18" xfId="0" applyNumberFormat="1" applyFont="1" applyFill="1" applyBorder="1" applyAlignment="1">
      <alignment vertical="center"/>
    </xf>
    <xf numFmtId="177" fontId="26" fillId="7" borderId="18" xfId="0" applyNumberFormat="1" applyFont="1" applyFill="1" applyBorder="1" applyAlignment="1">
      <alignment horizontal="right" vertical="center"/>
    </xf>
    <xf numFmtId="0" fontId="28" fillId="14" borderId="58" xfId="0" applyFont="1" applyFill="1" applyBorder="1" applyAlignment="1">
      <alignment horizontal="right" vertical="center"/>
    </xf>
    <xf numFmtId="0" fontId="26" fillId="12" borderId="50" xfId="0" applyFont="1" applyFill="1" applyBorder="1" applyAlignment="1">
      <alignment horizontal="center" vertical="center"/>
    </xf>
    <xf numFmtId="0" fontId="26" fillId="7" borderId="62" xfId="0" applyFont="1" applyFill="1" applyBorder="1" applyAlignment="1">
      <alignment horizontal="left" vertical="center"/>
    </xf>
    <xf numFmtId="177" fontId="26" fillId="7" borderId="63" xfId="0" applyNumberFormat="1" applyFont="1" applyFill="1" applyBorder="1" applyAlignment="1">
      <alignment horizontal="right" vertical="center"/>
    </xf>
    <xf numFmtId="3" fontId="59" fillId="7" borderId="64" xfId="0" applyNumberFormat="1" applyFont="1" applyFill="1" applyBorder="1" applyAlignment="1">
      <alignment horizontal="center" vertical="center"/>
    </xf>
    <xf numFmtId="0" fontId="26" fillId="7" borderId="63" xfId="0" applyFont="1" applyFill="1" applyBorder="1" applyAlignment="1">
      <alignment horizontal="left" vertical="center"/>
    </xf>
    <xf numFmtId="3" fontId="59" fillId="7" borderId="64" xfId="0" applyNumberFormat="1" applyFont="1" applyFill="1" applyBorder="1" applyAlignment="1">
      <alignment vertical="center"/>
    </xf>
    <xf numFmtId="0" fontId="28" fillId="7" borderId="64" xfId="0" applyFont="1" applyFill="1" applyBorder="1" applyAlignment="1">
      <alignment horizontal="right" vertical="center"/>
    </xf>
    <xf numFmtId="0" fontId="28" fillId="14" borderId="51" xfId="0" applyFont="1" applyFill="1" applyBorder="1" applyAlignment="1">
      <alignment horizontal="right" vertical="center"/>
    </xf>
    <xf numFmtId="0" fontId="25" fillId="0" borderId="50" xfId="0" applyFont="1" applyBorder="1" applyAlignment="1">
      <alignment horizontal="center" vertical="center"/>
    </xf>
    <xf numFmtId="177" fontId="25" fillId="0" borderId="16" xfId="0" applyNumberFormat="1" applyFont="1" applyBorder="1" applyAlignment="1">
      <alignment vertical="center"/>
    </xf>
    <xf numFmtId="177" fontId="47" fillId="0" borderId="17" xfId="0" applyNumberFormat="1" applyFont="1" applyBorder="1" applyAlignment="1">
      <alignment horizontal="right" vertical="center"/>
    </xf>
    <xf numFmtId="3" fontId="58" fillId="0" borderId="17" xfId="0" applyNumberFormat="1" applyFont="1" applyBorder="1" applyAlignment="1">
      <alignment vertical="center"/>
    </xf>
    <xf numFmtId="0" fontId="25" fillId="0" borderId="16" xfId="0" applyFont="1" applyBorder="1" applyAlignment="1">
      <alignment vertical="center"/>
    </xf>
    <xf numFmtId="177" fontId="26" fillId="7" borderId="64" xfId="0" applyNumberFormat="1" applyFont="1" applyFill="1" applyBorder="1" applyAlignment="1">
      <alignment horizontal="right" vertical="center"/>
    </xf>
    <xf numFmtId="0" fontId="26" fillId="7" borderId="63" xfId="0" applyFont="1" applyFill="1" applyBorder="1" applyAlignment="1">
      <alignment horizontal="center" vertical="center"/>
    </xf>
    <xf numFmtId="3" fontId="59" fillId="7" borderId="63" xfId="0" applyNumberFormat="1" applyFont="1" applyFill="1" applyBorder="1" applyAlignment="1">
      <alignment horizontal="center" vertical="center"/>
    </xf>
    <xf numFmtId="177" fontId="61" fillId="7" borderId="64" xfId="0" applyNumberFormat="1" applyFont="1" applyFill="1" applyBorder="1" applyAlignment="1">
      <alignment horizontal="right" vertical="center"/>
    </xf>
    <xf numFmtId="185" fontId="25" fillId="0" borderId="0" xfId="0" applyNumberFormat="1" applyFont="1" applyAlignment="1">
      <alignment horizontal="center" vertical="center"/>
    </xf>
    <xf numFmtId="185" fontId="25" fillId="0" borderId="0" xfId="0" applyNumberFormat="1" applyFont="1" applyAlignment="1">
      <alignment horizontal="left" vertical="center"/>
    </xf>
    <xf numFmtId="41" fontId="9" fillId="0" borderId="0" xfId="2" applyFont="1" applyFill="1" applyBorder="1" applyAlignment="1">
      <alignment horizontal="right" vertical="center"/>
    </xf>
    <xf numFmtId="41" fontId="9" fillId="0" borderId="0" xfId="2" applyFont="1" applyFill="1" applyBorder="1" applyAlignment="1">
      <alignment horizontal="center" vertical="center"/>
    </xf>
    <xf numFmtId="41" fontId="9" fillId="0" borderId="0" xfId="2" applyFont="1" applyFill="1" applyBorder="1" applyAlignment="1">
      <alignment horizontal="left" vertical="center"/>
    </xf>
    <xf numFmtId="176" fontId="25" fillId="0" borderId="0" xfId="0" applyNumberFormat="1" applyFont="1" applyAlignment="1">
      <alignment horizontal="right" vertical="center"/>
    </xf>
    <xf numFmtId="185" fontId="58" fillId="0" borderId="0" xfId="0" applyNumberFormat="1" applyFont="1" applyAlignment="1">
      <alignment horizontal="center" vertical="center"/>
    </xf>
    <xf numFmtId="185" fontId="29" fillId="0" borderId="0" xfId="0" applyNumberFormat="1" applyFont="1" applyAlignment="1">
      <alignment horizontal="right"/>
    </xf>
    <xf numFmtId="185" fontId="25" fillId="0" borderId="0" xfId="0" applyNumberFormat="1" applyFont="1"/>
    <xf numFmtId="177" fontId="27" fillId="0" borderId="0" xfId="0" applyNumberFormat="1" applyFont="1"/>
    <xf numFmtId="185" fontId="27" fillId="0" borderId="0" xfId="0" applyNumberFormat="1" applyFont="1" applyAlignment="1">
      <alignment horizontal="center" vertical="center"/>
    </xf>
    <xf numFmtId="185" fontId="27" fillId="0" borderId="0" xfId="0" applyNumberFormat="1" applyFont="1" applyAlignment="1">
      <alignment horizontal="left" vertical="center"/>
    </xf>
    <xf numFmtId="185" fontId="27" fillId="0" borderId="0" xfId="0" applyNumberFormat="1" applyFont="1" applyAlignment="1">
      <alignment horizontal="right" vertical="center"/>
    </xf>
    <xf numFmtId="185" fontId="62" fillId="0" borderId="0" xfId="0" applyNumberFormat="1" applyFont="1" applyAlignment="1">
      <alignment horizontal="center" vertical="center"/>
    </xf>
    <xf numFmtId="177" fontId="42" fillId="0" borderId="0" xfId="0" applyNumberFormat="1" applyFont="1" applyAlignment="1">
      <alignment horizontal="right" vertical="center"/>
    </xf>
    <xf numFmtId="185" fontId="43" fillId="0" borderId="0" xfId="0" applyNumberFormat="1" applyFont="1" applyAlignment="1">
      <alignment horizontal="right"/>
    </xf>
    <xf numFmtId="185" fontId="27" fillId="0" borderId="0" xfId="0" applyNumberFormat="1" applyFont="1"/>
    <xf numFmtId="49" fontId="27" fillId="0" borderId="0" xfId="0" applyNumberFormat="1" applyFont="1"/>
    <xf numFmtId="185" fontId="25" fillId="0" borderId="0" xfId="0" applyNumberFormat="1" applyFont="1" applyAlignment="1">
      <alignment horizontal="right" vertical="center"/>
    </xf>
    <xf numFmtId="0" fontId="64" fillId="0" borderId="0" xfId="0" applyFont="1" applyAlignment="1">
      <alignment horizontal="left"/>
    </xf>
    <xf numFmtId="176" fontId="25" fillId="0" borderId="0" xfId="0" applyNumberFormat="1" applyFont="1" applyAlignment="1">
      <alignment horizontal="left" vertical="center"/>
    </xf>
    <xf numFmtId="0" fontId="65" fillId="0" borderId="0" xfId="0" applyFont="1" applyAlignment="1">
      <alignment horizontal="right" vertical="center"/>
    </xf>
    <xf numFmtId="0" fontId="66" fillId="0" borderId="0" xfId="0" applyFont="1" applyAlignment="1">
      <alignment horizontal="right" vertical="center"/>
    </xf>
    <xf numFmtId="49" fontId="25" fillId="0" borderId="0" xfId="0" applyNumberFormat="1" applyFont="1" applyAlignment="1">
      <alignment vertical="center"/>
    </xf>
    <xf numFmtId="173" fontId="25" fillId="0" borderId="0" xfId="0" applyNumberFormat="1" applyFont="1" applyAlignment="1">
      <alignment vertical="center"/>
    </xf>
    <xf numFmtId="176" fontId="67" fillId="0" borderId="0" xfId="0" applyNumberFormat="1" applyFont="1" applyAlignment="1">
      <alignment horizontal="left" vertical="center"/>
    </xf>
    <xf numFmtId="0" fontId="29" fillId="0" borderId="0" xfId="0" applyFont="1"/>
    <xf numFmtId="0" fontId="68" fillId="6" borderId="0" xfId="0" applyFont="1" applyFill="1" applyAlignment="1">
      <alignment vertical="center"/>
    </xf>
    <xf numFmtId="0" fontId="68" fillId="6" borderId="0" xfId="0" applyFont="1" applyFill="1" applyAlignment="1">
      <alignment horizontal="center" vertical="center"/>
    </xf>
    <xf numFmtId="49" fontId="68" fillId="6" borderId="0" xfId="0" applyNumberFormat="1" applyFont="1" applyFill="1" applyAlignment="1">
      <alignment horizontal="center" vertical="center"/>
    </xf>
    <xf numFmtId="0" fontId="69" fillId="6" borderId="0" xfId="0" applyFont="1" applyFill="1" applyAlignment="1">
      <alignment horizontal="right" vertical="center"/>
    </xf>
    <xf numFmtId="0" fontId="24" fillId="6" borderId="0" xfId="0" applyFont="1" applyFill="1" applyAlignment="1">
      <alignment horizontal="right" vertical="center"/>
    </xf>
    <xf numFmtId="0" fontId="11" fillId="6" borderId="0" xfId="0" applyFont="1" applyFill="1" applyAlignment="1">
      <alignment vertical="center"/>
    </xf>
    <xf numFmtId="0" fontId="11" fillId="0" borderId="0" xfId="0" applyFont="1" applyAlignment="1">
      <alignment vertical="center"/>
    </xf>
    <xf numFmtId="49" fontId="11" fillId="0" borderId="0" xfId="0" applyNumberFormat="1" applyFont="1" applyAlignment="1">
      <alignment vertical="center"/>
    </xf>
    <xf numFmtId="173" fontId="11" fillId="0" borderId="0" xfId="0" applyNumberFormat="1" applyFont="1" applyAlignment="1">
      <alignment vertical="center"/>
    </xf>
    <xf numFmtId="4" fontId="70" fillId="0" borderId="0" xfId="0" applyNumberFormat="1" applyFont="1" applyAlignment="1">
      <alignment horizontal="right" vertical="center"/>
    </xf>
    <xf numFmtId="3" fontId="71" fillId="0" borderId="0" xfId="0" applyNumberFormat="1" applyFont="1" applyAlignment="1">
      <alignment horizontal="center" vertical="center"/>
    </xf>
    <xf numFmtId="0" fontId="70" fillId="0" borderId="0" xfId="0" applyFont="1" applyAlignment="1">
      <alignment horizontal="center" vertical="center"/>
    </xf>
    <xf numFmtId="186" fontId="70" fillId="0" borderId="0" xfId="0" applyNumberFormat="1" applyFont="1" applyAlignment="1">
      <alignment horizontal="right" vertical="center"/>
    </xf>
    <xf numFmtId="182" fontId="72" fillId="9" borderId="2" xfId="9" applyNumberFormat="1" applyFont="1" applyFill="1" applyBorder="1" applyAlignment="1">
      <alignment vertical="top" wrapText="1"/>
    </xf>
    <xf numFmtId="3" fontId="62" fillId="0" borderId="0" xfId="0" applyNumberFormat="1" applyFont="1" applyAlignment="1">
      <alignment horizontal="center" vertical="center"/>
    </xf>
    <xf numFmtId="182" fontId="72" fillId="8" borderId="2" xfId="10" applyNumberFormat="1" applyFont="1" applyFill="1" applyBorder="1" applyAlignment="1">
      <alignment vertical="top" wrapText="1"/>
    </xf>
    <xf numFmtId="4" fontId="70" fillId="9" borderId="0" xfId="0" applyNumberFormat="1" applyFont="1" applyFill="1" applyAlignment="1">
      <alignment horizontal="right" vertical="center"/>
    </xf>
    <xf numFmtId="4" fontId="70" fillId="0" borderId="0" xfId="0" applyNumberFormat="1" applyFont="1" applyAlignment="1">
      <alignment horizontal="right"/>
    </xf>
    <xf numFmtId="4" fontId="25" fillId="0" borderId="0" xfId="0" applyNumberFormat="1" applyFont="1" applyAlignment="1">
      <alignment horizontal="right"/>
    </xf>
    <xf numFmtId="182" fontId="44" fillId="8" borderId="2" xfId="9" applyNumberFormat="1" applyFont="1" applyFill="1" applyBorder="1" applyAlignment="1">
      <alignment vertical="top" wrapText="1"/>
    </xf>
    <xf numFmtId="182" fontId="44" fillId="8" borderId="2" xfId="10" applyNumberFormat="1" applyFont="1" applyFill="1" applyBorder="1" applyAlignment="1">
      <alignment vertical="top" wrapText="1"/>
    </xf>
    <xf numFmtId="4" fontId="47" fillId="0" borderId="0" xfId="0" applyNumberFormat="1" applyFont="1" applyAlignment="1">
      <alignment horizontal="right"/>
    </xf>
    <xf numFmtId="3" fontId="73" fillId="0" borderId="0" xfId="0" applyNumberFormat="1" applyFont="1" applyAlignment="1">
      <alignment horizontal="center"/>
    </xf>
    <xf numFmtId="0" fontId="47" fillId="0" borderId="0" xfId="0" applyFont="1"/>
    <xf numFmtId="0" fontId="49" fillId="0" borderId="0" xfId="0" applyFont="1" applyAlignment="1">
      <alignment horizontal="right"/>
    </xf>
    <xf numFmtId="2" fontId="47" fillId="0" borderId="0" xfId="0" applyNumberFormat="1" applyFont="1"/>
    <xf numFmtId="49" fontId="47" fillId="0" borderId="0" xfId="0" applyNumberFormat="1" applyFont="1"/>
    <xf numFmtId="185" fontId="47" fillId="10" borderId="0" xfId="0" applyNumberFormat="1" applyFont="1" applyFill="1" applyAlignment="1">
      <alignment horizontal="center" vertical="center"/>
    </xf>
    <xf numFmtId="185" fontId="47" fillId="10" borderId="0" xfId="0" applyNumberFormat="1" applyFont="1" applyFill="1" applyAlignment="1">
      <alignment horizontal="left" vertical="center"/>
    </xf>
    <xf numFmtId="185" fontId="47" fillId="10" borderId="0" xfId="0" applyNumberFormat="1" applyFont="1" applyFill="1" applyAlignment="1">
      <alignment horizontal="right" vertical="center"/>
    </xf>
    <xf numFmtId="185" fontId="73" fillId="10" borderId="0" xfId="0" applyNumberFormat="1" applyFont="1" applyFill="1" applyAlignment="1">
      <alignment horizontal="center" vertical="center"/>
    </xf>
    <xf numFmtId="177" fontId="48" fillId="10" borderId="0" xfId="0" applyNumberFormat="1" applyFont="1" applyFill="1" applyAlignment="1">
      <alignment horizontal="right" vertical="center"/>
    </xf>
    <xf numFmtId="185" fontId="49" fillId="10" borderId="0" xfId="0" applyNumberFormat="1" applyFont="1" applyFill="1" applyAlignment="1">
      <alignment horizontal="right"/>
    </xf>
    <xf numFmtId="185" fontId="54" fillId="10" borderId="0" xfId="0" applyNumberFormat="1" applyFont="1" applyFill="1" applyAlignment="1">
      <alignment horizontal="left" vertical="center"/>
    </xf>
    <xf numFmtId="185" fontId="55" fillId="10" borderId="0" xfId="0" applyNumberFormat="1" applyFont="1" applyFill="1" applyAlignment="1">
      <alignment horizontal="center"/>
    </xf>
    <xf numFmtId="185" fontId="56" fillId="10" borderId="0" xfId="0" applyNumberFormat="1" applyFont="1" applyFill="1" applyAlignment="1">
      <alignment horizontal="right" vertical="center"/>
    </xf>
    <xf numFmtId="0" fontId="57" fillId="0" borderId="0" xfId="0" applyFont="1"/>
    <xf numFmtId="169" fontId="15" fillId="0" borderId="0" xfId="0" applyNumberFormat="1" applyFont="1" applyAlignment="1">
      <alignment horizontal="right"/>
    </xf>
    <xf numFmtId="0" fontId="28" fillId="0" borderId="0" xfId="0" applyFont="1" applyAlignment="1">
      <alignment horizontal="right"/>
    </xf>
    <xf numFmtId="0" fontId="40" fillId="0" borderId="0" xfId="0" applyFont="1" applyAlignment="1">
      <alignment horizontal="right"/>
    </xf>
    <xf numFmtId="2" fontId="25" fillId="0" borderId="0" xfId="0" applyNumberFormat="1" applyFont="1" applyAlignment="1">
      <alignment vertical="center"/>
    </xf>
    <xf numFmtId="4" fontId="26" fillId="7" borderId="48" xfId="0" applyNumberFormat="1" applyFont="1" applyFill="1" applyBorder="1" applyAlignment="1">
      <alignment horizontal="center" vertical="center"/>
    </xf>
    <xf numFmtId="0" fontId="28" fillId="7" borderId="50" xfId="0" applyFont="1" applyFill="1" applyBorder="1" applyAlignment="1">
      <alignment horizontal="center" vertical="center"/>
    </xf>
    <xf numFmtId="0" fontId="28" fillId="7" borderId="17" xfId="0" applyFont="1" applyFill="1" applyBorder="1" applyAlignment="1">
      <alignment horizontal="center" vertical="center"/>
    </xf>
    <xf numFmtId="4" fontId="28" fillId="7" borderId="21" xfId="0" applyNumberFormat="1" applyFont="1" applyFill="1" applyBorder="1" applyAlignment="1">
      <alignment horizontal="center" vertical="center"/>
    </xf>
    <xf numFmtId="4" fontId="28" fillId="7" borderId="17" xfId="0" applyNumberFormat="1" applyFont="1" applyFill="1" applyBorder="1" applyAlignment="1">
      <alignment horizontal="center" vertical="center"/>
    </xf>
    <xf numFmtId="2" fontId="29" fillId="0" borderId="0" xfId="0" applyNumberFormat="1" applyFont="1"/>
    <xf numFmtId="0" fontId="28" fillId="7" borderId="49" xfId="0" applyFont="1" applyFill="1" applyBorder="1" applyAlignment="1">
      <alignment horizontal="center" vertical="center"/>
    </xf>
    <xf numFmtId="4" fontId="28" fillId="7" borderId="12" xfId="0" applyNumberFormat="1" applyFont="1" applyFill="1" applyBorder="1" applyAlignment="1">
      <alignment horizontal="center" vertical="center"/>
    </xf>
    <xf numFmtId="4" fontId="28" fillId="7" borderId="11" xfId="0" applyNumberFormat="1" applyFont="1" applyFill="1" applyBorder="1" applyAlignment="1">
      <alignment horizontal="center" vertical="center"/>
    </xf>
    <xf numFmtId="4" fontId="26" fillId="0" borderId="18" xfId="0" applyNumberFormat="1" applyFont="1" applyBorder="1" applyAlignment="1">
      <alignment horizontal="right" vertical="center"/>
    </xf>
    <xf numFmtId="4" fontId="26" fillId="0" borderId="48" xfId="0" applyNumberFormat="1" applyFont="1" applyBorder="1" applyAlignment="1">
      <alignment horizontal="right" vertical="center"/>
    </xf>
    <xf numFmtId="177" fontId="25" fillId="0" borderId="23" xfId="0" applyNumberFormat="1" applyFont="1" applyBorder="1" applyAlignment="1">
      <alignment horizontal="right" vertical="center"/>
    </xf>
    <xf numFmtId="177" fontId="25" fillId="0" borderId="74" xfId="0" applyNumberFormat="1" applyFont="1" applyBorder="1" applyAlignment="1">
      <alignment horizontal="right" vertical="center"/>
    </xf>
    <xf numFmtId="177" fontId="26" fillId="0" borderId="74" xfId="0" applyNumberFormat="1" applyFont="1" applyBorder="1" applyAlignment="1">
      <alignment horizontal="right" vertical="center"/>
    </xf>
    <xf numFmtId="0" fontId="26" fillId="0" borderId="46" xfId="0" applyFont="1" applyBorder="1" applyAlignment="1">
      <alignment horizontal="center" vertical="center"/>
    </xf>
    <xf numFmtId="0" fontId="26" fillId="0" borderId="19" xfId="0" applyFont="1" applyBorder="1" applyAlignment="1">
      <alignment horizontal="left" vertical="center"/>
    </xf>
    <xf numFmtId="0" fontId="26" fillId="0" borderId="57" xfId="0" applyFont="1" applyBorder="1" applyAlignment="1">
      <alignment horizontal="left" vertical="center"/>
    </xf>
    <xf numFmtId="0" fontId="26" fillId="0" borderId="48" xfId="0" applyFont="1" applyBorder="1" applyAlignment="1">
      <alignment horizontal="left" vertical="center"/>
    </xf>
    <xf numFmtId="177" fontId="26" fillId="0" borderId="18" xfId="0" applyNumberFormat="1" applyFont="1" applyBorder="1" applyAlignment="1">
      <alignment horizontal="right"/>
    </xf>
    <xf numFmtId="177" fontId="26" fillId="0" borderId="48" xfId="0" applyNumberFormat="1" applyFont="1" applyBorder="1" applyAlignment="1">
      <alignment horizontal="right"/>
    </xf>
    <xf numFmtId="0" fontId="28" fillId="0" borderId="58" xfId="0" applyFont="1" applyBorder="1" applyAlignment="1">
      <alignment horizontal="right" vertical="center"/>
    </xf>
    <xf numFmtId="2" fontId="26" fillId="0" borderId="0" xfId="0" applyNumberFormat="1" applyFont="1"/>
    <xf numFmtId="0" fontId="26" fillId="0" borderId="49" xfId="0" applyFont="1" applyBorder="1" applyAlignment="1">
      <alignment horizontal="center" vertical="center"/>
    </xf>
    <xf numFmtId="0" fontId="26" fillId="0" borderId="54" xfId="0" applyFont="1" applyBorder="1" applyAlignment="1">
      <alignment horizontal="left" vertical="center"/>
    </xf>
    <xf numFmtId="0" fontId="26" fillId="0" borderId="55" xfId="0" applyFont="1" applyBorder="1" applyAlignment="1">
      <alignment horizontal="left" vertical="center"/>
    </xf>
    <xf numFmtId="177" fontId="26" fillId="0" borderId="12" xfId="0" applyNumberFormat="1" applyFont="1" applyBorder="1" applyAlignment="1">
      <alignment horizontal="right"/>
    </xf>
    <xf numFmtId="0" fontId="28" fillId="0" borderId="12" xfId="0" applyFont="1" applyBorder="1" applyAlignment="1">
      <alignment horizontal="right" vertical="center"/>
    </xf>
    <xf numFmtId="0" fontId="28" fillId="0" borderId="54" xfId="0" applyFont="1" applyBorder="1" applyAlignment="1">
      <alignment horizontal="right" vertical="center"/>
    </xf>
    <xf numFmtId="0" fontId="28" fillId="0" borderId="56" xfId="0" applyFont="1" applyBorder="1" applyAlignment="1">
      <alignment horizontal="right" vertical="center"/>
    </xf>
    <xf numFmtId="0" fontId="26" fillId="7" borderId="75" xfId="0" applyFont="1" applyFill="1" applyBorder="1" applyAlignment="1">
      <alignment horizontal="center" vertical="center"/>
    </xf>
    <xf numFmtId="177" fontId="26" fillId="7" borderId="12" xfId="0" applyNumberFormat="1" applyFont="1" applyFill="1" applyBorder="1" applyAlignment="1">
      <alignment horizontal="right" vertical="center"/>
    </xf>
    <xf numFmtId="177" fontId="26" fillId="7" borderId="11" xfId="0" applyNumberFormat="1" applyFont="1" applyFill="1" applyBorder="1" applyAlignment="1">
      <alignment horizontal="right" vertical="center"/>
    </xf>
    <xf numFmtId="0" fontId="28" fillId="12" borderId="51" xfId="0" applyFont="1" applyFill="1" applyBorder="1" applyAlignment="1">
      <alignment horizontal="right" vertical="center"/>
    </xf>
    <xf numFmtId="0" fontId="26" fillId="7" borderId="59" xfId="0" applyFont="1" applyFill="1" applyBorder="1" applyAlignment="1">
      <alignment horizontal="center" vertical="center"/>
    </xf>
    <xf numFmtId="0" fontId="26" fillId="7" borderId="33" xfId="0" applyFont="1" applyFill="1" applyBorder="1" applyAlignment="1">
      <alignment horizontal="center" vertical="center"/>
    </xf>
    <xf numFmtId="177" fontId="26" fillId="7" borderId="35" xfId="0" applyNumberFormat="1" applyFont="1" applyFill="1" applyBorder="1" applyAlignment="1">
      <alignment horizontal="right" vertical="center"/>
    </xf>
    <xf numFmtId="176" fontId="27" fillId="0" borderId="0" xfId="0" applyNumberFormat="1" applyFont="1" applyAlignment="1">
      <alignment horizontal="center" vertical="center"/>
    </xf>
    <xf numFmtId="176" fontId="27" fillId="0" borderId="0" xfId="0" applyNumberFormat="1" applyFont="1" applyAlignment="1">
      <alignment horizontal="left" vertical="center"/>
    </xf>
    <xf numFmtId="41" fontId="41" fillId="0" borderId="0" xfId="2" applyFont="1" applyFill="1" applyBorder="1" applyAlignment="1">
      <alignment horizontal="right" vertical="center"/>
    </xf>
    <xf numFmtId="176" fontId="43" fillId="0" borderId="0" xfId="0" applyNumberFormat="1" applyFont="1" applyAlignment="1">
      <alignment horizontal="right"/>
    </xf>
    <xf numFmtId="176" fontId="27" fillId="0" borderId="0" xfId="0" applyNumberFormat="1" applyFont="1"/>
    <xf numFmtId="4" fontId="47" fillId="0" borderId="0" xfId="0" applyNumberFormat="1" applyFont="1" applyAlignment="1">
      <alignment horizontal="right" vertical="center"/>
    </xf>
    <xf numFmtId="0" fontId="43" fillId="0" borderId="0" xfId="0" applyFont="1" applyAlignment="1">
      <alignment horizontal="right"/>
    </xf>
    <xf numFmtId="0" fontId="26" fillId="0" borderId="26" xfId="0" applyFont="1" applyBorder="1"/>
    <xf numFmtId="176" fontId="27" fillId="0" borderId="0" xfId="0" applyNumberFormat="1" applyFont="1" applyAlignment="1">
      <alignment horizontal="right" vertical="center"/>
    </xf>
    <xf numFmtId="185" fontId="47" fillId="0" borderId="0" xfId="0" applyNumberFormat="1" applyFont="1" applyAlignment="1">
      <alignment horizontal="right" vertical="center"/>
    </xf>
    <xf numFmtId="0" fontId="64" fillId="0" borderId="0" xfId="0" applyFont="1" applyAlignment="1">
      <alignment horizontal="left" vertical="center"/>
    </xf>
    <xf numFmtId="176" fontId="64" fillId="0" borderId="0" xfId="0" applyNumberFormat="1" applyFont="1" applyAlignment="1">
      <alignment horizontal="left" vertical="center"/>
    </xf>
    <xf numFmtId="0" fontId="39" fillId="0" borderId="0" xfId="0" applyFont="1" applyAlignment="1">
      <alignment horizontal="center" vertical="center"/>
    </xf>
    <xf numFmtId="0" fontId="64" fillId="0" borderId="0" xfId="0" applyFont="1" applyAlignment="1">
      <alignment vertical="center"/>
    </xf>
    <xf numFmtId="49" fontId="68" fillId="6" borderId="0" xfId="0" applyNumberFormat="1" applyFont="1" applyFill="1" applyAlignment="1">
      <alignment horizontal="left" vertical="center"/>
    </xf>
    <xf numFmtId="0" fontId="69" fillId="0" borderId="0" xfId="0" applyFont="1" applyAlignment="1">
      <alignment horizontal="right" vertical="center"/>
    </xf>
    <xf numFmtId="2" fontId="27" fillId="0" borderId="0" xfId="0" applyNumberFormat="1" applyFont="1"/>
    <xf numFmtId="0" fontId="57" fillId="0" borderId="0" xfId="0" applyFont="1" applyAlignment="1">
      <alignment vertical="center"/>
    </xf>
    <xf numFmtId="0" fontId="36" fillId="0" borderId="0" xfId="0" applyFont="1" applyAlignment="1">
      <alignment vertical="center"/>
    </xf>
    <xf numFmtId="0" fontId="37" fillId="0" borderId="0" xfId="0" applyFont="1" applyAlignment="1">
      <alignment vertical="center"/>
    </xf>
    <xf numFmtId="4" fontId="37" fillId="0" borderId="0" xfId="0" applyNumberFormat="1" applyFont="1" applyAlignment="1">
      <alignment horizontal="right" vertical="center"/>
    </xf>
    <xf numFmtId="0" fontId="38" fillId="0" borderId="0" xfId="0" applyFont="1" applyAlignment="1">
      <alignment horizontal="right" vertical="center"/>
    </xf>
    <xf numFmtId="182" fontId="36" fillId="0" borderId="0" xfId="0" applyNumberFormat="1" applyFont="1" applyAlignment="1">
      <alignment vertical="center"/>
    </xf>
    <xf numFmtId="0" fontId="15" fillId="0" borderId="0" xfId="0" applyFont="1" applyAlignment="1">
      <alignment horizontal="right" vertical="center"/>
    </xf>
    <xf numFmtId="49" fontId="36" fillId="0" borderId="0" xfId="0" applyNumberFormat="1" applyFont="1" applyAlignment="1">
      <alignment vertical="center"/>
    </xf>
    <xf numFmtId="168" fontId="28" fillId="7" borderId="12" xfId="0" applyNumberFormat="1" applyFont="1" applyFill="1" applyBorder="1" applyAlignment="1">
      <alignment horizontal="center" vertical="center"/>
    </xf>
    <xf numFmtId="177" fontId="60" fillId="0" borderId="0" xfId="0" applyNumberFormat="1" applyFont="1" applyAlignment="1">
      <alignment vertical="center"/>
    </xf>
    <xf numFmtId="43" fontId="25" fillId="0" borderId="0" xfId="1" applyFont="1" applyAlignment="1">
      <alignment vertical="center"/>
    </xf>
    <xf numFmtId="173" fontId="25" fillId="0" borderId="76" xfId="0" applyNumberFormat="1" applyFont="1" applyBorder="1"/>
    <xf numFmtId="182" fontId="25" fillId="0" borderId="0" xfId="0" applyNumberFormat="1" applyFont="1" applyAlignment="1">
      <alignment vertical="center"/>
    </xf>
    <xf numFmtId="43" fontId="60" fillId="0" borderId="0" xfId="1" applyFont="1" applyAlignment="1">
      <alignment vertical="center"/>
    </xf>
    <xf numFmtId="182" fontId="25" fillId="0" borderId="0" xfId="1" applyNumberFormat="1" applyFont="1" applyAlignment="1">
      <alignment vertical="center"/>
    </xf>
    <xf numFmtId="173" fontId="25" fillId="0" borderId="17" xfId="0" applyNumberFormat="1" applyFont="1" applyBorder="1"/>
    <xf numFmtId="173" fontId="25" fillId="0" borderId="31" xfId="0" applyNumberFormat="1" applyFont="1" applyBorder="1"/>
    <xf numFmtId="0" fontId="26" fillId="15" borderId="46" xfId="0" applyFont="1" applyFill="1" applyBorder="1" applyAlignment="1">
      <alignment horizontal="center" vertical="center"/>
    </xf>
    <xf numFmtId="0" fontId="26" fillId="15" borderId="19" xfId="0" applyFont="1" applyFill="1" applyBorder="1" applyAlignment="1">
      <alignment horizontal="left" vertical="center"/>
    </xf>
    <xf numFmtId="0" fontId="26" fillId="15" borderId="57" xfId="0" applyFont="1" applyFill="1" applyBorder="1" applyAlignment="1">
      <alignment horizontal="left" vertical="center"/>
    </xf>
    <xf numFmtId="177" fontId="26" fillId="15" borderId="48" xfId="0" applyNumberFormat="1" applyFont="1" applyFill="1" applyBorder="1" applyAlignment="1">
      <alignment horizontal="right" vertical="center"/>
    </xf>
    <xf numFmtId="0" fontId="28" fillId="15" borderId="18" xfId="0" applyFont="1" applyFill="1" applyBorder="1" applyAlignment="1">
      <alignment horizontal="right" vertical="center"/>
    </xf>
    <xf numFmtId="0" fontId="28" fillId="15" borderId="19" xfId="0" applyFont="1" applyFill="1" applyBorder="1" applyAlignment="1">
      <alignment horizontal="right" vertical="center"/>
    </xf>
    <xf numFmtId="0" fontId="28" fillId="15" borderId="58" xfId="0" applyFont="1" applyFill="1" applyBorder="1" applyAlignment="1">
      <alignment horizontal="right" vertical="center"/>
    </xf>
    <xf numFmtId="0" fontId="26" fillId="15" borderId="49" xfId="0" applyFont="1" applyFill="1" applyBorder="1" applyAlignment="1">
      <alignment horizontal="center" vertical="center"/>
    </xf>
    <xf numFmtId="0" fontId="26" fillId="15" borderId="54" xfId="0" applyFont="1" applyFill="1" applyBorder="1" applyAlignment="1">
      <alignment horizontal="left" vertical="center"/>
    </xf>
    <xf numFmtId="0" fontId="26" fillId="15" borderId="55" xfId="0" applyFont="1" applyFill="1" applyBorder="1" applyAlignment="1">
      <alignment horizontal="left" vertical="center"/>
    </xf>
    <xf numFmtId="177" fontId="26" fillId="15" borderId="11" xfId="0" applyNumberFormat="1" applyFont="1" applyFill="1" applyBorder="1" applyAlignment="1">
      <alignment horizontal="right" vertical="center"/>
    </xf>
    <xf numFmtId="0" fontId="28" fillId="15" borderId="12" xfId="0" applyFont="1" applyFill="1" applyBorder="1" applyAlignment="1">
      <alignment horizontal="right" vertical="center"/>
    </xf>
    <xf numFmtId="0" fontId="28" fillId="15" borderId="54" xfId="0" applyFont="1" applyFill="1" applyBorder="1" applyAlignment="1">
      <alignment horizontal="right" vertical="center"/>
    </xf>
    <xf numFmtId="0" fontId="28" fillId="15" borderId="56" xfId="0" applyFont="1" applyFill="1" applyBorder="1" applyAlignment="1">
      <alignment horizontal="right" vertical="center"/>
    </xf>
    <xf numFmtId="185" fontId="26" fillId="0" borderId="21" xfId="0" applyNumberFormat="1" applyFont="1" applyBorder="1" applyAlignment="1">
      <alignment horizontal="right" vertical="center"/>
    </xf>
    <xf numFmtId="41" fontId="25" fillId="0" borderId="0" xfId="2" applyFont="1" applyBorder="1" applyAlignment="1">
      <alignment vertical="center"/>
    </xf>
    <xf numFmtId="172" fontId="25" fillId="0" borderId="0" xfId="0" applyNumberFormat="1" applyFont="1" applyAlignment="1">
      <alignment vertical="center"/>
    </xf>
    <xf numFmtId="172" fontId="26" fillId="0" borderId="0" xfId="0" applyNumberFormat="1" applyFont="1" applyAlignment="1">
      <alignment vertical="center"/>
    </xf>
    <xf numFmtId="0" fontId="28" fillId="7" borderId="58" xfId="0" applyFont="1" applyFill="1" applyBorder="1" applyAlignment="1">
      <alignment horizontal="right" vertical="center"/>
    </xf>
    <xf numFmtId="0" fontId="28" fillId="7" borderId="56" xfId="0" applyFont="1" applyFill="1" applyBorder="1" applyAlignment="1">
      <alignment horizontal="right" vertical="center"/>
    </xf>
    <xf numFmtId="41" fontId="26" fillId="0" borderId="0" xfId="2" applyFont="1" applyAlignment="1">
      <alignment vertical="center"/>
    </xf>
    <xf numFmtId="41" fontId="26" fillId="0" borderId="0" xfId="2" applyFont="1" applyBorder="1" applyAlignment="1">
      <alignment vertical="center"/>
    </xf>
    <xf numFmtId="41" fontId="25" fillId="0" borderId="0" xfId="2" applyFont="1" applyFill="1" applyBorder="1" applyAlignment="1">
      <alignment vertical="center"/>
    </xf>
    <xf numFmtId="0" fontId="26" fillId="7" borderId="47" xfId="0" applyFont="1" applyFill="1" applyBorder="1" applyAlignment="1">
      <alignment horizontal="left" vertical="center"/>
    </xf>
    <xf numFmtId="177" fontId="27" fillId="0" borderId="0" xfId="0" applyNumberFormat="1" applyFont="1" applyAlignment="1">
      <alignment horizontal="right" vertical="center"/>
    </xf>
    <xf numFmtId="185" fontId="43" fillId="0" borderId="0" xfId="0" applyNumberFormat="1" applyFont="1" applyAlignment="1">
      <alignment horizontal="right" vertical="center"/>
    </xf>
    <xf numFmtId="185" fontId="27" fillId="0" borderId="0" xfId="0" applyNumberFormat="1" applyFont="1" applyAlignment="1">
      <alignment vertical="center"/>
    </xf>
    <xf numFmtId="177" fontId="27" fillId="9" borderId="0" xfId="0" applyNumberFormat="1" applyFont="1" applyFill="1" applyAlignment="1">
      <alignment vertical="center"/>
    </xf>
    <xf numFmtId="177" fontId="25" fillId="0" borderId="0" xfId="0" applyNumberFormat="1" applyFont="1" applyAlignment="1">
      <alignment horizontal="right" vertical="center"/>
    </xf>
    <xf numFmtId="0" fontId="47" fillId="0" borderId="0" xfId="0" applyFont="1" applyAlignment="1">
      <alignment horizontal="center" vertical="center"/>
    </xf>
    <xf numFmtId="0" fontId="47" fillId="0" borderId="0" xfId="0" applyFont="1" applyAlignment="1">
      <alignment horizontal="left" vertical="center"/>
    </xf>
    <xf numFmtId="0" fontId="49" fillId="0" borderId="0" xfId="0" applyFont="1" applyAlignment="1">
      <alignment horizontal="right" vertical="center"/>
    </xf>
    <xf numFmtId="0" fontId="47" fillId="0" borderId="0" xfId="0" applyFont="1" applyAlignment="1">
      <alignment vertical="center"/>
    </xf>
    <xf numFmtId="0" fontId="68" fillId="6" borderId="0" xfId="0" applyFont="1" applyFill="1"/>
    <xf numFmtId="49" fontId="68" fillId="6" borderId="0" xfId="0" applyNumberFormat="1" applyFont="1" applyFill="1" applyAlignment="1">
      <alignment horizontal="left"/>
    </xf>
    <xf numFmtId="0" fontId="69" fillId="0" borderId="0" xfId="0" applyFont="1" applyAlignment="1">
      <alignment horizontal="right"/>
    </xf>
    <xf numFmtId="0" fontId="76" fillId="0" borderId="0" xfId="0" applyFont="1" applyAlignment="1">
      <alignment horizontal="right" vertical="center"/>
    </xf>
    <xf numFmtId="0" fontId="77" fillId="0" borderId="0" xfId="0" applyFont="1" applyAlignment="1">
      <alignment horizontal="right" vertical="center"/>
    </xf>
    <xf numFmtId="1" fontId="26" fillId="0" borderId="0" xfId="0" applyNumberFormat="1" applyFont="1" applyAlignment="1">
      <alignment vertical="center"/>
    </xf>
    <xf numFmtId="0" fontId="34" fillId="0" borderId="0" xfId="0" applyFont="1" applyAlignment="1">
      <alignment vertical="center"/>
    </xf>
    <xf numFmtId="41" fontId="34" fillId="0" borderId="0" xfId="2" applyFont="1" applyFill="1" applyAlignment="1">
      <alignment vertical="center"/>
    </xf>
    <xf numFmtId="0" fontId="36" fillId="0" borderId="0" xfId="0" applyFont="1" applyAlignment="1">
      <alignment horizontal="center" vertical="center"/>
    </xf>
    <xf numFmtId="41" fontId="26" fillId="0" borderId="0" xfId="2" applyFont="1" applyFill="1" applyAlignment="1">
      <alignment vertical="center"/>
    </xf>
    <xf numFmtId="0" fontId="37" fillId="0" borderId="0" xfId="0" applyFont="1" applyAlignment="1">
      <alignment horizontal="right" vertical="center"/>
    </xf>
    <xf numFmtId="41" fontId="37" fillId="0" borderId="0" xfId="2" applyFont="1" applyAlignment="1">
      <alignment vertical="center"/>
    </xf>
    <xf numFmtId="0" fontId="11" fillId="0" borderId="0" xfId="0" applyFont="1" applyAlignment="1">
      <alignment horizontal="center" vertical="center"/>
    </xf>
    <xf numFmtId="0" fontId="10" fillId="0" borderId="0" xfId="0" applyFont="1" applyAlignment="1">
      <alignment vertical="center"/>
    </xf>
    <xf numFmtId="41" fontId="10" fillId="0" borderId="0" xfId="2" applyFont="1" applyAlignment="1">
      <alignment vertical="center"/>
    </xf>
    <xf numFmtId="0" fontId="11" fillId="0" borderId="0" xfId="0" applyFont="1" applyAlignment="1">
      <alignment horizontal="left" vertical="center"/>
    </xf>
    <xf numFmtId="0" fontId="10" fillId="0" borderId="0" xfId="0" applyFont="1" applyAlignment="1">
      <alignment horizontal="right" vertical="center"/>
    </xf>
    <xf numFmtId="0" fontId="24" fillId="0" borderId="0" xfId="0" applyFont="1" applyAlignment="1">
      <alignment horizontal="right" vertical="center"/>
    </xf>
    <xf numFmtId="49" fontId="24" fillId="0" borderId="0" xfId="0" applyNumberFormat="1" applyFont="1" applyAlignment="1">
      <alignment horizontal="right" vertical="center"/>
    </xf>
    <xf numFmtId="0" fontId="40" fillId="0" borderId="0" xfId="0" applyFont="1" applyAlignment="1">
      <alignment horizontal="right" vertical="center"/>
    </xf>
    <xf numFmtId="41" fontId="25" fillId="0" borderId="0" xfId="2" applyFont="1" applyAlignment="1">
      <alignment vertical="center"/>
    </xf>
    <xf numFmtId="0" fontId="48" fillId="6" borderId="0" xfId="0" applyFont="1" applyFill="1" applyAlignment="1">
      <alignment horizontal="left" vertical="center"/>
    </xf>
    <xf numFmtId="0" fontId="48" fillId="6" borderId="0" xfId="0" applyFont="1" applyFill="1" applyAlignment="1">
      <alignment vertical="center"/>
    </xf>
    <xf numFmtId="38" fontId="48" fillId="6" borderId="0" xfId="0" applyNumberFormat="1" applyFont="1" applyFill="1" applyAlignment="1">
      <alignment vertical="center"/>
    </xf>
    <xf numFmtId="38" fontId="48" fillId="6" borderId="0" xfId="0" applyNumberFormat="1" applyFont="1" applyFill="1" applyAlignment="1">
      <alignment horizontal="right" vertical="center"/>
    </xf>
    <xf numFmtId="38" fontId="55" fillId="6" borderId="0" xfId="0" applyNumberFormat="1" applyFont="1" applyFill="1" applyAlignment="1">
      <alignment vertical="center"/>
    </xf>
    <xf numFmtId="38" fontId="55" fillId="16" borderId="0" xfId="0" applyNumberFormat="1" applyFont="1" applyFill="1" applyAlignment="1">
      <alignment vertical="center"/>
    </xf>
    <xf numFmtId="38" fontId="55" fillId="16" borderId="0" xfId="0" applyNumberFormat="1" applyFont="1" applyFill="1" applyAlignment="1">
      <alignment horizontal="right" vertical="center"/>
    </xf>
    <xf numFmtId="0" fontId="55" fillId="16" borderId="0" xfId="0" applyFont="1" applyFill="1" applyAlignment="1">
      <alignment horizontal="right" vertical="center"/>
    </xf>
    <xf numFmtId="0" fontId="48" fillId="10" borderId="0" xfId="0" applyFont="1" applyFill="1" applyAlignment="1">
      <alignment vertical="center"/>
    </xf>
    <xf numFmtId="0" fontId="48" fillId="0" borderId="0" xfId="0" applyFont="1" applyAlignment="1">
      <alignment vertical="center"/>
    </xf>
    <xf numFmtId="41" fontId="48" fillId="0" borderId="0" xfId="2" applyFont="1" applyFill="1" applyAlignment="1">
      <alignment vertical="center"/>
    </xf>
    <xf numFmtId="38" fontId="25" fillId="0" borderId="0" xfId="0" applyNumberFormat="1" applyFont="1" applyAlignment="1">
      <alignment vertical="center"/>
    </xf>
    <xf numFmtId="38" fontId="25" fillId="0" borderId="0" xfId="0" applyNumberFormat="1" applyFont="1" applyAlignment="1">
      <alignment horizontal="right" vertical="center"/>
    </xf>
    <xf numFmtId="41" fontId="25" fillId="0" borderId="0" xfId="2" applyFont="1" applyFill="1" applyAlignment="1">
      <alignment vertical="center"/>
    </xf>
    <xf numFmtId="38" fontId="25" fillId="0" borderId="0" xfId="0" applyNumberFormat="1" applyFont="1" applyAlignment="1">
      <alignment horizontal="left" vertical="center"/>
    </xf>
    <xf numFmtId="0" fontId="29" fillId="0" borderId="0" xfId="0" applyFont="1" applyAlignment="1">
      <alignment horizontal="left"/>
    </xf>
    <xf numFmtId="1" fontId="29" fillId="0" borderId="0" xfId="0" applyNumberFormat="1" applyFont="1" applyAlignment="1">
      <alignment horizontal="left" vertical="center" readingOrder="1"/>
    </xf>
    <xf numFmtId="0" fontId="25" fillId="0" borderId="0" xfId="0" quotePrefix="1" applyFont="1" applyAlignment="1">
      <alignment vertical="center"/>
    </xf>
    <xf numFmtId="38" fontId="29" fillId="0" borderId="0" xfId="0" applyNumberFormat="1" applyFont="1" applyAlignment="1">
      <alignment vertical="center"/>
    </xf>
    <xf numFmtId="38" fontId="28" fillId="0" borderId="0" xfId="0" applyNumberFormat="1" applyFont="1" applyAlignment="1">
      <alignment vertical="center"/>
    </xf>
    <xf numFmtId="38" fontId="26" fillId="0" borderId="0" xfId="0" applyNumberFormat="1" applyFont="1" applyAlignment="1">
      <alignment vertical="center"/>
    </xf>
    <xf numFmtId="38" fontId="26" fillId="0" borderId="0" xfId="0" applyNumberFormat="1" applyFont="1" applyAlignment="1">
      <alignment horizontal="right" vertical="center"/>
    </xf>
    <xf numFmtId="0" fontId="26" fillId="0" borderId="0" xfId="0" applyFont="1" applyAlignment="1">
      <alignment horizontal="right" vertical="center"/>
    </xf>
    <xf numFmtId="38" fontId="25" fillId="0" borderId="0" xfId="0" applyNumberFormat="1" applyFont="1" applyAlignment="1">
      <alignment horizontal="center" vertical="center"/>
    </xf>
    <xf numFmtId="0" fontId="28" fillId="0" borderId="0" xfId="0" applyFont="1" applyAlignment="1">
      <alignment horizontal="left" vertical="center"/>
    </xf>
    <xf numFmtId="0" fontId="28" fillId="0" borderId="0" xfId="0" applyFont="1" applyAlignment="1">
      <alignment vertical="center"/>
    </xf>
    <xf numFmtId="0" fontId="78" fillId="6" borderId="0" xfId="0" applyFont="1" applyFill="1" applyAlignment="1">
      <alignment vertical="center"/>
    </xf>
    <xf numFmtId="49" fontId="78" fillId="6" borderId="0" xfId="0" applyNumberFormat="1" applyFont="1" applyFill="1" applyAlignment="1">
      <alignment vertical="center"/>
    </xf>
    <xf numFmtId="0" fontId="79" fillId="6" borderId="0" xfId="0" applyFont="1" applyFill="1" applyAlignment="1">
      <alignment horizontal="right" vertical="center"/>
    </xf>
    <xf numFmtId="0" fontId="78" fillId="0" borderId="0" xfId="0" applyFont="1" applyAlignment="1">
      <alignment vertical="center"/>
    </xf>
    <xf numFmtId="41" fontId="78" fillId="0" borderId="0" xfId="2" applyFont="1" applyAlignment="1">
      <alignment vertical="center"/>
    </xf>
    <xf numFmtId="38" fontId="55" fillId="6" borderId="0" xfId="0" applyNumberFormat="1" applyFont="1" applyFill="1" applyAlignment="1">
      <alignment horizontal="right" vertical="center"/>
    </xf>
    <xf numFmtId="0" fontId="55" fillId="6" borderId="0" xfId="0" applyFont="1" applyFill="1" applyAlignment="1">
      <alignment horizontal="right" vertical="center"/>
    </xf>
    <xf numFmtId="0" fontId="29" fillId="0" borderId="0" xfId="0" applyFont="1" applyAlignment="1">
      <alignment horizontal="left" vertical="center"/>
    </xf>
    <xf numFmtId="41" fontId="29" fillId="0" borderId="0" xfId="2" applyFont="1" applyFill="1" applyBorder="1" applyAlignment="1">
      <alignment vertical="center"/>
    </xf>
    <xf numFmtId="41" fontId="29" fillId="0" borderId="0" xfId="2" applyFont="1" applyFill="1" applyAlignment="1">
      <alignment vertical="center"/>
    </xf>
    <xf numFmtId="41" fontId="25" fillId="0" borderId="0" xfId="2" applyFont="1" applyFill="1" applyBorder="1" applyAlignment="1">
      <alignment horizontal="center" vertical="center"/>
    </xf>
    <xf numFmtId="4" fontId="25" fillId="0" borderId="0" xfId="2" applyNumberFormat="1" applyFont="1" applyFill="1" applyBorder="1" applyAlignment="1">
      <alignment horizontal="right" vertical="center"/>
    </xf>
    <xf numFmtId="4" fontId="26" fillId="0" borderId="0" xfId="2" applyNumberFormat="1" applyFont="1" applyFill="1" applyBorder="1" applyAlignment="1">
      <alignment horizontal="right" vertical="center"/>
    </xf>
    <xf numFmtId="187" fontId="25" fillId="0" borderId="0" xfId="0" applyNumberFormat="1" applyFont="1" applyAlignment="1">
      <alignment vertical="center"/>
    </xf>
    <xf numFmtId="4" fontId="25" fillId="0" borderId="0" xfId="2" applyNumberFormat="1" applyFont="1" applyFill="1" applyAlignment="1">
      <alignment horizontal="right" vertical="center"/>
    </xf>
    <xf numFmtId="4" fontId="25" fillId="0" borderId="0" xfId="0" applyNumberFormat="1" applyFont="1" applyAlignment="1">
      <alignment vertical="center"/>
    </xf>
    <xf numFmtId="175" fontId="26" fillId="0" borderId="0" xfId="0" applyNumberFormat="1" applyFont="1" applyAlignment="1">
      <alignment vertical="center"/>
    </xf>
    <xf numFmtId="175" fontId="26" fillId="0" borderId="0" xfId="0" applyNumberFormat="1" applyFont="1" applyAlignment="1">
      <alignment horizontal="center" vertical="center"/>
    </xf>
    <xf numFmtId="175" fontId="25" fillId="0" borderId="0" xfId="0" applyNumberFormat="1" applyFont="1" applyAlignment="1">
      <alignment vertical="center"/>
    </xf>
    <xf numFmtId="41" fontId="81" fillId="0" borderId="0" xfId="2" applyFont="1" applyFill="1" applyAlignment="1">
      <alignment vertical="center"/>
    </xf>
    <xf numFmtId="175" fontId="81" fillId="0" borderId="0" xfId="11" applyNumberFormat="1" applyFont="1" applyAlignment="1">
      <alignment vertical="center"/>
    </xf>
    <xf numFmtId="182" fontId="81" fillId="0" borderId="0" xfId="0" applyNumberFormat="1" applyFont="1" applyAlignment="1">
      <alignment vertical="center"/>
    </xf>
    <xf numFmtId="41" fontId="44" fillId="0" borderId="2" xfId="2" applyFont="1" applyFill="1" applyBorder="1" applyAlignment="1">
      <alignment horizontal="right" vertical="center" wrapText="1"/>
    </xf>
    <xf numFmtId="182" fontId="44" fillId="0" borderId="2" xfId="0" applyNumberFormat="1" applyFont="1" applyBorder="1" applyAlignment="1">
      <alignment horizontal="right" vertical="center" wrapText="1"/>
    </xf>
    <xf numFmtId="0" fontId="29" fillId="0" borderId="50" xfId="0" applyFont="1" applyBorder="1" applyAlignment="1">
      <alignment horizontal="right" vertical="center"/>
    </xf>
    <xf numFmtId="175" fontId="80" fillId="0" borderId="0" xfId="0" applyNumberFormat="1" applyFont="1" applyAlignment="1">
      <alignment vertical="center"/>
    </xf>
    <xf numFmtId="0" fontId="48" fillId="0" borderId="0" xfId="0" applyFont="1" applyAlignment="1">
      <alignment horizontal="left" vertical="center"/>
    </xf>
    <xf numFmtId="38" fontId="48" fillId="0" borderId="0" xfId="0" applyNumberFormat="1" applyFont="1" applyAlignment="1">
      <alignment vertical="center"/>
    </xf>
    <xf numFmtId="175" fontId="48" fillId="0" borderId="0" xfId="0" applyNumberFormat="1" applyFont="1" applyAlignment="1">
      <alignment horizontal="center" vertical="center"/>
    </xf>
    <xf numFmtId="175" fontId="48" fillId="0" borderId="0" xfId="0" applyNumberFormat="1" applyFont="1" applyAlignment="1">
      <alignment vertical="center"/>
    </xf>
    <xf numFmtId="0" fontId="55" fillId="0" borderId="0" xfId="0" applyFont="1" applyAlignment="1">
      <alignment horizontal="right" vertical="center"/>
    </xf>
    <xf numFmtId="175" fontId="29" fillId="0" borderId="0" xfId="0" applyNumberFormat="1" applyFont="1" applyAlignment="1">
      <alignment vertical="center"/>
    </xf>
    <xf numFmtId="38" fontId="48" fillId="0" borderId="0" xfId="0" applyNumberFormat="1" applyFont="1" applyAlignment="1">
      <alignment horizontal="right" vertical="center"/>
    </xf>
    <xf numFmtId="175" fontId="28" fillId="0" borderId="0" xfId="0" applyNumberFormat="1" applyFont="1" applyAlignment="1">
      <alignment vertical="center"/>
    </xf>
    <xf numFmtId="41" fontId="28" fillId="0" borderId="0" xfId="2" applyFont="1" applyFill="1" applyAlignment="1">
      <alignment vertical="center"/>
    </xf>
    <xf numFmtId="175" fontId="25" fillId="0" borderId="78" xfId="0" applyNumberFormat="1" applyFont="1" applyBorder="1" applyAlignment="1">
      <alignment vertical="center"/>
    </xf>
    <xf numFmtId="0" fontId="80" fillId="0" borderId="0" xfId="0" applyFont="1" applyAlignment="1">
      <alignment vertical="center"/>
    </xf>
    <xf numFmtId="38" fontId="80" fillId="0" borderId="0" xfId="0" applyNumberFormat="1" applyFont="1" applyAlignment="1">
      <alignment horizontal="center" vertical="center"/>
    </xf>
    <xf numFmtId="38" fontId="27" fillId="0" borderId="0" xfId="0" applyNumberFormat="1" applyFont="1" applyAlignment="1">
      <alignment horizontal="center" vertical="center"/>
    </xf>
    <xf numFmtId="0" fontId="83" fillId="0" borderId="0" xfId="0" applyFont="1" applyAlignment="1">
      <alignment vertical="center"/>
    </xf>
    <xf numFmtId="0" fontId="42" fillId="6" borderId="0" xfId="0" applyFont="1" applyFill="1" applyAlignment="1">
      <alignment horizontal="left" vertical="center"/>
    </xf>
    <xf numFmtId="0" fontId="42" fillId="6" borderId="0" xfId="0" applyFont="1" applyFill="1" applyAlignment="1">
      <alignment vertical="center"/>
    </xf>
    <xf numFmtId="38" fontId="42" fillId="6" borderId="0" xfId="0" applyNumberFormat="1" applyFont="1" applyFill="1" applyAlignment="1">
      <alignment vertical="center"/>
    </xf>
    <xf numFmtId="38" fontId="42" fillId="6" borderId="0" xfId="0" applyNumberFormat="1" applyFont="1" applyFill="1" applyAlignment="1">
      <alignment horizontal="right" vertical="center"/>
    </xf>
    <xf numFmtId="38" fontId="84" fillId="6" borderId="0" xfId="0" applyNumberFormat="1" applyFont="1" applyFill="1" applyAlignment="1">
      <alignment vertical="center"/>
    </xf>
    <xf numFmtId="38" fontId="84" fillId="6" borderId="0" xfId="0" applyNumberFormat="1" applyFont="1" applyFill="1" applyAlignment="1">
      <alignment horizontal="right" vertical="center"/>
    </xf>
    <xf numFmtId="0" fontId="84" fillId="6" borderId="0" xfId="0" applyFont="1" applyFill="1" applyAlignment="1">
      <alignment horizontal="right" vertical="center"/>
    </xf>
    <xf numFmtId="41" fontId="83" fillId="0" borderId="0" xfId="2" applyFont="1" applyFill="1" applyAlignment="1">
      <alignment vertical="center"/>
    </xf>
    <xf numFmtId="14" fontId="25" fillId="0" borderId="0" xfId="0" applyNumberFormat="1" applyFont="1" applyAlignment="1">
      <alignment vertical="center"/>
    </xf>
    <xf numFmtId="49" fontId="78" fillId="6" borderId="0" xfId="0" quotePrefix="1" applyNumberFormat="1" applyFont="1" applyFill="1" applyAlignment="1">
      <alignment vertical="center"/>
    </xf>
    <xf numFmtId="173" fontId="78" fillId="0" borderId="0" xfId="0" applyNumberFormat="1" applyFont="1" applyAlignment="1">
      <alignment vertical="center"/>
    </xf>
    <xf numFmtId="0" fontId="85" fillId="0" borderId="0" xfId="0" applyFont="1" applyAlignment="1">
      <alignment vertical="center"/>
    </xf>
    <xf numFmtId="41" fontId="85" fillId="0" borderId="0" xfId="2" applyFont="1" applyFill="1" applyAlignment="1">
      <alignment vertical="center"/>
    </xf>
    <xf numFmtId="38" fontId="26" fillId="0" borderId="0" xfId="0" applyNumberFormat="1" applyFont="1" applyAlignment="1">
      <alignment horizontal="center" vertical="center"/>
    </xf>
    <xf numFmtId="41" fontId="26" fillId="0" borderId="0" xfId="2" applyFont="1" applyFill="1" applyAlignment="1">
      <alignment horizontal="center" vertical="center"/>
    </xf>
    <xf numFmtId="41" fontId="25" fillId="0" borderId="0" xfId="2" applyFont="1" applyFill="1" applyAlignment="1">
      <alignment horizontal="center" vertical="center"/>
    </xf>
    <xf numFmtId="177" fontId="25" fillId="0" borderId="0" xfId="0" applyNumberFormat="1" applyFont="1" applyAlignment="1">
      <alignment horizontal="center" vertical="center"/>
    </xf>
    <xf numFmtId="41" fontId="44" fillId="0" borderId="0" xfId="2" applyFont="1" applyFill="1" applyAlignment="1">
      <alignment horizontal="left" vertical="center"/>
    </xf>
    <xf numFmtId="177" fontId="26" fillId="0" borderId="0" xfId="0" applyNumberFormat="1" applyFont="1" applyAlignment="1">
      <alignment horizontal="center" vertical="center"/>
    </xf>
    <xf numFmtId="38" fontId="28" fillId="0" borderId="0" xfId="0" applyNumberFormat="1" applyFont="1" applyAlignment="1">
      <alignment horizontal="right" vertical="center"/>
    </xf>
    <xf numFmtId="0" fontId="85" fillId="8" borderId="0" xfId="0" applyFont="1" applyFill="1" applyAlignment="1">
      <alignment vertical="center"/>
    </xf>
    <xf numFmtId="0" fontId="48" fillId="16" borderId="0" xfId="0" applyFont="1" applyFill="1" applyAlignment="1">
      <alignment horizontal="left" vertical="center"/>
    </xf>
    <xf numFmtId="0" fontId="48" fillId="16" borderId="0" xfId="0" applyFont="1" applyFill="1" applyAlignment="1">
      <alignment vertical="center"/>
    </xf>
    <xf numFmtId="38" fontId="48" fillId="16" borderId="0" xfId="0" applyNumberFormat="1" applyFont="1" applyFill="1" applyAlignment="1">
      <alignment vertical="center"/>
    </xf>
    <xf numFmtId="38" fontId="48" fillId="10" borderId="0" xfId="0" applyNumberFormat="1" applyFont="1" applyFill="1" applyAlignment="1">
      <alignment vertical="center"/>
    </xf>
    <xf numFmtId="38" fontId="48" fillId="10" borderId="0" xfId="0" applyNumberFormat="1" applyFont="1" applyFill="1" applyAlignment="1">
      <alignment horizontal="right" vertical="center"/>
    </xf>
    <xf numFmtId="38" fontId="55" fillId="10" borderId="0" xfId="0" applyNumberFormat="1" applyFont="1" applyFill="1" applyAlignment="1">
      <alignment vertical="center"/>
    </xf>
    <xf numFmtId="0" fontId="86" fillId="16" borderId="0" xfId="0" applyFont="1" applyFill="1" applyAlignment="1">
      <alignment horizontal="right" vertical="center"/>
    </xf>
    <xf numFmtId="168" fontId="29" fillId="0" borderId="0" xfId="0" applyNumberFormat="1" applyFont="1" applyAlignment="1">
      <alignment horizontal="center" vertical="center"/>
    </xf>
    <xf numFmtId="38" fontId="37" fillId="0" borderId="0" xfId="0" applyNumberFormat="1" applyFont="1" applyAlignment="1">
      <alignment vertical="center"/>
    </xf>
    <xf numFmtId="175" fontId="29" fillId="0" borderId="0" xfId="0" applyNumberFormat="1" applyFont="1" applyAlignment="1">
      <alignment horizontal="right" vertical="center"/>
    </xf>
    <xf numFmtId="0" fontId="87" fillId="0" borderId="0" xfId="0" applyFont="1" applyAlignment="1">
      <alignment vertical="center"/>
    </xf>
    <xf numFmtId="41" fontId="87" fillId="0" borderId="0" xfId="2" applyFont="1" applyAlignment="1">
      <alignment vertical="center"/>
    </xf>
    <xf numFmtId="0" fontId="88" fillId="0" borderId="0" xfId="0" applyFont="1" applyAlignment="1">
      <alignment vertical="center"/>
    </xf>
    <xf numFmtId="175" fontId="48" fillId="6" borderId="0" xfId="0" applyNumberFormat="1" applyFont="1" applyFill="1" applyAlignment="1">
      <alignment horizontal="center" vertical="center"/>
    </xf>
    <xf numFmtId="175" fontId="48" fillId="6" borderId="0" xfId="0" applyNumberFormat="1" applyFont="1" applyFill="1" applyAlignment="1">
      <alignment vertical="center"/>
    </xf>
    <xf numFmtId="0" fontId="47" fillId="6" borderId="0" xfId="0" applyFont="1" applyFill="1" applyAlignment="1">
      <alignment vertical="center"/>
    </xf>
    <xf numFmtId="0" fontId="48" fillId="6" borderId="0" xfId="0" applyFont="1" applyFill="1" applyAlignment="1">
      <alignment horizontal="right" vertical="center"/>
    </xf>
    <xf numFmtId="41" fontId="88" fillId="0" borderId="0" xfId="2" applyFont="1" applyFill="1" applyAlignment="1">
      <alignment vertical="center"/>
    </xf>
    <xf numFmtId="4" fontId="65" fillId="0" borderId="0" xfId="0" applyNumberFormat="1" applyFont="1" applyAlignment="1">
      <alignment horizontal="right" vertical="center"/>
    </xf>
    <xf numFmtId="41" fontId="10" fillId="0" borderId="0" xfId="2" applyFont="1" applyFill="1" applyAlignment="1">
      <alignment vertical="center"/>
    </xf>
    <xf numFmtId="0" fontId="59" fillId="0" borderId="84" xfId="0" applyFont="1" applyBorder="1" applyAlignment="1">
      <alignment vertical="center"/>
    </xf>
    <xf numFmtId="0" fontId="58" fillId="0" borderId="19" xfId="0" applyFont="1" applyBorder="1" applyAlignment="1">
      <alignment vertical="center"/>
    </xf>
    <xf numFmtId="4" fontId="59" fillId="0" borderId="19" xfId="0" applyNumberFormat="1" applyFont="1" applyBorder="1" applyAlignment="1">
      <alignment vertical="center"/>
    </xf>
    <xf numFmtId="4" fontId="59" fillId="0" borderId="18" xfId="0" applyNumberFormat="1" applyFont="1" applyBorder="1" applyAlignment="1">
      <alignment vertical="center"/>
    </xf>
    <xf numFmtId="4" fontId="77" fillId="0" borderId="85" xfId="0" applyNumberFormat="1" applyFont="1" applyBorder="1" applyAlignment="1">
      <alignment horizontal="right" vertical="center"/>
    </xf>
    <xf numFmtId="0" fontId="58" fillId="0" borderId="15" xfId="0" applyFont="1" applyBorder="1" applyAlignment="1">
      <alignment horizontal="right" vertical="center"/>
    </xf>
    <xf numFmtId="0" fontId="58" fillId="0" borderId="0" xfId="0" applyFont="1" applyAlignment="1">
      <alignment vertical="center"/>
    </xf>
    <xf numFmtId="4" fontId="59" fillId="0" borderId="0" xfId="0" applyNumberFormat="1" applyFont="1" applyAlignment="1">
      <alignment vertical="center"/>
    </xf>
    <xf numFmtId="4" fontId="59" fillId="0" borderId="21" xfId="0" applyNumberFormat="1" applyFont="1" applyBorder="1" applyAlignment="1">
      <alignment vertical="center"/>
    </xf>
    <xf numFmtId="0" fontId="58" fillId="0" borderId="20" xfId="0" applyFont="1" applyBorder="1" applyAlignment="1">
      <alignment horizontal="right" vertical="center"/>
    </xf>
    <xf numFmtId="0" fontId="58" fillId="0" borderId="86" xfId="0" applyFont="1" applyBorder="1" applyAlignment="1">
      <alignment horizontal="right" vertical="center"/>
    </xf>
    <xf numFmtId="0" fontId="58" fillId="0" borderId="54" xfId="0" applyFont="1" applyBorder="1" applyAlignment="1">
      <alignment vertical="center"/>
    </xf>
    <xf numFmtId="4" fontId="59" fillId="0" borderId="54" xfId="0" applyNumberFormat="1" applyFont="1" applyBorder="1" applyAlignment="1">
      <alignment vertical="center"/>
    </xf>
    <xf numFmtId="4" fontId="59" fillId="0" borderId="12" xfId="0" applyNumberFormat="1" applyFont="1" applyBorder="1" applyAlignment="1">
      <alignment vertical="center"/>
    </xf>
    <xf numFmtId="4" fontId="65" fillId="0" borderId="54" xfId="0" applyNumberFormat="1" applyFont="1" applyBorder="1" applyAlignment="1">
      <alignment horizontal="right" vertical="center"/>
    </xf>
    <xf numFmtId="0" fontId="58" fillId="0" borderId="87" xfId="0" applyFont="1" applyBorder="1" applyAlignment="1">
      <alignment horizontal="right" vertical="center"/>
    </xf>
    <xf numFmtId="0" fontId="59" fillId="0" borderId="88" xfId="0" applyFont="1" applyBorder="1" applyAlignment="1">
      <alignment vertical="center"/>
    </xf>
    <xf numFmtId="0" fontId="58" fillId="0" borderId="89" xfId="0" applyFont="1" applyBorder="1" applyAlignment="1">
      <alignment vertical="center"/>
    </xf>
    <xf numFmtId="4" fontId="59" fillId="0" borderId="89" xfId="0" applyNumberFormat="1" applyFont="1" applyBorder="1" applyAlignment="1">
      <alignment vertical="center"/>
    </xf>
    <xf numFmtId="4" fontId="59" fillId="0" borderId="91" xfId="0" applyNumberFormat="1" applyFont="1" applyBorder="1" applyAlignment="1">
      <alignment vertical="center"/>
    </xf>
    <xf numFmtId="4" fontId="77" fillId="0" borderId="92" xfId="0" applyNumberFormat="1" applyFont="1" applyBorder="1" applyAlignment="1">
      <alignment horizontal="right" vertical="center"/>
    </xf>
    <xf numFmtId="0" fontId="59" fillId="0" borderId="15" xfId="0" applyFont="1" applyBorder="1" applyAlignment="1">
      <alignment horizontal="left" vertical="center"/>
    </xf>
    <xf numFmtId="0" fontId="77" fillId="0" borderId="93" xfId="0" applyFont="1" applyBorder="1" applyAlignment="1">
      <alignment horizontal="right" vertical="center"/>
    </xf>
    <xf numFmtId="4" fontId="59" fillId="0" borderId="16" xfId="0" applyNumberFormat="1" applyFont="1" applyBorder="1" applyAlignment="1">
      <alignment vertical="center"/>
    </xf>
    <xf numFmtId="4" fontId="59" fillId="0" borderId="20" xfId="0" applyNumberFormat="1" applyFont="1" applyBorder="1" applyAlignment="1">
      <alignment vertical="center"/>
    </xf>
    <xf numFmtId="4" fontId="59" fillId="0" borderId="44" xfId="0" applyNumberFormat="1" applyFont="1" applyBorder="1" applyAlignment="1">
      <alignment horizontal="center" vertical="center"/>
    </xf>
    <xf numFmtId="4" fontId="59" fillId="0" borderId="43" xfId="0" applyNumberFormat="1" applyFont="1" applyBorder="1" applyAlignment="1">
      <alignment horizontal="center" vertical="center"/>
    </xf>
    <xf numFmtId="4" fontId="59" fillId="0" borderId="43" xfId="0" applyNumberFormat="1" applyFont="1" applyBorder="1" applyAlignment="1">
      <alignment vertical="center"/>
    </xf>
    <xf numFmtId="4" fontId="77" fillId="0" borderId="45" xfId="0" applyNumberFormat="1" applyFont="1" applyBorder="1" applyAlignment="1">
      <alignment horizontal="right" vertical="center"/>
    </xf>
    <xf numFmtId="0" fontId="59" fillId="0" borderId="0" xfId="0" applyFont="1" applyAlignment="1">
      <alignment horizontal="left" vertical="center"/>
    </xf>
    <xf numFmtId="177" fontId="59" fillId="0" borderId="0" xfId="0" applyNumberFormat="1" applyFont="1" applyAlignment="1">
      <alignment horizontal="center" vertical="center"/>
    </xf>
    <xf numFmtId="4" fontId="59" fillId="0" borderId="0" xfId="0" applyNumberFormat="1" applyFont="1" applyAlignment="1">
      <alignment horizontal="center" vertical="center"/>
    </xf>
    <xf numFmtId="4" fontId="77" fillId="0" borderId="0" xfId="0" applyNumberFormat="1" applyFont="1" applyAlignment="1">
      <alignment horizontal="right" vertical="center"/>
    </xf>
    <xf numFmtId="0" fontId="59" fillId="0" borderId="46" xfId="0" applyFont="1" applyBorder="1" applyAlignment="1">
      <alignment vertical="center"/>
    </xf>
    <xf numFmtId="4" fontId="77" fillId="0" borderId="58" xfId="0" applyNumberFormat="1" applyFont="1" applyBorder="1" applyAlignment="1">
      <alignment horizontal="right" vertical="center"/>
    </xf>
    <xf numFmtId="0" fontId="58" fillId="0" borderId="50" xfId="0" applyFont="1" applyBorder="1" applyAlignment="1">
      <alignment horizontal="right" vertical="center"/>
    </xf>
    <xf numFmtId="0" fontId="58" fillId="0" borderId="51" xfId="0" applyFont="1" applyBorder="1" applyAlignment="1">
      <alignment horizontal="right" vertical="center"/>
    </xf>
    <xf numFmtId="0" fontId="58" fillId="0" borderId="49" xfId="0" applyFont="1" applyBorder="1" applyAlignment="1">
      <alignment horizontal="right" vertical="center"/>
    </xf>
    <xf numFmtId="0" fontId="58" fillId="0" borderId="56" xfId="0" applyFont="1" applyBorder="1" applyAlignment="1">
      <alignment horizontal="right" vertical="center"/>
    </xf>
    <xf numFmtId="4" fontId="59" fillId="0" borderId="57" xfId="0" applyNumberFormat="1" applyFont="1" applyBorder="1" applyAlignment="1">
      <alignment vertical="center"/>
    </xf>
    <xf numFmtId="177" fontId="59" fillId="0" borderId="21" xfId="0" applyNumberFormat="1" applyFont="1" applyBorder="1" applyAlignment="1">
      <alignment horizontal="center" vertical="center"/>
    </xf>
    <xf numFmtId="177" fontId="59" fillId="0" borderId="16" xfId="0" applyNumberFormat="1" applyFont="1" applyBorder="1" applyAlignment="1">
      <alignment horizontal="center" vertical="center"/>
    </xf>
    <xf numFmtId="4" fontId="59" fillId="0" borderId="51" xfId="0" applyNumberFormat="1" applyFont="1" applyBorder="1" applyAlignment="1">
      <alignment vertical="center"/>
    </xf>
    <xf numFmtId="0" fontId="59" fillId="0" borderId="50" xfId="0" applyFont="1" applyBorder="1" applyAlignment="1">
      <alignment horizontal="left" vertical="center"/>
    </xf>
    <xf numFmtId="0" fontId="77" fillId="0" borderId="100" xfId="0" applyFont="1" applyBorder="1" applyAlignment="1">
      <alignment horizontal="right" vertical="center"/>
    </xf>
    <xf numFmtId="4" fontId="59" fillId="0" borderId="35" xfId="0" applyNumberFormat="1" applyFont="1" applyBorder="1" applyAlignment="1">
      <alignment horizontal="center" vertical="center"/>
    </xf>
    <xf numFmtId="4" fontId="59" fillId="0" borderId="37" xfId="0" applyNumberFormat="1" applyFont="1" applyBorder="1" applyAlignment="1">
      <alignment horizontal="center" vertical="center"/>
    </xf>
    <xf numFmtId="4" fontId="59" fillId="0" borderId="37" xfId="0" applyNumberFormat="1" applyFont="1" applyBorder="1" applyAlignment="1">
      <alignment vertical="center"/>
    </xf>
    <xf numFmtId="4" fontId="77" fillId="0" borderId="61" xfId="0" applyNumberFormat="1" applyFont="1" applyBorder="1" applyAlignment="1">
      <alignment horizontal="right" vertical="center"/>
    </xf>
    <xf numFmtId="49" fontId="78" fillId="6" borderId="0" xfId="0" applyNumberFormat="1" applyFont="1" applyFill="1" applyAlignment="1">
      <alignment horizontal="center" vertical="center"/>
    </xf>
    <xf numFmtId="49" fontId="78" fillId="6" borderId="0" xfId="0" quotePrefix="1" applyNumberFormat="1" applyFont="1" applyFill="1" applyAlignment="1">
      <alignment horizontal="center" vertical="center"/>
    </xf>
    <xf numFmtId="41" fontId="47" fillId="0" borderId="0" xfId="2" applyFont="1" applyFill="1" applyAlignment="1">
      <alignment vertical="center"/>
    </xf>
    <xf numFmtId="0" fontId="89" fillId="0" borderId="0" xfId="0" applyFont="1" applyAlignment="1">
      <alignment vertical="center"/>
    </xf>
    <xf numFmtId="0" fontId="89" fillId="6" borderId="0" xfId="0" applyFont="1" applyFill="1" applyAlignment="1">
      <alignment vertical="center"/>
    </xf>
    <xf numFmtId="49" fontId="89" fillId="6" borderId="0" xfId="0" applyNumberFormat="1" applyFont="1" applyFill="1" applyAlignment="1">
      <alignment vertical="center"/>
    </xf>
    <xf numFmtId="0" fontId="90" fillId="6" borderId="0" xfId="0" applyFont="1" applyFill="1" applyAlignment="1">
      <alignment horizontal="right" vertical="center"/>
    </xf>
    <xf numFmtId="41" fontId="89" fillId="0" borderId="0" xfId="2" applyFont="1" applyAlignment="1">
      <alignment vertical="center"/>
    </xf>
    <xf numFmtId="41" fontId="25" fillId="0" borderId="101" xfId="2" applyFont="1" applyFill="1" applyBorder="1" applyAlignment="1">
      <alignment vertical="center"/>
    </xf>
    <xf numFmtId="0" fontId="25" fillId="0" borderId="17" xfId="0" applyFont="1" applyBorder="1" applyAlignment="1">
      <alignment vertical="center"/>
    </xf>
    <xf numFmtId="175" fontId="25" fillId="0" borderId="0" xfId="0" applyNumberFormat="1" applyFont="1" applyAlignment="1">
      <alignment horizontal="center" vertical="center"/>
    </xf>
    <xf numFmtId="38" fontId="70" fillId="0" borderId="0" xfId="0" applyNumberFormat="1" applyFont="1" applyAlignment="1">
      <alignment vertical="center"/>
    </xf>
    <xf numFmtId="41" fontId="11" fillId="0" borderId="0" xfId="2" applyFont="1" applyFill="1" applyAlignment="1">
      <alignment vertical="center"/>
    </xf>
    <xf numFmtId="38" fontId="91" fillId="10" borderId="0" xfId="0" applyNumberFormat="1" applyFont="1" applyFill="1" applyAlignment="1">
      <alignment vertical="center"/>
    </xf>
    <xf numFmtId="38" fontId="70" fillId="0" borderId="0" xfId="0" applyNumberFormat="1" applyFont="1" applyAlignment="1">
      <alignment horizontal="center" vertical="center"/>
    </xf>
    <xf numFmtId="175" fontId="80" fillId="0" borderId="78" xfId="0" applyNumberFormat="1" applyFont="1" applyBorder="1" applyAlignment="1">
      <alignment vertical="center"/>
    </xf>
    <xf numFmtId="0" fontId="92" fillId="0" borderId="0" xfId="0" applyFont="1" applyAlignment="1">
      <alignment vertical="center"/>
    </xf>
    <xf numFmtId="49" fontId="92" fillId="0" borderId="0" xfId="0" applyNumberFormat="1" applyFont="1" applyAlignment="1">
      <alignment vertical="center"/>
    </xf>
    <xf numFmtId="49" fontId="93" fillId="0" borderId="0" xfId="0" applyNumberFormat="1" applyFont="1" applyAlignment="1">
      <alignment horizontal="right" vertical="center"/>
    </xf>
    <xf numFmtId="41" fontId="87" fillId="0" borderId="0" xfId="2" applyFont="1" applyFill="1" applyAlignment="1">
      <alignment vertical="center"/>
    </xf>
    <xf numFmtId="38" fontId="82" fillId="0" borderId="0" xfId="0" applyNumberFormat="1" applyFont="1" applyAlignment="1">
      <alignment horizontal="center" vertical="center"/>
    </xf>
    <xf numFmtId="175" fontId="25" fillId="3" borderId="0" xfId="0" applyNumberFormat="1" applyFont="1" applyFill="1" applyAlignment="1">
      <alignment vertical="center"/>
    </xf>
    <xf numFmtId="175" fontId="26" fillId="3" borderId="0" xfId="0" applyNumberFormat="1" applyFont="1" applyFill="1" applyAlignment="1">
      <alignment vertical="center"/>
    </xf>
    <xf numFmtId="175" fontId="25" fillId="0" borderId="82" xfId="0" applyNumberFormat="1" applyFont="1" applyBorder="1" applyAlignment="1">
      <alignment vertical="center"/>
    </xf>
    <xf numFmtId="49" fontId="87" fillId="0" borderId="0" xfId="0" applyNumberFormat="1" applyFont="1" applyAlignment="1">
      <alignment vertical="center"/>
    </xf>
    <xf numFmtId="38" fontId="28" fillId="6" borderId="0" xfId="0" applyNumberFormat="1" applyFont="1" applyFill="1" applyAlignment="1">
      <alignment vertical="center"/>
    </xf>
    <xf numFmtId="173" fontId="80" fillId="0" borderId="0" xfId="0" applyNumberFormat="1" applyFont="1" applyAlignment="1">
      <alignment vertical="center"/>
    </xf>
    <xf numFmtId="173" fontId="82" fillId="0" borderId="0" xfId="0" applyNumberFormat="1" applyFont="1" applyAlignment="1">
      <alignment vertical="center"/>
    </xf>
    <xf numFmtId="173" fontId="26" fillId="0" borderId="0" xfId="0" applyNumberFormat="1" applyFont="1" applyAlignment="1">
      <alignment horizontal="center" vertical="center"/>
    </xf>
    <xf numFmtId="173" fontId="26" fillId="0" borderId="0" xfId="0" applyNumberFormat="1" applyFont="1" applyAlignment="1">
      <alignment vertical="center"/>
    </xf>
    <xf numFmtId="182" fontId="44" fillId="8" borderId="2" xfId="0" applyNumberFormat="1" applyFont="1" applyFill="1" applyBorder="1" applyAlignment="1">
      <alignment horizontal="right" vertical="top" wrapText="1"/>
    </xf>
    <xf numFmtId="173" fontId="82" fillId="0" borderId="0" xfId="0" applyNumberFormat="1" applyFont="1" applyAlignment="1">
      <alignment horizontal="center" vertical="center"/>
    </xf>
    <xf numFmtId="173" fontId="25" fillId="0" borderId="0" xfId="0" applyNumberFormat="1" applyFont="1" applyAlignment="1">
      <alignment horizontal="center" vertical="center"/>
    </xf>
    <xf numFmtId="173" fontId="80" fillId="0" borderId="0" xfId="0" applyNumberFormat="1" applyFont="1" applyAlignment="1">
      <alignment horizontal="center" vertical="center"/>
    </xf>
    <xf numFmtId="38" fontId="25" fillId="3" borderId="0" xfId="0" applyNumberFormat="1" applyFont="1" applyFill="1" applyAlignment="1">
      <alignment vertical="center"/>
    </xf>
    <xf numFmtId="38" fontId="25" fillId="3" borderId="0" xfId="0" applyNumberFormat="1" applyFont="1" applyFill="1" applyAlignment="1">
      <alignment horizontal="center" vertical="center"/>
    </xf>
    <xf numFmtId="175" fontId="26" fillId="3" borderId="0" xfId="0" applyNumberFormat="1" applyFont="1" applyFill="1" applyAlignment="1">
      <alignment horizontal="center" vertical="center"/>
    </xf>
    <xf numFmtId="173" fontId="94" fillId="0" borderId="0" xfId="12" applyFont="1" applyAlignment="1">
      <alignment horizontal="center"/>
    </xf>
    <xf numFmtId="0" fontId="94" fillId="0" borderId="0" xfId="13"/>
    <xf numFmtId="0" fontId="94" fillId="0" borderId="102" xfId="13" applyBorder="1"/>
    <xf numFmtId="0" fontId="94" fillId="0" borderId="102" xfId="13" applyBorder="1" applyAlignment="1">
      <alignment horizontal="center"/>
    </xf>
    <xf numFmtId="188" fontId="94" fillId="0" borderId="102" xfId="13" applyNumberFormat="1" applyBorder="1" applyAlignment="1">
      <alignment horizontal="center"/>
    </xf>
    <xf numFmtId="188" fontId="94" fillId="0" borderId="102" xfId="13" applyNumberFormat="1" applyBorder="1"/>
    <xf numFmtId="43" fontId="25" fillId="0" borderId="0" xfId="1" applyFont="1" applyFill="1" applyAlignment="1">
      <alignment vertical="center"/>
    </xf>
    <xf numFmtId="43" fontId="25" fillId="0" borderId="0" xfId="0" applyNumberFormat="1" applyFont="1" applyAlignment="1">
      <alignment vertical="center"/>
    </xf>
    <xf numFmtId="41" fontId="25" fillId="20" borderId="0" xfId="2" applyFont="1" applyFill="1" applyAlignment="1">
      <alignment vertical="center"/>
    </xf>
    <xf numFmtId="173" fontId="25" fillId="20" borderId="0" xfId="0" applyNumberFormat="1" applyFont="1" applyFill="1" applyAlignment="1">
      <alignment vertical="center"/>
    </xf>
    <xf numFmtId="189" fontId="25" fillId="0" borderId="0" xfId="0" applyNumberFormat="1" applyFont="1" applyAlignment="1">
      <alignment vertical="center"/>
    </xf>
    <xf numFmtId="0" fontId="48" fillId="6" borderId="0" xfId="0" quotePrefix="1" applyFont="1" applyFill="1" applyAlignment="1">
      <alignment horizontal="left" vertical="center"/>
    </xf>
    <xf numFmtId="0" fontId="42" fillId="6" borderId="0" xfId="0" quotePrefix="1" applyFont="1" applyFill="1" applyAlignment="1">
      <alignment horizontal="left" vertical="center"/>
    </xf>
    <xf numFmtId="168" fontId="47" fillId="0" borderId="0" xfId="0" applyNumberFormat="1" applyFont="1" applyAlignment="1">
      <alignment vertical="center"/>
    </xf>
    <xf numFmtId="0" fontId="42" fillId="0" borderId="0" xfId="0" applyFont="1" applyAlignment="1">
      <alignment horizontal="left" vertical="center"/>
    </xf>
    <xf numFmtId="38" fontId="42" fillId="0" borderId="0" xfId="0" applyNumberFormat="1" applyFont="1" applyAlignment="1">
      <alignment vertical="center"/>
    </xf>
    <xf numFmtId="175" fontId="42" fillId="0" borderId="0" xfId="0" applyNumberFormat="1" applyFont="1" applyAlignment="1">
      <alignment horizontal="center" vertical="center"/>
    </xf>
    <xf numFmtId="175" fontId="42" fillId="0" borderId="0" xfId="0" applyNumberFormat="1" applyFont="1" applyAlignment="1">
      <alignment vertical="center"/>
    </xf>
    <xf numFmtId="0" fontId="27" fillId="0" borderId="0" xfId="0" applyFont="1" applyAlignment="1">
      <alignment horizontal="right" vertical="center"/>
    </xf>
    <xf numFmtId="0" fontId="27" fillId="0" borderId="0" xfId="0" applyFont="1" applyAlignment="1">
      <alignment horizontal="left" vertical="center" readingOrder="1"/>
    </xf>
    <xf numFmtId="0" fontId="95" fillId="0" borderId="0" xfId="0" applyFont="1" applyAlignment="1">
      <alignment horizontal="left" vertical="center" readingOrder="1"/>
    </xf>
    <xf numFmtId="175" fontId="96" fillId="0" borderId="0" xfId="0" applyNumberFormat="1" applyFont="1" applyAlignment="1">
      <alignment horizontal="center" vertical="center"/>
    </xf>
    <xf numFmtId="0" fontId="95" fillId="0" borderId="0" xfId="0" applyFont="1" applyAlignment="1">
      <alignment vertical="center"/>
    </xf>
    <xf numFmtId="0" fontId="25" fillId="0" borderId="78" xfId="0" applyFont="1" applyBorder="1" applyAlignment="1">
      <alignment vertical="center"/>
    </xf>
    <xf numFmtId="38" fontId="27" fillId="0" borderId="0" xfId="0" applyNumberFormat="1" applyFont="1" applyAlignment="1">
      <alignment horizontal="right" vertical="center"/>
    </xf>
    <xf numFmtId="38" fontId="97" fillId="0" borderId="0" xfId="0" applyNumberFormat="1" applyFont="1" applyAlignment="1">
      <alignment horizontal="right" vertical="center"/>
    </xf>
    <xf numFmtId="0" fontId="98" fillId="0" borderId="0" xfId="0" applyFont="1" applyAlignment="1">
      <alignment vertical="center"/>
    </xf>
    <xf numFmtId="49" fontId="47" fillId="0" borderId="0" xfId="0" applyNumberFormat="1" applyFont="1" applyAlignment="1">
      <alignment vertical="center"/>
    </xf>
    <xf numFmtId="49" fontId="48" fillId="6" borderId="0" xfId="0" quotePrefix="1" applyNumberFormat="1" applyFont="1" applyFill="1" applyAlignment="1">
      <alignment horizontal="left" vertical="center"/>
    </xf>
    <xf numFmtId="49" fontId="48" fillId="6" borderId="0" xfId="0" applyNumberFormat="1" applyFont="1" applyFill="1" applyAlignment="1">
      <alignment vertical="center"/>
    </xf>
    <xf numFmtId="49" fontId="48" fillId="6" borderId="0" xfId="0" applyNumberFormat="1" applyFont="1" applyFill="1" applyAlignment="1">
      <alignment horizontal="center" vertical="center"/>
    </xf>
    <xf numFmtId="49" fontId="55" fillId="6" borderId="0" xfId="0" applyNumberFormat="1" applyFont="1" applyFill="1" applyAlignment="1">
      <alignment vertical="center"/>
    </xf>
    <xf numFmtId="49" fontId="47" fillId="6" borderId="0" xfId="0" applyNumberFormat="1" applyFont="1" applyFill="1" applyAlignment="1">
      <alignment vertical="center"/>
    </xf>
    <xf numFmtId="49" fontId="48" fillId="6" borderId="0" xfId="0" applyNumberFormat="1" applyFont="1" applyFill="1" applyAlignment="1">
      <alignment horizontal="right" vertical="center"/>
    </xf>
    <xf numFmtId="41" fontId="58" fillId="0" borderId="0" xfId="2" applyFont="1" applyFill="1" applyAlignment="1">
      <alignment vertical="center"/>
    </xf>
    <xf numFmtId="169" fontId="59" fillId="0" borderId="0" xfId="0" applyNumberFormat="1" applyFont="1" applyAlignment="1">
      <alignment horizontal="right" vertical="center"/>
    </xf>
    <xf numFmtId="0" fontId="59" fillId="0" borderId="0" xfId="0" applyFont="1" applyAlignment="1">
      <alignment horizontal="center" vertical="center"/>
    </xf>
    <xf numFmtId="168" fontId="77" fillId="0" borderId="0" xfId="0" applyNumberFormat="1" applyFont="1" applyAlignment="1">
      <alignment horizontal="left" vertical="center"/>
    </xf>
    <xf numFmtId="0" fontId="58" fillId="0" borderId="50" xfId="0" applyFont="1" applyBorder="1" applyAlignment="1">
      <alignment vertical="center"/>
    </xf>
    <xf numFmtId="38" fontId="58" fillId="0" borderId="0" xfId="0" applyNumberFormat="1" applyFont="1" applyAlignment="1">
      <alignment horizontal="right" vertical="center"/>
    </xf>
    <xf numFmtId="0" fontId="58" fillId="0" borderId="0" xfId="0" applyFont="1" applyAlignment="1">
      <alignment horizontal="right" vertical="center"/>
    </xf>
    <xf numFmtId="0" fontId="77" fillId="0" borderId="51" xfId="0" applyFont="1" applyBorder="1" applyAlignment="1">
      <alignment horizontal="right" vertical="center"/>
    </xf>
    <xf numFmtId="0" fontId="58" fillId="0" borderId="50" xfId="0" applyFont="1" applyBorder="1" applyAlignment="1">
      <alignment horizontal="center" vertical="center"/>
    </xf>
    <xf numFmtId="0" fontId="58" fillId="0" borderId="0" xfId="0" applyFont="1" applyAlignment="1">
      <alignment horizontal="left" vertical="center"/>
    </xf>
    <xf numFmtId="0" fontId="58" fillId="0" borderId="51" xfId="0" applyFont="1" applyBorder="1" applyAlignment="1">
      <alignment horizontal="center" vertical="center"/>
    </xf>
    <xf numFmtId="38" fontId="58" fillId="0" borderId="16" xfId="0" applyNumberFormat="1" applyFont="1" applyBorder="1" applyAlignment="1">
      <alignment horizontal="right" vertical="center"/>
    </xf>
    <xf numFmtId="41" fontId="58" fillId="0" borderId="0" xfId="2" applyFont="1" applyFill="1" applyBorder="1" applyAlignment="1">
      <alignment vertical="center"/>
    </xf>
    <xf numFmtId="0" fontId="58" fillId="0" borderId="59" xfId="0" applyFont="1" applyBorder="1" applyAlignment="1">
      <alignment vertical="center"/>
    </xf>
    <xf numFmtId="0" fontId="58" fillId="0" borderId="37" xfId="0" applyFont="1" applyBorder="1" applyAlignment="1">
      <alignment vertical="center"/>
    </xf>
    <xf numFmtId="38" fontId="58" fillId="0" borderId="37" xfId="0" applyNumberFormat="1" applyFont="1" applyBorder="1" applyAlignment="1">
      <alignment horizontal="right" vertical="center"/>
    </xf>
    <xf numFmtId="0" fontId="58" fillId="0" borderId="37" xfId="0" applyFont="1" applyBorder="1" applyAlignment="1">
      <alignment horizontal="right" vertical="center"/>
    </xf>
    <xf numFmtId="0" fontId="58" fillId="0" borderId="61" xfId="0" applyFont="1" applyBorder="1" applyAlignment="1">
      <alignment horizontal="right" vertical="center"/>
    </xf>
    <xf numFmtId="177" fontId="58" fillId="0" borderId="21" xfId="0" applyNumberFormat="1" applyFont="1" applyBorder="1" applyAlignment="1">
      <alignment horizontal="center" vertical="center"/>
    </xf>
    <xf numFmtId="177" fontId="58" fillId="0" borderId="0" xfId="0" applyNumberFormat="1" applyFont="1" applyAlignment="1">
      <alignment horizontal="center" vertical="center"/>
    </xf>
    <xf numFmtId="177" fontId="58" fillId="0" borderId="16" xfId="0" applyNumberFormat="1" applyFont="1" applyBorder="1" applyAlignment="1">
      <alignment horizontal="center" vertical="center"/>
    </xf>
    <xf numFmtId="0" fontId="77" fillId="0" borderId="0" xfId="0" applyFont="1" applyAlignment="1">
      <alignment horizontal="left" vertical="center"/>
    </xf>
    <xf numFmtId="0" fontId="58" fillId="0" borderId="109" xfId="0" applyFont="1" applyBorder="1" applyAlignment="1">
      <alignment horizontal="center" vertical="center"/>
    </xf>
    <xf numFmtId="0" fontId="58" fillId="0" borderId="78" xfId="0" applyFont="1" applyBorder="1" applyAlignment="1">
      <alignment vertical="center"/>
    </xf>
    <xf numFmtId="38" fontId="58" fillId="0" borderId="78" xfId="0" applyNumberFormat="1" applyFont="1" applyBorder="1" applyAlignment="1">
      <alignment horizontal="right" vertical="center"/>
    </xf>
    <xf numFmtId="0" fontId="77" fillId="0" borderId="78" xfId="0" applyFont="1" applyBorder="1" applyAlignment="1">
      <alignment horizontal="left" vertical="center"/>
    </xf>
    <xf numFmtId="0" fontId="29" fillId="0" borderId="78" xfId="0" applyFont="1" applyBorder="1" applyAlignment="1">
      <alignment horizontal="right" vertical="center"/>
    </xf>
    <xf numFmtId="0" fontId="77" fillId="0" borderId="111" xfId="0" applyFont="1" applyBorder="1" applyAlignment="1">
      <alignment horizontal="right" vertical="center"/>
    </xf>
    <xf numFmtId="0" fontId="59" fillId="0" borderId="0" xfId="0" applyFont="1" applyAlignment="1">
      <alignment vertical="center"/>
    </xf>
    <xf numFmtId="0" fontId="59" fillId="0" borderId="0" xfId="0" applyFont="1" applyAlignment="1">
      <alignment horizontal="right" vertical="center"/>
    </xf>
    <xf numFmtId="0" fontId="65" fillId="0" borderId="50" xfId="0" applyFont="1" applyBorder="1" applyAlignment="1">
      <alignment horizontal="right" vertical="center"/>
    </xf>
    <xf numFmtId="185" fontId="25" fillId="0" borderId="0" xfId="0" applyNumberFormat="1" applyFont="1" applyAlignment="1">
      <alignment vertical="center"/>
    </xf>
    <xf numFmtId="0" fontId="62" fillId="0" borderId="0" xfId="0" applyFont="1" applyAlignment="1">
      <alignment vertical="center"/>
    </xf>
    <xf numFmtId="0" fontId="100" fillId="0" borderId="0" xfId="0" applyFont="1" applyAlignment="1">
      <alignment horizontal="left" vertical="center"/>
    </xf>
    <xf numFmtId="177" fontId="101" fillId="0" borderId="0" xfId="0" applyNumberFormat="1" applyFont="1" applyAlignment="1">
      <alignment horizontal="center" vertical="center"/>
    </xf>
    <xf numFmtId="0" fontId="102" fillId="0" borderId="0" xfId="0" applyFont="1" applyAlignment="1">
      <alignment horizontal="right" vertical="center"/>
    </xf>
    <xf numFmtId="41" fontId="27" fillId="0" borderId="0" xfId="2" applyFont="1" applyFill="1" applyAlignment="1">
      <alignment vertical="center"/>
    </xf>
    <xf numFmtId="49" fontId="48" fillId="6" borderId="0" xfId="0" applyNumberFormat="1" applyFont="1" applyFill="1" applyAlignment="1">
      <alignment horizontal="left" vertical="center"/>
    </xf>
    <xf numFmtId="49" fontId="26" fillId="0" borderId="0" xfId="0" applyNumberFormat="1" applyFont="1" applyAlignment="1">
      <alignment horizontal="left" vertical="center"/>
    </xf>
    <xf numFmtId="49" fontId="26" fillId="0" borderId="0" xfId="0" applyNumberFormat="1" applyFont="1" applyAlignment="1">
      <alignment vertical="center"/>
    </xf>
    <xf numFmtId="49" fontId="28" fillId="0" borderId="0" xfId="0" applyNumberFormat="1" applyFont="1" applyAlignment="1">
      <alignment vertical="center"/>
    </xf>
    <xf numFmtId="49" fontId="26" fillId="0" borderId="0" xfId="0" applyNumberFormat="1" applyFont="1" applyAlignment="1">
      <alignment horizontal="right" vertical="center"/>
    </xf>
    <xf numFmtId="0" fontId="25" fillId="0" borderId="15" xfId="0" applyFont="1" applyBorder="1" applyAlignment="1">
      <alignment vertical="center"/>
    </xf>
    <xf numFmtId="0" fontId="65" fillId="0" borderId="20" xfId="0" applyFont="1" applyBorder="1" applyAlignment="1">
      <alignment horizontal="right" vertical="center"/>
    </xf>
    <xf numFmtId="0" fontId="25" fillId="0" borderId="67" xfId="0" applyFont="1" applyBorder="1" applyAlignment="1">
      <alignment vertical="center"/>
    </xf>
    <xf numFmtId="0" fontId="25" fillId="0" borderId="119" xfId="0" applyFont="1" applyBorder="1" applyAlignment="1">
      <alignment vertical="center"/>
    </xf>
    <xf numFmtId="0" fontId="65" fillId="0" borderId="119" xfId="0" applyFont="1" applyBorder="1" applyAlignment="1">
      <alignment horizontal="right" vertical="center"/>
    </xf>
    <xf numFmtId="0" fontId="65" fillId="0" borderId="71" xfId="0" applyFont="1" applyBorder="1" applyAlignment="1">
      <alignment horizontal="right" vertical="center"/>
    </xf>
    <xf numFmtId="39" fontId="25" fillId="0" borderId="53" xfId="2" applyNumberFormat="1" applyFont="1" applyFill="1" applyBorder="1" applyAlignment="1">
      <alignment vertical="center"/>
    </xf>
    <xf numFmtId="39" fontId="25" fillId="0" borderId="0" xfId="2" applyNumberFormat="1" applyFont="1" applyFill="1" applyBorder="1" applyAlignment="1">
      <alignment vertical="center"/>
    </xf>
    <xf numFmtId="39" fontId="25" fillId="0" borderId="108" xfId="2" applyNumberFormat="1" applyFont="1" applyFill="1" applyBorder="1" applyAlignment="1">
      <alignment vertical="center"/>
    </xf>
    <xf numFmtId="39" fontId="58" fillId="0" borderId="0" xfId="0" applyNumberFormat="1" applyFont="1" applyAlignment="1">
      <alignment vertical="center"/>
    </xf>
    <xf numFmtId="0" fontId="25" fillId="0" borderId="125" xfId="0" applyFont="1" applyBorder="1" applyAlignment="1">
      <alignment vertical="center"/>
    </xf>
    <xf numFmtId="0" fontId="65" fillId="0" borderId="78" xfId="0" applyFont="1" applyBorder="1" applyAlignment="1">
      <alignment horizontal="right" vertical="center"/>
    </xf>
    <xf numFmtId="0" fontId="65" fillId="0" borderId="126" xfId="0" applyFont="1" applyBorder="1" applyAlignment="1">
      <alignment horizontal="right" vertical="center"/>
    </xf>
    <xf numFmtId="0" fontId="26" fillId="0" borderId="67" xfId="0" applyFont="1" applyBorder="1" applyAlignment="1">
      <alignment vertical="center"/>
    </xf>
    <xf numFmtId="0" fontId="26" fillId="0" borderId="119" xfId="0" applyFont="1" applyBorder="1" applyAlignment="1">
      <alignment vertical="center"/>
    </xf>
    <xf numFmtId="0" fontId="77" fillId="0" borderId="119" xfId="0" applyFont="1" applyBorder="1" applyAlignment="1">
      <alignment horizontal="right" vertical="center"/>
    </xf>
    <xf numFmtId="0" fontId="77" fillId="0" borderId="71" xfId="0" applyFont="1" applyBorder="1" applyAlignment="1">
      <alignment horizontal="right" vertical="center"/>
    </xf>
    <xf numFmtId="0" fontId="58" fillId="0" borderId="119" xfId="0" applyFont="1" applyBorder="1" applyAlignment="1">
      <alignment vertical="center"/>
    </xf>
    <xf numFmtId="0" fontId="58" fillId="0" borderId="71" xfId="0" applyFont="1" applyBorder="1" applyAlignment="1">
      <alignment vertical="center"/>
    </xf>
    <xf numFmtId="0" fontId="58" fillId="0" borderId="20" xfId="0" applyFont="1" applyBorder="1" applyAlignment="1">
      <alignment vertical="center"/>
    </xf>
    <xf numFmtId="185" fontId="26" fillId="0" borderId="0" xfId="0" applyNumberFormat="1" applyFont="1" applyAlignment="1">
      <alignment horizontal="left" vertical="center"/>
    </xf>
    <xf numFmtId="190" fontId="25" fillId="0" borderId="0" xfId="2" applyNumberFormat="1" applyFont="1" applyFill="1" applyAlignment="1">
      <alignment vertical="center"/>
    </xf>
    <xf numFmtId="0" fontId="59" fillId="0" borderId="50" xfId="0" applyFont="1" applyBorder="1" applyAlignment="1">
      <alignment vertical="center"/>
    </xf>
    <xf numFmtId="4" fontId="77" fillId="0" borderId="51" xfId="0" applyNumberFormat="1" applyFont="1" applyBorder="1" applyAlignment="1">
      <alignment horizontal="right" vertical="center"/>
    </xf>
    <xf numFmtId="4" fontId="59" fillId="0" borderId="53" xfId="0" applyNumberFormat="1" applyFont="1" applyBorder="1" applyAlignment="1">
      <alignment vertical="center"/>
    </xf>
    <xf numFmtId="41" fontId="26" fillId="0" borderId="0" xfId="2" applyFont="1" applyFill="1" applyBorder="1" applyAlignment="1">
      <alignment vertical="center"/>
    </xf>
    <xf numFmtId="177" fontId="59" fillId="0" borderId="21" xfId="0" applyNumberFormat="1" applyFont="1" applyBorder="1" applyAlignment="1">
      <alignment vertical="center"/>
    </xf>
    <xf numFmtId="177" fontId="59" fillId="0" borderId="0" xfId="0" applyNumberFormat="1" applyFont="1" applyAlignment="1">
      <alignment vertical="center"/>
    </xf>
    <xf numFmtId="177" fontId="59" fillId="0" borderId="16" xfId="0" applyNumberFormat="1" applyFont="1" applyBorder="1" applyAlignment="1">
      <alignment vertical="center"/>
    </xf>
    <xf numFmtId="0" fontId="58" fillId="0" borderId="50" xfId="0" applyFont="1" applyBorder="1" applyAlignment="1">
      <alignment horizontal="left" vertical="center"/>
    </xf>
    <xf numFmtId="177" fontId="58" fillId="0" borderId="0" xfId="0" applyNumberFormat="1" applyFont="1" applyAlignment="1">
      <alignment vertical="center"/>
    </xf>
    <xf numFmtId="177" fontId="58" fillId="0" borderId="21" xfId="0" applyNumberFormat="1" applyFont="1" applyBorder="1" applyAlignment="1">
      <alignment vertical="center"/>
    </xf>
    <xf numFmtId="0" fontId="65" fillId="0" borderId="51" xfId="0" applyFont="1" applyBorder="1" applyAlignment="1">
      <alignment horizontal="right" vertical="center"/>
    </xf>
    <xf numFmtId="177" fontId="25" fillId="0" borderId="99" xfId="0" applyNumberFormat="1" applyFont="1" applyBorder="1" applyAlignment="1">
      <alignment vertical="center"/>
    </xf>
    <xf numFmtId="0" fontId="65" fillId="0" borderId="127" xfId="0" applyFont="1" applyBorder="1" applyAlignment="1">
      <alignment horizontal="right" vertical="center"/>
    </xf>
    <xf numFmtId="177" fontId="58" fillId="0" borderId="16" xfId="0" applyNumberFormat="1" applyFont="1" applyBorder="1" applyAlignment="1">
      <alignment vertical="center"/>
    </xf>
    <xf numFmtId="0" fontId="29" fillId="0" borderId="127" xfId="0" applyFont="1" applyBorder="1" applyAlignment="1">
      <alignment horizontal="right" vertical="center"/>
    </xf>
    <xf numFmtId="177" fontId="59" fillId="0" borderId="12" xfId="0" applyNumberFormat="1" applyFont="1" applyBorder="1" applyAlignment="1">
      <alignment vertical="center"/>
    </xf>
    <xf numFmtId="177" fontId="59" fillId="0" borderId="54" xfId="0" applyNumberFormat="1" applyFont="1" applyBorder="1" applyAlignment="1">
      <alignment vertical="center"/>
    </xf>
    <xf numFmtId="177" fontId="59" fillId="0" borderId="55" xfId="0" applyNumberFormat="1" applyFont="1" applyBorder="1" applyAlignment="1">
      <alignment vertical="center"/>
    </xf>
    <xf numFmtId="177" fontId="58" fillId="0" borderId="54" xfId="0" applyNumberFormat="1" applyFont="1" applyBorder="1" applyAlignment="1">
      <alignment vertical="center"/>
    </xf>
    <xf numFmtId="177" fontId="58" fillId="0" borderId="55" xfId="0" applyNumberFormat="1" applyFont="1" applyBorder="1" applyAlignment="1">
      <alignment vertical="center"/>
    </xf>
    <xf numFmtId="0" fontId="58" fillId="0" borderId="59" xfId="0" applyFont="1" applyBorder="1" applyAlignment="1">
      <alignment horizontal="right" vertical="center"/>
    </xf>
    <xf numFmtId="4" fontId="59" fillId="0" borderId="47" xfId="0" applyNumberFormat="1" applyFont="1" applyBorder="1" applyAlignment="1">
      <alignment vertical="center"/>
    </xf>
    <xf numFmtId="4" fontId="65" fillId="0" borderId="37" xfId="0" applyNumberFormat="1" applyFont="1" applyBorder="1" applyAlignment="1">
      <alignment horizontal="right" vertical="center"/>
    </xf>
    <xf numFmtId="0" fontId="59" fillId="0" borderId="59" xfId="0" applyFont="1" applyBorder="1" applyAlignment="1">
      <alignment vertical="center"/>
    </xf>
    <xf numFmtId="0" fontId="59" fillId="0" borderId="37" xfId="0" applyFont="1" applyBorder="1" applyAlignment="1">
      <alignment vertical="center"/>
    </xf>
    <xf numFmtId="0" fontId="59" fillId="0" borderId="19" xfId="0" applyFont="1" applyBorder="1" applyAlignment="1">
      <alignment vertical="center"/>
    </xf>
    <xf numFmtId="177" fontId="59" fillId="0" borderId="19" xfId="0" applyNumberFormat="1" applyFont="1" applyBorder="1" applyAlignment="1">
      <alignment horizontal="center" vertical="center"/>
    </xf>
    <xf numFmtId="4" fontId="59" fillId="0" borderId="19" xfId="0" applyNumberFormat="1" applyFont="1" applyBorder="1" applyAlignment="1">
      <alignment horizontal="center" vertical="center"/>
    </xf>
    <xf numFmtId="4" fontId="77" fillId="0" borderId="19" xfId="0" applyNumberFormat="1" applyFont="1" applyBorder="1" applyAlignment="1">
      <alignment horizontal="right" vertical="center"/>
    </xf>
    <xf numFmtId="38" fontId="55" fillId="0" borderId="0" xfId="0" applyNumberFormat="1" applyFont="1" applyAlignment="1">
      <alignment vertical="center"/>
    </xf>
    <xf numFmtId="0" fontId="48" fillId="0" borderId="0" xfId="0" applyFont="1" applyAlignment="1">
      <alignment horizontal="right" vertical="center"/>
    </xf>
    <xf numFmtId="41" fontId="47" fillId="0" borderId="52" xfId="2" applyFont="1" applyFill="1" applyBorder="1" applyAlignment="1">
      <alignment vertical="center"/>
    </xf>
    <xf numFmtId="177" fontId="47" fillId="0" borderId="99" xfId="0" applyNumberFormat="1" applyFont="1" applyBorder="1" applyAlignment="1">
      <alignment vertical="center"/>
    </xf>
    <xf numFmtId="0" fontId="26" fillId="0" borderId="50" xfId="0" applyFont="1" applyBorder="1" applyAlignment="1">
      <alignment vertical="center"/>
    </xf>
    <xf numFmtId="4" fontId="26" fillId="0" borderId="16" xfId="0" applyNumberFormat="1" applyFont="1" applyBorder="1" applyAlignment="1">
      <alignment vertical="center"/>
    </xf>
    <xf numFmtId="4" fontId="26" fillId="0" borderId="0" xfId="0" applyNumberFormat="1" applyFont="1" applyAlignment="1">
      <alignment vertical="center"/>
    </xf>
    <xf numFmtId="0" fontId="26" fillId="0" borderId="50" xfId="0" applyFont="1" applyBorder="1" applyAlignment="1">
      <alignment horizontal="left" vertical="center"/>
    </xf>
    <xf numFmtId="0" fontId="25" fillId="0" borderId="50" xfId="0" applyFont="1" applyBorder="1" applyAlignment="1">
      <alignment horizontal="left" vertical="center"/>
    </xf>
    <xf numFmtId="0" fontId="25" fillId="0" borderId="50" xfId="0" applyFont="1" applyBorder="1" applyAlignment="1">
      <alignment horizontal="right" vertical="center"/>
    </xf>
    <xf numFmtId="0" fontId="25" fillId="0" borderId="59" xfId="0" applyFont="1" applyBorder="1" applyAlignment="1">
      <alignment horizontal="right" vertical="center"/>
    </xf>
    <xf numFmtId="0" fontId="25" fillId="0" borderId="37" xfId="0" applyFont="1" applyBorder="1" applyAlignment="1">
      <alignment vertical="center"/>
    </xf>
    <xf numFmtId="4" fontId="26" fillId="0" borderId="37" xfId="0" applyNumberFormat="1" applyFont="1" applyBorder="1" applyAlignment="1">
      <alignment vertical="center"/>
    </xf>
    <xf numFmtId="4" fontId="26" fillId="0" borderId="47" xfId="0" applyNumberFormat="1" applyFont="1" applyBorder="1" applyAlignment="1">
      <alignment vertical="center"/>
    </xf>
    <xf numFmtId="38" fontId="77" fillId="0" borderId="21" xfId="0" applyNumberFormat="1" applyFont="1" applyBorder="1" applyAlignment="1">
      <alignment horizontal="center" vertical="center"/>
    </xf>
    <xf numFmtId="38" fontId="77" fillId="0" borderId="0" xfId="0" applyNumberFormat="1" applyFont="1" applyAlignment="1">
      <alignment horizontal="center" vertical="center"/>
    </xf>
    <xf numFmtId="38" fontId="77" fillId="0" borderId="16" xfId="0" applyNumberFormat="1" applyFont="1" applyBorder="1" applyAlignment="1">
      <alignment horizontal="center" vertical="center"/>
    </xf>
    <xf numFmtId="38" fontId="59" fillId="0" borderId="0" xfId="0" applyNumberFormat="1" applyFont="1" applyAlignment="1">
      <alignment horizontal="center" vertical="center"/>
    </xf>
    <xf numFmtId="38" fontId="59" fillId="0" borderId="51" xfId="0" applyNumberFormat="1" applyFont="1" applyBorder="1" applyAlignment="1">
      <alignment horizontal="center" vertical="center"/>
    </xf>
    <xf numFmtId="0" fontId="25" fillId="0" borderId="50" xfId="0" applyFont="1" applyBorder="1" applyAlignment="1">
      <alignment vertical="center"/>
    </xf>
    <xf numFmtId="0" fontId="26" fillId="0" borderId="59" xfId="0" applyFont="1" applyBorder="1" applyAlignment="1">
      <alignment vertical="center"/>
    </xf>
    <xf numFmtId="0" fontId="26" fillId="0" borderId="37" xfId="0" applyFont="1" applyBorder="1" applyAlignment="1">
      <alignment vertical="center"/>
    </xf>
    <xf numFmtId="38" fontId="11" fillId="0" borderId="0" xfId="0" applyNumberFormat="1" applyFont="1" applyAlignment="1">
      <alignment vertical="center"/>
    </xf>
    <xf numFmtId="38" fontId="11" fillId="0" borderId="0" xfId="0" applyNumberFormat="1" applyFont="1" applyAlignment="1">
      <alignment horizontal="right" vertical="center"/>
    </xf>
    <xf numFmtId="38" fontId="24" fillId="0" borderId="0" xfId="0" applyNumberFormat="1" applyFont="1" applyAlignment="1">
      <alignment vertical="center"/>
    </xf>
    <xf numFmtId="38" fontId="24" fillId="0" borderId="0" xfId="0" applyNumberFormat="1" applyFont="1" applyAlignment="1">
      <alignment horizontal="right" vertical="center"/>
    </xf>
    <xf numFmtId="38" fontId="58" fillId="0" borderId="0" xfId="0" applyNumberFormat="1" applyFont="1" applyAlignment="1">
      <alignment vertical="center"/>
    </xf>
    <xf numFmtId="43" fontId="26" fillId="0" borderId="0" xfId="1" applyFont="1" applyFill="1" applyBorder="1" applyAlignment="1" applyProtection="1">
      <alignment vertical="center"/>
    </xf>
    <xf numFmtId="4" fontId="25" fillId="0" borderId="0" xfId="0" applyNumberFormat="1" applyFont="1" applyAlignment="1">
      <alignment horizontal="left" vertical="center"/>
    </xf>
    <xf numFmtId="38" fontId="47" fillId="0" borderId="0" xfId="0" applyNumberFormat="1" applyFont="1" applyAlignment="1">
      <alignment horizontal="right" vertical="center"/>
    </xf>
    <xf numFmtId="0" fontId="106" fillId="0" borderId="0" xfId="0" applyFont="1" applyAlignment="1">
      <alignment horizontal="left" vertical="center" readingOrder="1"/>
    </xf>
    <xf numFmtId="0" fontId="76" fillId="0" borderId="0" xfId="0" applyFont="1" applyAlignment="1">
      <alignment horizontal="right" vertical="center" readingOrder="1"/>
    </xf>
    <xf numFmtId="0" fontId="73" fillId="0" borderId="0" xfId="0" applyFont="1" applyAlignment="1">
      <alignment vertical="center"/>
    </xf>
    <xf numFmtId="0" fontId="107" fillId="0" borderId="0" xfId="0" applyFont="1" applyAlignment="1">
      <alignment horizontal="left" vertical="center" readingOrder="1"/>
    </xf>
    <xf numFmtId="38" fontId="73" fillId="0" borderId="0" xfId="0" applyNumberFormat="1" applyFont="1" applyAlignment="1">
      <alignment horizontal="right" vertical="center"/>
    </xf>
    <xf numFmtId="0" fontId="73" fillId="0" borderId="0" xfId="0" applyFont="1" applyAlignment="1">
      <alignment horizontal="right" vertical="center"/>
    </xf>
    <xf numFmtId="0" fontId="108" fillId="0" borderId="0" xfId="0" applyFont="1" applyAlignment="1">
      <alignment horizontal="right" vertical="center" readingOrder="1"/>
    </xf>
    <xf numFmtId="41" fontId="73" fillId="0" borderId="0" xfId="2" applyFont="1" applyFill="1" applyAlignment="1">
      <alignment vertical="center"/>
    </xf>
    <xf numFmtId="4" fontId="25" fillId="17" borderId="0" xfId="2" applyNumberFormat="1" applyFont="1" applyFill="1" applyAlignment="1">
      <alignment horizontal="right" vertical="center"/>
    </xf>
    <xf numFmtId="0" fontId="36" fillId="8" borderId="0" xfId="14" applyFont="1" applyFill="1" applyAlignment="1">
      <alignment vertical="center"/>
    </xf>
    <xf numFmtId="0" fontId="26" fillId="8" borderId="0" xfId="14" applyFont="1" applyFill="1"/>
    <xf numFmtId="0" fontId="25" fillId="8" borderId="0" xfId="14" applyFont="1" applyFill="1"/>
    <xf numFmtId="39" fontId="25" fillId="8" borderId="0" xfId="14" applyNumberFormat="1" applyFont="1" applyFill="1"/>
    <xf numFmtId="0" fontId="26" fillId="8" borderId="46" xfId="14" applyFont="1" applyFill="1" applyBorder="1" applyAlignment="1">
      <alignment horizontal="center" vertical="center"/>
    </xf>
    <xf numFmtId="0" fontId="26" fillId="8" borderId="58" xfId="14" applyFont="1" applyFill="1" applyBorder="1" applyAlignment="1">
      <alignment vertical="center"/>
    </xf>
    <xf numFmtId="178" fontId="26" fillId="8" borderId="46" xfId="14" applyNumberFormat="1" applyFont="1" applyFill="1" applyBorder="1" applyAlignment="1">
      <alignment horizontal="center" vertical="center"/>
    </xf>
    <xf numFmtId="178" fontId="26" fillId="8" borderId="48" xfId="14" applyNumberFormat="1" applyFont="1" applyFill="1" applyBorder="1" applyAlignment="1">
      <alignment horizontal="center" vertical="center"/>
    </xf>
    <xf numFmtId="178" fontId="26" fillId="8" borderId="19" xfId="14" applyNumberFormat="1" applyFont="1" applyFill="1" applyBorder="1" applyAlignment="1">
      <alignment horizontal="center" vertical="center"/>
    </xf>
    <xf numFmtId="178" fontId="26" fillId="8" borderId="48" xfId="14" quotePrefix="1" applyNumberFormat="1" applyFont="1" applyFill="1" applyBorder="1" applyAlignment="1">
      <alignment horizontal="center" vertical="center"/>
    </xf>
    <xf numFmtId="178" fontId="26" fillId="8" borderId="18" xfId="14" applyNumberFormat="1" applyFont="1" applyFill="1" applyBorder="1" applyAlignment="1">
      <alignment horizontal="center" vertical="center"/>
    </xf>
    <xf numFmtId="178" fontId="26" fillId="8" borderId="72" xfId="14" applyNumberFormat="1" applyFont="1" applyFill="1" applyBorder="1" applyAlignment="1">
      <alignment horizontal="center"/>
    </xf>
    <xf numFmtId="0" fontId="28" fillId="8" borderId="50" xfId="14" applyFont="1" applyFill="1" applyBorder="1" applyAlignment="1">
      <alignment horizontal="center" vertical="center"/>
    </xf>
    <xf numFmtId="0" fontId="26" fillId="8" borderId="51" xfId="14" applyFont="1" applyFill="1" applyBorder="1" applyAlignment="1">
      <alignment vertical="center"/>
    </xf>
    <xf numFmtId="17" fontId="28" fillId="8" borderId="50" xfId="14" quotePrefix="1" applyNumberFormat="1" applyFont="1" applyFill="1" applyBorder="1" applyAlignment="1">
      <alignment horizontal="center" vertical="center"/>
    </xf>
    <xf numFmtId="0" fontId="28" fillId="8" borderId="17" xfId="14" quotePrefix="1" applyFont="1" applyFill="1" applyBorder="1" applyAlignment="1">
      <alignment horizontal="center" vertical="center"/>
    </xf>
    <xf numFmtId="0" fontId="28" fillId="8" borderId="0" xfId="14" quotePrefix="1" applyFont="1" applyFill="1" applyAlignment="1">
      <alignment horizontal="center" vertical="center"/>
    </xf>
    <xf numFmtId="0" fontId="28" fillId="8" borderId="21" xfId="14" quotePrefix="1" applyFont="1" applyFill="1" applyBorder="1" applyAlignment="1">
      <alignment horizontal="center" vertical="center"/>
    </xf>
    <xf numFmtId="17" fontId="28" fillId="8" borderId="21" xfId="14" quotePrefix="1" applyNumberFormat="1" applyFont="1" applyFill="1" applyBorder="1" applyAlignment="1">
      <alignment horizontal="center" vertical="center"/>
    </xf>
    <xf numFmtId="0" fontId="28" fillId="8" borderId="127" xfId="14" applyFont="1" applyFill="1" applyBorder="1" applyAlignment="1">
      <alignment horizontal="center"/>
    </xf>
    <xf numFmtId="0" fontId="26" fillId="8" borderId="46" xfId="14" applyFont="1" applyFill="1" applyBorder="1"/>
    <xf numFmtId="0" fontId="26" fillId="8" borderId="128" xfId="14" applyFont="1" applyFill="1" applyBorder="1"/>
    <xf numFmtId="40" fontId="25" fillId="8" borderId="46" xfId="14" applyNumberFormat="1" applyFont="1" applyFill="1" applyBorder="1" applyAlignment="1">
      <alignment horizontal="right"/>
    </xf>
    <xf numFmtId="40" fontId="25" fillId="8" borderId="48" xfId="14" applyNumberFormat="1" applyFont="1" applyFill="1" applyBorder="1" applyAlignment="1">
      <alignment horizontal="right"/>
    </xf>
    <xf numFmtId="40" fontId="25" fillId="8" borderId="19" xfId="14" applyNumberFormat="1" applyFont="1" applyFill="1" applyBorder="1" applyAlignment="1">
      <alignment horizontal="right"/>
    </xf>
    <xf numFmtId="40" fontId="25" fillId="8" borderId="18" xfId="14" applyNumberFormat="1" applyFont="1" applyFill="1" applyBorder="1" applyAlignment="1">
      <alignment horizontal="right"/>
    </xf>
    <xf numFmtId="177" fontId="25" fillId="8" borderId="72" xfId="14" applyNumberFormat="1" applyFont="1" applyFill="1" applyBorder="1"/>
    <xf numFmtId="177" fontId="25" fillId="8" borderId="0" xfId="14" applyNumberFormat="1" applyFont="1" applyFill="1"/>
    <xf numFmtId="0" fontId="28" fillId="8" borderId="50" xfId="14" applyFont="1" applyFill="1" applyBorder="1"/>
    <xf numFmtId="0" fontId="26" fillId="8" borderId="129" xfId="14" applyFont="1" applyFill="1" applyBorder="1"/>
    <xf numFmtId="40" fontId="25" fillId="8" borderId="17" xfId="14" applyNumberFormat="1" applyFont="1" applyFill="1" applyBorder="1" applyAlignment="1">
      <alignment horizontal="right"/>
    </xf>
    <xf numFmtId="177" fontId="25" fillId="8" borderId="127" xfId="14" applyNumberFormat="1" applyFont="1" applyFill="1" applyBorder="1"/>
    <xf numFmtId="0" fontId="26" fillId="8" borderId="50" xfId="14" applyFont="1" applyFill="1" applyBorder="1"/>
    <xf numFmtId="0" fontId="26" fillId="8" borderId="51" xfId="14" applyFont="1" applyFill="1" applyBorder="1"/>
    <xf numFmtId="40" fontId="25" fillId="8" borderId="17" xfId="0" applyNumberFormat="1" applyFont="1" applyFill="1" applyBorder="1" applyAlignment="1">
      <alignment horizontal="right" vertical="center"/>
    </xf>
    <xf numFmtId="0" fontId="26" fillId="8" borderId="58" xfId="14" applyFont="1" applyFill="1" applyBorder="1"/>
    <xf numFmtId="0" fontId="28" fillId="8" borderId="49" xfId="14" applyFont="1" applyFill="1" applyBorder="1" applyAlignment="1">
      <alignment vertical="center"/>
    </xf>
    <xf numFmtId="0" fontId="26" fillId="8" borderId="56" xfId="14" applyFont="1" applyFill="1" applyBorder="1" applyAlignment="1">
      <alignment vertical="center"/>
    </xf>
    <xf numFmtId="177" fontId="26" fillId="8" borderId="11" xfId="14" applyNumberFormat="1" applyFont="1" applyFill="1" applyBorder="1" applyAlignment="1">
      <alignment horizontal="right" vertical="center"/>
    </xf>
    <xf numFmtId="177" fontId="47" fillId="8" borderId="0" xfId="14" applyNumberFormat="1" applyFont="1" applyFill="1"/>
    <xf numFmtId="0" fontId="18" fillId="6" borderId="0" xfId="14" applyFont="1" applyFill="1" applyAlignment="1">
      <alignment vertical="center"/>
    </xf>
    <xf numFmtId="0" fontId="18" fillId="6" borderId="0" xfId="14" applyFont="1" applyFill="1"/>
    <xf numFmtId="49" fontId="18" fillId="6" borderId="0" xfId="14" applyNumberFormat="1" applyFont="1" applyFill="1" applyAlignment="1">
      <alignment horizontal="left"/>
    </xf>
    <xf numFmtId="0" fontId="19" fillId="6" borderId="0" xfId="14" applyFont="1" applyFill="1" applyAlignment="1">
      <alignment horizontal="right" vertical="center"/>
    </xf>
    <xf numFmtId="0" fontId="18" fillId="8" borderId="0" xfId="14" applyFont="1" applyFill="1"/>
    <xf numFmtId="0" fontId="47" fillId="8" borderId="0" xfId="14" applyFont="1" applyFill="1"/>
    <xf numFmtId="2" fontId="47" fillId="8" borderId="0" xfId="14" applyNumberFormat="1" applyFont="1" applyFill="1"/>
    <xf numFmtId="186" fontId="47" fillId="8" borderId="0" xfId="14" applyNumberFormat="1" applyFont="1" applyFill="1"/>
    <xf numFmtId="172" fontId="25" fillId="0" borderId="0" xfId="0" applyNumberFormat="1" applyFont="1" applyAlignment="1">
      <alignment horizontal="center" vertical="center"/>
    </xf>
    <xf numFmtId="49" fontId="0" fillId="0" borderId="0" xfId="0" applyNumberFormat="1"/>
    <xf numFmtId="8" fontId="0" fillId="0" borderId="0" xfId="0" applyNumberFormat="1"/>
    <xf numFmtId="49" fontId="33" fillId="22" borderId="0" xfId="15" applyNumberFormat="1" applyFont="1" applyFill="1" applyBorder="1" applyAlignment="1" applyProtection="1">
      <alignment horizontal="center" vertical="center"/>
    </xf>
    <xf numFmtId="185" fontId="36" fillId="21" borderId="0" xfId="16" applyNumberFormat="1" applyFont="1" applyFill="1" applyAlignment="1">
      <alignment horizontal="left" vertical="center"/>
    </xf>
    <xf numFmtId="185" fontId="36" fillId="22" borderId="0" xfId="16" applyNumberFormat="1" applyFont="1" applyFill="1" applyAlignment="1">
      <alignment horizontal="center" vertical="center"/>
    </xf>
    <xf numFmtId="185" fontId="39" fillId="22" borderId="0" xfId="16" applyNumberFormat="1" applyFont="1" applyFill="1" applyAlignment="1">
      <alignment horizontal="center" vertical="center"/>
    </xf>
    <xf numFmtId="177" fontId="36" fillId="22" borderId="0" xfId="16" applyNumberFormat="1" applyFont="1" applyFill="1" applyAlignment="1">
      <alignment horizontal="center" vertical="center"/>
    </xf>
    <xf numFmtId="3" fontId="36" fillId="22" borderId="0" xfId="16" applyNumberFormat="1" applyFont="1" applyFill="1" applyAlignment="1">
      <alignment horizontal="center" vertical="center"/>
    </xf>
    <xf numFmtId="0" fontId="36" fillId="22" borderId="0" xfId="17" applyNumberFormat="1" applyFont="1" applyFill="1" applyBorder="1" applyAlignment="1" applyProtection="1">
      <alignment horizontal="center" vertical="center"/>
    </xf>
    <xf numFmtId="185" fontId="38" fillId="22" borderId="0" xfId="16" applyNumberFormat="1" applyFont="1" applyFill="1" applyAlignment="1">
      <alignment horizontal="right" vertical="center"/>
    </xf>
    <xf numFmtId="185" fontId="37" fillId="22" borderId="0" xfId="16" applyNumberFormat="1" applyFont="1" applyFill="1" applyAlignment="1">
      <alignment vertical="center"/>
    </xf>
    <xf numFmtId="49" fontId="10" fillId="21" borderId="0" xfId="17" applyNumberFormat="1" applyFont="1" applyFill="1" applyBorder="1" applyAlignment="1" applyProtection="1">
      <alignment horizontal="left" vertical="center"/>
    </xf>
    <xf numFmtId="49" fontId="11" fillId="22" borderId="0" xfId="17" applyNumberFormat="1" applyFont="1" applyFill="1" applyBorder="1" applyAlignment="1" applyProtection="1">
      <alignment horizontal="left" vertical="center"/>
    </xf>
    <xf numFmtId="49" fontId="11" fillId="22" borderId="0" xfId="17" applyNumberFormat="1" applyFont="1" applyFill="1" applyBorder="1" applyAlignment="1" applyProtection="1">
      <alignment horizontal="center" vertical="center"/>
    </xf>
    <xf numFmtId="49" fontId="11" fillId="22" borderId="0" xfId="17" applyNumberFormat="1" applyFont="1" applyFill="1" applyBorder="1" applyAlignment="1" applyProtection="1">
      <alignment vertical="center"/>
    </xf>
    <xf numFmtId="49" fontId="24" fillId="22" borderId="0" xfId="17" applyNumberFormat="1" applyFont="1" applyFill="1" applyBorder="1" applyAlignment="1" applyProtection="1">
      <alignment horizontal="right" vertical="center"/>
    </xf>
    <xf numFmtId="164" fontId="11" fillId="22" borderId="0" xfId="15" applyNumberFormat="1" applyFont="1" applyFill="1" applyBorder="1" applyAlignment="1" applyProtection="1">
      <alignment horizontal="left" vertical="center"/>
    </xf>
    <xf numFmtId="168" fontId="24" fillId="22" borderId="0" xfId="16" applyNumberFormat="1" applyFont="1" applyFill="1" applyAlignment="1">
      <alignment horizontal="right" vertical="center"/>
    </xf>
    <xf numFmtId="1" fontId="11" fillId="21" borderId="0" xfId="17" applyNumberFormat="1" applyFont="1" applyFill="1" applyBorder="1" applyAlignment="1" applyProtection="1">
      <alignment vertical="center"/>
    </xf>
    <xf numFmtId="1" fontId="10" fillId="21" borderId="0" xfId="17" applyNumberFormat="1" applyFont="1" applyFill="1" applyBorder="1" applyAlignment="1" applyProtection="1">
      <alignment horizontal="left" vertical="center"/>
    </xf>
    <xf numFmtId="1" fontId="11" fillId="22" borderId="0" xfId="17" applyNumberFormat="1" applyFont="1" applyFill="1" applyBorder="1" applyAlignment="1" applyProtection="1">
      <alignment horizontal="center" vertical="center"/>
    </xf>
    <xf numFmtId="1" fontId="24" fillId="21" borderId="0" xfId="17" applyNumberFormat="1" applyFont="1" applyFill="1" applyBorder="1" applyAlignment="1" applyProtection="1">
      <alignment horizontal="right" vertical="center"/>
    </xf>
    <xf numFmtId="49" fontId="11" fillId="21" borderId="0" xfId="17" applyNumberFormat="1" applyFont="1" applyFill="1" applyBorder="1" applyAlignment="1" applyProtection="1">
      <alignment vertical="center"/>
    </xf>
    <xf numFmtId="49" fontId="10" fillId="22" borderId="0" xfId="17" applyNumberFormat="1" applyFont="1" applyFill="1" applyBorder="1" applyAlignment="1" applyProtection="1">
      <alignment horizontal="center" vertical="center"/>
    </xf>
    <xf numFmtId="49" fontId="36" fillId="22" borderId="0" xfId="17" applyNumberFormat="1" applyFont="1" applyFill="1" applyBorder="1" applyAlignment="1" applyProtection="1">
      <alignment horizontal="left" vertical="center"/>
    </xf>
    <xf numFmtId="49" fontId="37" fillId="22" borderId="0" xfId="17" applyNumberFormat="1" applyFont="1" applyFill="1" applyBorder="1" applyAlignment="1" applyProtection="1">
      <alignment horizontal="center" vertical="center"/>
    </xf>
    <xf numFmtId="49" fontId="64" fillId="22" borderId="0" xfId="17" applyNumberFormat="1" applyFont="1" applyFill="1" applyBorder="1" applyAlignment="1" applyProtection="1">
      <alignment horizontal="center" vertical="center"/>
    </xf>
    <xf numFmtId="49" fontId="15" fillId="22" borderId="0" xfId="16" applyNumberFormat="1" applyFont="1" applyFill="1" applyAlignment="1">
      <alignment horizontal="right" vertical="center"/>
    </xf>
    <xf numFmtId="185" fontId="59" fillId="22" borderId="0" xfId="17" applyNumberFormat="1" applyFont="1" applyFill="1" applyBorder="1" applyAlignment="1" applyProtection="1">
      <alignment horizontal="left" vertical="center"/>
    </xf>
    <xf numFmtId="177" fontId="58" fillId="22" borderId="0" xfId="17" applyFont="1" applyFill="1" applyBorder="1" applyAlignment="1" applyProtection="1">
      <alignment horizontal="center" vertical="center"/>
    </xf>
    <xf numFmtId="177" fontId="64" fillId="22" borderId="0" xfId="17" applyFont="1" applyFill="1" applyBorder="1" applyAlignment="1" applyProtection="1">
      <alignment horizontal="center" vertical="center"/>
    </xf>
    <xf numFmtId="3" fontId="77" fillId="22" borderId="0" xfId="16" applyNumberFormat="1" applyFont="1" applyFill="1" applyAlignment="1">
      <alignment horizontal="right" vertical="center"/>
    </xf>
    <xf numFmtId="185" fontId="59" fillId="7" borderId="131" xfId="17" applyNumberFormat="1" applyFont="1" applyFill="1" applyBorder="1" applyAlignment="1" applyProtection="1">
      <alignment horizontal="left" vertical="center"/>
    </xf>
    <xf numFmtId="177" fontId="59" fillId="7" borderId="114" xfId="17" applyFont="1" applyFill="1" applyBorder="1" applyAlignment="1" applyProtection="1">
      <alignment horizontal="center" vertical="center"/>
    </xf>
    <xf numFmtId="177" fontId="59" fillId="7" borderId="115" xfId="17" applyFont="1" applyFill="1" applyBorder="1" applyAlignment="1" applyProtection="1">
      <alignment horizontal="center" vertical="center"/>
    </xf>
    <xf numFmtId="177" fontId="39" fillId="7" borderId="132" xfId="17" applyFont="1" applyFill="1" applyBorder="1" applyAlignment="1" applyProtection="1">
      <alignment vertical="center"/>
    </xf>
    <xf numFmtId="3" fontId="59" fillId="7" borderId="116" xfId="17" quotePrefix="1" applyNumberFormat="1" applyFont="1" applyFill="1" applyBorder="1" applyAlignment="1" applyProtection="1">
      <alignment horizontal="center" vertical="center"/>
    </xf>
    <xf numFmtId="185" fontId="59" fillId="22" borderId="136" xfId="17" applyNumberFormat="1" applyFont="1" applyFill="1" applyBorder="1" applyAlignment="1" applyProtection="1">
      <alignment vertical="center"/>
    </xf>
    <xf numFmtId="185" fontId="59" fillId="22" borderId="137" xfId="17" applyNumberFormat="1" applyFont="1" applyFill="1" applyBorder="1" applyAlignment="1" applyProtection="1">
      <alignment vertical="center"/>
    </xf>
    <xf numFmtId="185" fontId="59" fillId="22" borderId="138" xfId="17" applyNumberFormat="1" applyFont="1" applyFill="1" applyBorder="1" applyAlignment="1" applyProtection="1">
      <alignment horizontal="center" vertical="center"/>
    </xf>
    <xf numFmtId="185" fontId="59" fillId="22" borderId="139" xfId="17" applyNumberFormat="1" applyFont="1" applyFill="1" applyBorder="1" applyAlignment="1" applyProtection="1">
      <alignment horizontal="center" vertical="center"/>
    </xf>
    <xf numFmtId="185" fontId="59" fillId="22" borderId="140" xfId="17" applyNumberFormat="1" applyFont="1" applyFill="1" applyBorder="1" applyAlignment="1" applyProtection="1">
      <alignment horizontal="center" vertical="center"/>
    </xf>
    <xf numFmtId="185" fontId="59" fillId="22" borderId="141" xfId="17" applyNumberFormat="1" applyFont="1" applyFill="1" applyBorder="1" applyAlignment="1" applyProtection="1">
      <alignment horizontal="center" vertical="center"/>
    </xf>
    <xf numFmtId="185" fontId="59" fillId="22" borderId="142" xfId="17" applyNumberFormat="1" applyFont="1" applyFill="1" applyBorder="1" applyAlignment="1" applyProtection="1">
      <alignment vertical="center"/>
    </xf>
    <xf numFmtId="185" fontId="59" fillId="7" borderId="143" xfId="17" applyNumberFormat="1" applyFont="1" applyFill="1" applyBorder="1" applyAlignment="1" applyProtection="1">
      <alignment horizontal="left" vertical="center"/>
    </xf>
    <xf numFmtId="177" fontId="77" fillId="7" borderId="53" xfId="17" applyFont="1" applyFill="1" applyBorder="1" applyAlignment="1" applyProtection="1">
      <alignment horizontal="center" vertical="center"/>
    </xf>
    <xf numFmtId="177" fontId="77" fillId="7" borderId="108" xfId="17" applyFont="1" applyFill="1" applyBorder="1" applyAlignment="1" applyProtection="1">
      <alignment horizontal="center" vertical="center"/>
    </xf>
    <xf numFmtId="177" fontId="40" fillId="7" borderId="144" xfId="17" applyFont="1" applyFill="1" applyBorder="1" applyAlignment="1" applyProtection="1">
      <alignment vertical="center"/>
    </xf>
    <xf numFmtId="177" fontId="59" fillId="7" borderId="144" xfId="17" applyFont="1" applyFill="1" applyBorder="1" applyAlignment="1" applyProtection="1">
      <alignment horizontal="center" vertical="center"/>
    </xf>
    <xf numFmtId="185" fontId="59" fillId="22" borderId="145" xfId="17" applyNumberFormat="1" applyFont="1" applyFill="1" applyBorder="1" applyAlignment="1" applyProtection="1">
      <alignment vertical="center"/>
    </xf>
    <xf numFmtId="185" fontId="59" fillId="22" borderId="146" xfId="17" applyNumberFormat="1" applyFont="1" applyFill="1" applyBorder="1" applyAlignment="1" applyProtection="1">
      <alignment vertical="center"/>
    </xf>
    <xf numFmtId="185" fontId="59" fillId="22" borderId="146" xfId="17" applyNumberFormat="1" applyFont="1" applyFill="1" applyBorder="1" applyAlignment="1" applyProtection="1">
      <alignment horizontal="center" vertical="center"/>
    </xf>
    <xf numFmtId="185" fontId="59" fillId="22" borderId="147" xfId="17" applyNumberFormat="1" applyFont="1" applyFill="1" applyBorder="1" applyAlignment="1" applyProtection="1">
      <alignment horizontal="center" vertical="center"/>
    </xf>
    <xf numFmtId="185" fontId="59" fillId="22" borderId="148" xfId="17" applyNumberFormat="1" applyFont="1" applyFill="1" applyBorder="1" applyAlignment="1" applyProtection="1">
      <alignment vertical="center"/>
    </xf>
    <xf numFmtId="185" fontId="77" fillId="7" borderId="149" xfId="17" applyNumberFormat="1" applyFont="1" applyFill="1" applyBorder="1" applyAlignment="1" applyProtection="1">
      <alignment horizontal="left" vertical="center"/>
    </xf>
    <xf numFmtId="177" fontId="77" fillId="7" borderId="150" xfId="17" applyFont="1" applyFill="1" applyBorder="1" applyAlignment="1" applyProtection="1">
      <alignment horizontal="center" vertical="center"/>
    </xf>
    <xf numFmtId="177" fontId="77" fillId="7" borderId="151" xfId="17" applyFont="1" applyFill="1" applyBorder="1" applyAlignment="1" applyProtection="1">
      <alignment horizontal="center" vertical="center"/>
    </xf>
    <xf numFmtId="177" fontId="40" fillId="7" borderId="152" xfId="17" applyFont="1" applyFill="1" applyBorder="1" applyAlignment="1" applyProtection="1">
      <alignment vertical="center"/>
    </xf>
    <xf numFmtId="177" fontId="77" fillId="7" borderId="152" xfId="17" applyFont="1" applyFill="1" applyBorder="1" applyAlignment="1" applyProtection="1">
      <alignment horizontal="center" vertical="center"/>
    </xf>
    <xf numFmtId="3" fontId="77" fillId="7" borderId="153" xfId="17" applyNumberFormat="1" applyFont="1" applyFill="1" applyBorder="1" applyAlignment="1" applyProtection="1">
      <alignment horizontal="center" vertical="center"/>
    </xf>
    <xf numFmtId="185" fontId="77" fillId="22" borderId="145" xfId="17" applyNumberFormat="1" applyFont="1" applyFill="1" applyBorder="1" applyAlignment="1" applyProtection="1">
      <alignment vertical="center"/>
    </xf>
    <xf numFmtId="185" fontId="77" fillId="22" borderId="146" xfId="17" applyNumberFormat="1" applyFont="1" applyFill="1" applyBorder="1" applyAlignment="1" applyProtection="1">
      <alignment vertical="center"/>
    </xf>
    <xf numFmtId="185" fontId="77" fillId="22" borderId="146" xfId="17" applyNumberFormat="1" applyFont="1" applyFill="1" applyBorder="1" applyAlignment="1" applyProtection="1">
      <alignment horizontal="center" vertical="center"/>
    </xf>
    <xf numFmtId="185" fontId="77" fillId="22" borderId="147" xfId="17" applyNumberFormat="1" applyFont="1" applyFill="1" applyBorder="1" applyAlignment="1" applyProtection="1">
      <alignment horizontal="center" vertical="center"/>
    </xf>
    <xf numFmtId="185" fontId="77" fillId="22" borderId="148" xfId="17" applyNumberFormat="1" applyFont="1" applyFill="1" applyBorder="1" applyAlignment="1" applyProtection="1">
      <alignment vertical="center"/>
    </xf>
    <xf numFmtId="185" fontId="77" fillId="21" borderId="154" xfId="17" applyNumberFormat="1" applyFont="1" applyFill="1" applyBorder="1" applyAlignment="1" applyProtection="1">
      <alignment horizontal="left" vertical="center"/>
    </xf>
    <xf numFmtId="177" fontId="77" fillId="21" borderId="155" xfId="17" applyFont="1" applyFill="1" applyBorder="1" applyAlignment="1" applyProtection="1">
      <alignment horizontal="center" vertical="center"/>
    </xf>
    <xf numFmtId="177" fontId="40" fillId="21" borderId="155" xfId="17" applyFont="1" applyFill="1" applyBorder="1" applyAlignment="1" applyProtection="1">
      <alignment vertical="center"/>
    </xf>
    <xf numFmtId="3" fontId="77" fillId="21" borderId="156" xfId="17" applyNumberFormat="1" applyFont="1" applyFill="1" applyBorder="1" applyAlignment="1" applyProtection="1">
      <alignment horizontal="center" vertical="center"/>
    </xf>
    <xf numFmtId="185" fontId="59" fillId="21" borderId="143" xfId="17" applyNumberFormat="1" applyFont="1" applyFill="1" applyBorder="1" applyAlignment="1" applyProtection="1">
      <alignment horizontal="left" vertical="center"/>
    </xf>
    <xf numFmtId="177" fontId="59" fillId="21" borderId="144" xfId="17" applyFont="1" applyFill="1" applyBorder="1" applyAlignment="1" applyProtection="1">
      <alignment horizontal="left" vertical="center"/>
    </xf>
    <xf numFmtId="177" fontId="59" fillId="21" borderId="144" xfId="17" applyFont="1" applyFill="1" applyBorder="1" applyAlignment="1" applyProtection="1">
      <alignment horizontal="center" vertical="center"/>
    </xf>
    <xf numFmtId="177" fontId="64" fillId="21" borderId="144" xfId="17" applyFont="1" applyFill="1" applyBorder="1" applyAlignment="1" applyProtection="1">
      <alignment horizontal="center" vertical="center"/>
    </xf>
    <xf numFmtId="177" fontId="65" fillId="21" borderId="144" xfId="17" applyFont="1" applyFill="1" applyBorder="1" applyAlignment="1" applyProtection="1">
      <alignment horizontal="left" vertical="center"/>
    </xf>
    <xf numFmtId="177" fontId="58" fillId="21" borderId="144" xfId="17" applyFont="1" applyFill="1" applyBorder="1" applyAlignment="1" applyProtection="1">
      <alignment horizontal="center" vertical="center"/>
    </xf>
    <xf numFmtId="3" fontId="58" fillId="21" borderId="157" xfId="17" applyNumberFormat="1" applyFont="1" applyFill="1" applyBorder="1" applyAlignment="1" applyProtection="1">
      <alignment horizontal="center" vertical="center"/>
    </xf>
    <xf numFmtId="185" fontId="58" fillId="21" borderId="0" xfId="17" applyNumberFormat="1" applyFont="1" applyFill="1" applyBorder="1" applyAlignment="1" applyProtection="1">
      <alignment vertical="center"/>
    </xf>
    <xf numFmtId="0" fontId="58" fillId="3" borderId="143" xfId="16" applyFont="1" applyFill="1" applyBorder="1" applyAlignment="1">
      <alignment horizontal="center" vertical="center"/>
    </xf>
    <xf numFmtId="191" fontId="58" fillId="3" borderId="144" xfId="16" quotePrefix="1" applyNumberFormat="1" applyFont="1" applyFill="1" applyBorder="1" applyAlignment="1">
      <alignment horizontal="center" vertical="center"/>
    </xf>
    <xf numFmtId="0" fontId="58" fillId="3" borderId="144" xfId="16" applyFont="1" applyFill="1" applyBorder="1" applyAlignment="1">
      <alignment vertical="center"/>
    </xf>
    <xf numFmtId="0" fontId="106" fillId="3" borderId="144" xfId="16" applyFont="1" applyFill="1" applyBorder="1" applyAlignment="1">
      <alignment horizontal="left" vertical="center"/>
    </xf>
    <xf numFmtId="192" fontId="58" fillId="3" borderId="144" xfId="16" applyNumberFormat="1" applyFont="1" applyFill="1" applyBorder="1" applyAlignment="1">
      <alignment vertical="center"/>
    </xf>
    <xf numFmtId="0" fontId="58" fillId="3" borderId="157" xfId="16" applyFont="1" applyFill="1" applyBorder="1" applyAlignment="1">
      <alignment vertical="center"/>
    </xf>
    <xf numFmtId="185" fontId="106" fillId="21" borderId="145" xfId="17" applyNumberFormat="1" applyFont="1" applyFill="1" applyBorder="1" applyAlignment="1" applyProtection="1">
      <alignment vertical="center"/>
    </xf>
    <xf numFmtId="185" fontId="106" fillId="21" borderId="146" xfId="17" applyNumberFormat="1" applyFont="1" applyFill="1" applyBorder="1" applyAlignment="1" applyProtection="1">
      <alignment vertical="center"/>
    </xf>
    <xf numFmtId="185" fontId="106" fillId="21" borderId="146" xfId="16" applyNumberFormat="1" applyFont="1" applyFill="1" applyBorder="1" applyAlignment="1">
      <alignment vertical="center"/>
    </xf>
    <xf numFmtId="185" fontId="106" fillId="21" borderId="147" xfId="17" applyNumberFormat="1" applyFont="1" applyFill="1" applyBorder="1" applyAlignment="1" applyProtection="1">
      <alignment vertical="center"/>
    </xf>
    <xf numFmtId="185" fontId="106" fillId="21" borderId="148" xfId="17" applyNumberFormat="1" applyFont="1" applyFill="1" applyBorder="1" applyAlignment="1" applyProtection="1">
      <alignment vertical="center"/>
    </xf>
    <xf numFmtId="191" fontId="58" fillId="3" borderId="144" xfId="16" applyNumberFormat="1" applyFont="1" applyFill="1" applyBorder="1" applyAlignment="1">
      <alignment horizontal="center" vertical="center"/>
    </xf>
    <xf numFmtId="192" fontId="59" fillId="3" borderId="159" xfId="16" applyNumberFormat="1" applyFont="1" applyFill="1" applyBorder="1" applyAlignment="1">
      <alignment vertical="center"/>
    </xf>
    <xf numFmtId="192" fontId="59" fillId="3" borderId="160" xfId="16" applyNumberFormat="1" applyFont="1" applyFill="1" applyBorder="1" applyAlignment="1">
      <alignment vertical="center"/>
    </xf>
    <xf numFmtId="49" fontId="59" fillId="21" borderId="144" xfId="16" applyNumberFormat="1" applyFont="1" applyFill="1" applyBorder="1" applyAlignment="1">
      <alignment vertical="center"/>
    </xf>
    <xf numFmtId="192" fontId="59" fillId="3" borderId="144" xfId="16" applyNumberFormat="1" applyFont="1" applyFill="1" applyBorder="1" applyAlignment="1">
      <alignment vertical="center"/>
    </xf>
    <xf numFmtId="192" fontId="58" fillId="3" borderId="157" xfId="16" applyNumberFormat="1" applyFont="1" applyFill="1" applyBorder="1" applyAlignment="1">
      <alignment vertical="center"/>
    </xf>
    <xf numFmtId="49" fontId="59" fillId="3" borderId="144" xfId="16" applyNumberFormat="1" applyFont="1" applyFill="1" applyBorder="1" applyAlignment="1">
      <alignment vertical="center"/>
    </xf>
    <xf numFmtId="192" fontId="59" fillId="3" borderId="157" xfId="16" applyNumberFormat="1" applyFont="1" applyFill="1" applyBorder="1" applyAlignment="1">
      <alignment vertical="center"/>
    </xf>
    <xf numFmtId="192" fontId="59" fillId="3" borderId="162" xfId="16" applyNumberFormat="1" applyFont="1" applyFill="1" applyBorder="1" applyAlignment="1">
      <alignment vertical="center"/>
    </xf>
    <xf numFmtId="49" fontId="59" fillId="3" borderId="119" xfId="16" applyNumberFormat="1" applyFont="1" applyFill="1" applyBorder="1" applyAlignment="1">
      <alignment horizontal="center" vertical="center"/>
    </xf>
    <xf numFmtId="49" fontId="59" fillId="3" borderId="121" xfId="16" applyNumberFormat="1" applyFont="1" applyFill="1" applyBorder="1" applyAlignment="1">
      <alignment horizontal="center" vertical="center"/>
    </xf>
    <xf numFmtId="49" fontId="59" fillId="3" borderId="15" xfId="16" applyNumberFormat="1" applyFont="1" applyFill="1" applyBorder="1" applyAlignment="1">
      <alignment horizontal="center" vertical="center"/>
    </xf>
    <xf numFmtId="0" fontId="109" fillId="3" borderId="144" xfId="16" applyFont="1" applyFill="1" applyBorder="1" applyAlignment="1">
      <alignment horizontal="left" vertical="center"/>
    </xf>
    <xf numFmtId="185" fontId="106" fillId="21" borderId="0" xfId="16" applyNumberFormat="1" applyFont="1" applyFill="1" applyAlignment="1">
      <alignment vertical="center"/>
    </xf>
    <xf numFmtId="0" fontId="78" fillId="10" borderId="0" xfId="16" applyFont="1" applyFill="1" applyAlignment="1">
      <alignment horizontal="left" vertical="center"/>
    </xf>
    <xf numFmtId="191" fontId="78" fillId="10" borderId="0" xfId="16" applyNumberFormat="1" applyFont="1" applyFill="1" applyAlignment="1">
      <alignment horizontal="left" vertical="center"/>
    </xf>
    <xf numFmtId="192" fontId="78" fillId="10" borderId="0" xfId="16" applyNumberFormat="1" applyFont="1" applyFill="1" applyAlignment="1">
      <alignment horizontal="left" vertical="center"/>
    </xf>
    <xf numFmtId="192" fontId="78" fillId="10" borderId="0" xfId="16" quotePrefix="1" applyNumberFormat="1" applyFont="1" applyFill="1" applyAlignment="1">
      <alignment horizontal="right" vertical="center"/>
    </xf>
    <xf numFmtId="0" fontId="79" fillId="10" borderId="0" xfId="16" applyFont="1" applyFill="1" applyAlignment="1">
      <alignment horizontal="right" vertical="center"/>
    </xf>
    <xf numFmtId="185" fontId="107" fillId="21" borderId="0" xfId="16" applyNumberFormat="1" applyFont="1" applyFill="1" applyAlignment="1">
      <alignment horizontal="left" vertical="center"/>
    </xf>
    <xf numFmtId="49" fontId="58" fillId="21" borderId="15" xfId="16" applyNumberFormat="1" applyFont="1" applyFill="1" applyBorder="1" applyAlignment="1">
      <alignment vertical="center"/>
    </xf>
    <xf numFmtId="49" fontId="58" fillId="21" borderId="144" xfId="16" applyNumberFormat="1" applyFont="1" applyFill="1" applyBorder="1" applyAlignment="1">
      <alignment vertical="center"/>
    </xf>
    <xf numFmtId="49" fontId="59" fillId="3" borderId="15" xfId="16" applyNumberFormat="1" applyFont="1" applyFill="1" applyBorder="1" applyAlignment="1">
      <alignment vertical="center"/>
    </xf>
    <xf numFmtId="191" fontId="58" fillId="3" borderId="144" xfId="16" applyNumberFormat="1" applyFont="1" applyFill="1" applyBorder="1" applyAlignment="1">
      <alignment horizontal="center" vertical="center" wrapText="1"/>
    </xf>
    <xf numFmtId="0" fontId="58" fillId="3" borderId="144" xfId="16" applyFont="1" applyFill="1" applyBorder="1" applyAlignment="1">
      <alignment vertical="center" wrapText="1"/>
    </xf>
    <xf numFmtId="185" fontId="59" fillId="25" borderId="48" xfId="16" applyNumberFormat="1" applyFont="1" applyFill="1" applyBorder="1" applyAlignment="1">
      <alignment horizontal="center" vertical="center"/>
    </xf>
    <xf numFmtId="192" fontId="59" fillId="25" borderId="167" xfId="16" applyNumberFormat="1" applyFont="1" applyFill="1" applyBorder="1" applyAlignment="1">
      <alignment vertical="center"/>
    </xf>
    <xf numFmtId="192" fontId="59" fillId="25" borderId="132" xfId="16" applyNumberFormat="1" applyFont="1" applyFill="1" applyBorder="1" applyAlignment="1">
      <alignment vertical="center"/>
    </xf>
    <xf numFmtId="192" fontId="59" fillId="25" borderId="168" xfId="16" applyNumberFormat="1" applyFont="1" applyFill="1" applyBorder="1" applyAlignment="1">
      <alignment vertical="center"/>
    </xf>
    <xf numFmtId="185" fontId="77" fillId="25" borderId="169" xfId="16" applyNumberFormat="1" applyFont="1" applyFill="1" applyBorder="1" applyAlignment="1">
      <alignment horizontal="center" vertical="center"/>
    </xf>
    <xf numFmtId="185" fontId="77" fillId="25" borderId="63" xfId="16" applyNumberFormat="1" applyFont="1" applyFill="1" applyBorder="1" applyAlignment="1">
      <alignment horizontal="center" vertical="center"/>
    </xf>
    <xf numFmtId="192" fontId="59" fillId="25" borderId="170" xfId="16" applyNumberFormat="1" applyFont="1" applyFill="1" applyBorder="1" applyAlignment="1">
      <alignment vertical="center"/>
    </xf>
    <xf numFmtId="192" fontId="100" fillId="25" borderId="172" xfId="16" applyNumberFormat="1" applyFont="1" applyFill="1" applyBorder="1" applyAlignment="1">
      <alignment vertical="center"/>
    </xf>
    <xf numFmtId="0" fontId="58" fillId="3" borderId="131" xfId="16" applyFont="1" applyFill="1" applyBorder="1" applyAlignment="1">
      <alignment horizontal="center" vertical="center"/>
    </xf>
    <xf numFmtId="0" fontId="58" fillId="3" borderId="132" xfId="16" applyFont="1" applyFill="1" applyBorder="1" applyAlignment="1">
      <alignment horizontal="left" vertical="center"/>
    </xf>
    <xf numFmtId="0" fontId="58" fillId="3" borderId="144" xfId="16" applyFont="1" applyFill="1" applyBorder="1" applyAlignment="1">
      <alignment horizontal="center" vertical="center"/>
    </xf>
    <xf numFmtId="49" fontId="26" fillId="3" borderId="173" xfId="16" applyNumberFormat="1" applyFont="1" applyFill="1" applyBorder="1" applyAlignment="1">
      <alignment vertical="center"/>
    </xf>
    <xf numFmtId="177" fontId="59" fillId="21" borderId="146" xfId="16" applyNumberFormat="1" applyFont="1" applyFill="1" applyBorder="1" applyAlignment="1">
      <alignment vertical="center"/>
    </xf>
    <xf numFmtId="177" fontId="59" fillId="21" borderId="174" xfId="16" applyNumberFormat="1" applyFont="1" applyFill="1" applyBorder="1" applyAlignment="1">
      <alignment vertical="center"/>
    </xf>
    <xf numFmtId="49" fontId="59" fillId="3" borderId="146" xfId="16" applyNumberFormat="1" applyFont="1" applyFill="1" applyBorder="1" applyAlignment="1">
      <alignment vertical="center"/>
    </xf>
    <xf numFmtId="191" fontId="59" fillId="3" borderId="144" xfId="16" applyNumberFormat="1" applyFont="1" applyFill="1" applyBorder="1" applyAlignment="1">
      <alignment horizontal="center" vertical="center"/>
    </xf>
    <xf numFmtId="0" fontId="26" fillId="3" borderId="0" xfId="16" applyFont="1" applyFill="1" applyAlignment="1">
      <alignment vertical="center"/>
    </xf>
    <xf numFmtId="0" fontId="58" fillId="3" borderId="15" xfId="16" applyFont="1" applyFill="1" applyBorder="1" applyAlignment="1">
      <alignment horizontal="center" vertical="center"/>
    </xf>
    <xf numFmtId="0" fontId="58" fillId="3" borderId="108" xfId="16" applyFont="1" applyFill="1" applyBorder="1" applyAlignment="1">
      <alignment vertical="center"/>
    </xf>
    <xf numFmtId="185" fontId="59" fillId="26" borderId="175" xfId="16" applyNumberFormat="1" applyFont="1" applyFill="1" applyBorder="1" applyAlignment="1">
      <alignment horizontal="center" vertical="center"/>
    </xf>
    <xf numFmtId="185" fontId="59" fillId="26" borderId="176" xfId="16" applyNumberFormat="1" applyFont="1" applyFill="1" applyBorder="1" applyAlignment="1">
      <alignment horizontal="center" vertical="center"/>
    </xf>
    <xf numFmtId="185" fontId="59" fillId="26" borderId="177" xfId="16" applyNumberFormat="1" applyFont="1" applyFill="1" applyBorder="1" applyAlignment="1">
      <alignment horizontal="center" vertical="center"/>
    </xf>
    <xf numFmtId="0" fontId="106" fillId="25" borderId="132" xfId="16" applyFont="1" applyFill="1" applyBorder="1" applyAlignment="1">
      <alignment horizontal="left" vertical="center"/>
    </xf>
    <xf numFmtId="192" fontId="58" fillId="25" borderId="132" xfId="16" applyNumberFormat="1" applyFont="1" applyFill="1" applyBorder="1" applyAlignment="1">
      <alignment vertical="center"/>
    </xf>
    <xf numFmtId="192" fontId="58" fillId="25" borderId="168" xfId="16" applyNumberFormat="1" applyFont="1" applyFill="1" applyBorder="1" applyAlignment="1">
      <alignment vertical="center"/>
    </xf>
    <xf numFmtId="185" fontId="77" fillId="26" borderId="65" xfId="16" applyNumberFormat="1" applyFont="1" applyFill="1" applyBorder="1" applyAlignment="1">
      <alignment horizontal="center" vertical="center"/>
    </xf>
    <xf numFmtId="185" fontId="77" fillId="26" borderId="83" xfId="16" applyNumberFormat="1" applyFont="1" applyFill="1" applyBorder="1" applyAlignment="1">
      <alignment horizontal="center" vertical="center"/>
    </xf>
    <xf numFmtId="185" fontId="77" fillId="26" borderId="62" xfId="16" applyNumberFormat="1" applyFont="1" applyFill="1" applyBorder="1" applyAlignment="1">
      <alignment horizontal="center" vertical="center"/>
    </xf>
    <xf numFmtId="0" fontId="106" fillId="27" borderId="178" xfId="16" applyFont="1" applyFill="1" applyBorder="1" applyAlignment="1">
      <alignment horizontal="left" vertical="center"/>
    </xf>
    <xf numFmtId="192" fontId="59" fillId="25" borderId="178" xfId="16" applyNumberFormat="1" applyFont="1" applyFill="1" applyBorder="1" applyAlignment="1">
      <alignment vertical="center"/>
    </xf>
    <xf numFmtId="192" fontId="59" fillId="25" borderId="179" xfId="16" applyNumberFormat="1" applyFont="1" applyFill="1" applyBorder="1" applyAlignment="1">
      <alignment vertical="center"/>
    </xf>
    <xf numFmtId="0" fontId="109" fillId="29" borderId="143" xfId="16" applyFont="1" applyFill="1" applyBorder="1" applyAlignment="1">
      <alignment horizontal="left" vertical="center"/>
    </xf>
    <xf numFmtId="177" fontId="109" fillId="21" borderId="144" xfId="16" applyNumberFormat="1" applyFont="1" applyFill="1" applyBorder="1" applyAlignment="1">
      <alignment vertical="center"/>
    </xf>
    <xf numFmtId="185" fontId="110" fillId="3" borderId="144" xfId="16" applyNumberFormat="1" applyFont="1" applyFill="1" applyBorder="1" applyAlignment="1">
      <alignment horizontal="center" vertical="center"/>
    </xf>
    <xf numFmtId="192" fontId="109" fillId="3" borderId="144" xfId="16" applyNumberFormat="1" applyFont="1" applyFill="1" applyBorder="1" applyAlignment="1">
      <alignment vertical="center"/>
    </xf>
    <xf numFmtId="3" fontId="109" fillId="3" borderId="157" xfId="16" applyNumberFormat="1" applyFont="1" applyFill="1" applyBorder="1" applyAlignment="1">
      <alignment vertical="center"/>
    </xf>
    <xf numFmtId="0" fontId="106" fillId="3" borderId="143" xfId="16" applyFont="1" applyFill="1" applyBorder="1" applyAlignment="1">
      <alignment horizontal="center" vertical="center"/>
    </xf>
    <xf numFmtId="191" fontId="106" fillId="3" borderId="144" xfId="16" quotePrefix="1" applyNumberFormat="1" applyFont="1" applyFill="1" applyBorder="1" applyAlignment="1">
      <alignment horizontal="center" vertical="center"/>
    </xf>
    <xf numFmtId="0" fontId="106" fillId="3" borderId="144" xfId="16" applyFont="1" applyFill="1" applyBorder="1" applyAlignment="1">
      <alignment vertical="center"/>
    </xf>
    <xf numFmtId="192" fontId="106" fillId="3" borderId="144" xfId="16" applyNumberFormat="1" applyFont="1" applyFill="1" applyBorder="1" applyAlignment="1">
      <alignment vertical="center"/>
    </xf>
    <xf numFmtId="3" fontId="106" fillId="3" borderId="157" xfId="16" applyNumberFormat="1" applyFont="1" applyFill="1" applyBorder="1" applyAlignment="1">
      <alignment vertical="center"/>
    </xf>
    <xf numFmtId="185" fontId="106" fillId="21" borderId="0" xfId="17" applyNumberFormat="1" applyFont="1" applyFill="1" applyBorder="1" applyAlignment="1" applyProtection="1">
      <alignment vertical="center"/>
    </xf>
    <xf numFmtId="185" fontId="109" fillId="26" borderId="112" xfId="16" applyNumberFormat="1" applyFont="1" applyFill="1" applyBorder="1" applyAlignment="1">
      <alignment horizontal="center" vertical="center"/>
    </xf>
    <xf numFmtId="185" fontId="109" fillId="26" borderId="113" xfId="16" applyNumberFormat="1" applyFont="1" applyFill="1" applyBorder="1" applyAlignment="1">
      <alignment horizontal="center" vertical="center"/>
    </xf>
    <xf numFmtId="185" fontId="109" fillId="26" borderId="115" xfId="16" applyNumberFormat="1" applyFont="1" applyFill="1" applyBorder="1" applyAlignment="1">
      <alignment horizontal="center" vertical="center"/>
    </xf>
    <xf numFmtId="0" fontId="106" fillId="27" borderId="132" xfId="16" applyFont="1" applyFill="1" applyBorder="1" applyAlignment="1">
      <alignment horizontal="left" vertical="center"/>
    </xf>
    <xf numFmtId="192" fontId="109" fillId="27" borderId="132" xfId="16" applyNumberFormat="1" applyFont="1" applyFill="1" applyBorder="1" applyAlignment="1">
      <alignment vertical="center"/>
    </xf>
    <xf numFmtId="192" fontId="106" fillId="30" borderId="132" xfId="16" applyNumberFormat="1" applyFont="1" applyFill="1" applyBorder="1" applyAlignment="1">
      <alignment vertical="center"/>
    </xf>
    <xf numFmtId="3" fontId="109" fillId="31" borderId="168" xfId="16" applyNumberFormat="1" applyFont="1" applyFill="1" applyBorder="1" applyAlignment="1">
      <alignment vertical="center"/>
    </xf>
    <xf numFmtId="185" fontId="110" fillId="26" borderId="65" xfId="16" applyNumberFormat="1" applyFont="1" applyFill="1" applyBorder="1" applyAlignment="1">
      <alignment horizontal="center" vertical="center"/>
    </xf>
    <xf numFmtId="185" fontId="110" fillId="26" borderId="83" xfId="16" applyNumberFormat="1" applyFont="1" applyFill="1" applyBorder="1" applyAlignment="1">
      <alignment horizontal="center" vertical="center"/>
    </xf>
    <xf numFmtId="185" fontId="110" fillId="26" borderId="118" xfId="16" applyNumberFormat="1" applyFont="1" applyFill="1" applyBorder="1" applyAlignment="1">
      <alignment horizontal="center" vertical="center"/>
    </xf>
    <xf numFmtId="192" fontId="109" fillId="27" borderId="178" xfId="16" applyNumberFormat="1" applyFont="1" applyFill="1" applyBorder="1" applyAlignment="1">
      <alignment vertical="center"/>
    </xf>
    <xf numFmtId="3" fontId="109" fillId="31" borderId="179" xfId="16" applyNumberFormat="1" applyFont="1" applyFill="1" applyBorder="1" applyAlignment="1">
      <alignment vertical="center"/>
    </xf>
    <xf numFmtId="185" fontId="109" fillId="21" borderId="143" xfId="16" applyNumberFormat="1" applyFont="1" applyFill="1" applyBorder="1" applyAlignment="1">
      <alignment horizontal="left" vertical="center"/>
    </xf>
    <xf numFmtId="192" fontId="106" fillId="32" borderId="144" xfId="16" applyNumberFormat="1" applyFont="1" applyFill="1" applyBorder="1" applyAlignment="1">
      <alignment vertical="center"/>
    </xf>
    <xf numFmtId="185" fontId="106" fillId="21" borderId="143" xfId="16" applyNumberFormat="1" applyFont="1" applyFill="1" applyBorder="1" applyAlignment="1">
      <alignment horizontal="left" vertical="center"/>
    </xf>
    <xf numFmtId="49" fontId="109" fillId="21" borderId="144" xfId="16" applyNumberFormat="1" applyFont="1" applyFill="1" applyBorder="1" applyAlignment="1">
      <alignment vertical="center"/>
    </xf>
    <xf numFmtId="0" fontId="106" fillId="21" borderId="143" xfId="16" applyFont="1" applyFill="1" applyBorder="1" applyAlignment="1">
      <alignment horizontal="center" vertical="center"/>
    </xf>
    <xf numFmtId="3" fontId="106" fillId="21" borderId="157" xfId="16" applyNumberFormat="1" applyFont="1" applyFill="1" applyBorder="1" applyAlignment="1">
      <alignment vertical="center"/>
    </xf>
    <xf numFmtId="191" fontId="106" fillId="3" borderId="144" xfId="16" applyNumberFormat="1" applyFont="1" applyFill="1" applyBorder="1" applyAlignment="1">
      <alignment horizontal="center" vertical="center"/>
    </xf>
    <xf numFmtId="192" fontId="109" fillId="32" borderId="159" xfId="16" applyNumberFormat="1" applyFont="1" applyFill="1" applyBorder="1" applyAlignment="1">
      <alignment vertical="center"/>
    </xf>
    <xf numFmtId="3" fontId="109" fillId="21" borderId="160" xfId="16" applyNumberFormat="1" applyFont="1" applyFill="1" applyBorder="1" applyAlignment="1">
      <alignment vertical="center"/>
    </xf>
    <xf numFmtId="3" fontId="109" fillId="21" borderId="157" xfId="16" applyNumberFormat="1" applyFont="1" applyFill="1" applyBorder="1" applyAlignment="1">
      <alignment vertical="center"/>
    </xf>
    <xf numFmtId="177" fontId="106" fillId="21" borderId="144" xfId="16" quotePrefix="1" applyNumberFormat="1" applyFont="1" applyFill="1" applyBorder="1" applyAlignment="1">
      <alignment horizontal="center" vertical="center"/>
    </xf>
    <xf numFmtId="192" fontId="109" fillId="32" borderId="162" xfId="16" applyNumberFormat="1" applyFont="1" applyFill="1" applyBorder="1" applyAlignment="1">
      <alignment vertical="center"/>
    </xf>
    <xf numFmtId="3" fontId="109" fillId="21" borderId="163" xfId="16" applyNumberFormat="1" applyFont="1" applyFill="1" applyBorder="1" applyAlignment="1">
      <alignment vertical="center"/>
    </xf>
    <xf numFmtId="185" fontId="109" fillId="26" borderId="132" xfId="16" applyNumberFormat="1" applyFont="1" applyFill="1" applyBorder="1" applyAlignment="1">
      <alignment horizontal="center" vertical="center"/>
    </xf>
    <xf numFmtId="3" fontId="109" fillId="27" borderId="168" xfId="16" applyNumberFormat="1" applyFont="1" applyFill="1" applyBorder="1" applyAlignment="1">
      <alignment vertical="center"/>
    </xf>
    <xf numFmtId="185" fontId="110" fillId="26" borderId="178" xfId="16" applyNumberFormat="1" applyFont="1" applyFill="1" applyBorder="1" applyAlignment="1">
      <alignment horizontal="center" vertical="center"/>
    </xf>
    <xf numFmtId="3" fontId="109" fillId="27" borderId="179" xfId="16" applyNumberFormat="1" applyFont="1" applyFill="1" applyBorder="1" applyAlignment="1">
      <alignment vertical="center"/>
    </xf>
    <xf numFmtId="185" fontId="110" fillId="28" borderId="143" xfId="16" applyNumberFormat="1" applyFont="1" applyFill="1" applyBorder="1" applyAlignment="1">
      <alignment horizontal="center" vertical="center"/>
    </xf>
    <xf numFmtId="185" fontId="110" fillId="28" borderId="144" xfId="16" applyNumberFormat="1" applyFont="1" applyFill="1" applyBorder="1" applyAlignment="1">
      <alignment horizontal="center" vertical="center"/>
    </xf>
    <xf numFmtId="0" fontId="106" fillId="29" borderId="144" xfId="16" applyFont="1" applyFill="1" applyBorder="1" applyAlignment="1">
      <alignment horizontal="left" vertical="center"/>
    </xf>
    <xf numFmtId="192" fontId="109" fillId="29" borderId="144" xfId="16" applyNumberFormat="1" applyFont="1" applyFill="1" applyBorder="1" applyAlignment="1">
      <alignment vertical="center"/>
    </xf>
    <xf numFmtId="3" fontId="109" fillId="29" borderId="157" xfId="16" applyNumberFormat="1" applyFont="1" applyFill="1" applyBorder="1" applyAlignment="1">
      <alignment vertical="center"/>
    </xf>
    <xf numFmtId="185" fontId="109" fillId="26" borderId="131" xfId="16" applyNumberFormat="1" applyFont="1" applyFill="1" applyBorder="1" applyAlignment="1">
      <alignment horizontal="left" vertical="center"/>
    </xf>
    <xf numFmtId="185" fontId="109" fillId="26" borderId="132" xfId="16" applyNumberFormat="1" applyFont="1" applyFill="1" applyBorder="1" applyAlignment="1">
      <alignment horizontal="left" vertical="center"/>
    </xf>
    <xf numFmtId="177" fontId="109" fillId="26" borderId="132" xfId="16" applyNumberFormat="1" applyFont="1" applyFill="1" applyBorder="1" applyAlignment="1">
      <alignment horizontal="center" vertical="center"/>
    </xf>
    <xf numFmtId="185" fontId="106" fillId="26" borderId="132" xfId="15" applyFont="1" applyFill="1" applyBorder="1" applyAlignment="1" applyProtection="1">
      <alignment vertical="center"/>
    </xf>
    <xf numFmtId="3" fontId="109" fillId="26" borderId="168" xfId="15" applyNumberFormat="1" applyFont="1" applyFill="1" applyBorder="1" applyAlignment="1" applyProtection="1">
      <alignment vertical="center"/>
    </xf>
    <xf numFmtId="185" fontId="76" fillId="26" borderId="178" xfId="16" applyNumberFormat="1" applyFont="1" applyFill="1" applyBorder="1" applyAlignment="1">
      <alignment horizontal="left" vertical="center"/>
    </xf>
    <xf numFmtId="177" fontId="110" fillId="26" borderId="178" xfId="16" applyNumberFormat="1" applyFont="1" applyFill="1" applyBorder="1" applyAlignment="1">
      <alignment horizontal="center" vertical="center"/>
    </xf>
    <xf numFmtId="3" fontId="109" fillId="26" borderId="179" xfId="15" applyNumberFormat="1" applyFont="1" applyFill="1" applyBorder="1" applyAlignment="1" applyProtection="1">
      <alignment vertical="center"/>
    </xf>
    <xf numFmtId="3" fontId="58" fillId="22" borderId="0" xfId="17" applyNumberFormat="1" applyFont="1" applyFill="1" applyBorder="1" applyAlignment="1" applyProtection="1">
      <alignment vertical="center"/>
    </xf>
    <xf numFmtId="185" fontId="73" fillId="21" borderId="0" xfId="17" applyNumberFormat="1" applyFont="1" applyFill="1" applyBorder="1" applyAlignment="1" applyProtection="1">
      <alignment vertical="center"/>
    </xf>
    <xf numFmtId="0" fontId="36" fillId="22" borderId="0" xfId="17" applyNumberFormat="1" applyFont="1" applyFill="1" applyBorder="1" applyAlignment="1" applyProtection="1">
      <alignment horizontal="left" vertical="center"/>
    </xf>
    <xf numFmtId="49" fontId="25" fillId="0" borderId="0" xfId="1" applyNumberFormat="1" applyFont="1" applyFill="1" applyBorder="1" applyAlignment="1" applyProtection="1">
      <alignment horizontal="center" vertical="center"/>
    </xf>
    <xf numFmtId="0" fontId="25" fillId="0" borderId="0" xfId="1" applyNumberFormat="1" applyFont="1" applyFill="1" applyBorder="1" applyAlignment="1" applyProtection="1">
      <alignment vertical="center"/>
    </xf>
    <xf numFmtId="177" fontId="25" fillId="0" borderId="0" xfId="1" applyNumberFormat="1" applyFont="1" applyFill="1" applyBorder="1" applyAlignment="1" applyProtection="1">
      <alignment vertical="center"/>
    </xf>
    <xf numFmtId="177" fontId="111" fillId="0" borderId="0" xfId="1" applyNumberFormat="1" applyFont="1" applyFill="1" applyBorder="1" applyAlignment="1" applyProtection="1">
      <alignment vertical="center"/>
    </xf>
    <xf numFmtId="43" fontId="25" fillId="0" borderId="0" xfId="1" applyFont="1" applyFill="1" applyBorder="1" applyAlignment="1" applyProtection="1">
      <alignment vertical="center"/>
    </xf>
    <xf numFmtId="49" fontId="15" fillId="0" borderId="0" xfId="1" applyNumberFormat="1" applyFont="1" applyFill="1" applyBorder="1" applyAlignment="1" applyProtection="1">
      <alignment horizontal="left" vertical="center"/>
    </xf>
    <xf numFmtId="49" fontId="37" fillId="0" borderId="0" xfId="1" applyNumberFormat="1" applyFont="1" applyFill="1" applyBorder="1" applyAlignment="1" applyProtection="1">
      <alignment horizontal="center" vertical="center"/>
    </xf>
    <xf numFmtId="0" fontId="37" fillId="0" borderId="0" xfId="1" applyNumberFormat="1" applyFont="1" applyFill="1" applyBorder="1" applyAlignment="1" applyProtection="1">
      <alignment vertical="center"/>
    </xf>
    <xf numFmtId="177" fontId="37" fillId="0" borderId="0" xfId="1" applyNumberFormat="1" applyFont="1" applyFill="1" applyBorder="1" applyAlignment="1" applyProtection="1">
      <alignment vertical="center"/>
    </xf>
    <xf numFmtId="177" fontId="112" fillId="0" borderId="0" xfId="1" applyNumberFormat="1" applyFont="1" applyFill="1" applyBorder="1" applyAlignment="1" applyProtection="1">
      <alignment vertical="center"/>
    </xf>
    <xf numFmtId="43" fontId="37" fillId="0" borderId="0" xfId="1" applyFont="1" applyFill="1" applyBorder="1" applyAlignment="1" applyProtection="1">
      <alignment vertical="center"/>
    </xf>
    <xf numFmtId="49" fontId="36" fillId="0" borderId="0" xfId="1" applyNumberFormat="1" applyFont="1" applyFill="1" applyBorder="1" applyAlignment="1" applyProtection="1">
      <alignment vertical="center"/>
    </xf>
    <xf numFmtId="0" fontId="36" fillId="0" borderId="0" xfId="1" applyNumberFormat="1" applyFont="1" applyFill="1" applyBorder="1" applyAlignment="1" applyProtection="1">
      <alignment vertical="center"/>
    </xf>
    <xf numFmtId="177" fontId="36" fillId="0" borderId="0" xfId="1" applyNumberFormat="1" applyFont="1" applyFill="1" applyBorder="1" applyAlignment="1" applyProtection="1">
      <alignment vertical="center"/>
    </xf>
    <xf numFmtId="177" fontId="113" fillId="0" borderId="0" xfId="1" applyNumberFormat="1" applyFont="1" applyFill="1" applyBorder="1" applyAlignment="1" applyProtection="1">
      <alignment vertical="center"/>
    </xf>
    <xf numFmtId="49" fontId="15" fillId="0" borderId="0" xfId="1" applyNumberFormat="1" applyFont="1" applyFill="1" applyBorder="1" applyAlignment="1" applyProtection="1">
      <alignment horizontal="right" vertical="center"/>
    </xf>
    <xf numFmtId="0" fontId="36" fillId="0" borderId="0" xfId="1" applyNumberFormat="1" applyFont="1" applyFill="1" applyBorder="1" applyAlignment="1" applyProtection="1">
      <alignment horizontal="left" vertical="center"/>
    </xf>
    <xf numFmtId="168" fontId="15" fillId="0" borderId="0" xfId="1" applyNumberFormat="1" applyFont="1" applyFill="1" applyBorder="1" applyAlignment="1" applyProtection="1">
      <alignment horizontal="right" vertical="center"/>
    </xf>
    <xf numFmtId="4" fontId="36" fillId="0" borderId="0" xfId="1" applyNumberFormat="1" applyFont="1" applyFill="1" applyBorder="1" applyAlignment="1" applyProtection="1">
      <alignment vertical="center"/>
    </xf>
    <xf numFmtId="4" fontId="15" fillId="0" borderId="0" xfId="1" applyNumberFormat="1" applyFont="1" applyFill="1" applyBorder="1" applyAlignment="1" applyProtection="1">
      <alignment horizontal="right" vertical="center"/>
    </xf>
    <xf numFmtId="49" fontId="36" fillId="0" borderId="0" xfId="1" applyNumberFormat="1" applyFont="1" applyFill="1" applyBorder="1" applyAlignment="1" applyProtection="1">
      <alignment horizontal="left" vertical="center"/>
    </xf>
    <xf numFmtId="0" fontId="36" fillId="0" borderId="0" xfId="1" applyNumberFormat="1" applyFont="1" applyFill="1" applyBorder="1" applyAlignment="1" applyProtection="1">
      <alignment horizontal="center" vertical="center"/>
    </xf>
    <xf numFmtId="43" fontId="37" fillId="0" borderId="0" xfId="1" applyFont="1" applyFill="1" applyBorder="1" applyAlignment="1" applyProtection="1">
      <alignment horizontal="right" vertical="center"/>
    </xf>
    <xf numFmtId="49" fontId="26" fillId="0" borderId="0" xfId="1" applyNumberFormat="1" applyFont="1" applyFill="1" applyBorder="1" applyAlignment="1" applyProtection="1">
      <alignment horizontal="left" vertical="center"/>
    </xf>
    <xf numFmtId="0" fontId="26" fillId="0" borderId="0" xfId="1" applyNumberFormat="1" applyFont="1" applyFill="1" applyBorder="1" applyAlignment="1" applyProtection="1">
      <alignment horizontal="center" vertical="center"/>
    </xf>
    <xf numFmtId="43" fontId="25" fillId="0" borderId="0" xfId="1" applyFont="1" applyFill="1" applyBorder="1" applyAlignment="1" applyProtection="1">
      <alignment horizontal="right" vertical="center"/>
    </xf>
    <xf numFmtId="0" fontId="26" fillId="0" borderId="0" xfId="1" applyNumberFormat="1" applyFont="1" applyFill="1" applyBorder="1" applyAlignment="1" applyProtection="1">
      <alignment horizontal="left" vertical="center"/>
    </xf>
    <xf numFmtId="49" fontId="26" fillId="26" borderId="181" xfId="1" applyNumberFormat="1" applyFont="1" applyFill="1" applyBorder="1" applyAlignment="1" applyProtection="1">
      <alignment vertical="center"/>
    </xf>
    <xf numFmtId="177" fontId="26" fillId="26" borderId="6" xfId="1" applyNumberFormat="1" applyFont="1" applyFill="1" applyBorder="1" applyAlignment="1" applyProtection="1">
      <alignment horizontal="center" vertical="center"/>
    </xf>
    <xf numFmtId="177" fontId="26" fillId="26" borderId="182" xfId="1" applyNumberFormat="1" applyFont="1" applyFill="1" applyBorder="1" applyAlignment="1" applyProtection="1">
      <alignment horizontal="center" vertical="center"/>
    </xf>
    <xf numFmtId="43" fontId="26" fillId="26" borderId="183" xfId="1" applyFont="1" applyFill="1" applyBorder="1" applyAlignment="1" applyProtection="1">
      <alignment horizontal="center" vertical="center"/>
    </xf>
    <xf numFmtId="43" fontId="25" fillId="0" borderId="184" xfId="1" applyFont="1" applyFill="1" applyBorder="1" applyAlignment="1" applyProtection="1">
      <alignment vertical="center"/>
    </xf>
    <xf numFmtId="43" fontId="25" fillId="0" borderId="48" xfId="1" applyFont="1" applyFill="1" applyBorder="1" applyAlignment="1" applyProtection="1">
      <alignment vertical="center"/>
    </xf>
    <xf numFmtId="43" fontId="25" fillId="0" borderId="18" xfId="1" applyFont="1" applyFill="1" applyBorder="1" applyAlignment="1" applyProtection="1">
      <alignment horizontal="center" vertical="center"/>
    </xf>
    <xf numFmtId="43" fontId="25" fillId="0" borderId="72" xfId="1" applyFont="1" applyFill="1" applyBorder="1" applyAlignment="1" applyProtection="1">
      <alignment vertical="center"/>
    </xf>
    <xf numFmtId="49" fontId="28" fillId="26" borderId="186" xfId="1" applyNumberFormat="1" applyFont="1" applyFill="1" applyBorder="1" applyAlignment="1" applyProtection="1">
      <alignment vertical="center"/>
    </xf>
    <xf numFmtId="168" fontId="28" fillId="26" borderId="12" xfId="1" applyNumberFormat="1" applyFont="1" applyFill="1" applyBorder="1" applyAlignment="1" applyProtection="1">
      <alignment horizontal="center" vertical="center"/>
    </xf>
    <xf numFmtId="168" fontId="28" fillId="26" borderId="187" xfId="1" applyNumberFormat="1" applyFont="1" applyFill="1" applyBorder="1" applyAlignment="1" applyProtection="1">
      <alignment horizontal="center" vertical="center"/>
    </xf>
    <xf numFmtId="43" fontId="28" fillId="26" borderId="188" xfId="1" applyFont="1" applyFill="1" applyBorder="1" applyAlignment="1" applyProtection="1">
      <alignment horizontal="center" vertical="center"/>
    </xf>
    <xf numFmtId="43" fontId="29" fillId="0" borderId="0" xfId="1" applyFont="1" applyFill="1" applyBorder="1" applyAlignment="1" applyProtection="1">
      <alignment vertical="center"/>
    </xf>
    <xf numFmtId="43" fontId="29" fillId="0" borderId="101" xfId="1" applyFont="1" applyFill="1" applyBorder="1" applyAlignment="1" applyProtection="1">
      <alignment vertical="center"/>
    </xf>
    <xf numFmtId="43" fontId="29" fillId="0" borderId="17" xfId="1" applyFont="1" applyFill="1" applyBorder="1" applyAlignment="1" applyProtection="1">
      <alignment vertical="center"/>
    </xf>
    <xf numFmtId="43" fontId="29" fillId="0" borderId="17" xfId="1" applyFont="1" applyFill="1" applyBorder="1" applyAlignment="1" applyProtection="1">
      <alignment horizontal="center" vertical="center"/>
    </xf>
    <xf numFmtId="43" fontId="29" fillId="0" borderId="21" xfId="1" applyFont="1" applyFill="1" applyBorder="1" applyAlignment="1" applyProtection="1">
      <alignment horizontal="center" vertical="center"/>
    </xf>
    <xf numFmtId="43" fontId="29" fillId="0" borderId="127" xfId="1" applyFont="1" applyFill="1" applyBorder="1" applyAlignment="1" applyProtection="1">
      <alignment vertical="center"/>
    </xf>
    <xf numFmtId="49" fontId="26" fillId="0" borderId="189" xfId="1" applyNumberFormat="1" applyFont="1" applyFill="1" applyBorder="1" applyAlignment="1" applyProtection="1">
      <alignment horizontal="center" vertical="center"/>
    </xf>
    <xf numFmtId="49" fontId="26" fillId="0" borderId="17" xfId="1" applyNumberFormat="1" applyFont="1" applyFill="1" applyBorder="1" applyAlignment="1" applyProtection="1">
      <alignment horizontal="left" vertical="center"/>
    </xf>
    <xf numFmtId="0" fontId="26" fillId="0" borderId="17" xfId="0" applyFont="1" applyBorder="1" applyAlignment="1">
      <alignment vertical="center"/>
    </xf>
    <xf numFmtId="177" fontId="25" fillId="0" borderId="22" xfId="0" applyNumberFormat="1" applyFont="1" applyBorder="1" applyAlignment="1">
      <alignment vertical="center"/>
    </xf>
    <xf numFmtId="43" fontId="25" fillId="0" borderId="190" xfId="1" applyFont="1" applyFill="1" applyBorder="1" applyAlignment="1" applyProtection="1">
      <alignment vertical="center"/>
    </xf>
    <xf numFmtId="43" fontId="25" fillId="0" borderId="101" xfId="1" applyFont="1" applyFill="1" applyBorder="1" applyAlignment="1" applyProtection="1">
      <alignment vertical="center"/>
    </xf>
    <xf numFmtId="43" fontId="25" fillId="0" borderId="17" xfId="1" applyFont="1" applyFill="1" applyBorder="1" applyAlignment="1" applyProtection="1">
      <alignment vertical="center"/>
    </xf>
    <xf numFmtId="43" fontId="25" fillId="0" borderId="21" xfId="1" applyFont="1" applyFill="1" applyBorder="1" applyAlignment="1" applyProtection="1">
      <alignment vertical="center"/>
    </xf>
    <xf numFmtId="43" fontId="25" fillId="0" borderId="127" xfId="1" applyFont="1" applyFill="1" applyBorder="1" applyAlignment="1" applyProtection="1">
      <alignment vertical="center"/>
    </xf>
    <xf numFmtId="0" fontId="25" fillId="0" borderId="189" xfId="0" applyFont="1" applyBorder="1" applyAlignment="1">
      <alignment vertical="center"/>
    </xf>
    <xf numFmtId="0" fontId="25" fillId="0" borderId="17" xfId="0" quotePrefix="1" applyFont="1" applyBorder="1" applyAlignment="1">
      <alignment horizontal="center" vertical="center"/>
    </xf>
    <xf numFmtId="0" fontId="25" fillId="0" borderId="190" xfId="0" applyFont="1" applyBorder="1" applyAlignment="1">
      <alignment vertical="center"/>
    </xf>
    <xf numFmtId="0" fontId="25" fillId="3" borderId="17" xfId="0" applyFont="1" applyFill="1" applyBorder="1" applyAlignment="1">
      <alignment vertical="center"/>
    </xf>
    <xf numFmtId="43" fontId="26" fillId="0" borderId="190" xfId="0" applyNumberFormat="1" applyFont="1" applyBorder="1" applyAlignment="1">
      <alignment vertical="center"/>
    </xf>
    <xf numFmtId="177" fontId="115" fillId="0" borderId="21" xfId="0" applyNumberFormat="1" applyFont="1" applyBorder="1" applyAlignment="1">
      <alignment vertical="center"/>
    </xf>
    <xf numFmtId="177" fontId="70" fillId="3" borderId="21" xfId="0" applyNumberFormat="1" applyFont="1" applyFill="1" applyBorder="1" applyAlignment="1">
      <alignment vertical="center"/>
    </xf>
    <xf numFmtId="0" fontId="25" fillId="0" borderId="41" xfId="0" applyFont="1" applyBorder="1" applyAlignment="1">
      <alignment vertical="center"/>
    </xf>
    <xf numFmtId="43" fontId="25" fillId="0" borderId="41" xfId="1" applyFont="1" applyFill="1" applyBorder="1" applyAlignment="1" applyProtection="1">
      <alignment vertical="center"/>
    </xf>
    <xf numFmtId="177" fontId="25" fillId="0" borderId="96" xfId="0" applyNumberFormat="1" applyFont="1" applyBorder="1" applyAlignment="1">
      <alignment vertical="center"/>
    </xf>
    <xf numFmtId="177" fontId="25" fillId="0" borderId="24" xfId="0" applyNumberFormat="1" applyFont="1" applyBorder="1" applyAlignment="1">
      <alignment vertical="center"/>
    </xf>
    <xf numFmtId="177" fontId="26" fillId="0" borderId="22" xfId="0" applyNumberFormat="1" applyFont="1" applyBorder="1" applyAlignment="1">
      <alignment vertical="center"/>
    </xf>
    <xf numFmtId="0" fontId="25" fillId="0" borderId="186" xfId="0" applyFont="1" applyBorder="1" applyAlignment="1">
      <alignment vertical="center"/>
    </xf>
    <xf numFmtId="0" fontId="25" fillId="0" borderId="11" xfId="0" applyFont="1" applyBorder="1" applyAlignment="1">
      <alignment vertical="center"/>
    </xf>
    <xf numFmtId="177" fontId="26" fillId="0" borderId="12" xfId="0" applyNumberFormat="1" applyFont="1" applyBorder="1" applyAlignment="1">
      <alignment vertical="center"/>
    </xf>
    <xf numFmtId="177" fontId="116" fillId="0" borderId="187" xfId="0" applyNumberFormat="1" applyFont="1" applyBorder="1" applyAlignment="1">
      <alignment vertical="center"/>
    </xf>
    <xf numFmtId="0" fontId="25" fillId="0" borderId="188" xfId="0" applyFont="1" applyBorder="1" applyAlignment="1">
      <alignment vertical="center"/>
    </xf>
    <xf numFmtId="0" fontId="26" fillId="34" borderId="186" xfId="0" applyFont="1" applyFill="1" applyBorder="1" applyAlignment="1">
      <alignment vertical="center"/>
    </xf>
    <xf numFmtId="0" fontId="26" fillId="34" borderId="11" xfId="0" applyFont="1" applyFill="1" applyBorder="1" applyAlignment="1">
      <alignment vertical="center"/>
    </xf>
    <xf numFmtId="177" fontId="26" fillId="34" borderId="12" xfId="0" applyNumberFormat="1" applyFont="1" applyFill="1" applyBorder="1" applyAlignment="1">
      <alignment vertical="center"/>
    </xf>
    <xf numFmtId="0" fontId="26" fillId="34" borderId="188" xfId="0" applyFont="1" applyFill="1" applyBorder="1" applyAlignment="1">
      <alignment vertical="center"/>
    </xf>
    <xf numFmtId="0" fontId="26" fillId="0" borderId="189" xfId="0" applyFont="1" applyBorder="1" applyAlignment="1">
      <alignment horizontal="center" vertical="center"/>
    </xf>
    <xf numFmtId="177" fontId="27" fillId="0" borderId="21" xfId="0" applyNumberFormat="1" applyFont="1" applyBorder="1" applyAlignment="1">
      <alignment vertical="center"/>
    </xf>
    <xf numFmtId="193" fontId="25" fillId="0" borderId="0" xfId="1" applyNumberFormat="1" applyFont="1" applyFill="1" applyBorder="1" applyAlignment="1" applyProtection="1">
      <alignment vertical="center"/>
    </xf>
    <xf numFmtId="177" fontId="26" fillId="34" borderId="44" xfId="0" applyNumberFormat="1" applyFont="1" applyFill="1" applyBorder="1" applyAlignment="1">
      <alignment vertical="center"/>
    </xf>
    <xf numFmtId="177" fontId="26" fillId="34" borderId="191" xfId="0" applyNumberFormat="1" applyFont="1" applyFill="1" applyBorder="1" applyAlignment="1">
      <alignment vertical="center"/>
    </xf>
    <xf numFmtId="0" fontId="26" fillId="34" borderId="192" xfId="0" applyFont="1" applyFill="1" applyBorder="1" applyAlignment="1">
      <alignment vertical="center"/>
    </xf>
    <xf numFmtId="39" fontId="25" fillId="33" borderId="21" xfId="0" applyNumberFormat="1" applyFont="1" applyFill="1" applyBorder="1" applyAlignment="1">
      <alignment vertical="center"/>
    </xf>
    <xf numFmtId="39" fontId="25" fillId="0" borderId="22" xfId="0" applyNumberFormat="1" applyFont="1" applyBorder="1" applyAlignment="1">
      <alignment vertical="center"/>
    </xf>
    <xf numFmtId="177" fontId="58" fillId="3" borderId="144" xfId="2" applyNumberFormat="1" applyFont="1" applyFill="1" applyBorder="1" applyAlignment="1" applyProtection="1">
      <alignment horizontal="left" vertical="center"/>
    </xf>
    <xf numFmtId="43" fontId="25" fillId="9" borderId="0" xfId="1" applyFont="1" applyFill="1" applyBorder="1" applyAlignment="1" applyProtection="1">
      <alignment vertical="center"/>
    </xf>
    <xf numFmtId="39" fontId="25" fillId="0" borderId="21" xfId="0" applyNumberFormat="1" applyFont="1" applyBorder="1" applyAlignment="1">
      <alignment vertical="center"/>
    </xf>
    <xf numFmtId="39" fontId="25" fillId="35" borderId="21" xfId="0" applyNumberFormat="1" applyFont="1" applyFill="1" applyBorder="1" applyAlignment="1">
      <alignment vertical="center"/>
    </xf>
    <xf numFmtId="39" fontId="25" fillId="0" borderId="0" xfId="0" applyNumberFormat="1" applyFont="1" applyAlignment="1">
      <alignment vertical="center"/>
    </xf>
    <xf numFmtId="39" fontId="25" fillId="35" borderId="22" xfId="0" applyNumberFormat="1" applyFont="1" applyFill="1" applyBorder="1" applyAlignment="1">
      <alignment vertical="center"/>
    </xf>
    <xf numFmtId="0" fontId="26" fillId="34" borderId="193" xfId="0" applyFont="1" applyFill="1" applyBorder="1" applyAlignment="1">
      <alignment horizontal="left" vertical="center"/>
    </xf>
    <xf numFmtId="0" fontId="26" fillId="34" borderId="194" xfId="0" applyFont="1" applyFill="1" applyBorder="1" applyAlignment="1">
      <alignment vertical="center"/>
    </xf>
    <xf numFmtId="39" fontId="26" fillId="34" borderId="195" xfId="0" applyNumberFormat="1" applyFont="1" applyFill="1" applyBorder="1" applyAlignment="1">
      <alignment vertical="center"/>
    </xf>
    <xf numFmtId="0" fontId="26" fillId="34" borderId="196" xfId="0" applyFont="1" applyFill="1" applyBorder="1" applyAlignment="1">
      <alignment vertical="center"/>
    </xf>
    <xf numFmtId="0" fontId="42" fillId="0" borderId="189" xfId="0" applyFont="1" applyBorder="1" applyAlignment="1">
      <alignment vertical="center"/>
    </xf>
    <xf numFmtId="0" fontId="42" fillId="0" borderId="17" xfId="0" applyFont="1" applyBorder="1" applyAlignment="1">
      <alignment vertical="center"/>
    </xf>
    <xf numFmtId="0" fontId="27" fillId="0" borderId="17" xfId="0" applyFont="1" applyBorder="1" applyAlignment="1">
      <alignment vertical="center"/>
    </xf>
    <xf numFmtId="39" fontId="27" fillId="0" borderId="21" xfId="0" applyNumberFormat="1" applyFont="1" applyBorder="1" applyAlignment="1">
      <alignment vertical="center"/>
    </xf>
    <xf numFmtId="39" fontId="27" fillId="0" borderId="22" xfId="0" applyNumberFormat="1" applyFont="1" applyBorder="1" applyAlignment="1">
      <alignment vertical="center"/>
    </xf>
    <xf numFmtId="0" fontId="27" fillId="0" borderId="190" xfId="0" applyFont="1" applyBorder="1" applyAlignment="1">
      <alignment vertical="center"/>
    </xf>
    <xf numFmtId="43" fontId="27" fillId="0" borderId="0" xfId="1" applyFont="1" applyFill="1" applyBorder="1" applyAlignment="1" applyProtection="1">
      <alignment vertical="center"/>
    </xf>
    <xf numFmtId="43" fontId="27" fillId="0" borderId="101" xfId="1" applyFont="1" applyFill="1" applyBorder="1" applyAlignment="1" applyProtection="1">
      <alignment vertical="center"/>
    </xf>
    <xf numFmtId="43" fontId="27" fillId="0" borderId="17" xfId="1" applyFont="1" applyFill="1" applyBorder="1" applyAlignment="1" applyProtection="1">
      <alignment vertical="center"/>
    </xf>
    <xf numFmtId="0" fontId="27" fillId="0" borderId="41" xfId="0" applyFont="1" applyBorder="1" applyAlignment="1">
      <alignment vertical="center"/>
    </xf>
    <xf numFmtId="43" fontId="27" fillId="0" borderId="41" xfId="1" applyFont="1" applyFill="1" applyBorder="1" applyAlignment="1" applyProtection="1">
      <alignment vertical="center"/>
    </xf>
    <xf numFmtId="43" fontId="27" fillId="0" borderId="21" xfId="1" applyFont="1" applyFill="1" applyBorder="1" applyAlignment="1" applyProtection="1">
      <alignment vertical="center"/>
    </xf>
    <xf numFmtId="43" fontId="27" fillId="0" borderId="127" xfId="1" applyFont="1" applyFill="1" applyBorder="1" applyAlignment="1" applyProtection="1">
      <alignment vertical="center"/>
    </xf>
    <xf numFmtId="0" fontId="27" fillId="0" borderId="189" xfId="0" applyFont="1" applyBorder="1" applyAlignment="1">
      <alignment vertical="center"/>
    </xf>
    <xf numFmtId="49" fontId="72" fillId="22" borderId="0" xfId="0" applyNumberFormat="1" applyFont="1" applyFill="1" applyAlignment="1">
      <alignment vertical="center"/>
    </xf>
    <xf numFmtId="0" fontId="27" fillId="0" borderId="186" xfId="0" applyFont="1" applyBorder="1" applyAlignment="1">
      <alignment vertical="center"/>
    </xf>
    <xf numFmtId="0" fontId="27" fillId="0" borderId="63" xfId="0" applyFont="1" applyBorder="1" applyAlignment="1">
      <alignment vertical="center"/>
    </xf>
    <xf numFmtId="0" fontId="27" fillId="0" borderId="11" xfId="0" applyFont="1" applyBorder="1" applyAlignment="1">
      <alignment vertical="center"/>
    </xf>
    <xf numFmtId="39" fontId="27" fillId="0" borderId="12" xfId="0" applyNumberFormat="1" applyFont="1" applyBorder="1" applyAlignment="1">
      <alignment vertical="center"/>
    </xf>
    <xf numFmtId="39" fontId="27" fillId="0" borderId="187" xfId="0" applyNumberFormat="1" applyFont="1" applyBorder="1" applyAlignment="1">
      <alignment vertical="center"/>
    </xf>
    <xf numFmtId="0" fontId="27" fillId="0" borderId="188" xfId="0" applyFont="1" applyBorder="1" applyAlignment="1">
      <alignment vertical="center"/>
    </xf>
    <xf numFmtId="0" fontId="42" fillId="34" borderId="186" xfId="0" applyFont="1" applyFill="1" applyBorder="1" applyAlignment="1">
      <alignment vertical="center"/>
    </xf>
    <xf numFmtId="0" fontId="42" fillId="34" borderId="11" xfId="0" applyFont="1" applyFill="1" applyBorder="1" applyAlignment="1">
      <alignment vertical="center"/>
    </xf>
    <xf numFmtId="41" fontId="41" fillId="34" borderId="12" xfId="2" applyFont="1" applyFill="1" applyBorder="1" applyAlignment="1">
      <alignment vertical="center"/>
    </xf>
    <xf numFmtId="39" fontId="42" fillId="34" borderId="187" xfId="0" applyNumberFormat="1" applyFont="1" applyFill="1" applyBorder="1" applyAlignment="1">
      <alignment vertical="center"/>
    </xf>
    <xf numFmtId="0" fontId="42" fillId="34" borderId="188" xfId="0" applyFont="1" applyFill="1" applyBorder="1" applyAlignment="1">
      <alignment vertical="center"/>
    </xf>
    <xf numFmtId="41" fontId="41" fillId="0" borderId="21" xfId="2" applyFont="1" applyFill="1" applyBorder="1" applyAlignment="1">
      <alignment vertical="center"/>
    </xf>
    <xf numFmtId="0" fontId="42" fillId="34" borderId="9" xfId="0" applyFont="1" applyFill="1" applyBorder="1" applyAlignment="1">
      <alignment vertical="center"/>
    </xf>
    <xf numFmtId="0" fontId="42" fillId="34" borderId="33" xfId="0" applyFont="1" applyFill="1" applyBorder="1" applyAlignment="1">
      <alignment vertical="center"/>
    </xf>
    <xf numFmtId="39" fontId="42" fillId="36" borderId="35" xfId="0" applyNumberFormat="1" applyFont="1" applyFill="1" applyBorder="1" applyAlignment="1">
      <alignment vertical="center"/>
    </xf>
    <xf numFmtId="39" fontId="42" fillId="34" borderId="197" xfId="0" applyNumberFormat="1" applyFont="1" applyFill="1" applyBorder="1" applyAlignment="1">
      <alignment vertical="center"/>
    </xf>
    <xf numFmtId="0" fontId="42" fillId="34" borderId="14" xfId="0" applyFont="1" applyFill="1" applyBorder="1" applyAlignment="1">
      <alignment vertical="center"/>
    </xf>
    <xf numFmtId="39" fontId="25" fillId="0" borderId="198" xfId="0" applyNumberFormat="1" applyFont="1" applyBorder="1" applyAlignment="1">
      <alignment vertical="center"/>
    </xf>
    <xf numFmtId="39" fontId="25" fillId="0" borderId="16" xfId="0" applyNumberFormat="1" applyFont="1" applyBorder="1" applyAlignment="1">
      <alignment vertical="center"/>
    </xf>
    <xf numFmtId="0" fontId="25" fillId="3" borderId="17" xfId="0" quotePrefix="1" applyFont="1" applyFill="1" applyBorder="1" applyAlignment="1">
      <alignment horizontal="center" vertical="center"/>
    </xf>
    <xf numFmtId="43" fontId="25" fillId="35" borderId="76" xfId="1" applyFont="1" applyFill="1" applyBorder="1" applyAlignment="1" applyProtection="1">
      <alignment vertical="center"/>
    </xf>
    <xf numFmtId="39" fontId="25" fillId="3" borderId="0" xfId="0" applyNumberFormat="1" applyFont="1" applyFill="1"/>
    <xf numFmtId="0" fontId="25" fillId="3" borderId="190" xfId="0" applyFont="1" applyFill="1" applyBorder="1" applyAlignment="1">
      <alignment vertical="center"/>
    </xf>
    <xf numFmtId="43" fontId="25" fillId="3" borderId="76" xfId="1" applyFont="1" applyFill="1" applyBorder="1" applyAlignment="1" applyProtection="1">
      <alignment vertical="center"/>
    </xf>
    <xf numFmtId="0" fontId="25" fillId="3" borderId="17" xfId="0" applyFont="1" applyFill="1" applyBorder="1" applyAlignment="1">
      <alignment horizontal="center" vertical="center"/>
    </xf>
    <xf numFmtId="39" fontId="25" fillId="3" borderId="24" xfId="0" applyNumberFormat="1" applyFont="1" applyFill="1" applyBorder="1"/>
    <xf numFmtId="43" fontId="82" fillId="3" borderId="76" xfId="1" applyFont="1" applyFill="1" applyBorder="1" applyAlignment="1" applyProtection="1">
      <alignment vertical="center"/>
    </xf>
    <xf numFmtId="39" fontId="118" fillId="0" borderId="76" xfId="0" applyNumberFormat="1" applyFont="1" applyBorder="1"/>
    <xf numFmtId="39" fontId="70" fillId="3" borderId="0" xfId="0" applyNumberFormat="1" applyFont="1" applyFill="1"/>
    <xf numFmtId="39" fontId="27" fillId="0" borderId="76" xfId="0" applyNumberFormat="1" applyFont="1" applyBorder="1"/>
    <xf numFmtId="39" fontId="114" fillId="0" borderId="76" xfId="0" applyNumberFormat="1" applyFont="1" applyBorder="1"/>
    <xf numFmtId="39" fontId="27" fillId="0" borderId="30" xfId="0" applyNumberFormat="1" applyFont="1" applyBorder="1"/>
    <xf numFmtId="39" fontId="70" fillId="3" borderId="97" xfId="0" applyNumberFormat="1" applyFont="1" applyFill="1" applyBorder="1"/>
    <xf numFmtId="39" fontId="70" fillId="3" borderId="76" xfId="0" applyNumberFormat="1" applyFont="1" applyFill="1" applyBorder="1"/>
    <xf numFmtId="43" fontId="25" fillId="3" borderId="0" xfId="1" applyFont="1" applyFill="1" applyBorder="1" applyAlignment="1" applyProtection="1">
      <alignment vertical="center"/>
    </xf>
    <xf numFmtId="0" fontId="25" fillId="3" borderId="16" xfId="0" applyFont="1" applyFill="1" applyBorder="1" applyAlignment="1">
      <alignment vertical="center"/>
    </xf>
    <xf numFmtId="0" fontId="9" fillId="0" borderId="0" xfId="0" applyFont="1" applyAlignment="1">
      <alignment horizontal="center"/>
    </xf>
    <xf numFmtId="0" fontId="26" fillId="34" borderId="9" xfId="0" applyFont="1" applyFill="1" applyBorder="1" applyAlignment="1">
      <alignment vertical="center"/>
    </xf>
    <xf numFmtId="0" fontId="26" fillId="34" borderId="33" xfId="0" applyFont="1" applyFill="1" applyBorder="1" applyAlignment="1">
      <alignment vertical="center"/>
    </xf>
    <xf numFmtId="0" fontId="26" fillId="34" borderId="14" xfId="0" applyFont="1" applyFill="1" applyBorder="1" applyAlignment="1">
      <alignment vertical="center"/>
    </xf>
    <xf numFmtId="0" fontId="25" fillId="0" borderId="9" xfId="0" applyFont="1" applyBorder="1" applyAlignment="1">
      <alignment vertical="center"/>
    </xf>
    <xf numFmtId="0" fontId="25" fillId="0" borderId="33" xfId="0" applyFont="1" applyBorder="1" applyAlignment="1">
      <alignment vertical="center"/>
    </xf>
    <xf numFmtId="39" fontId="25" fillId="0" borderId="35" xfId="0" applyNumberFormat="1" applyFont="1" applyBorder="1" applyAlignment="1">
      <alignment vertical="center"/>
    </xf>
    <xf numFmtId="39" fontId="0" fillId="0" borderId="191" xfId="0" applyNumberFormat="1" applyBorder="1"/>
    <xf numFmtId="0" fontId="25" fillId="0" borderId="14" xfId="0" applyFont="1" applyBorder="1" applyAlignment="1">
      <alignment vertical="center"/>
    </xf>
    <xf numFmtId="0" fontId="26" fillId="26" borderId="169" xfId="0" applyFont="1" applyFill="1" applyBorder="1" applyAlignment="1">
      <alignment vertical="center"/>
    </xf>
    <xf numFmtId="0" fontId="26" fillId="26" borderId="63" xfId="0" applyFont="1" applyFill="1" applyBorder="1" applyAlignment="1">
      <alignment vertical="center"/>
    </xf>
    <xf numFmtId="39" fontId="26" fillId="26" borderId="64" xfId="0" applyNumberFormat="1" applyFont="1" applyFill="1" applyBorder="1" applyAlignment="1">
      <alignment vertical="center"/>
    </xf>
    <xf numFmtId="0" fontId="26" fillId="26" borderId="200" xfId="0" applyFont="1" applyFill="1" applyBorder="1" applyAlignment="1">
      <alignment vertical="center"/>
    </xf>
    <xf numFmtId="49" fontId="27" fillId="0" borderId="0" xfId="1" applyNumberFormat="1" applyFont="1" applyFill="1" applyBorder="1" applyAlignment="1" applyProtection="1">
      <alignment horizontal="center" vertical="center"/>
    </xf>
    <xf numFmtId="0" fontId="27" fillId="0" borderId="0" xfId="1" applyNumberFormat="1" applyFont="1" applyFill="1" applyBorder="1" applyAlignment="1" applyProtection="1">
      <alignment vertical="center"/>
    </xf>
    <xf numFmtId="177" fontId="27" fillId="0" borderId="0" xfId="1" applyNumberFormat="1" applyFont="1" applyFill="1" applyBorder="1" applyAlignment="1" applyProtection="1">
      <alignment vertical="center"/>
    </xf>
    <xf numFmtId="177" fontId="47" fillId="0" borderId="0" xfId="1" applyNumberFormat="1" applyFont="1" applyFill="1" applyBorder="1" applyAlignment="1" applyProtection="1">
      <alignment vertical="center"/>
    </xf>
    <xf numFmtId="0" fontId="18" fillId="6" borderId="189" xfId="0" applyFont="1" applyFill="1" applyBorder="1" applyAlignment="1">
      <alignment horizontal="left" vertical="center"/>
    </xf>
    <xf numFmtId="0" fontId="18" fillId="6" borderId="17" xfId="0" applyFont="1" applyFill="1" applyBorder="1" applyAlignment="1">
      <alignment vertical="center"/>
    </xf>
    <xf numFmtId="49" fontId="18" fillId="6" borderId="21" xfId="0" quotePrefix="1" applyNumberFormat="1" applyFont="1" applyFill="1" applyBorder="1" applyAlignment="1">
      <alignment horizontal="center" vertical="center"/>
    </xf>
    <xf numFmtId="177" fontId="20" fillId="6" borderId="22" xfId="0" applyNumberFormat="1" applyFont="1" applyFill="1" applyBorder="1" applyAlignment="1">
      <alignment vertical="center"/>
    </xf>
    <xf numFmtId="0" fontId="19" fillId="6" borderId="189" xfId="0" applyFont="1" applyFill="1" applyBorder="1" applyAlignment="1">
      <alignment horizontal="right" vertical="center"/>
    </xf>
    <xf numFmtId="0" fontId="120" fillId="6" borderId="101" xfId="0" applyFont="1" applyFill="1" applyBorder="1" applyAlignment="1">
      <alignment vertical="center"/>
    </xf>
    <xf numFmtId="0" fontId="120" fillId="6" borderId="17" xfId="0" applyFont="1" applyFill="1" applyBorder="1" applyAlignment="1">
      <alignment vertical="center"/>
    </xf>
    <xf numFmtId="49" fontId="120" fillId="6" borderId="17" xfId="0" applyNumberFormat="1" applyFont="1" applyFill="1" applyBorder="1" applyAlignment="1">
      <alignment horizontal="center" vertical="center"/>
    </xf>
    <xf numFmtId="177" fontId="121" fillId="6" borderId="17" xfId="0" applyNumberFormat="1" applyFont="1" applyFill="1" applyBorder="1" applyAlignment="1">
      <alignment vertical="center"/>
    </xf>
    <xf numFmtId="49" fontId="122" fillId="6" borderId="101" xfId="0" applyNumberFormat="1" applyFont="1" applyFill="1" applyBorder="1" applyAlignment="1">
      <alignment horizontal="right" vertical="center"/>
    </xf>
    <xf numFmtId="43" fontId="123" fillId="0" borderId="0" xfId="1" applyFont="1" applyFill="1" applyBorder="1" applyAlignment="1" applyProtection="1">
      <alignment vertical="center"/>
    </xf>
    <xf numFmtId="43" fontId="123" fillId="0" borderId="101" xfId="1" applyFont="1" applyFill="1" applyBorder="1" applyAlignment="1" applyProtection="1">
      <alignment vertical="center"/>
    </xf>
    <xf numFmtId="43" fontId="123" fillId="0" borderId="17" xfId="1" applyFont="1" applyFill="1" applyBorder="1" applyAlignment="1" applyProtection="1">
      <alignment vertical="center"/>
    </xf>
    <xf numFmtId="0" fontId="123" fillId="0" borderId="40" xfId="0" applyFont="1" applyBorder="1" applyAlignment="1">
      <alignment vertical="center"/>
    </xf>
    <xf numFmtId="43" fontId="123" fillId="0" borderId="40" xfId="1" applyFont="1" applyFill="1" applyBorder="1" applyAlignment="1" applyProtection="1">
      <alignment vertical="center"/>
    </xf>
    <xf numFmtId="43" fontId="123" fillId="0" borderId="21" xfId="1" applyFont="1" applyFill="1" applyBorder="1" applyAlignment="1" applyProtection="1">
      <alignment vertical="center"/>
    </xf>
    <xf numFmtId="43" fontId="123" fillId="0" borderId="127" xfId="1" applyFont="1" applyFill="1" applyBorder="1" applyAlignment="1" applyProtection="1">
      <alignment vertical="center"/>
    </xf>
    <xf numFmtId="14" fontId="26" fillId="0" borderId="0" xfId="0" applyNumberFormat="1" applyFont="1" applyAlignment="1">
      <alignment vertical="center"/>
    </xf>
    <xf numFmtId="0" fontId="26" fillId="0" borderId="0" xfId="1" applyNumberFormat="1" applyFont="1" applyFill="1" applyBorder="1" applyAlignment="1" applyProtection="1">
      <alignment vertical="center"/>
    </xf>
    <xf numFmtId="49" fontId="26" fillId="0" borderId="0" xfId="1" applyNumberFormat="1" applyFont="1" applyFill="1" applyBorder="1" applyAlignment="1" applyProtection="1">
      <alignment horizontal="center" vertical="center"/>
    </xf>
    <xf numFmtId="43" fontId="26" fillId="0" borderId="184" xfId="1" applyFont="1" applyFill="1" applyBorder="1" applyAlignment="1" applyProtection="1">
      <alignment horizontal="center" vertical="center"/>
    </xf>
    <xf numFmtId="43" fontId="26" fillId="0" borderId="48" xfId="1" applyFont="1" applyFill="1" applyBorder="1" applyAlignment="1" applyProtection="1">
      <alignment horizontal="center" vertical="center"/>
    </xf>
    <xf numFmtId="43" fontId="26" fillId="0" borderId="18" xfId="1" applyFont="1" applyFill="1" applyBorder="1" applyAlignment="1" applyProtection="1">
      <alignment horizontal="center" vertical="center"/>
    </xf>
    <xf numFmtId="43" fontId="26" fillId="0" borderId="72" xfId="1" applyFont="1" applyFill="1" applyBorder="1" applyAlignment="1" applyProtection="1">
      <alignment horizontal="center" vertical="center"/>
    </xf>
    <xf numFmtId="43" fontId="26" fillId="0" borderId="201" xfId="1" applyFont="1" applyFill="1" applyBorder="1" applyAlignment="1" applyProtection="1">
      <alignment horizontal="center" vertical="center"/>
    </xf>
    <xf numFmtId="43" fontId="26" fillId="0" borderId="11" xfId="1" applyFont="1" applyFill="1" applyBorder="1" applyAlignment="1" applyProtection="1">
      <alignment horizontal="center" vertical="center"/>
    </xf>
    <xf numFmtId="43" fontId="26" fillId="0" borderId="12" xfId="1" applyFont="1" applyFill="1" applyBorder="1" applyAlignment="1" applyProtection="1">
      <alignment horizontal="center" vertical="center"/>
    </xf>
    <xf numFmtId="43" fontId="26" fillId="0" borderId="130" xfId="1" applyFont="1" applyFill="1" applyBorder="1" applyAlignment="1" applyProtection="1">
      <alignment horizontal="center" vertical="center"/>
    </xf>
    <xf numFmtId="43" fontId="25" fillId="0" borderId="202" xfId="1" applyFont="1" applyFill="1" applyBorder="1" applyAlignment="1" applyProtection="1">
      <alignment vertical="center"/>
    </xf>
    <xf numFmtId="43" fontId="25" fillId="0" borderId="185" xfId="1" applyFont="1" applyFill="1" applyBorder="1" applyAlignment="1" applyProtection="1">
      <alignment vertical="center"/>
    </xf>
    <xf numFmtId="43" fontId="25" fillId="0" borderId="203" xfId="1" applyFont="1" applyFill="1" applyBorder="1" applyAlignment="1" applyProtection="1">
      <alignment vertical="center"/>
    </xf>
    <xf numFmtId="43" fontId="25" fillId="0" borderId="204" xfId="1" applyFont="1" applyFill="1" applyBorder="1" applyAlignment="1" applyProtection="1">
      <alignment vertical="center"/>
    </xf>
    <xf numFmtId="43" fontId="25" fillId="0" borderId="205" xfId="1" applyFont="1" applyFill="1" applyBorder="1" applyAlignment="1" applyProtection="1">
      <alignment vertical="center"/>
    </xf>
    <xf numFmtId="43" fontId="25" fillId="0" borderId="40" xfId="1" applyFont="1" applyFill="1" applyBorder="1" applyAlignment="1" applyProtection="1">
      <alignment vertical="center"/>
    </xf>
    <xf numFmtId="43" fontId="25" fillId="0" borderId="23" xfId="1" applyFont="1" applyFill="1" applyBorder="1" applyAlignment="1" applyProtection="1">
      <alignment vertical="center"/>
    </xf>
    <xf numFmtId="43" fontId="25" fillId="0" borderId="206" xfId="1" applyFont="1" applyFill="1" applyBorder="1" applyAlignment="1" applyProtection="1">
      <alignment vertical="center"/>
    </xf>
    <xf numFmtId="43" fontId="25" fillId="0" borderId="207" xfId="1" applyFont="1" applyFill="1" applyBorder="1" applyAlignment="1" applyProtection="1">
      <alignment vertical="center"/>
    </xf>
    <xf numFmtId="43" fontId="25" fillId="0" borderId="28" xfId="1" applyFont="1" applyFill="1" applyBorder="1" applyAlignment="1" applyProtection="1">
      <alignment vertical="center"/>
    </xf>
    <xf numFmtId="43" fontId="25" fillId="0" borderId="208" xfId="1" applyFont="1" applyFill="1" applyBorder="1" applyAlignment="1" applyProtection="1">
      <alignment vertical="center"/>
    </xf>
    <xf numFmtId="43" fontId="25" fillId="0" borderId="209" xfId="1" applyFont="1" applyFill="1" applyBorder="1" applyAlignment="1" applyProtection="1">
      <alignment vertical="center"/>
    </xf>
    <xf numFmtId="43" fontId="25" fillId="0" borderId="210" xfId="1" applyFont="1" applyFill="1" applyBorder="1" applyAlignment="1" applyProtection="1">
      <alignment vertical="center"/>
    </xf>
    <xf numFmtId="43" fontId="25" fillId="0" borderId="211" xfId="1" applyFont="1" applyFill="1" applyBorder="1" applyAlignment="1" applyProtection="1">
      <alignment vertical="center"/>
    </xf>
    <xf numFmtId="43" fontId="25" fillId="0" borderId="212" xfId="1" applyFont="1" applyFill="1" applyBorder="1" applyAlignment="1" applyProtection="1">
      <alignment vertical="center"/>
    </xf>
    <xf numFmtId="39" fontId="25" fillId="3" borderId="76" xfId="0" applyNumberFormat="1" applyFont="1" applyFill="1" applyBorder="1" applyAlignment="1">
      <alignment vertical="center"/>
    </xf>
    <xf numFmtId="39" fontId="25" fillId="3" borderId="0" xfId="0" applyNumberFormat="1" applyFont="1" applyFill="1" applyAlignment="1">
      <alignment vertical="center"/>
    </xf>
    <xf numFmtId="43" fontId="114" fillId="3" borderId="76" xfId="1" applyFont="1" applyFill="1" applyBorder="1" applyAlignment="1" applyProtection="1">
      <alignment vertical="center"/>
    </xf>
    <xf numFmtId="43" fontId="117" fillId="3" borderId="76" xfId="1" applyFont="1" applyFill="1" applyBorder="1" applyAlignment="1" applyProtection="1">
      <alignment vertical="center"/>
    </xf>
    <xf numFmtId="39" fontId="25" fillId="3" borderId="30" xfId="0" applyNumberFormat="1" applyFont="1" applyFill="1" applyBorder="1"/>
    <xf numFmtId="193" fontId="25" fillId="3" borderId="0" xfId="1" applyNumberFormat="1" applyFont="1" applyFill="1" applyBorder="1" applyAlignment="1" applyProtection="1">
      <alignment horizontal="center" vertical="center"/>
    </xf>
    <xf numFmtId="43" fontId="27" fillId="3" borderId="0" xfId="1" applyFont="1" applyFill="1" applyBorder="1" applyAlignment="1" applyProtection="1">
      <alignment vertical="center"/>
    </xf>
    <xf numFmtId="0" fontId="9" fillId="3" borderId="199" xfId="0" applyFont="1" applyFill="1" applyBorder="1" applyAlignment="1">
      <alignment horizontal="center"/>
    </xf>
    <xf numFmtId="0" fontId="9" fillId="3" borderId="0" xfId="0" applyFont="1" applyFill="1" applyAlignment="1">
      <alignment horizontal="center"/>
    </xf>
    <xf numFmtId="0" fontId="26" fillId="3" borderId="17" xfId="0" quotePrefix="1" applyFont="1" applyFill="1" applyBorder="1" applyAlignment="1">
      <alignment horizontal="left" vertical="center"/>
    </xf>
    <xf numFmtId="39" fontId="27" fillId="3" borderId="76" xfId="0" applyNumberFormat="1" applyFont="1" applyFill="1" applyBorder="1"/>
    <xf numFmtId="39" fontId="80" fillId="3" borderId="76" xfId="0" applyNumberFormat="1" applyFont="1" applyFill="1" applyBorder="1"/>
    <xf numFmtId="39" fontId="115" fillId="3" borderId="76" xfId="0" applyNumberFormat="1" applyFont="1" applyFill="1" applyBorder="1"/>
    <xf numFmtId="39" fontId="114" fillId="3" borderId="76" xfId="0" applyNumberFormat="1" applyFont="1" applyFill="1" applyBorder="1"/>
    <xf numFmtId="39" fontId="25" fillId="3" borderId="190" xfId="0" applyNumberFormat="1" applyFont="1" applyFill="1" applyBorder="1" applyAlignment="1">
      <alignment vertical="center"/>
    </xf>
    <xf numFmtId="43" fontId="119" fillId="3" borderId="21" xfId="1" applyFont="1" applyFill="1" applyBorder="1" applyAlignment="1" applyProtection="1">
      <alignment vertical="center"/>
    </xf>
    <xf numFmtId="43" fontId="115" fillId="3" borderId="21" xfId="1" applyFont="1" applyFill="1" applyBorder="1" applyAlignment="1" applyProtection="1">
      <alignment vertical="center"/>
    </xf>
    <xf numFmtId="177" fontId="115" fillId="3" borderId="76" xfId="0" applyNumberFormat="1" applyFont="1" applyFill="1" applyBorder="1" applyAlignment="1">
      <alignment vertical="center"/>
    </xf>
    <xf numFmtId="39" fontId="25" fillId="3" borderId="76" xfId="0" applyNumberFormat="1" applyFont="1" applyFill="1" applyBorder="1"/>
    <xf numFmtId="39" fontId="25" fillId="3" borderId="21" xfId="0" applyNumberFormat="1" applyFont="1" applyFill="1" applyBorder="1"/>
    <xf numFmtId="39" fontId="25" fillId="3" borderId="12" xfId="0" applyNumberFormat="1" applyFont="1" applyFill="1" applyBorder="1"/>
    <xf numFmtId="39" fontId="25" fillId="3" borderId="54" xfId="0" applyNumberFormat="1" applyFont="1" applyFill="1" applyBorder="1"/>
    <xf numFmtId="39" fontId="42" fillId="37" borderId="35" xfId="0" applyNumberFormat="1" applyFont="1" applyFill="1" applyBorder="1" applyAlignment="1">
      <alignment vertical="center"/>
    </xf>
    <xf numFmtId="37" fontId="25" fillId="0" borderId="0" xfId="1" applyNumberFormat="1" applyFont="1" applyFill="1" applyBorder="1" applyAlignment="1" applyProtection="1">
      <alignment horizontal="center" vertical="center"/>
    </xf>
    <xf numFmtId="43" fontId="25" fillId="0" borderId="0" xfId="1" applyFont="1" applyFill="1" applyBorder="1" applyAlignment="1" applyProtection="1">
      <alignment horizontal="center" vertical="center"/>
    </xf>
    <xf numFmtId="172" fontId="25" fillId="0" borderId="0" xfId="1" applyNumberFormat="1" applyFont="1" applyFill="1" applyBorder="1" applyAlignment="1" applyProtection="1">
      <alignment horizontal="center" vertical="center"/>
    </xf>
    <xf numFmtId="49" fontId="15" fillId="0" borderId="0" xfId="1" applyNumberFormat="1" applyFont="1" applyFill="1" applyBorder="1" applyAlignment="1" applyProtection="1">
      <alignment horizontal="center" vertical="center"/>
    </xf>
    <xf numFmtId="37" fontId="37" fillId="0" borderId="0" xfId="1" applyNumberFormat="1" applyFont="1" applyFill="1" applyBorder="1" applyAlignment="1" applyProtection="1">
      <alignment horizontal="center" vertical="center"/>
    </xf>
    <xf numFmtId="43" fontId="37" fillId="0" borderId="0" xfId="1" applyFont="1" applyFill="1" applyBorder="1" applyAlignment="1" applyProtection="1">
      <alignment horizontal="center" vertical="center"/>
    </xf>
    <xf numFmtId="172" fontId="37" fillId="0" borderId="0" xfId="1" applyNumberFormat="1" applyFont="1" applyFill="1" applyBorder="1" applyAlignment="1" applyProtection="1">
      <alignment horizontal="center" vertical="center"/>
    </xf>
    <xf numFmtId="37" fontId="36" fillId="0" borderId="0" xfId="1" applyNumberFormat="1" applyFont="1" applyFill="1" applyBorder="1" applyAlignment="1" applyProtection="1">
      <alignment horizontal="center" vertical="center"/>
    </xf>
    <xf numFmtId="172" fontId="36" fillId="0" borderId="0" xfId="1" applyNumberFormat="1" applyFont="1" applyFill="1" applyBorder="1" applyAlignment="1" applyProtection="1">
      <alignment horizontal="center" vertical="center"/>
    </xf>
    <xf numFmtId="37" fontId="26" fillId="0" borderId="0" xfId="1" applyNumberFormat="1" applyFont="1" applyFill="1" applyBorder="1" applyAlignment="1" applyProtection="1">
      <alignment horizontal="center" vertical="center"/>
    </xf>
    <xf numFmtId="0" fontId="15" fillId="0" borderId="0" xfId="1" applyNumberFormat="1" applyFont="1" applyFill="1" applyBorder="1" applyAlignment="1" applyProtection="1">
      <alignment horizontal="right" vertical="center"/>
    </xf>
    <xf numFmtId="49" fontId="28" fillId="0" borderId="0" xfId="1" applyNumberFormat="1" applyFont="1" applyFill="1" applyBorder="1" applyAlignment="1" applyProtection="1">
      <alignment horizontal="left" vertical="center"/>
    </xf>
    <xf numFmtId="37" fontId="28" fillId="0" borderId="0" xfId="1" applyNumberFormat="1" applyFont="1" applyFill="1" applyBorder="1" applyAlignment="1" applyProtection="1">
      <alignment horizontal="center" vertical="center"/>
    </xf>
    <xf numFmtId="49" fontId="28" fillId="0" borderId="0" xfId="1" applyNumberFormat="1" applyFont="1" applyFill="1" applyBorder="1" applyAlignment="1" applyProtection="1">
      <alignment horizontal="center" vertical="center"/>
    </xf>
    <xf numFmtId="172" fontId="28" fillId="0" borderId="0" xfId="1" applyNumberFormat="1" applyFont="1" applyFill="1" applyBorder="1" applyAlignment="1" applyProtection="1">
      <alignment horizontal="center" vertical="center"/>
    </xf>
    <xf numFmtId="177" fontId="28" fillId="0" borderId="0" xfId="1" applyNumberFormat="1" applyFont="1" applyFill="1" applyBorder="1" applyAlignment="1" applyProtection="1">
      <alignment vertical="center"/>
    </xf>
    <xf numFmtId="172" fontId="26" fillId="0" borderId="0" xfId="1" applyNumberFormat="1" applyFont="1" applyFill="1" applyBorder="1" applyAlignment="1" applyProtection="1">
      <alignment horizontal="center" vertical="center"/>
    </xf>
    <xf numFmtId="0" fontId="26" fillId="26" borderId="181" xfId="0" applyFont="1" applyFill="1" applyBorder="1" applyAlignment="1">
      <alignment horizontal="center" vertical="center"/>
    </xf>
    <xf numFmtId="0" fontId="26" fillId="26" borderId="5" xfId="0" applyFont="1" applyFill="1" applyBorder="1" applyAlignment="1">
      <alignment horizontal="center" vertical="center"/>
    </xf>
    <xf numFmtId="37" fontId="26" fillId="26" borderId="5" xfId="0" applyNumberFormat="1" applyFont="1" applyFill="1" applyBorder="1" applyAlignment="1">
      <alignment horizontal="center" vertical="center"/>
    </xf>
    <xf numFmtId="0" fontId="28" fillId="26" borderId="169" xfId="0" applyFont="1" applyFill="1" applyBorder="1" applyAlignment="1">
      <alignment horizontal="center" vertical="center"/>
    </xf>
    <xf numFmtId="0" fontId="28" fillId="26" borderId="63" xfId="0" applyFont="1" applyFill="1" applyBorder="1" applyAlignment="1">
      <alignment horizontal="center" vertical="center"/>
    </xf>
    <xf numFmtId="37" fontId="28" fillId="26" borderId="63" xfId="0" applyNumberFormat="1" applyFont="1" applyFill="1" applyBorder="1" applyAlignment="1">
      <alignment horizontal="center" vertical="center"/>
    </xf>
    <xf numFmtId="0" fontId="26" fillId="26" borderId="63" xfId="0" applyFont="1" applyFill="1" applyBorder="1" applyAlignment="1">
      <alignment horizontal="center" vertical="center"/>
    </xf>
    <xf numFmtId="172" fontId="26" fillId="26" borderId="63" xfId="0" applyNumberFormat="1" applyFont="1" applyFill="1" applyBorder="1" applyAlignment="1">
      <alignment horizontal="center" vertical="center"/>
    </xf>
    <xf numFmtId="49" fontId="26" fillId="26" borderId="73" xfId="0" applyNumberFormat="1" applyFont="1" applyFill="1" applyBorder="1" applyAlignment="1">
      <alignment horizontal="center" vertical="center"/>
    </xf>
    <xf numFmtId="0" fontId="26" fillId="26" borderId="83" xfId="0" applyFont="1" applyFill="1" applyBorder="1" applyAlignment="1">
      <alignment horizontal="center" vertical="center"/>
    </xf>
    <xf numFmtId="37" fontId="26" fillId="26" borderId="215" xfId="0" applyNumberFormat="1" applyFont="1" applyFill="1" applyBorder="1" applyAlignment="1">
      <alignment horizontal="center" vertical="center"/>
    </xf>
    <xf numFmtId="49" fontId="26" fillId="26" borderId="216" xfId="0" applyNumberFormat="1" applyFont="1" applyFill="1" applyBorder="1" applyAlignment="1">
      <alignment horizontal="center" vertical="center"/>
    </xf>
    <xf numFmtId="37" fontId="28" fillId="0" borderId="17" xfId="0" applyNumberFormat="1" applyFont="1" applyBorder="1" applyAlignment="1">
      <alignment horizontal="center" vertical="center"/>
    </xf>
    <xf numFmtId="172" fontId="26" fillId="0" borderId="17" xfId="0" applyNumberFormat="1" applyFont="1" applyBorder="1" applyAlignment="1">
      <alignment horizontal="center" vertical="center"/>
    </xf>
    <xf numFmtId="37" fontId="26" fillId="0" borderId="17" xfId="0" applyNumberFormat="1" applyFont="1" applyBorder="1" applyAlignment="1">
      <alignment horizontal="center" vertical="center"/>
    </xf>
    <xf numFmtId="0" fontId="0" fillId="0" borderId="190" xfId="0" applyBorder="1"/>
    <xf numFmtId="0" fontId="25" fillId="0" borderId="15" xfId="0" quotePrefix="1" applyFont="1" applyBorder="1" applyAlignment="1">
      <alignment horizontal="center"/>
    </xf>
    <xf numFmtId="0" fontId="25" fillId="0" borderId="17" xfId="0" applyFont="1" applyBorder="1" applyAlignment="1">
      <alignment horizontal="left" vertical="center"/>
    </xf>
    <xf numFmtId="37" fontId="29" fillId="0" borderId="17" xfId="0" applyNumberFormat="1" applyFont="1" applyBorder="1" applyAlignment="1">
      <alignment horizontal="center" vertical="center"/>
    </xf>
    <xf numFmtId="39" fontId="25" fillId="0" borderId="17" xfId="0" applyNumberFormat="1" applyFont="1" applyBorder="1" applyAlignment="1">
      <alignment horizontal="right" vertical="center"/>
    </xf>
    <xf numFmtId="39" fontId="26" fillId="0" borderId="0" xfId="0" applyNumberFormat="1" applyFont="1" applyAlignment="1">
      <alignment horizontal="right" vertical="center"/>
    </xf>
    <xf numFmtId="39" fontId="27" fillId="3" borderId="127" xfId="0" applyNumberFormat="1" applyFont="1" applyFill="1" applyBorder="1" applyAlignment="1">
      <alignment horizontal="right" vertical="center"/>
    </xf>
    <xf numFmtId="177" fontId="70" fillId="38" borderId="0" xfId="0" applyNumberFormat="1" applyFont="1" applyFill="1" applyAlignment="1">
      <alignment vertical="center"/>
    </xf>
    <xf numFmtId="39" fontId="27" fillId="0" borderId="127" xfId="0" applyNumberFormat="1" applyFont="1" applyBorder="1" applyAlignment="1">
      <alignment horizontal="right" vertical="center"/>
    </xf>
    <xf numFmtId="39" fontId="25" fillId="0" borderId="127" xfId="0" applyNumberFormat="1" applyFont="1" applyBorder="1" applyAlignment="1">
      <alignment horizontal="right" vertical="center"/>
    </xf>
    <xf numFmtId="39" fontId="26" fillId="0" borderId="127" xfId="0" applyNumberFormat="1" applyFont="1" applyBorder="1" applyAlignment="1">
      <alignment horizontal="right" vertical="center"/>
    </xf>
    <xf numFmtId="39" fontId="26" fillId="0" borderId="190" xfId="0" applyNumberFormat="1" applyFont="1" applyBorder="1" applyAlignment="1">
      <alignment horizontal="right" vertical="center"/>
    </xf>
    <xf numFmtId="39" fontId="26" fillId="0" borderId="17" xfId="0" applyNumberFormat="1" applyFont="1" applyBorder="1" applyAlignment="1">
      <alignment horizontal="right" vertical="center"/>
    </xf>
    <xf numFmtId="39" fontId="25" fillId="0" borderId="190" xfId="0" applyNumberFormat="1" applyFont="1" applyBorder="1" applyAlignment="1">
      <alignment horizontal="right"/>
    </xf>
    <xf numFmtId="0" fontId="25" fillId="0" borderId="189" xfId="0" applyFont="1" applyBorder="1" applyAlignment="1">
      <alignment horizontal="center" vertical="center"/>
    </xf>
    <xf numFmtId="37" fontId="25" fillId="0" borderId="17" xfId="0" applyNumberFormat="1" applyFont="1" applyBorder="1" applyAlignment="1">
      <alignment horizontal="center" vertical="center"/>
    </xf>
    <xf numFmtId="39" fontId="70" fillId="0" borderId="17" xfId="0" applyNumberFormat="1" applyFont="1" applyBorder="1" applyAlignment="1">
      <alignment horizontal="right"/>
    </xf>
    <xf numFmtId="39" fontId="70" fillId="0" borderId="127" xfId="0" applyNumberFormat="1" applyFont="1" applyBorder="1" applyAlignment="1">
      <alignment horizontal="right" vertical="center"/>
    </xf>
    <xf numFmtId="39" fontId="124" fillId="0" borderId="17" xfId="0" applyNumberFormat="1" applyFont="1" applyBorder="1" applyAlignment="1">
      <alignment horizontal="right"/>
    </xf>
    <xf numFmtId="39" fontId="25" fillId="0" borderId="190" xfId="0" applyNumberFormat="1" applyFont="1" applyBorder="1" applyAlignment="1">
      <alignment horizontal="right" vertical="center"/>
    </xf>
    <xf numFmtId="37" fontId="25" fillId="0" borderId="31" xfId="0" applyNumberFormat="1" applyFont="1" applyBorder="1" applyAlignment="1">
      <alignment horizontal="center" vertical="center"/>
    </xf>
    <xf numFmtId="39" fontId="70" fillId="0" borderId="21" xfId="0" applyNumberFormat="1" applyFont="1" applyBorder="1" applyAlignment="1">
      <alignment horizontal="right"/>
    </xf>
    <xf numFmtId="39" fontId="25" fillId="0" borderId="0" xfId="0" applyNumberFormat="1" applyFont="1" applyAlignment="1">
      <alignment horizontal="right" vertical="center"/>
    </xf>
    <xf numFmtId="39" fontId="42" fillId="0" borderId="127" xfId="0" applyNumberFormat="1" applyFont="1" applyBorder="1" applyAlignment="1">
      <alignment horizontal="right" vertical="center"/>
    </xf>
    <xf numFmtId="39" fontId="26" fillId="0" borderId="21" xfId="0" applyNumberFormat="1" applyFont="1" applyBorder="1" applyAlignment="1">
      <alignment horizontal="right" vertical="center"/>
    </xf>
    <xf numFmtId="39" fontId="26" fillId="0" borderId="219" xfId="0" applyNumberFormat="1" applyFont="1" applyBorder="1" applyAlignment="1">
      <alignment horizontal="right" vertical="center"/>
    </xf>
    <xf numFmtId="172" fontId="47" fillId="0" borderId="17" xfId="0" applyNumberFormat="1" applyFont="1" applyBorder="1" applyAlignment="1">
      <alignment horizontal="center" vertical="center"/>
    </xf>
    <xf numFmtId="39" fontId="48" fillId="3" borderId="127" xfId="0" applyNumberFormat="1" applyFont="1" applyFill="1" applyBorder="1" applyAlignment="1">
      <alignment horizontal="right" vertical="center"/>
    </xf>
    <xf numFmtId="39" fontId="25" fillId="0" borderId="0" xfId="0" applyNumberFormat="1" applyFont="1" applyAlignment="1">
      <alignment horizontal="right"/>
    </xf>
    <xf numFmtId="194" fontId="25" fillId="0" borderId="0" xfId="0" applyNumberFormat="1" applyFont="1" applyAlignment="1">
      <alignment vertical="center"/>
    </xf>
    <xf numFmtId="172" fontId="25" fillId="0" borderId="17" xfId="0" applyNumberFormat="1" applyFont="1" applyBorder="1" applyAlignment="1">
      <alignment horizontal="center" vertical="center"/>
    </xf>
    <xf numFmtId="39" fontId="26" fillId="3" borderId="127" xfId="0" applyNumberFormat="1" applyFont="1" applyFill="1" applyBorder="1" applyAlignment="1">
      <alignment horizontal="right" vertical="center"/>
    </xf>
    <xf numFmtId="0" fontId="25" fillId="0" borderId="189" xfId="0" quotePrefix="1" applyFont="1" applyBorder="1" applyAlignment="1">
      <alignment horizontal="center" vertical="center"/>
    </xf>
    <xf numFmtId="43" fontId="27" fillId="0" borderId="17" xfId="0" applyNumberFormat="1" applyFont="1" applyBorder="1" applyAlignment="1">
      <alignment horizontal="right" vertical="center"/>
    </xf>
    <xf numFmtId="43" fontId="27" fillId="0" borderId="127" xfId="0" applyNumberFormat="1" applyFont="1" applyBorder="1" applyAlignment="1">
      <alignment horizontal="right" vertical="center"/>
    </xf>
    <xf numFmtId="37" fontId="27" fillId="0" borderId="17" xfId="0" applyNumberFormat="1" applyFont="1" applyBorder="1" applyAlignment="1">
      <alignment horizontal="right" vertical="center"/>
    </xf>
    <xf numFmtId="0" fontId="37" fillId="39" borderId="0" xfId="0" applyFont="1" applyFill="1"/>
    <xf numFmtId="43" fontId="25" fillId="0" borderId="21" xfId="0" applyNumberFormat="1" applyFont="1" applyBorder="1" applyAlignment="1">
      <alignment horizontal="right" vertical="center"/>
    </xf>
    <xf numFmtId="37" fontId="25" fillId="0" borderId="0" xfId="0" applyNumberFormat="1" applyFont="1" applyAlignment="1">
      <alignment vertical="center"/>
    </xf>
    <xf numFmtId="172" fontId="25" fillId="0" borderId="21" xfId="0" applyNumberFormat="1" applyFont="1" applyBorder="1" applyAlignment="1">
      <alignment horizontal="right" vertical="center"/>
    </xf>
    <xf numFmtId="0" fontId="25" fillId="0" borderId="220" xfId="0" applyFont="1" applyBorder="1" applyAlignment="1">
      <alignment horizontal="center" vertical="center"/>
    </xf>
    <xf numFmtId="0" fontId="25" fillId="0" borderId="31" xfId="0" applyFont="1" applyBorder="1" applyAlignment="1">
      <alignment horizontal="left" vertical="center"/>
    </xf>
    <xf numFmtId="39" fontId="116" fillId="0" borderId="221" xfId="0" applyNumberFormat="1" applyFont="1" applyBorder="1" applyAlignment="1">
      <alignment horizontal="right" vertical="center"/>
    </xf>
    <xf numFmtId="39" fontId="116" fillId="0" borderId="222" xfId="0" applyNumberFormat="1" applyFont="1" applyBorder="1" applyAlignment="1">
      <alignment horizontal="right" vertical="center"/>
    </xf>
    <xf numFmtId="39" fontId="116" fillId="0" borderId="223" xfId="0" applyNumberFormat="1" applyFont="1" applyBorder="1" applyAlignment="1">
      <alignment horizontal="right" vertical="center"/>
    </xf>
    <xf numFmtId="0" fontId="26" fillId="0" borderId="189" xfId="0" quotePrefix="1" applyFont="1" applyBorder="1" applyAlignment="1">
      <alignment horizontal="center" vertical="center"/>
    </xf>
    <xf numFmtId="37" fontId="26" fillId="3" borderId="17" xfId="0" applyNumberFormat="1" applyFont="1" applyFill="1" applyBorder="1" applyAlignment="1">
      <alignment horizontal="right" vertical="center"/>
    </xf>
    <xf numFmtId="172" fontId="48" fillId="0" borderId="17" xfId="0" applyNumberFormat="1" applyFont="1" applyBorder="1" applyAlignment="1">
      <alignment horizontal="right" vertical="center"/>
    </xf>
    <xf numFmtId="39" fontId="80" fillId="0" borderId="127" xfId="0" applyNumberFormat="1" applyFont="1" applyBorder="1" applyAlignment="1">
      <alignment horizontal="right" vertical="center"/>
    </xf>
    <xf numFmtId="37" fontId="26" fillId="0" borderId="17" xfId="0" applyNumberFormat="1" applyFont="1" applyBorder="1" applyAlignment="1">
      <alignment horizontal="right" vertical="center"/>
    </xf>
    <xf numFmtId="37" fontId="70" fillId="0" borderId="17" xfId="0" applyNumberFormat="1" applyFont="1" applyBorder="1" applyAlignment="1">
      <alignment horizontal="right" vertical="center"/>
    </xf>
    <xf numFmtId="172" fontId="70" fillId="0" borderId="17" xfId="0" applyNumberFormat="1" applyFont="1" applyBorder="1" applyAlignment="1">
      <alignment horizontal="right" vertical="center"/>
    </xf>
    <xf numFmtId="43" fontId="70" fillId="0" borderId="127" xfId="0" applyNumberFormat="1" applyFont="1" applyBorder="1" applyAlignment="1">
      <alignment horizontal="right" vertical="center"/>
    </xf>
    <xf numFmtId="43" fontId="25" fillId="0" borderId="127" xfId="0" applyNumberFormat="1" applyFont="1" applyBorder="1" applyAlignment="1">
      <alignment horizontal="right" vertical="center"/>
    </xf>
    <xf numFmtId="37" fontId="70" fillId="3" borderId="17" xfId="0" applyNumberFormat="1" applyFont="1" applyFill="1" applyBorder="1" applyAlignment="1">
      <alignment horizontal="right" vertical="center"/>
    </xf>
    <xf numFmtId="37" fontId="25" fillId="0" borderId="0" xfId="0" applyNumberFormat="1" applyFont="1" applyAlignment="1">
      <alignment horizontal="center" vertical="center"/>
    </xf>
    <xf numFmtId="37" fontId="125" fillId="0" borderId="17" xfId="0" applyNumberFormat="1" applyFont="1" applyBorder="1" applyAlignment="1">
      <alignment horizontal="center" vertical="center"/>
    </xf>
    <xf numFmtId="37" fontId="126" fillId="0" borderId="17" xfId="0" applyNumberFormat="1" applyFont="1" applyBorder="1" applyAlignment="1">
      <alignment horizontal="right" vertical="center"/>
    </xf>
    <xf numFmtId="172" fontId="126" fillId="0" borderId="17" xfId="0" applyNumberFormat="1" applyFont="1" applyBorder="1" applyAlignment="1">
      <alignment horizontal="right" vertical="center"/>
    </xf>
    <xf numFmtId="37" fontId="42" fillId="0" borderId="17" xfId="0" applyNumberFormat="1" applyFont="1" applyBorder="1" applyAlignment="1">
      <alignment horizontal="right" vertical="center"/>
    </xf>
    <xf numFmtId="172" fontId="26" fillId="0" borderId="17" xfId="0" applyNumberFormat="1" applyFont="1" applyBorder="1" applyAlignment="1">
      <alignment horizontal="right" vertical="center"/>
    </xf>
    <xf numFmtId="37" fontId="48" fillId="0" borderId="17" xfId="0" applyNumberFormat="1" applyFont="1" applyBorder="1" applyAlignment="1">
      <alignment horizontal="right" vertical="center"/>
    </xf>
    <xf numFmtId="172" fontId="25" fillId="3" borderId="17" xfId="0" applyNumberFormat="1" applyFont="1" applyFill="1" applyBorder="1" applyAlignment="1">
      <alignment horizontal="center" vertical="center"/>
    </xf>
    <xf numFmtId="39" fontId="25" fillId="40" borderId="0" xfId="0" applyNumberFormat="1" applyFont="1" applyFill="1" applyAlignment="1">
      <alignment vertical="center"/>
    </xf>
    <xf numFmtId="39" fontId="27" fillId="0" borderId="17" xfId="0" applyNumberFormat="1" applyFont="1" applyBorder="1" applyAlignment="1">
      <alignment horizontal="right"/>
    </xf>
    <xf numFmtId="39" fontId="27" fillId="0" borderId="17" xfId="0" applyNumberFormat="1" applyFont="1" applyBorder="1" applyAlignment="1">
      <alignment horizontal="right" vertical="center"/>
    </xf>
    <xf numFmtId="39" fontId="27" fillId="3" borderId="127" xfId="0" applyNumberFormat="1" applyFont="1" applyFill="1" applyBorder="1" applyAlignment="1">
      <alignment horizontal="right"/>
    </xf>
    <xf numFmtId="39" fontId="117" fillId="3" borderId="127" xfId="0" applyNumberFormat="1" applyFont="1" applyFill="1" applyBorder="1" applyAlignment="1">
      <alignment horizontal="right"/>
    </xf>
    <xf numFmtId="172" fontId="62" fillId="0" borderId="17" xfId="2" applyNumberFormat="1" applyFont="1" applyFill="1" applyBorder="1" applyAlignment="1">
      <alignment horizontal="right" vertical="center"/>
    </xf>
    <xf numFmtId="39" fontId="27" fillId="0" borderId="40" xfId="0" applyNumberFormat="1" applyFont="1" applyBorder="1" applyAlignment="1">
      <alignment horizontal="right"/>
    </xf>
    <xf numFmtId="172" fontId="62" fillId="0" borderId="40" xfId="2" applyNumberFormat="1" applyFont="1" applyFill="1" applyBorder="1" applyAlignment="1">
      <alignment horizontal="right" vertical="center"/>
    </xf>
    <xf numFmtId="39" fontId="27" fillId="3" borderId="206" xfId="0" applyNumberFormat="1" applyFont="1" applyFill="1" applyBorder="1" applyAlignment="1">
      <alignment horizontal="right"/>
    </xf>
    <xf numFmtId="39" fontId="117" fillId="3" borderId="206" xfId="0" applyNumberFormat="1" applyFont="1" applyFill="1" applyBorder="1" applyAlignment="1">
      <alignment horizontal="right"/>
    </xf>
    <xf numFmtId="39" fontId="25" fillId="0" borderId="17" xfId="0" applyNumberFormat="1" applyFont="1" applyBorder="1" applyAlignment="1">
      <alignment horizontal="right"/>
    </xf>
    <xf numFmtId="172" fontId="58" fillId="0" borderId="17" xfId="2" applyNumberFormat="1" applyFont="1" applyFill="1" applyBorder="1" applyAlignment="1">
      <alignment horizontal="right" vertical="center"/>
    </xf>
    <xf numFmtId="39" fontId="26" fillId="0" borderId="127" xfId="0" applyNumberFormat="1" applyFont="1" applyBorder="1" applyAlignment="1">
      <alignment horizontal="right"/>
    </xf>
    <xf numFmtId="39" fontId="25" fillId="0" borderId="127" xfId="0" applyNumberFormat="1" applyFont="1" applyBorder="1" applyAlignment="1">
      <alignment horizontal="right"/>
    </xf>
    <xf numFmtId="0" fontId="25" fillId="0" borderId="15" xfId="0" quotePrefix="1" applyFont="1" applyBorder="1" applyAlignment="1">
      <alignment horizontal="center" vertical="center"/>
    </xf>
    <xf numFmtId="37" fontId="70" fillId="0" borderId="17" xfId="0" applyNumberFormat="1" applyFont="1" applyBorder="1" applyAlignment="1">
      <alignment horizontal="center" vertical="center"/>
    </xf>
    <xf numFmtId="39" fontId="114" fillId="0" borderId="17" xfId="0" applyNumberFormat="1" applyFont="1" applyBorder="1" applyAlignment="1">
      <alignment horizontal="right"/>
    </xf>
    <xf numFmtId="39" fontId="25" fillId="0" borderId="31" xfId="0" applyNumberFormat="1" applyFont="1" applyBorder="1" applyAlignment="1">
      <alignment horizontal="right"/>
    </xf>
    <xf numFmtId="172" fontId="58" fillId="0" borderId="31" xfId="2" applyNumberFormat="1" applyFont="1" applyFill="1" applyBorder="1" applyAlignment="1">
      <alignment horizontal="right" vertical="center"/>
    </xf>
    <xf numFmtId="39" fontId="25" fillId="0" borderId="217" xfId="0" applyNumberFormat="1" applyFont="1" applyBorder="1" applyAlignment="1">
      <alignment horizontal="right"/>
    </xf>
    <xf numFmtId="39" fontId="25" fillId="0" borderId="78" xfId="0" applyNumberFormat="1" applyFont="1" applyBorder="1" applyAlignment="1">
      <alignment horizontal="right"/>
    </xf>
    <xf numFmtId="39" fontId="25" fillId="0" borderId="31" xfId="0" applyNumberFormat="1" applyFont="1" applyBorder="1" applyAlignment="1">
      <alignment horizontal="right" vertical="center"/>
    </xf>
    <xf numFmtId="39" fontId="25" fillId="0" borderId="217" xfId="0" applyNumberFormat="1" applyFont="1" applyBorder="1" applyAlignment="1">
      <alignment horizontal="right" vertical="center"/>
    </xf>
    <xf numFmtId="39" fontId="42" fillId="0" borderId="159" xfId="0" applyNumberFormat="1" applyFont="1" applyBorder="1" applyAlignment="1">
      <alignment horizontal="right" vertical="center"/>
    </xf>
    <xf numFmtId="172" fontId="42" fillId="0" borderId="159" xfId="0" applyNumberFormat="1" applyFont="1" applyBorder="1" applyAlignment="1">
      <alignment horizontal="right" vertical="center"/>
    </xf>
    <xf numFmtId="39" fontId="42" fillId="0" borderId="51" xfId="0" applyNumberFormat="1" applyFont="1" applyBorder="1" applyAlignment="1">
      <alignment horizontal="right" vertical="center"/>
    </xf>
    <xf numFmtId="39" fontId="42" fillId="0" borderId="0" xfId="0" applyNumberFormat="1" applyFont="1" applyAlignment="1">
      <alignment horizontal="right" vertical="center"/>
    </xf>
    <xf numFmtId="172" fontId="42" fillId="0" borderId="0" xfId="0" applyNumberFormat="1" applyFont="1" applyAlignment="1">
      <alignment horizontal="right" vertical="center"/>
    </xf>
    <xf numFmtId="39" fontId="25" fillId="0" borderId="21" xfId="0" applyNumberFormat="1" applyFont="1" applyBorder="1" applyAlignment="1">
      <alignment horizontal="right" vertical="center"/>
    </xf>
    <xf numFmtId="39" fontId="114" fillId="3" borderId="127" xfId="0" applyNumberFormat="1" applyFont="1" applyFill="1" applyBorder="1" applyAlignment="1">
      <alignment horizontal="right"/>
    </xf>
    <xf numFmtId="172" fontId="48" fillId="0" borderId="17" xfId="0" applyNumberFormat="1" applyFont="1" applyBorder="1" applyAlignment="1">
      <alignment horizontal="center" vertical="center"/>
    </xf>
    <xf numFmtId="39" fontId="48" fillId="0" borderId="127" xfId="0" applyNumberFormat="1" applyFont="1" applyBorder="1" applyAlignment="1">
      <alignment horizontal="right" vertical="center"/>
    </xf>
    <xf numFmtId="39" fontId="26" fillId="0" borderId="0" xfId="0" applyNumberFormat="1" applyFont="1" applyAlignment="1">
      <alignment vertical="center"/>
    </xf>
    <xf numFmtId="39" fontId="25" fillId="0" borderId="78" xfId="0" applyNumberFormat="1" applyFont="1" applyBorder="1" applyAlignment="1">
      <alignment horizontal="right" vertical="center"/>
    </xf>
    <xf numFmtId="37" fontId="26" fillId="0" borderId="31" xfId="0" applyNumberFormat="1" applyFont="1" applyBorder="1" applyAlignment="1">
      <alignment horizontal="center" vertical="center"/>
    </xf>
    <xf numFmtId="39" fontId="25" fillId="0" borderId="218" xfId="0" applyNumberFormat="1" applyFont="1" applyBorder="1" applyAlignment="1">
      <alignment horizontal="right" vertical="center"/>
    </xf>
    <xf numFmtId="0" fontId="61" fillId="0" borderId="15" xfId="0" applyFont="1" applyBorder="1" applyAlignment="1">
      <alignment horizontal="center" vertical="center"/>
    </xf>
    <xf numFmtId="0" fontId="61" fillId="0" borderId="17" xfId="0" applyFont="1" applyBorder="1" applyAlignment="1">
      <alignment horizontal="left" vertical="center"/>
    </xf>
    <xf numFmtId="37" fontId="61" fillId="0" borderId="17" xfId="0" applyNumberFormat="1" applyFont="1" applyBorder="1" applyAlignment="1">
      <alignment horizontal="center" vertical="center"/>
    </xf>
    <xf numFmtId="41" fontId="25" fillId="0" borderId="63" xfId="2" applyFont="1" applyFill="1" applyBorder="1" applyAlignment="1">
      <alignment horizontal="right" vertical="center"/>
    </xf>
    <xf numFmtId="172" fontId="61" fillId="0" borderId="63" xfId="0" applyNumberFormat="1" applyFont="1" applyBorder="1" applyAlignment="1">
      <alignment horizontal="center" vertical="center"/>
    </xf>
    <xf numFmtId="39" fontId="61" fillId="0" borderId="73" xfId="0" applyNumberFormat="1" applyFont="1" applyBorder="1" applyAlignment="1">
      <alignment horizontal="right" vertical="center"/>
    </xf>
    <xf numFmtId="39" fontId="61" fillId="0" borderId="0" xfId="0" applyNumberFormat="1" applyFont="1" applyAlignment="1">
      <alignment horizontal="right" vertical="center"/>
    </xf>
    <xf numFmtId="37" fontId="26" fillId="0" borderId="63" xfId="0" applyNumberFormat="1" applyFont="1" applyBorder="1" applyAlignment="1">
      <alignment horizontal="center" vertical="center"/>
    </xf>
    <xf numFmtId="39" fontId="26" fillId="0" borderId="200" xfId="0" applyNumberFormat="1" applyFont="1" applyBorder="1" applyAlignment="1">
      <alignment horizontal="right"/>
    </xf>
    <xf numFmtId="0" fontId="61" fillId="0" borderId="0" xfId="0" applyFont="1" applyAlignment="1">
      <alignment vertical="center"/>
    </xf>
    <xf numFmtId="37" fontId="128" fillId="26" borderId="194" xfId="0" applyNumberFormat="1" applyFont="1" applyFill="1" applyBorder="1" applyAlignment="1">
      <alignment horizontal="center" vertical="center"/>
    </xf>
    <xf numFmtId="39" fontId="61" fillId="26" borderId="194" xfId="0" applyNumberFormat="1" applyFont="1" applyFill="1" applyBorder="1" applyAlignment="1">
      <alignment horizontal="right" vertical="center"/>
    </xf>
    <xf numFmtId="172" fontId="128" fillId="26" borderId="194" xfId="0" applyNumberFormat="1" applyFont="1" applyFill="1" applyBorder="1" applyAlignment="1">
      <alignment horizontal="center" vertical="center"/>
    </xf>
    <xf numFmtId="39" fontId="61" fillId="26" borderId="225" xfId="0" applyNumberFormat="1" applyFont="1" applyFill="1" applyBorder="1" applyAlignment="1">
      <alignment horizontal="right" vertical="center"/>
    </xf>
    <xf numFmtId="39" fontId="61" fillId="26" borderId="224" xfId="0" applyNumberFormat="1" applyFont="1" applyFill="1" applyBorder="1" applyAlignment="1">
      <alignment horizontal="right" vertical="center"/>
    </xf>
    <xf numFmtId="37" fontId="26" fillId="26" borderId="226" xfId="0" applyNumberFormat="1" applyFont="1" applyFill="1" applyBorder="1" applyAlignment="1">
      <alignment horizontal="center" vertical="center"/>
    </xf>
    <xf numFmtId="0" fontId="128" fillId="0" borderId="0" xfId="0" applyFont="1" applyAlignment="1">
      <alignment vertical="center"/>
    </xf>
    <xf numFmtId="39" fontId="128" fillId="0" borderId="0" xfId="0" applyNumberFormat="1" applyFont="1" applyAlignment="1">
      <alignment vertical="center"/>
    </xf>
    <xf numFmtId="37" fontId="27" fillId="0" borderId="0" xfId="0" applyNumberFormat="1" applyFont="1" applyAlignment="1">
      <alignment horizontal="center" vertical="center"/>
    </xf>
    <xf numFmtId="39" fontId="27" fillId="0" borderId="0" xfId="0" applyNumberFormat="1" applyFont="1" applyAlignment="1">
      <alignment horizontal="center" vertical="center"/>
    </xf>
    <xf numFmtId="172" fontId="27" fillId="0" borderId="0" xfId="0" applyNumberFormat="1" applyFont="1" applyAlignment="1">
      <alignment horizontal="center" vertical="center"/>
    </xf>
    <xf numFmtId="39" fontId="25" fillId="0" borderId="0" xfId="0" applyNumberFormat="1" applyFont="1" applyAlignment="1">
      <alignment horizontal="center" vertical="center"/>
    </xf>
    <xf numFmtId="39" fontId="48" fillId="0" borderId="113" xfId="0" applyNumberFormat="1" applyFont="1" applyBorder="1" applyAlignment="1">
      <alignment vertical="center"/>
    </xf>
    <xf numFmtId="0" fontId="129" fillId="10" borderId="0" xfId="0" applyFont="1" applyFill="1" applyAlignment="1">
      <alignment horizontal="left" vertical="center"/>
    </xf>
    <xf numFmtId="0" fontId="129" fillId="10" borderId="0" xfId="0" applyFont="1" applyFill="1" applyAlignment="1">
      <alignment vertical="center"/>
    </xf>
    <xf numFmtId="37" fontId="129" fillId="10" borderId="0" xfId="0" applyNumberFormat="1" applyFont="1" applyFill="1" applyAlignment="1">
      <alignment horizontal="center" vertical="center"/>
    </xf>
    <xf numFmtId="0" fontId="129" fillId="10" borderId="0" xfId="0" applyFont="1" applyFill="1" applyAlignment="1">
      <alignment horizontal="right" vertical="center"/>
    </xf>
    <xf numFmtId="172" fontId="129" fillId="10" borderId="0" xfId="0" quotePrefix="1" applyNumberFormat="1" applyFont="1" applyFill="1" applyAlignment="1">
      <alignment horizontal="center" vertical="center"/>
    </xf>
    <xf numFmtId="177" fontId="130" fillId="10" borderId="0" xfId="0" applyNumberFormat="1" applyFont="1" applyFill="1" applyAlignment="1">
      <alignment horizontal="center" vertical="center"/>
    </xf>
    <xf numFmtId="0" fontId="130" fillId="10" borderId="0" xfId="0" applyFont="1" applyFill="1" applyAlignment="1">
      <alignment vertical="center"/>
    </xf>
    <xf numFmtId="37" fontId="26" fillId="10" borderId="0" xfId="0" applyNumberFormat="1" applyFont="1" applyFill="1" applyAlignment="1">
      <alignment horizontal="center" vertical="center"/>
    </xf>
    <xf numFmtId="0" fontId="131" fillId="10" borderId="0" xfId="0" applyFont="1" applyFill="1" applyAlignment="1">
      <alignment horizontal="right" vertical="center"/>
    </xf>
    <xf numFmtId="0" fontId="130" fillId="0" borderId="0" xfId="0" applyFont="1" applyAlignment="1">
      <alignment vertical="center"/>
    </xf>
    <xf numFmtId="0" fontId="25" fillId="3" borderId="17" xfId="0" applyFont="1" applyFill="1" applyBorder="1" applyAlignment="1">
      <alignment horizontal="left" vertical="center"/>
    </xf>
    <xf numFmtId="37" fontId="29" fillId="3" borderId="17" xfId="0" applyNumberFormat="1" applyFont="1" applyFill="1" applyBorder="1" applyAlignment="1">
      <alignment horizontal="center" vertical="center"/>
    </xf>
    <xf numFmtId="39" fontId="25" fillId="3" borderId="31" xfId="0" applyNumberFormat="1" applyFont="1" applyFill="1" applyBorder="1" applyAlignment="1">
      <alignment horizontal="right" vertical="center"/>
    </xf>
    <xf numFmtId="39" fontId="26" fillId="3" borderId="78" xfId="0" applyNumberFormat="1" applyFont="1" applyFill="1" applyBorder="1" applyAlignment="1">
      <alignment horizontal="right" vertical="center"/>
    </xf>
    <xf numFmtId="37" fontId="26" fillId="3" borderId="31" xfId="0" applyNumberFormat="1" applyFont="1" applyFill="1" applyBorder="1" applyAlignment="1">
      <alignment horizontal="center" vertical="center"/>
    </xf>
    <xf numFmtId="39" fontId="70" fillId="0" borderId="96" xfId="0" applyNumberFormat="1" applyFont="1" applyBorder="1" applyAlignment="1">
      <alignment horizontal="right"/>
    </xf>
    <xf numFmtId="39" fontId="70" fillId="0" borderId="217" xfId="0" applyNumberFormat="1" applyFont="1" applyBorder="1" applyAlignment="1">
      <alignment horizontal="right" vertical="center"/>
    </xf>
    <xf numFmtId="37" fontId="25" fillId="0" borderId="31" xfId="0" applyNumberFormat="1" applyFont="1" applyBorder="1" applyAlignment="1">
      <alignment vertical="center"/>
    </xf>
    <xf numFmtId="49" fontId="25" fillId="3" borderId="0" xfId="0" applyNumberFormat="1" applyFont="1" applyFill="1" applyAlignment="1">
      <alignment vertical="center"/>
    </xf>
    <xf numFmtId="172" fontId="70" fillId="0" borderId="31" xfId="0" applyNumberFormat="1" applyFont="1" applyBorder="1" applyAlignment="1">
      <alignment horizontal="right" vertical="center"/>
    </xf>
    <xf numFmtId="43" fontId="70" fillId="0" borderId="217" xfId="0" applyNumberFormat="1" applyFont="1" applyBorder="1" applyAlignment="1">
      <alignment horizontal="right" vertical="center"/>
    </xf>
    <xf numFmtId="43" fontId="25" fillId="0" borderId="217" xfId="0" applyNumberFormat="1" applyFont="1" applyBorder="1" applyAlignment="1">
      <alignment horizontal="right" vertical="center"/>
    </xf>
    <xf numFmtId="39" fontId="27" fillId="0" borderId="31" xfId="0" applyNumberFormat="1" applyFont="1" applyBorder="1" applyAlignment="1">
      <alignment horizontal="right"/>
    </xf>
    <xf numFmtId="172" fontId="62" fillId="0" borderId="31" xfId="2" applyNumberFormat="1" applyFont="1" applyFill="1" applyBorder="1" applyAlignment="1">
      <alignment horizontal="right" vertical="center"/>
    </xf>
    <xf numFmtId="39" fontId="117" fillId="3" borderId="217" xfId="0" applyNumberFormat="1" applyFont="1" applyFill="1" applyBorder="1" applyAlignment="1">
      <alignment horizontal="right"/>
    </xf>
    <xf numFmtId="39" fontId="27" fillId="3" borderId="217" xfId="0" applyNumberFormat="1" applyFont="1" applyFill="1" applyBorder="1" applyAlignment="1">
      <alignment horizontal="right"/>
    </xf>
    <xf numFmtId="39" fontId="118" fillId="3" borderId="217" xfId="0" applyNumberFormat="1" applyFont="1" applyFill="1" applyBorder="1" applyAlignment="1">
      <alignment horizontal="right"/>
    </xf>
    <xf numFmtId="39" fontId="25" fillId="0" borderId="96" xfId="0" applyNumberFormat="1" applyFont="1" applyBorder="1" applyAlignment="1">
      <alignment horizontal="right" vertical="center"/>
    </xf>
    <xf numFmtId="38" fontId="75" fillId="3" borderId="0" xfId="0" applyNumberFormat="1" applyFont="1" applyFill="1" applyAlignment="1">
      <alignment vertical="center"/>
    </xf>
    <xf numFmtId="177" fontId="132" fillId="3" borderId="0" xfId="0" applyNumberFormat="1" applyFont="1" applyFill="1" applyAlignment="1">
      <alignment horizontal="center" vertical="center"/>
    </xf>
    <xf numFmtId="0" fontId="132" fillId="3" borderId="0" xfId="0" applyFont="1" applyFill="1" applyAlignment="1">
      <alignment horizontal="left" vertical="center"/>
    </xf>
    <xf numFmtId="0" fontId="58" fillId="3" borderId="0" xfId="0" applyFont="1" applyFill="1" applyAlignment="1">
      <alignment vertical="center"/>
    </xf>
    <xf numFmtId="0" fontId="36" fillId="3" borderId="0" xfId="0" applyFont="1" applyFill="1" applyAlignment="1">
      <alignment horizontal="left" vertical="center"/>
    </xf>
    <xf numFmtId="0" fontId="37" fillId="3" borderId="0" xfId="0" applyFont="1" applyFill="1" applyAlignment="1">
      <alignment vertical="center"/>
    </xf>
    <xf numFmtId="49" fontId="36" fillId="3" borderId="0" xfId="1" applyNumberFormat="1" applyFont="1" applyFill="1" applyBorder="1" applyAlignment="1" applyProtection="1">
      <alignment horizontal="center" vertical="center"/>
    </xf>
    <xf numFmtId="0" fontId="37" fillId="3" borderId="0" xfId="0" applyFont="1" applyFill="1" applyAlignment="1">
      <alignment horizontal="left" vertical="center"/>
    </xf>
    <xf numFmtId="195" fontId="37" fillId="3" borderId="0" xfId="0" applyNumberFormat="1" applyFont="1" applyFill="1" applyAlignment="1">
      <alignment horizontal="center" vertical="center"/>
    </xf>
    <xf numFmtId="0" fontId="37" fillId="3" borderId="0" xfId="0" applyFont="1" applyFill="1" applyAlignment="1">
      <alignment horizontal="center" vertical="center"/>
    </xf>
    <xf numFmtId="177" fontId="37" fillId="3" borderId="0" xfId="0" applyNumberFormat="1" applyFont="1" applyFill="1" applyAlignment="1">
      <alignment horizontal="center" vertical="center"/>
    </xf>
    <xf numFmtId="177" fontId="37" fillId="3" borderId="0" xfId="0" applyNumberFormat="1" applyFont="1" applyFill="1" applyAlignment="1">
      <alignment horizontal="right" vertical="center"/>
    </xf>
    <xf numFmtId="177" fontId="37" fillId="3" borderId="0" xfId="0" applyNumberFormat="1" applyFont="1" applyFill="1" applyAlignment="1">
      <alignment horizontal="left" vertical="center"/>
    </xf>
    <xf numFmtId="177" fontId="36" fillId="3" borderId="0" xfId="0" applyNumberFormat="1" applyFont="1" applyFill="1" applyAlignment="1">
      <alignment horizontal="left" vertical="center"/>
    </xf>
    <xf numFmtId="4" fontId="59" fillId="0" borderId="0" xfId="1" applyNumberFormat="1" applyFont="1" applyFill="1" applyBorder="1" applyAlignment="1" applyProtection="1">
      <alignment horizontal="center" vertical="center"/>
      <protection locked="0"/>
    </xf>
    <xf numFmtId="49" fontId="109" fillId="3" borderId="0" xfId="1" applyNumberFormat="1" applyFont="1" applyFill="1" applyBorder="1" applyAlignment="1" applyProtection="1">
      <alignment horizontal="center" vertical="center"/>
      <protection locked="0"/>
    </xf>
    <xf numFmtId="0" fontId="9" fillId="0" borderId="0" xfId="0" applyFont="1"/>
    <xf numFmtId="0" fontId="58" fillId="3" borderId="0" xfId="0" applyFont="1" applyFill="1" applyAlignment="1">
      <alignment horizontal="left" vertical="center"/>
    </xf>
    <xf numFmtId="177" fontId="9" fillId="0" borderId="0" xfId="0" applyNumberFormat="1" applyFont="1"/>
    <xf numFmtId="177" fontId="58" fillId="3" borderId="0" xfId="0" applyNumberFormat="1" applyFont="1" applyFill="1" applyAlignment="1">
      <alignment horizontal="right" vertical="center"/>
    </xf>
    <xf numFmtId="177" fontId="58" fillId="3" borderId="0" xfId="0" applyNumberFormat="1" applyFont="1" applyFill="1" applyAlignment="1">
      <alignment horizontal="left" vertical="center"/>
    </xf>
    <xf numFmtId="0" fontId="59" fillId="3" borderId="0" xfId="0" applyFont="1" applyFill="1" applyAlignment="1">
      <alignment horizontal="left" vertical="center"/>
    </xf>
    <xf numFmtId="0" fontId="59" fillId="41" borderId="5" xfId="0" applyFont="1" applyFill="1" applyBorder="1" applyAlignment="1">
      <alignment horizontal="center" vertical="center"/>
    </xf>
    <xf numFmtId="49" fontId="59" fillId="41" borderId="5" xfId="0" applyNumberFormat="1" applyFont="1" applyFill="1" applyBorder="1" applyAlignment="1">
      <alignment horizontal="center" vertical="center"/>
    </xf>
    <xf numFmtId="195" fontId="59" fillId="41" borderId="5" xfId="0" applyNumberFormat="1" applyFont="1" applyFill="1" applyBorder="1" applyAlignment="1">
      <alignment horizontal="center" vertical="center"/>
    </xf>
    <xf numFmtId="177" fontId="59" fillId="41" borderId="5" xfId="0" applyNumberFormat="1" applyFont="1" applyFill="1" applyBorder="1" applyAlignment="1">
      <alignment horizontal="center" vertical="center"/>
    </xf>
    <xf numFmtId="177" fontId="109" fillId="41" borderId="116" xfId="0" applyNumberFormat="1" applyFont="1" applyFill="1" applyBorder="1" applyAlignment="1">
      <alignment horizontal="center" vertical="center"/>
    </xf>
    <xf numFmtId="0" fontId="59" fillId="3" borderId="16" xfId="0" applyFont="1" applyFill="1" applyBorder="1" applyAlignment="1">
      <alignment horizontal="left" vertical="center"/>
    </xf>
    <xf numFmtId="49" fontId="58" fillId="0" borderId="0" xfId="0" applyNumberFormat="1" applyFont="1" applyAlignment="1">
      <alignment vertical="center"/>
    </xf>
    <xf numFmtId="49" fontId="58" fillId="3" borderId="0" xfId="0" applyNumberFormat="1" applyFont="1" applyFill="1" applyAlignment="1">
      <alignment vertical="center"/>
    </xf>
    <xf numFmtId="0" fontId="77" fillId="41" borderId="17" xfId="0" applyFont="1" applyFill="1" applyBorder="1" applyAlignment="1">
      <alignment horizontal="center" vertical="center"/>
    </xf>
    <xf numFmtId="49" fontId="77" fillId="41" borderId="17" xfId="0" applyNumberFormat="1" applyFont="1" applyFill="1" applyBorder="1" applyAlignment="1">
      <alignment horizontal="center" vertical="center"/>
    </xf>
    <xf numFmtId="195" fontId="59" fillId="41" borderId="17" xfId="0" applyNumberFormat="1" applyFont="1" applyFill="1" applyBorder="1" applyAlignment="1">
      <alignment horizontal="center" vertical="center"/>
    </xf>
    <xf numFmtId="177" fontId="59" fillId="41" borderId="17" xfId="0" applyNumberFormat="1" applyFont="1" applyFill="1" applyBorder="1" applyAlignment="1">
      <alignment horizontal="center" vertical="center"/>
    </xf>
    <xf numFmtId="177" fontId="103" fillId="41" borderId="229" xfId="0" quotePrefix="1" applyNumberFormat="1" applyFont="1" applyFill="1" applyBorder="1" applyAlignment="1">
      <alignment horizontal="center" vertical="center"/>
    </xf>
    <xf numFmtId="177" fontId="103" fillId="41" borderId="229" xfId="0" applyNumberFormat="1" applyFont="1" applyFill="1" applyBorder="1" applyAlignment="1">
      <alignment horizontal="center" vertical="center"/>
    </xf>
    <xf numFmtId="0" fontId="59" fillId="41" borderId="17" xfId="0" applyFont="1" applyFill="1" applyBorder="1" applyAlignment="1">
      <alignment vertical="center"/>
    </xf>
    <xf numFmtId="49" fontId="59" fillId="41" borderId="17" xfId="0" applyNumberFormat="1" applyFont="1" applyFill="1" applyBorder="1" applyAlignment="1">
      <alignment horizontal="center" vertical="center"/>
    </xf>
    <xf numFmtId="177" fontId="104" fillId="41" borderId="0" xfId="0" applyNumberFormat="1" applyFont="1" applyFill="1" applyAlignment="1">
      <alignment horizontal="center" vertical="center"/>
    </xf>
    <xf numFmtId="177" fontId="103" fillId="41" borderId="17" xfId="0" applyNumberFormat="1" applyFont="1" applyFill="1" applyBorder="1" applyAlignment="1">
      <alignment horizontal="center" vertical="center"/>
    </xf>
    <xf numFmtId="177" fontId="104" fillId="41" borderId="21" xfId="0" applyNumberFormat="1" applyFont="1" applyFill="1" applyBorder="1" applyAlignment="1">
      <alignment horizontal="center" vertical="center"/>
    </xf>
    <xf numFmtId="177" fontId="104" fillId="41" borderId="17" xfId="0" applyNumberFormat="1" applyFont="1" applyFill="1" applyBorder="1" applyAlignment="1">
      <alignment horizontal="center" vertical="center"/>
    </xf>
    <xf numFmtId="177" fontId="110" fillId="41" borderId="20" xfId="0" applyNumberFormat="1" applyFont="1" applyFill="1" applyBorder="1" applyAlignment="1">
      <alignment horizontal="center" vertical="center"/>
    </xf>
    <xf numFmtId="177" fontId="103" fillId="41" borderId="0" xfId="0" applyNumberFormat="1" applyFont="1" applyFill="1" applyAlignment="1">
      <alignment horizontal="center" vertical="center"/>
    </xf>
    <xf numFmtId="177" fontId="103" fillId="41" borderId="21" xfId="0" applyNumberFormat="1" applyFont="1" applyFill="1" applyBorder="1" applyAlignment="1">
      <alignment horizontal="center" vertical="center"/>
    </xf>
    <xf numFmtId="0" fontId="103" fillId="41" borderId="11" xfId="0" applyFont="1" applyFill="1" applyBorder="1" applyAlignment="1">
      <alignment vertical="center"/>
    </xf>
    <xf numFmtId="49" fontId="103" fillId="41" borderId="11" xfId="0" applyNumberFormat="1" applyFont="1" applyFill="1" applyBorder="1" applyAlignment="1">
      <alignment horizontal="center" vertical="center"/>
    </xf>
    <xf numFmtId="195" fontId="103" fillId="41" borderId="11" xfId="0" applyNumberFormat="1" applyFont="1" applyFill="1" applyBorder="1" applyAlignment="1">
      <alignment horizontal="center" vertical="center"/>
    </xf>
    <xf numFmtId="177" fontId="103" fillId="41" borderId="11" xfId="0" applyNumberFormat="1" applyFont="1" applyFill="1" applyBorder="1" applyAlignment="1">
      <alignment horizontal="center" vertical="center"/>
    </xf>
    <xf numFmtId="177" fontId="103" fillId="41" borderId="12" xfId="0" applyNumberFormat="1" applyFont="1" applyFill="1" applyBorder="1" applyAlignment="1">
      <alignment horizontal="center" vertical="center"/>
    </xf>
    <xf numFmtId="177" fontId="104" fillId="41" borderId="11" xfId="0" applyNumberFormat="1" applyFont="1" applyFill="1" applyBorder="1" applyAlignment="1">
      <alignment horizontal="center" vertical="center"/>
    </xf>
    <xf numFmtId="0" fontId="103" fillId="3" borderId="16" xfId="0" applyFont="1" applyFill="1" applyBorder="1" applyAlignment="1">
      <alignment horizontal="left" vertical="center"/>
    </xf>
    <xf numFmtId="49" fontId="133" fillId="0" borderId="0" xfId="0" applyNumberFormat="1" applyFont="1" applyAlignment="1">
      <alignment vertical="center"/>
    </xf>
    <xf numFmtId="49" fontId="133" fillId="3" borderId="0" xfId="0" applyNumberFormat="1" applyFont="1" applyFill="1" applyAlignment="1">
      <alignment vertical="center"/>
    </xf>
    <xf numFmtId="49" fontId="103" fillId="0" borderId="15" xfId="0" applyNumberFormat="1" applyFont="1" applyBorder="1" applyAlignment="1">
      <alignment horizontal="center" vertical="center"/>
    </xf>
    <xf numFmtId="49" fontId="103" fillId="3" borderId="230" xfId="0" applyNumberFormat="1" applyFont="1" applyFill="1" applyBorder="1" applyAlignment="1">
      <alignment horizontal="center" vertical="center"/>
    </xf>
    <xf numFmtId="0" fontId="103" fillId="3" borderId="17" xfId="0" applyFont="1" applyFill="1" applyBorder="1" applyAlignment="1">
      <alignment vertical="center"/>
    </xf>
    <xf numFmtId="49" fontId="103" fillId="3" borderId="17" xfId="0" applyNumberFormat="1" applyFont="1" applyFill="1" applyBorder="1" applyAlignment="1">
      <alignment horizontal="center" vertical="center"/>
    </xf>
    <xf numFmtId="195" fontId="103" fillId="3" borderId="17" xfId="0" applyNumberFormat="1" applyFont="1" applyFill="1" applyBorder="1" applyAlignment="1">
      <alignment horizontal="center" vertical="center"/>
    </xf>
    <xf numFmtId="177" fontId="103" fillId="3" borderId="17" xfId="0" applyNumberFormat="1" applyFont="1" applyFill="1" applyBorder="1" applyAlignment="1">
      <alignment horizontal="center" vertical="center"/>
    </xf>
    <xf numFmtId="177" fontId="103" fillId="3" borderId="21" xfId="0" applyNumberFormat="1" applyFont="1" applyFill="1" applyBorder="1" applyAlignment="1">
      <alignment horizontal="center" vertical="center"/>
    </xf>
    <xf numFmtId="177" fontId="104" fillId="3" borderId="17" xfId="0" applyNumberFormat="1" applyFont="1" applyFill="1" applyBorder="1" applyAlignment="1">
      <alignment horizontal="center" vertical="center"/>
    </xf>
    <xf numFmtId="177" fontId="103" fillId="3" borderId="0" xfId="0" applyNumberFormat="1" applyFont="1" applyFill="1" applyAlignment="1">
      <alignment horizontal="center" vertical="center"/>
    </xf>
    <xf numFmtId="177" fontId="104" fillId="3" borderId="0" xfId="0" applyNumberFormat="1" applyFont="1" applyFill="1" applyAlignment="1">
      <alignment horizontal="center" vertical="center"/>
    </xf>
    <xf numFmtId="177" fontId="103" fillId="3" borderId="20" xfId="0" applyNumberFormat="1" applyFont="1" applyFill="1" applyBorder="1" applyAlignment="1">
      <alignment horizontal="center" vertical="center"/>
    </xf>
    <xf numFmtId="0" fontId="103" fillId="0" borderId="189" xfId="18" applyFont="1" applyBorder="1" applyAlignment="1">
      <alignment horizontal="center" vertical="center" wrapText="1"/>
    </xf>
    <xf numFmtId="49" fontId="103" fillId="0" borderId="17" xfId="18" applyNumberFormat="1" applyFont="1" applyBorder="1" applyAlignment="1">
      <alignment horizontal="left" vertical="center"/>
    </xf>
    <xf numFmtId="0" fontId="103" fillId="0" borderId="17" xfId="18" applyFont="1" applyBorder="1" applyAlignment="1">
      <alignment vertical="center"/>
    </xf>
    <xf numFmtId="0" fontId="103" fillId="0" borderId="17" xfId="18" applyFont="1" applyBorder="1" applyAlignment="1">
      <alignment horizontal="left" vertical="center" wrapText="1"/>
    </xf>
    <xf numFmtId="195" fontId="133" fillId="0" borderId="17" xfId="18" applyNumberFormat="1" applyFont="1" applyBorder="1" applyAlignment="1">
      <alignment horizontal="center" vertical="center" wrapText="1"/>
    </xf>
    <xf numFmtId="2" fontId="133" fillId="0" borderId="17" xfId="0" applyNumberFormat="1" applyFont="1" applyBorder="1" applyAlignment="1">
      <alignment horizontal="center" vertical="center" wrapText="1"/>
    </xf>
    <xf numFmtId="3" fontId="133" fillId="0" borderId="17" xfId="18" applyNumberFormat="1" applyFont="1" applyBorder="1" applyAlignment="1">
      <alignment horizontal="center" vertical="center" wrapText="1"/>
    </xf>
    <xf numFmtId="177" fontId="133" fillId="0" borderId="17" xfId="18" applyNumberFormat="1" applyFont="1" applyBorder="1" applyAlignment="1">
      <alignment horizontal="center" vertical="center" wrapText="1"/>
    </xf>
    <xf numFmtId="177" fontId="133" fillId="0" borderId="17" xfId="0" applyNumberFormat="1" applyFont="1" applyBorder="1" applyAlignment="1">
      <alignment horizontal="right" vertical="center" wrapText="1"/>
    </xf>
    <xf numFmtId="177" fontId="133" fillId="0" borderId="17" xfId="18" applyNumberFormat="1" applyFont="1" applyBorder="1" applyAlignment="1">
      <alignment vertical="center" wrapText="1"/>
    </xf>
    <xf numFmtId="177" fontId="133" fillId="0" borderId="17" xfId="1" applyNumberFormat="1" applyFont="1" applyFill="1" applyBorder="1" applyAlignment="1" applyProtection="1">
      <alignment vertical="center" wrapText="1"/>
      <protection locked="0"/>
    </xf>
    <xf numFmtId="177" fontId="103" fillId="0" borderId="17" xfId="0" applyNumberFormat="1" applyFont="1" applyBorder="1" applyAlignment="1">
      <alignment horizontal="right" vertical="center" wrapText="1"/>
    </xf>
    <xf numFmtId="177" fontId="103" fillId="0" borderId="190" xfId="0" applyNumberFormat="1" applyFont="1" applyBorder="1" applyAlignment="1">
      <alignment horizontal="right" vertical="center" wrapText="1"/>
    </xf>
    <xf numFmtId="0" fontId="103" fillId="0" borderId="16" xfId="0" applyFont="1" applyBorder="1" applyAlignment="1">
      <alignment horizontal="left" vertical="center" wrapText="1"/>
    </xf>
    <xf numFmtId="0" fontId="133" fillId="0" borderId="0" xfId="0" applyFont="1" applyAlignment="1">
      <alignment vertical="center" wrapText="1"/>
    </xf>
    <xf numFmtId="0" fontId="133" fillId="0" borderId="189" xfId="0" applyFont="1" applyBorder="1" applyAlignment="1">
      <alignment horizontal="center" vertical="center"/>
    </xf>
    <xf numFmtId="0" fontId="103" fillId="42" borderId="16" xfId="0" applyFont="1" applyFill="1" applyBorder="1" applyAlignment="1">
      <alignment horizontal="left" vertical="center"/>
    </xf>
    <xf numFmtId="0" fontId="133" fillId="42" borderId="0" xfId="0" applyFont="1" applyFill="1" applyAlignment="1">
      <alignment vertical="center" wrapText="1"/>
    </xf>
    <xf numFmtId="0" fontId="133" fillId="0" borderId="17" xfId="0" applyFont="1" applyBorder="1" applyAlignment="1">
      <alignment horizontal="center" vertical="center"/>
    </xf>
    <xf numFmtId="0" fontId="133" fillId="0" borderId="17" xfId="0" applyFont="1" applyBorder="1" applyAlignment="1">
      <alignment vertical="center"/>
    </xf>
    <xf numFmtId="195" fontId="133" fillId="0" borderId="17" xfId="0" applyNumberFormat="1" applyFont="1" applyBorder="1" applyAlignment="1">
      <alignment horizontal="center" vertical="center"/>
    </xf>
    <xf numFmtId="177" fontId="133" fillId="0" borderId="17" xfId="0" applyNumberFormat="1" applyFont="1" applyBorder="1" applyAlignment="1">
      <alignment vertical="center"/>
    </xf>
    <xf numFmtId="177" fontId="133" fillId="0" borderId="190" xfId="0" applyNumberFormat="1" applyFont="1" applyBorder="1" applyAlignment="1">
      <alignment vertical="center"/>
    </xf>
    <xf numFmtId="0" fontId="103" fillId="0" borderId="16" xfId="0" applyFont="1" applyBorder="1" applyAlignment="1">
      <alignment horizontal="left" vertical="center"/>
    </xf>
    <xf numFmtId="0" fontId="133" fillId="0" borderId="16" xfId="0" applyFont="1" applyBorder="1" applyAlignment="1">
      <alignment vertical="center"/>
    </xf>
    <xf numFmtId="4" fontId="133" fillId="0" borderId="0" xfId="0" applyNumberFormat="1" applyFont="1" applyAlignment="1">
      <alignment vertical="center" wrapText="1"/>
    </xf>
    <xf numFmtId="0" fontId="103" fillId="0" borderId="189" xfId="0" applyFont="1" applyBorder="1" applyAlignment="1">
      <alignment horizontal="center" vertical="center"/>
    </xf>
    <xf numFmtId="0" fontId="103" fillId="0" borderId="17" xfId="0" applyFont="1" applyBorder="1" applyAlignment="1">
      <alignment horizontal="left" vertical="center"/>
    </xf>
    <xf numFmtId="0" fontId="103" fillId="0" borderId="17" xfId="0" applyFont="1" applyBorder="1" applyAlignment="1">
      <alignment vertical="center"/>
    </xf>
    <xf numFmtId="0" fontId="109" fillId="0" borderId="189" xfId="0" applyFont="1" applyBorder="1" applyAlignment="1">
      <alignment horizontal="center" vertical="center"/>
    </xf>
    <xf numFmtId="0" fontId="109" fillId="0" borderId="0" xfId="0" applyFont="1" applyAlignment="1">
      <alignment vertical="center" wrapText="1"/>
    </xf>
    <xf numFmtId="0" fontId="133" fillId="0" borderId="21" xfId="0" applyFont="1" applyBorder="1" applyAlignment="1">
      <alignment horizontal="center" vertical="center"/>
    </xf>
    <xf numFmtId="0" fontId="133" fillId="0" borderId="108" xfId="0" applyFont="1" applyBorder="1" applyAlignment="1">
      <alignment horizontal="center" vertical="center"/>
    </xf>
    <xf numFmtId="188" fontId="59" fillId="43" borderId="33" xfId="1" applyNumberFormat="1" applyFont="1" applyFill="1" applyBorder="1" applyAlignment="1">
      <alignment vertical="center"/>
    </xf>
    <xf numFmtId="188" fontId="59" fillId="43" borderId="33" xfId="1" applyNumberFormat="1" applyFont="1" applyFill="1" applyBorder="1" applyAlignment="1">
      <alignment horizontal="center" vertical="center"/>
    </xf>
    <xf numFmtId="188" fontId="59" fillId="0" borderId="16" xfId="1" applyNumberFormat="1" applyFont="1" applyBorder="1" applyAlignment="1">
      <alignment horizontal="left" vertical="center"/>
    </xf>
    <xf numFmtId="188" fontId="59" fillId="0" borderId="0" xfId="1" applyNumberFormat="1" applyFont="1" applyFill="1" applyAlignment="1">
      <alignment vertical="center"/>
    </xf>
    <xf numFmtId="188" fontId="58" fillId="3" borderId="0" xfId="1" applyNumberFormat="1" applyFont="1" applyFill="1" applyAlignment="1">
      <alignment vertical="center"/>
    </xf>
    <xf numFmtId="188" fontId="59" fillId="3" borderId="0" xfId="1" applyNumberFormat="1" applyFont="1" applyFill="1" applyAlignment="1">
      <alignment vertical="center"/>
    </xf>
    <xf numFmtId="0" fontId="58" fillId="0" borderId="0" xfId="0" applyFont="1" applyAlignment="1">
      <alignment horizontal="center" vertical="center"/>
    </xf>
    <xf numFmtId="49" fontId="106" fillId="3" borderId="0" xfId="0" applyNumberFormat="1" applyFont="1" applyFill="1" applyAlignment="1">
      <alignment horizontal="center" vertical="center"/>
    </xf>
    <xf numFmtId="0" fontId="106" fillId="3" borderId="0" xfId="0" applyFont="1" applyFill="1" applyAlignment="1">
      <alignment vertical="center"/>
    </xf>
    <xf numFmtId="195" fontId="58" fillId="3" borderId="0" xfId="0" applyNumberFormat="1" applyFont="1" applyFill="1" applyAlignment="1">
      <alignment horizontal="center" vertical="center"/>
    </xf>
    <xf numFmtId="0" fontId="58" fillId="3" borderId="0" xfId="0" applyFont="1" applyFill="1" applyAlignment="1">
      <alignment horizontal="center" vertical="center"/>
    </xf>
    <xf numFmtId="177" fontId="58" fillId="3" borderId="0" xfId="0" applyNumberFormat="1" applyFont="1" applyFill="1" applyAlignment="1">
      <alignment horizontal="center" vertical="center"/>
    </xf>
    <xf numFmtId="177" fontId="106" fillId="3" borderId="0" xfId="0" applyNumberFormat="1" applyFont="1" applyFill="1" applyAlignment="1">
      <alignment horizontal="right" vertical="center"/>
    </xf>
    <xf numFmtId="177" fontId="58" fillId="3" borderId="0" xfId="0" applyNumberFormat="1" applyFont="1" applyFill="1" applyAlignment="1">
      <alignment vertical="center"/>
    </xf>
    <xf numFmtId="177" fontId="59" fillId="3" borderId="0" xfId="0" applyNumberFormat="1" applyFont="1" applyFill="1" applyAlignment="1">
      <alignment horizontal="center" vertical="center"/>
    </xf>
    <xf numFmtId="0" fontId="59" fillId="3" borderId="0" xfId="0" applyFont="1" applyFill="1" applyAlignment="1">
      <alignment horizontal="center" vertical="center"/>
    </xf>
    <xf numFmtId="0" fontId="58" fillId="3" borderId="0" xfId="0" applyFont="1" applyFill="1" applyAlignment="1">
      <alignment horizontal="right" vertical="center"/>
    </xf>
    <xf numFmtId="0" fontId="0" fillId="0" borderId="159" xfId="0" applyBorder="1"/>
    <xf numFmtId="0" fontId="0" fillId="0" borderId="68" xfId="0" applyBorder="1"/>
    <xf numFmtId="177" fontId="58" fillId="3" borderId="68" xfId="0" applyNumberFormat="1" applyFont="1" applyFill="1" applyBorder="1" applyAlignment="1">
      <alignment vertical="center"/>
    </xf>
    <xf numFmtId="0" fontId="59" fillId="3" borderId="231" xfId="0" applyFont="1" applyFill="1" applyBorder="1" applyAlignment="1">
      <alignment horizontal="left" vertical="center"/>
    </xf>
    <xf numFmtId="0" fontId="0" fillId="0" borderId="144" xfId="0" applyBorder="1"/>
    <xf numFmtId="0" fontId="59" fillId="3" borderId="108" xfId="0" applyFont="1" applyFill="1" applyBorder="1" applyAlignment="1">
      <alignment horizontal="left" vertical="center"/>
    </xf>
    <xf numFmtId="0" fontId="0" fillId="0" borderId="0" xfId="0" applyAlignment="1">
      <alignment vertical="center"/>
    </xf>
    <xf numFmtId="0" fontId="0" fillId="0" borderId="161" xfId="0" applyBorder="1"/>
    <xf numFmtId="0" fontId="0" fillId="0" borderId="78" xfId="0" applyBorder="1"/>
    <xf numFmtId="177" fontId="58" fillId="3" borderId="78" xfId="0" applyNumberFormat="1" applyFont="1" applyFill="1" applyBorder="1" applyAlignment="1">
      <alignment vertical="center"/>
    </xf>
    <xf numFmtId="0" fontId="59" fillId="3" borderId="107" xfId="0" applyFont="1" applyFill="1" applyBorder="1" applyAlignment="1">
      <alignment horizontal="left" vertical="center"/>
    </xf>
    <xf numFmtId="177" fontId="58" fillId="3" borderId="53" xfId="0" applyNumberFormat="1" applyFont="1" applyFill="1" applyBorder="1" applyAlignment="1">
      <alignment vertical="center"/>
    </xf>
    <xf numFmtId="0" fontId="0" fillId="0" borderId="108" xfId="0" applyBorder="1"/>
    <xf numFmtId="177" fontId="58" fillId="3" borderId="106" xfId="0" applyNumberFormat="1" applyFont="1" applyFill="1" applyBorder="1" applyAlignment="1">
      <alignment vertical="center"/>
    </xf>
    <xf numFmtId="0" fontId="0" fillId="0" borderId="107" xfId="0" applyBorder="1"/>
    <xf numFmtId="8" fontId="0" fillId="9" borderId="0" xfId="0" applyNumberFormat="1" applyFill="1"/>
    <xf numFmtId="0" fontId="133" fillId="3" borderId="17" xfId="0" applyFont="1" applyFill="1" applyBorder="1" applyAlignment="1">
      <alignment horizontal="center" vertical="center"/>
    </xf>
    <xf numFmtId="0" fontId="133" fillId="3" borderId="17" xfId="0" applyFont="1" applyFill="1" applyBorder="1" applyAlignment="1">
      <alignment vertical="center"/>
    </xf>
    <xf numFmtId="195" fontId="133" fillId="3" borderId="17" xfId="0" applyNumberFormat="1" applyFont="1" applyFill="1" applyBorder="1" applyAlignment="1">
      <alignment horizontal="center" vertical="center"/>
    </xf>
    <xf numFmtId="177" fontId="133" fillId="3" borderId="17" xfId="0" applyNumberFormat="1" applyFont="1" applyFill="1" applyBorder="1" applyAlignment="1">
      <alignment vertical="center"/>
    </xf>
    <xf numFmtId="177" fontId="133" fillId="3" borderId="190" xfId="0" applyNumberFormat="1" applyFont="1" applyFill="1" applyBorder="1" applyAlignment="1">
      <alignment vertical="center"/>
    </xf>
    <xf numFmtId="0" fontId="133" fillId="3" borderId="21" xfId="0" applyFont="1" applyFill="1" applyBorder="1" applyAlignment="1">
      <alignment horizontal="center" vertical="center"/>
    </xf>
    <xf numFmtId="0" fontId="103" fillId="3" borderId="36" xfId="0" applyFont="1" applyFill="1" applyBorder="1" applyAlignment="1">
      <alignment vertical="center"/>
    </xf>
    <xf numFmtId="0" fontId="103" fillId="3" borderId="37" xfId="0" applyFont="1" applyFill="1" applyBorder="1" applyAlignment="1">
      <alignment vertical="center"/>
    </xf>
    <xf numFmtId="0" fontId="133" fillId="3" borderId="33" xfId="0" applyFont="1" applyFill="1" applyBorder="1" applyAlignment="1">
      <alignment vertical="center"/>
    </xf>
    <xf numFmtId="195" fontId="133" fillId="3" borderId="33" xfId="0" applyNumberFormat="1" applyFont="1" applyFill="1" applyBorder="1" applyAlignment="1">
      <alignment horizontal="center" vertical="center"/>
    </xf>
    <xf numFmtId="0" fontId="133" fillId="3" borderId="33" xfId="0" applyFont="1" applyFill="1" applyBorder="1" applyAlignment="1">
      <alignment horizontal="center" vertical="center"/>
    </xf>
    <xf numFmtId="177" fontId="133" fillId="3" borderId="33" xfId="0" applyNumberFormat="1" applyFont="1" applyFill="1" applyBorder="1" applyAlignment="1">
      <alignment vertical="center"/>
    </xf>
    <xf numFmtId="177" fontId="103" fillId="3" borderId="33" xfId="0" applyNumberFormat="1" applyFont="1" applyFill="1" applyBorder="1" applyAlignment="1">
      <alignment vertical="center"/>
    </xf>
    <xf numFmtId="0" fontId="109" fillId="3" borderId="232" xfId="0" applyFont="1" applyFill="1" applyBorder="1" applyAlignment="1">
      <alignment vertical="center"/>
    </xf>
    <xf numFmtId="0" fontId="109" fillId="3" borderId="5" xfId="0" applyFont="1" applyFill="1" applyBorder="1" applyAlignment="1">
      <alignment vertical="center"/>
    </xf>
    <xf numFmtId="195" fontId="109" fillId="3" borderId="5" xfId="0" applyNumberFormat="1" applyFont="1" applyFill="1" applyBorder="1" applyAlignment="1">
      <alignment horizontal="center" vertical="center"/>
    </xf>
    <xf numFmtId="0" fontId="109" fillId="3" borderId="5" xfId="0" applyFont="1" applyFill="1" applyBorder="1" applyAlignment="1">
      <alignment horizontal="center" vertical="center"/>
    </xf>
    <xf numFmtId="177" fontId="109" fillId="3" borderId="5" xfId="0" applyNumberFormat="1" applyFont="1" applyFill="1" applyBorder="1" applyAlignment="1">
      <alignment vertical="center"/>
    </xf>
    <xf numFmtId="177" fontId="109" fillId="3" borderId="6" xfId="0" applyNumberFormat="1" applyFont="1" applyFill="1" applyBorder="1" applyAlignment="1">
      <alignment vertical="center"/>
    </xf>
    <xf numFmtId="177" fontId="109" fillId="3" borderId="233" xfId="0" applyNumberFormat="1" applyFont="1" applyFill="1" applyBorder="1" applyAlignment="1">
      <alignment vertical="center"/>
    </xf>
    <xf numFmtId="0" fontId="109" fillId="3" borderId="182" xfId="0" applyFont="1" applyFill="1" applyBorder="1" applyAlignment="1">
      <alignment vertical="center"/>
    </xf>
    <xf numFmtId="177" fontId="135" fillId="3" borderId="5" xfId="0" applyNumberFormat="1" applyFont="1" applyFill="1" applyBorder="1" applyAlignment="1">
      <alignment vertical="center"/>
    </xf>
    <xf numFmtId="0" fontId="109" fillId="3" borderId="21" xfId="0" applyFont="1" applyFill="1" applyBorder="1" applyAlignment="1">
      <alignment horizontal="center" vertical="center"/>
    </xf>
    <xf numFmtId="0" fontId="103" fillId="3" borderId="17" xfId="0" applyFont="1" applyFill="1" applyBorder="1" applyAlignment="1">
      <alignment horizontal="center" vertical="center"/>
    </xf>
    <xf numFmtId="0" fontId="133" fillId="3" borderId="17" xfId="0" quotePrefix="1" applyFont="1" applyFill="1" applyBorder="1" applyAlignment="1">
      <alignment horizontal="center" vertical="center"/>
    </xf>
    <xf numFmtId="0" fontId="133" fillId="0" borderId="234" xfId="0" applyFont="1" applyBorder="1" applyAlignment="1">
      <alignment horizontal="center" vertical="center"/>
    </xf>
    <xf numFmtId="0" fontId="133" fillId="3" borderId="235" xfId="0" applyFont="1" applyFill="1" applyBorder="1" applyAlignment="1">
      <alignment horizontal="center" vertical="center"/>
    </xf>
    <xf numFmtId="0" fontId="59" fillId="3" borderId="235" xfId="0" applyFont="1" applyFill="1" applyBorder="1" applyAlignment="1">
      <alignment vertical="center"/>
    </xf>
    <xf numFmtId="195" fontId="59" fillId="3" borderId="235" xfId="0" applyNumberFormat="1" applyFont="1" applyFill="1" applyBorder="1" applyAlignment="1">
      <alignment horizontal="center" vertical="center"/>
    </xf>
    <xf numFmtId="0" fontId="59" fillId="3" borderId="235" xfId="0" applyFont="1" applyFill="1" applyBorder="1" applyAlignment="1">
      <alignment horizontal="center" vertical="center"/>
    </xf>
    <xf numFmtId="177" fontId="59" fillId="3" borderId="235" xfId="0" applyNumberFormat="1" applyFont="1" applyFill="1" applyBorder="1" applyAlignment="1">
      <alignment vertical="center"/>
    </xf>
    <xf numFmtId="177" fontId="59" fillId="3" borderId="236" xfId="0" applyNumberFormat="1" applyFont="1" applyFill="1" applyBorder="1" applyAlignment="1">
      <alignment vertical="center"/>
    </xf>
    <xf numFmtId="0" fontId="109" fillId="3" borderId="16" xfId="0" applyFont="1" applyFill="1" applyBorder="1" applyAlignment="1">
      <alignment horizontal="left" vertical="center"/>
    </xf>
    <xf numFmtId="0" fontId="103" fillId="3" borderId="189" xfId="0" applyFont="1" applyFill="1" applyBorder="1" applyAlignment="1">
      <alignment horizontal="center" vertical="center"/>
    </xf>
    <xf numFmtId="0" fontId="103" fillId="3" borderId="17" xfId="0" applyFont="1" applyFill="1" applyBorder="1" applyAlignment="1">
      <alignment horizontal="left" vertical="center"/>
    </xf>
    <xf numFmtId="0" fontId="133" fillId="3" borderId="0" xfId="0" applyFont="1" applyFill="1" applyAlignment="1">
      <alignment vertical="center" wrapText="1"/>
    </xf>
    <xf numFmtId="0" fontId="133" fillId="3" borderId="189" xfId="0" applyFont="1" applyFill="1" applyBorder="1" applyAlignment="1">
      <alignment horizontal="center" vertical="center"/>
    </xf>
    <xf numFmtId="173" fontId="58" fillId="3" borderId="17" xfId="0" applyNumberFormat="1" applyFont="1" applyFill="1" applyBorder="1" applyAlignment="1">
      <alignment vertical="center"/>
    </xf>
    <xf numFmtId="0" fontId="133" fillId="3" borderId="16" xfId="0" applyFont="1" applyFill="1" applyBorder="1" applyAlignment="1">
      <alignment horizontal="center" vertical="center"/>
    </xf>
    <xf numFmtId="0" fontId="133" fillId="3" borderId="16" xfId="0" applyFont="1" applyFill="1" applyBorder="1" applyAlignment="1">
      <alignment vertical="center"/>
    </xf>
    <xf numFmtId="177" fontId="133" fillId="3" borderId="0" xfId="0" applyNumberFormat="1" applyFont="1" applyFill="1" applyAlignment="1">
      <alignment vertical="center"/>
    </xf>
    <xf numFmtId="0" fontId="133" fillId="3" borderId="0" xfId="0" applyFont="1" applyFill="1" applyAlignment="1">
      <alignment horizontal="center" vertical="center"/>
    </xf>
    <xf numFmtId="0" fontId="103" fillId="0" borderId="17" xfId="0" applyFont="1" applyBorder="1" applyAlignment="1">
      <alignment horizontal="center" vertical="center"/>
    </xf>
    <xf numFmtId="173" fontId="58" fillId="3" borderId="0" xfId="0" applyNumberFormat="1" applyFont="1" applyFill="1" applyAlignment="1">
      <alignment vertical="center"/>
    </xf>
    <xf numFmtId="0" fontId="133" fillId="3" borderId="108" xfId="0" applyFont="1" applyFill="1" applyBorder="1" applyAlignment="1">
      <alignment horizontal="center" vertical="center"/>
    </xf>
    <xf numFmtId="0" fontId="133" fillId="0" borderId="235" xfId="0" applyFont="1" applyBorder="1" applyAlignment="1">
      <alignment horizontal="center" vertical="center"/>
    </xf>
    <xf numFmtId="0" fontId="133" fillId="0" borderId="235" xfId="0" applyFont="1" applyBorder="1" applyAlignment="1">
      <alignment vertical="center"/>
    </xf>
    <xf numFmtId="195" fontId="133" fillId="0" borderId="235" xfId="0" applyNumberFormat="1" applyFont="1" applyBorder="1" applyAlignment="1">
      <alignment horizontal="center" vertical="center"/>
    </xf>
    <xf numFmtId="177" fontId="133" fillId="0" borderId="235" xfId="0" applyNumberFormat="1" applyFont="1" applyBorder="1" applyAlignment="1">
      <alignment vertical="center"/>
    </xf>
    <xf numFmtId="177" fontId="103" fillId="0" borderId="235" xfId="0" applyNumberFormat="1" applyFont="1" applyBorder="1" applyAlignment="1">
      <alignment vertical="center"/>
    </xf>
    <xf numFmtId="0" fontId="133" fillId="3" borderId="234" xfId="0" applyFont="1" applyFill="1" applyBorder="1" applyAlignment="1">
      <alignment horizontal="center" vertical="center"/>
    </xf>
    <xf numFmtId="0" fontId="36" fillId="0" borderId="0" xfId="0" applyFont="1" applyAlignment="1">
      <alignment horizontal="left"/>
    </xf>
    <xf numFmtId="0" fontId="103" fillId="0" borderId="17" xfId="0" quotePrefix="1" applyFont="1" applyBorder="1" applyAlignment="1">
      <alignment horizontal="left" vertical="center"/>
    </xf>
    <xf numFmtId="0" fontId="59" fillId="3" borderId="17" xfId="0" applyFont="1" applyFill="1" applyBorder="1" applyAlignment="1">
      <alignment vertical="center"/>
    </xf>
    <xf numFmtId="195" fontId="59" fillId="3" borderId="17" xfId="0" applyNumberFormat="1" applyFont="1" applyFill="1" applyBorder="1" applyAlignment="1">
      <alignment horizontal="center" vertical="center"/>
    </xf>
    <xf numFmtId="0" fontId="59" fillId="3" borderId="17" xfId="0" applyFont="1" applyFill="1" applyBorder="1" applyAlignment="1">
      <alignment horizontal="center" vertical="center"/>
    </xf>
    <xf numFmtId="177" fontId="59" fillId="3" borderId="17" xfId="0" applyNumberFormat="1" applyFont="1" applyFill="1" applyBorder="1" applyAlignment="1">
      <alignment vertical="center"/>
    </xf>
    <xf numFmtId="0" fontId="133" fillId="3" borderId="237" xfId="0" applyFont="1" applyFill="1" applyBorder="1" applyAlignment="1">
      <alignment horizontal="center" vertical="center"/>
    </xf>
    <xf numFmtId="0" fontId="133" fillId="3" borderId="238" xfId="0" applyFont="1" applyFill="1" applyBorder="1" applyAlignment="1">
      <alignment horizontal="center" vertical="center"/>
    </xf>
    <xf numFmtId="0" fontId="59" fillId="3" borderId="238" xfId="0" applyFont="1" applyFill="1" applyBorder="1" applyAlignment="1">
      <alignment vertical="center"/>
    </xf>
    <xf numFmtId="195" fontId="59" fillId="3" borderId="238" xfId="0" applyNumberFormat="1" applyFont="1" applyFill="1" applyBorder="1" applyAlignment="1">
      <alignment horizontal="center" vertical="center"/>
    </xf>
    <xf numFmtId="0" fontId="59" fillId="3" borderId="238" xfId="0" applyFont="1" applyFill="1" applyBorder="1" applyAlignment="1">
      <alignment horizontal="center" vertical="center"/>
    </xf>
    <xf numFmtId="177" fontId="59" fillId="3" borderId="238" xfId="0" applyNumberFormat="1" applyFont="1" applyFill="1" applyBorder="1" applyAlignment="1">
      <alignment vertical="center"/>
    </xf>
    <xf numFmtId="177" fontId="59" fillId="3" borderId="239" xfId="0" applyNumberFormat="1" applyFont="1" applyFill="1" applyBorder="1" applyAlignment="1">
      <alignment vertical="center"/>
    </xf>
    <xf numFmtId="0" fontId="59" fillId="3" borderId="16" xfId="0" applyFont="1" applyFill="1" applyBorder="1" applyAlignment="1">
      <alignment vertical="center"/>
    </xf>
    <xf numFmtId="177" fontId="59" fillId="3" borderId="190" xfId="0" applyNumberFormat="1" applyFont="1" applyFill="1" applyBorder="1" applyAlignment="1">
      <alignment vertical="center"/>
    </xf>
    <xf numFmtId="0" fontId="103" fillId="3" borderId="0" xfId="0" applyFont="1" applyFill="1" applyAlignment="1">
      <alignment horizontal="left" vertical="center"/>
    </xf>
    <xf numFmtId="0" fontId="58" fillId="3" borderId="16" xfId="0" applyFont="1" applyFill="1" applyBorder="1" applyAlignment="1">
      <alignment vertical="center"/>
    </xf>
    <xf numFmtId="0" fontId="133" fillId="3" borderId="240" xfId="0" quotePrefix="1" applyFont="1" applyFill="1" applyBorder="1" applyAlignment="1">
      <alignment horizontal="center" vertical="center"/>
    </xf>
    <xf numFmtId="0" fontId="133" fillId="3" borderId="119" xfId="0" applyFont="1" applyFill="1" applyBorder="1" applyAlignment="1">
      <alignment horizontal="center" vertical="center"/>
    </xf>
    <xf numFmtId="0" fontId="59" fillId="3" borderId="241" xfId="0" applyFont="1" applyFill="1" applyBorder="1" applyAlignment="1">
      <alignment vertical="center"/>
    </xf>
    <xf numFmtId="177" fontId="59" fillId="3" borderId="243" xfId="0" applyNumberFormat="1" applyFont="1" applyFill="1" applyBorder="1" applyAlignment="1">
      <alignment vertical="center"/>
    </xf>
    <xf numFmtId="177" fontId="59" fillId="3" borderId="242" xfId="0" applyNumberFormat="1" applyFont="1" applyFill="1" applyBorder="1" applyAlignment="1">
      <alignment vertical="center"/>
    </xf>
    <xf numFmtId="0" fontId="103" fillId="3" borderId="167" xfId="0" applyFont="1" applyFill="1" applyBorder="1" applyAlignment="1">
      <alignment horizontal="left" vertical="center"/>
    </xf>
    <xf numFmtId="0" fontId="133" fillId="3" borderId="240" xfId="0" applyFont="1" applyFill="1" applyBorder="1" applyAlignment="1">
      <alignment horizontal="center" vertical="center"/>
    </xf>
    <xf numFmtId="0" fontId="103" fillId="3" borderId="240" xfId="0" applyFont="1" applyFill="1" applyBorder="1" applyAlignment="1">
      <alignment horizontal="left" vertical="center"/>
    </xf>
    <xf numFmtId="177" fontId="58" fillId="3" borderId="17" xfId="0" applyNumberFormat="1" applyFont="1" applyFill="1" applyBorder="1" applyAlignment="1">
      <alignment vertical="center"/>
    </xf>
    <xf numFmtId="0" fontId="133" fillId="0" borderId="244" xfId="0" applyFont="1" applyBorder="1" applyAlignment="1">
      <alignment horizontal="center" vertical="center"/>
    </xf>
    <xf numFmtId="0" fontId="109" fillId="0" borderId="241" xfId="0" applyFont="1" applyBorder="1" applyAlignment="1">
      <alignment vertical="center"/>
    </xf>
    <xf numFmtId="0" fontId="109" fillId="0" borderId="235" xfId="0" applyFont="1" applyBorder="1" applyAlignment="1">
      <alignment vertical="center"/>
    </xf>
    <xf numFmtId="195" fontId="109" fillId="0" borderId="235" xfId="0" applyNumberFormat="1" applyFont="1" applyBorder="1" applyAlignment="1">
      <alignment horizontal="center" vertical="center"/>
    </xf>
    <xf numFmtId="0" fontId="109" fillId="0" borderId="235" xfId="0" applyFont="1" applyBorder="1" applyAlignment="1">
      <alignment horizontal="center" vertical="center"/>
    </xf>
    <xf numFmtId="177" fontId="109" fillId="0" borderId="235" xfId="0" applyNumberFormat="1" applyFont="1" applyBorder="1" applyAlignment="1">
      <alignment vertical="center"/>
    </xf>
    <xf numFmtId="188" fontId="58" fillId="0" borderId="0" xfId="0" applyNumberFormat="1" applyFont="1" applyAlignment="1">
      <alignment vertical="center"/>
    </xf>
    <xf numFmtId="49" fontId="36" fillId="22" borderId="0" xfId="17" applyNumberFormat="1" applyFont="1" applyFill="1" applyBorder="1" applyAlignment="1" applyProtection="1">
      <alignment horizontal="center" vertical="center"/>
    </xf>
    <xf numFmtId="49" fontId="36" fillId="22" borderId="0" xfId="17" applyNumberFormat="1" applyFont="1" applyFill="1" applyBorder="1" applyAlignment="1" applyProtection="1">
      <alignment vertical="center"/>
    </xf>
    <xf numFmtId="49" fontId="15" fillId="22" borderId="0" xfId="17" applyNumberFormat="1" applyFont="1" applyFill="1" applyBorder="1" applyAlignment="1" applyProtection="1">
      <alignment horizontal="right" vertical="center"/>
    </xf>
    <xf numFmtId="164" fontId="36" fillId="22" borderId="0" xfId="15" applyNumberFormat="1" applyFont="1" applyFill="1" applyBorder="1" applyAlignment="1" applyProtection="1">
      <alignment horizontal="left" vertical="center"/>
    </xf>
    <xf numFmtId="168" fontId="15" fillId="22" borderId="0" xfId="16" applyNumberFormat="1" applyFont="1" applyFill="1" applyAlignment="1">
      <alignment horizontal="right" vertical="center"/>
    </xf>
    <xf numFmtId="3" fontId="59" fillId="7" borderId="113" xfId="17" applyNumberFormat="1" applyFont="1" applyFill="1" applyBorder="1" applyAlignment="1" applyProtection="1">
      <alignment horizontal="center" vertical="center"/>
    </xf>
    <xf numFmtId="3" fontId="59" fillId="7" borderId="168" xfId="17" applyNumberFormat="1" applyFont="1" applyFill="1" applyBorder="1" applyAlignment="1" applyProtection="1">
      <alignment horizontal="center" vertical="center"/>
    </xf>
    <xf numFmtId="3" fontId="77" fillId="7" borderId="157" xfId="17" quotePrefix="1" applyNumberFormat="1" applyFont="1" applyFill="1" applyBorder="1" applyAlignment="1" applyProtection="1">
      <alignment horizontal="center" vertical="center"/>
    </xf>
    <xf numFmtId="185" fontId="59" fillId="21" borderId="0" xfId="17" applyNumberFormat="1" applyFont="1" applyFill="1" applyBorder="1" applyAlignment="1" applyProtection="1">
      <alignment horizontal="center" vertical="center"/>
    </xf>
    <xf numFmtId="177" fontId="77" fillId="7" borderId="248" xfId="17" applyFont="1" applyFill="1" applyBorder="1" applyAlignment="1" applyProtection="1">
      <alignment horizontal="center" vertical="center"/>
    </xf>
    <xf numFmtId="3" fontId="77" fillId="7" borderId="249" xfId="17" applyNumberFormat="1" applyFont="1" applyFill="1" applyBorder="1" applyAlignment="1" applyProtection="1">
      <alignment horizontal="center" vertical="center"/>
    </xf>
    <xf numFmtId="185" fontId="77" fillId="21" borderId="250" xfId="17" applyNumberFormat="1" applyFont="1" applyFill="1" applyBorder="1" applyAlignment="1" applyProtection="1">
      <alignment horizontal="left" vertical="center"/>
    </xf>
    <xf numFmtId="177" fontId="77" fillId="21" borderId="251" xfId="17" applyFont="1" applyFill="1" applyBorder="1" applyAlignment="1" applyProtection="1">
      <alignment horizontal="center" vertical="center"/>
    </xf>
    <xf numFmtId="177" fontId="77" fillId="21" borderId="252" xfId="17" applyFont="1" applyFill="1" applyBorder="1" applyAlignment="1" applyProtection="1">
      <alignment horizontal="center" vertical="center"/>
    </xf>
    <xf numFmtId="3" fontId="77" fillId="21" borderId="253" xfId="17" applyNumberFormat="1" applyFont="1" applyFill="1" applyBorder="1" applyAlignment="1" applyProtection="1">
      <alignment horizontal="center" vertical="center"/>
    </xf>
    <xf numFmtId="177" fontId="58" fillId="21" borderId="53" xfId="17" applyFont="1" applyFill="1" applyBorder="1" applyAlignment="1" applyProtection="1">
      <alignment horizontal="center" vertical="center"/>
    </xf>
    <xf numFmtId="192" fontId="58" fillId="3" borderId="53" xfId="16" applyNumberFormat="1" applyFont="1" applyFill="1" applyBorder="1" applyAlignment="1">
      <alignment vertical="center"/>
    </xf>
    <xf numFmtId="192" fontId="59" fillId="3" borderId="53" xfId="16" applyNumberFormat="1" applyFont="1" applyFill="1" applyBorder="1" applyAlignment="1">
      <alignment vertical="center"/>
    </xf>
    <xf numFmtId="49" fontId="59" fillId="3" borderId="254" xfId="16" applyNumberFormat="1" applyFont="1" applyFill="1" applyBorder="1" applyAlignment="1">
      <alignment horizontal="center" vertical="center"/>
    </xf>
    <xf numFmtId="192" fontId="59" fillId="3" borderId="255" xfId="16" applyNumberFormat="1" applyFont="1" applyFill="1" applyBorder="1" applyAlignment="1">
      <alignment vertical="center"/>
    </xf>
    <xf numFmtId="192" fontId="59" fillId="3" borderId="256" xfId="16" applyNumberFormat="1" applyFont="1" applyFill="1" applyBorder="1" applyAlignment="1">
      <alignment vertical="center"/>
    </xf>
    <xf numFmtId="191" fontId="78" fillId="10" borderId="0" xfId="16" applyNumberFormat="1" applyFont="1" applyFill="1" applyAlignment="1">
      <alignment horizontal="center" vertical="center"/>
    </xf>
    <xf numFmtId="0" fontId="78" fillId="10" borderId="0" xfId="16" applyFont="1" applyFill="1" applyAlignment="1">
      <alignment vertical="center"/>
    </xf>
    <xf numFmtId="192" fontId="78" fillId="10" borderId="0" xfId="16" applyNumberFormat="1" applyFont="1" applyFill="1" applyAlignment="1">
      <alignment vertical="center"/>
    </xf>
    <xf numFmtId="185" fontId="59" fillId="25" borderId="258" xfId="16" applyNumberFormat="1" applyFont="1" applyFill="1" applyBorder="1" applyAlignment="1">
      <alignment horizontal="center" vertical="center"/>
    </xf>
    <xf numFmtId="185" fontId="59" fillId="25" borderId="259" xfId="16" applyNumberFormat="1" applyFont="1" applyFill="1" applyBorder="1" applyAlignment="1">
      <alignment horizontal="center" vertical="center"/>
    </xf>
    <xf numFmtId="192" fontId="59" fillId="25" borderId="114" xfId="16" applyNumberFormat="1" applyFont="1" applyFill="1" applyBorder="1" applyAlignment="1">
      <alignment vertical="center"/>
    </xf>
    <xf numFmtId="192" fontId="59" fillId="25" borderId="171" xfId="16" applyNumberFormat="1" applyFont="1" applyFill="1" applyBorder="1" applyAlignment="1">
      <alignment vertical="center"/>
    </xf>
    <xf numFmtId="192" fontId="59" fillId="25" borderId="172" xfId="16" applyNumberFormat="1" applyFont="1" applyFill="1" applyBorder="1" applyAlignment="1">
      <alignment vertical="center"/>
    </xf>
    <xf numFmtId="0" fontId="58" fillId="45" borderId="145" xfId="16" applyFont="1" applyFill="1" applyBorder="1" applyAlignment="1">
      <alignment horizontal="center" vertical="center"/>
    </xf>
    <xf numFmtId="0" fontId="58" fillId="21" borderId="146" xfId="16" applyFont="1" applyFill="1" applyBorder="1" applyAlignment="1">
      <alignment horizontal="left" vertical="center"/>
    </xf>
    <xf numFmtId="0" fontId="58" fillId="21" borderId="146" xfId="16" applyFont="1" applyFill="1" applyBorder="1" applyAlignment="1">
      <alignment horizontal="center" vertical="center"/>
    </xf>
    <xf numFmtId="192" fontId="59" fillId="29" borderId="146" xfId="16" applyNumberFormat="1" applyFont="1" applyFill="1" applyBorder="1" applyAlignment="1">
      <alignment vertical="center"/>
    </xf>
    <xf numFmtId="177" fontId="106" fillId="21" borderId="261" xfId="17" applyFont="1" applyFill="1" applyBorder="1" applyAlignment="1" applyProtection="1">
      <alignment vertical="center"/>
    </xf>
    <xf numFmtId="185" fontId="59" fillId="22" borderId="189" xfId="16" applyNumberFormat="1" applyFont="1" applyFill="1" applyBorder="1" applyAlignment="1">
      <alignment horizontal="center" vertical="center"/>
    </xf>
    <xf numFmtId="49" fontId="59" fillId="22" borderId="17" xfId="16" applyNumberFormat="1" applyFont="1" applyFill="1" applyBorder="1" applyAlignment="1">
      <alignment vertical="center"/>
    </xf>
    <xf numFmtId="177" fontId="59" fillId="22" borderId="17" xfId="16" applyNumberFormat="1" applyFont="1" applyFill="1" applyBorder="1" applyAlignment="1">
      <alignment vertical="center"/>
    </xf>
    <xf numFmtId="192" fontId="135" fillId="29" borderId="146" xfId="16" applyNumberFormat="1" applyFont="1" applyFill="1" applyBorder="1" applyAlignment="1">
      <alignment vertical="center"/>
    </xf>
    <xf numFmtId="185" fontId="77" fillId="3" borderId="143" xfId="16" applyNumberFormat="1" applyFont="1" applyFill="1" applyBorder="1" applyAlignment="1">
      <alignment horizontal="center" vertical="center"/>
    </xf>
    <xf numFmtId="185" fontId="59" fillId="3" borderId="144" xfId="16" applyNumberFormat="1" applyFont="1" applyFill="1" applyBorder="1" applyAlignment="1">
      <alignment horizontal="center" vertical="center"/>
    </xf>
    <xf numFmtId="192" fontId="109" fillId="29" borderId="146" xfId="16" applyNumberFormat="1" applyFont="1" applyFill="1" applyBorder="1" applyAlignment="1">
      <alignment vertical="center"/>
    </xf>
    <xf numFmtId="0" fontId="106" fillId="21" borderId="145" xfId="16" applyFont="1" applyFill="1" applyBorder="1" applyAlignment="1">
      <alignment horizontal="center" vertical="center"/>
    </xf>
    <xf numFmtId="191" fontId="106" fillId="3" borderId="146" xfId="16" quotePrefix="1" applyNumberFormat="1" applyFont="1" applyFill="1" applyBorder="1" applyAlignment="1">
      <alignment horizontal="center" vertical="center"/>
    </xf>
    <xf numFmtId="0" fontId="106" fillId="3" borderId="146" xfId="16" applyFont="1" applyFill="1" applyBorder="1" applyAlignment="1">
      <alignment vertical="center" wrapText="1"/>
    </xf>
    <xf numFmtId="192" fontId="106" fillId="3" borderId="146" xfId="16" applyNumberFormat="1" applyFont="1" applyFill="1" applyBorder="1" applyAlignment="1">
      <alignment vertical="center"/>
    </xf>
    <xf numFmtId="192" fontId="106" fillId="21" borderId="146" xfId="16" applyNumberFormat="1" applyFont="1" applyFill="1" applyBorder="1" applyAlignment="1">
      <alignment vertical="center"/>
    </xf>
    <xf numFmtId="0" fontId="106" fillId="3" borderId="146" xfId="16" applyFont="1" applyFill="1" applyBorder="1" applyAlignment="1">
      <alignment horizontal="left" vertical="center" wrapText="1"/>
    </xf>
    <xf numFmtId="191" fontId="106" fillId="3" borderId="146" xfId="16" applyNumberFormat="1" applyFont="1" applyFill="1" applyBorder="1" applyAlignment="1">
      <alignment horizontal="center" vertical="center"/>
    </xf>
    <xf numFmtId="192" fontId="109" fillId="3" borderId="158" xfId="16" applyNumberFormat="1" applyFont="1" applyFill="1" applyBorder="1" applyAlignment="1">
      <alignment vertical="center"/>
    </xf>
    <xf numFmtId="177" fontId="106" fillId="21" borderId="262" xfId="17" applyFont="1" applyFill="1" applyBorder="1" applyAlignment="1" applyProtection="1">
      <alignment vertical="center"/>
    </xf>
    <xf numFmtId="177" fontId="59" fillId="21" borderId="173" xfId="17" applyFont="1" applyFill="1" applyBorder="1" applyAlignment="1" applyProtection="1">
      <alignment horizontal="center" vertical="center"/>
    </xf>
    <xf numFmtId="177" fontId="59" fillId="21" borderId="146" xfId="17" applyFont="1" applyFill="1" applyBorder="1" applyAlignment="1" applyProtection="1">
      <alignment horizontal="left" vertical="center"/>
    </xf>
    <xf numFmtId="177" fontId="59" fillId="21" borderId="146" xfId="17" applyFont="1" applyFill="1" applyBorder="1" applyAlignment="1" applyProtection="1">
      <alignment vertical="center"/>
    </xf>
    <xf numFmtId="177" fontId="109" fillId="21" borderId="146" xfId="17" applyFont="1" applyFill="1" applyBorder="1" applyAlignment="1" applyProtection="1">
      <alignment horizontal="center" vertical="center"/>
    </xf>
    <xf numFmtId="192" fontId="58" fillId="21" borderId="146" xfId="16" applyNumberFormat="1" applyFont="1" applyFill="1" applyBorder="1" applyAlignment="1">
      <alignment vertical="center"/>
    </xf>
    <xf numFmtId="177" fontId="58" fillId="21" borderId="261" xfId="17" applyFont="1" applyFill="1" applyBorder="1" applyAlignment="1" applyProtection="1">
      <alignment vertical="center"/>
    </xf>
    <xf numFmtId="177" fontId="58" fillId="21" borderId="146" xfId="17" applyFont="1" applyFill="1" applyBorder="1" applyAlignment="1" applyProtection="1">
      <alignment horizontal="center" vertical="center"/>
    </xf>
    <xf numFmtId="177" fontId="58" fillId="21" borderId="146" xfId="17" applyFont="1" applyFill="1" applyBorder="1" applyAlignment="1" applyProtection="1">
      <alignment horizontal="left" vertical="center"/>
    </xf>
    <xf numFmtId="177" fontId="58" fillId="21" borderId="146" xfId="16" applyNumberFormat="1" applyFont="1" applyFill="1" applyBorder="1" applyAlignment="1">
      <alignment vertical="center"/>
    </xf>
    <xf numFmtId="184" fontId="59" fillId="21" borderId="146" xfId="16" applyNumberFormat="1" applyFont="1" applyFill="1" applyBorder="1" applyAlignment="1">
      <alignment vertical="center"/>
    </xf>
    <xf numFmtId="185" fontId="106" fillId="21" borderId="0" xfId="17" quotePrefix="1" applyNumberFormat="1" applyFont="1" applyFill="1" applyBorder="1" applyAlignment="1" applyProtection="1">
      <alignment vertical="center"/>
    </xf>
    <xf numFmtId="37" fontId="9" fillId="21" borderId="0" xfId="15" applyNumberFormat="1" applyFill="1" applyBorder="1" applyAlignment="1" applyProtection="1">
      <alignment vertical="center"/>
    </xf>
    <xf numFmtId="177" fontId="59" fillId="21" borderId="268" xfId="16" applyNumberFormat="1" applyFont="1" applyFill="1" applyBorder="1" applyAlignment="1">
      <alignment vertical="center"/>
    </xf>
    <xf numFmtId="177" fontId="58" fillId="21" borderId="269" xfId="17" applyFont="1" applyFill="1" applyBorder="1" applyAlignment="1" applyProtection="1">
      <alignment vertical="center"/>
    </xf>
    <xf numFmtId="177" fontId="59" fillId="21" borderId="146" xfId="17" applyFont="1" applyFill="1" applyBorder="1" applyAlignment="1" applyProtection="1">
      <alignment horizontal="center" vertical="center"/>
    </xf>
    <xf numFmtId="192" fontId="58" fillId="21" borderId="268" xfId="16" applyNumberFormat="1" applyFont="1" applyFill="1" applyBorder="1" applyAlignment="1">
      <alignment vertical="center"/>
    </xf>
    <xf numFmtId="177" fontId="59" fillId="7" borderId="270" xfId="17" applyFont="1" applyFill="1" applyBorder="1" applyAlignment="1" applyProtection="1">
      <alignment horizontal="center" vertical="center"/>
    </xf>
    <xf numFmtId="177" fontId="59" fillId="7" borderId="271" xfId="17" applyFont="1" applyFill="1" applyBorder="1" applyAlignment="1" applyProtection="1">
      <alignment horizontal="center" vertical="center"/>
    </xf>
    <xf numFmtId="177" fontId="59" fillId="7" borderId="272" xfId="16" applyNumberFormat="1" applyFont="1" applyFill="1" applyBorder="1" applyAlignment="1">
      <alignment vertical="center"/>
    </xf>
    <xf numFmtId="192" fontId="58" fillId="7" borderId="272" xfId="16" applyNumberFormat="1" applyFont="1" applyFill="1" applyBorder="1" applyAlignment="1">
      <alignment vertical="center"/>
    </xf>
    <xf numFmtId="177" fontId="58" fillId="7" borderId="20" xfId="17" applyFont="1" applyFill="1" applyBorder="1" applyAlignment="1" applyProtection="1">
      <alignment vertical="center"/>
    </xf>
    <xf numFmtId="177" fontId="77" fillId="7" borderId="273" xfId="17" applyFont="1" applyFill="1" applyBorder="1" applyAlignment="1" applyProtection="1">
      <alignment horizontal="center" vertical="center"/>
    </xf>
    <xf numFmtId="177" fontId="77" fillId="7" borderId="263" xfId="17" applyFont="1" applyFill="1" applyBorder="1" applyAlignment="1" applyProtection="1">
      <alignment horizontal="center" vertical="center"/>
    </xf>
    <xf numFmtId="192" fontId="59" fillId="7" borderId="263" xfId="16" applyNumberFormat="1" applyFont="1" applyFill="1" applyBorder="1" applyAlignment="1">
      <alignment vertical="center"/>
    </xf>
    <xf numFmtId="177" fontId="59" fillId="7" borderId="66" xfId="16" applyNumberFormat="1" applyFont="1" applyFill="1" applyBorder="1" applyAlignment="1">
      <alignment vertical="center"/>
    </xf>
    <xf numFmtId="3" fontId="73" fillId="22" borderId="0" xfId="17" applyNumberFormat="1" applyFont="1" applyFill="1" applyBorder="1" applyAlignment="1" applyProtection="1">
      <alignment vertical="center"/>
    </xf>
    <xf numFmtId="169" fontId="77" fillId="7" borderId="20" xfId="17" quotePrefix="1" applyNumberFormat="1" applyFont="1" applyFill="1" applyBorder="1" applyAlignment="1" applyProtection="1">
      <alignment horizontal="center" vertical="center"/>
    </xf>
    <xf numFmtId="169" fontId="77" fillId="7" borderId="0" xfId="17" quotePrefix="1" applyNumberFormat="1" applyFont="1" applyFill="1" applyBorder="1" applyAlignment="1" applyProtection="1">
      <alignment horizontal="center" vertical="center"/>
    </xf>
    <xf numFmtId="196" fontId="25" fillId="0" borderId="0" xfId="1" applyNumberFormat="1" applyFont="1" applyFill="1" applyBorder="1" applyAlignment="1" applyProtection="1">
      <alignment horizontal="left" vertical="center"/>
    </xf>
    <xf numFmtId="43" fontId="74" fillId="0" borderId="0" xfId="1" applyFont="1" applyFill="1" applyBorder="1" applyAlignment="1" applyProtection="1">
      <alignment vertical="center"/>
    </xf>
    <xf numFmtId="49" fontId="15" fillId="0" borderId="0" xfId="1" applyNumberFormat="1" applyFont="1" applyFill="1" applyBorder="1" applyAlignment="1" applyProtection="1">
      <alignment vertical="center"/>
    </xf>
    <xf numFmtId="196" fontId="37" fillId="0" borderId="0" xfId="1" applyNumberFormat="1" applyFont="1" applyFill="1" applyBorder="1" applyAlignment="1" applyProtection="1">
      <alignment horizontal="left" vertical="center"/>
    </xf>
    <xf numFmtId="196" fontId="36" fillId="0" borderId="0" xfId="1" applyNumberFormat="1" applyFont="1" applyFill="1" applyBorder="1" applyAlignment="1" applyProtection="1">
      <alignment vertical="center"/>
    </xf>
    <xf numFmtId="196" fontId="26" fillId="0" borderId="0" xfId="1" applyNumberFormat="1" applyFont="1" applyFill="1" applyBorder="1" applyAlignment="1" applyProtection="1">
      <alignment horizontal="center" vertical="center"/>
    </xf>
    <xf numFmtId="0" fontId="28" fillId="0" borderId="0" xfId="1" applyNumberFormat="1" applyFont="1" applyFill="1" applyBorder="1" applyAlignment="1" applyProtection="1">
      <alignment horizontal="right" vertical="center"/>
    </xf>
    <xf numFmtId="39" fontId="26" fillId="0" borderId="0" xfId="1" applyNumberFormat="1" applyFont="1" applyFill="1" applyBorder="1" applyAlignment="1" applyProtection="1">
      <alignment horizontal="center" vertical="center"/>
    </xf>
    <xf numFmtId="4" fontId="26" fillId="26" borderId="112" xfId="1" applyNumberFormat="1" applyFont="1" applyFill="1" applyBorder="1" applyAlignment="1" applyProtection="1">
      <alignment vertical="center"/>
    </xf>
    <xf numFmtId="0" fontId="26" fillId="26" borderId="132" xfId="1" applyNumberFormat="1" applyFont="1" applyFill="1" applyBorder="1" applyAlignment="1" applyProtection="1">
      <alignment horizontal="center" vertical="center"/>
    </xf>
    <xf numFmtId="0" fontId="26" fillId="26" borderId="116" xfId="0" applyFont="1" applyFill="1" applyBorder="1" applyAlignment="1">
      <alignment horizontal="center" vertical="center"/>
    </xf>
    <xf numFmtId="49" fontId="28" fillId="26" borderId="186" xfId="1" applyNumberFormat="1" applyFont="1" applyFill="1" applyBorder="1" applyAlignment="1" applyProtection="1">
      <alignment horizontal="center" vertical="center"/>
    </xf>
    <xf numFmtId="168" fontId="28" fillId="26" borderId="171" xfId="1" applyNumberFormat="1" applyFont="1" applyFill="1" applyBorder="1" applyAlignment="1" applyProtection="1">
      <alignment horizontal="center" vertical="center"/>
    </xf>
    <xf numFmtId="43" fontId="28" fillId="26" borderId="87" xfId="1" applyFont="1" applyFill="1" applyBorder="1" applyAlignment="1" applyProtection="1">
      <alignment horizontal="center" vertical="center"/>
    </xf>
    <xf numFmtId="43" fontId="25" fillId="0" borderId="274" xfId="1" applyFont="1" applyFill="1" applyBorder="1" applyAlignment="1" applyProtection="1">
      <alignment vertical="center"/>
    </xf>
    <xf numFmtId="43" fontId="25" fillId="0" borderId="259" xfId="1" applyFont="1" applyFill="1" applyBorder="1" applyAlignment="1" applyProtection="1">
      <alignment vertical="center"/>
    </xf>
    <xf numFmtId="43" fontId="25" fillId="0" borderId="276" xfId="1" applyFont="1" applyFill="1" applyBorder="1" applyAlignment="1" applyProtection="1">
      <alignment horizontal="center" vertical="center"/>
    </xf>
    <xf numFmtId="43" fontId="25" fillId="0" borderId="277" xfId="1" applyFont="1" applyFill="1" applyBorder="1" applyAlignment="1" applyProtection="1">
      <alignment vertical="center"/>
    </xf>
    <xf numFmtId="177" fontId="26" fillId="0" borderId="278" xfId="1" applyNumberFormat="1" applyFont="1" applyFill="1" applyBorder="1" applyAlignment="1" applyProtection="1">
      <alignment horizontal="left" vertical="center"/>
    </xf>
    <xf numFmtId="0" fontId="26" fillId="0" borderId="279" xfId="1" applyNumberFormat="1" applyFont="1" applyFill="1" applyBorder="1" applyAlignment="1" applyProtection="1">
      <alignment horizontal="left" vertical="center"/>
    </xf>
    <xf numFmtId="177" fontId="25" fillId="0" borderId="279" xfId="2" applyNumberFormat="1" applyFont="1" applyFill="1" applyBorder="1" applyAlignment="1" applyProtection="1">
      <alignment vertical="center"/>
    </xf>
    <xf numFmtId="177" fontId="25" fillId="0" borderId="279" xfId="2" applyNumberFormat="1" applyFont="1" applyFill="1" applyBorder="1" applyAlignment="1" applyProtection="1">
      <alignment horizontal="left" vertical="center"/>
    </xf>
    <xf numFmtId="196" fontId="25" fillId="0" borderId="279" xfId="2" applyNumberFormat="1" applyFont="1" applyFill="1" applyBorder="1" applyAlignment="1" applyProtection="1">
      <alignment horizontal="right" vertical="center"/>
    </xf>
    <xf numFmtId="177" fontId="25" fillId="0" borderId="279" xfId="0" applyNumberFormat="1" applyFont="1" applyBorder="1" applyAlignment="1">
      <alignment vertical="center"/>
    </xf>
    <xf numFmtId="43" fontId="25" fillId="0" borderId="280" xfId="1" applyFont="1" applyFill="1" applyBorder="1" applyAlignment="1" applyProtection="1">
      <alignment vertical="center"/>
    </xf>
    <xf numFmtId="177" fontId="26" fillId="0" borderId="143" xfId="1" applyNumberFormat="1" applyFont="1" applyFill="1" applyBorder="1" applyAlignment="1" applyProtection="1">
      <alignment horizontal="left" vertical="center"/>
    </xf>
    <xf numFmtId="0" fontId="26" fillId="0" borderId="144" xfId="1" applyNumberFormat="1" applyFont="1" applyFill="1" applyBorder="1" applyAlignment="1" applyProtection="1">
      <alignment horizontal="left" vertical="center"/>
    </xf>
    <xf numFmtId="177" fontId="25" fillId="0" borderId="144" xfId="2" applyNumberFormat="1" applyFont="1" applyFill="1" applyBorder="1" applyAlignment="1" applyProtection="1">
      <alignment vertical="center"/>
    </xf>
    <xf numFmtId="177" fontId="25" fillId="0" borderId="144" xfId="2" applyNumberFormat="1" applyFont="1" applyFill="1" applyBorder="1" applyAlignment="1" applyProtection="1">
      <alignment horizontal="left" vertical="center"/>
    </xf>
    <xf numFmtId="196" fontId="25" fillId="0" borderId="144" xfId="2" applyNumberFormat="1" applyFont="1" applyFill="1" applyBorder="1" applyAlignment="1" applyProtection="1">
      <alignment horizontal="right" vertical="center"/>
    </xf>
    <xf numFmtId="39" fontId="25" fillId="0" borderId="144" xfId="0" applyNumberFormat="1" applyFont="1" applyBorder="1" applyAlignment="1">
      <alignment vertical="center"/>
    </xf>
    <xf numFmtId="39" fontId="25" fillId="0" borderId="157" xfId="1" applyNumberFormat="1" applyFont="1" applyFill="1" applyBorder="1" applyAlignment="1" applyProtection="1">
      <alignment vertical="center"/>
    </xf>
    <xf numFmtId="177" fontId="25" fillId="0" borderId="143" xfId="1" applyNumberFormat="1" applyFont="1" applyFill="1" applyBorder="1" applyAlignment="1" applyProtection="1">
      <alignment horizontal="center" vertical="center"/>
    </xf>
    <xf numFmtId="177" fontId="25" fillId="0" borderId="144" xfId="1" quotePrefix="1" applyNumberFormat="1" applyFont="1" applyFill="1" applyBorder="1" applyAlignment="1" applyProtection="1">
      <alignment horizontal="center" vertical="center"/>
    </xf>
    <xf numFmtId="39" fontId="25" fillId="0" borderId="157" xfId="2" applyNumberFormat="1" applyFont="1" applyFill="1" applyBorder="1" applyAlignment="1" applyProtection="1">
      <alignment horizontal="left" vertical="center"/>
    </xf>
    <xf numFmtId="39" fontId="25" fillId="0" borderId="144" xfId="19" applyNumberFormat="1" applyFont="1" applyFill="1" applyBorder="1" applyAlignment="1" applyProtection="1">
      <alignment vertical="center"/>
    </xf>
    <xf numFmtId="39" fontId="70" fillId="0" borderId="0" xfId="19" applyNumberFormat="1" applyFont="1" applyFill="1" applyBorder="1" applyAlignment="1" applyProtection="1">
      <alignment vertical="center"/>
    </xf>
    <xf numFmtId="177" fontId="114" fillId="0" borderId="143" xfId="1" applyNumberFormat="1" applyFont="1" applyFill="1" applyBorder="1" applyAlignment="1" applyProtection="1">
      <alignment horizontal="center" vertical="center"/>
    </xf>
    <xf numFmtId="39" fontId="114" fillId="0" borderId="157" xfId="2" applyNumberFormat="1" applyFont="1" applyFill="1" applyBorder="1" applyAlignment="1" applyProtection="1">
      <alignment horizontal="left" vertical="center"/>
    </xf>
    <xf numFmtId="39" fontId="114" fillId="0" borderId="0" xfId="19" applyNumberFormat="1" applyFont="1" applyFill="1" applyBorder="1" applyAlignment="1" applyProtection="1">
      <alignment vertical="center"/>
    </xf>
    <xf numFmtId="43" fontId="114" fillId="0" borderId="0" xfId="1" applyFont="1" applyFill="1" applyBorder="1" applyAlignment="1" applyProtection="1">
      <alignment vertical="center"/>
    </xf>
    <xf numFmtId="0" fontId="114" fillId="0" borderId="0" xfId="0" applyFont="1" applyAlignment="1">
      <alignment vertical="center"/>
    </xf>
    <xf numFmtId="0" fontId="41" fillId="8" borderId="0" xfId="0" applyFont="1" applyFill="1" applyAlignment="1">
      <alignment horizontal="left"/>
    </xf>
    <xf numFmtId="39" fontId="114" fillId="0" borderId="144" xfId="19" applyNumberFormat="1" applyFont="1" applyFill="1" applyBorder="1" applyAlignment="1" applyProtection="1">
      <alignment vertical="center"/>
    </xf>
    <xf numFmtId="0" fontId="137" fillId="0" borderId="144" xfId="25" applyFont="1" applyBorder="1" applyAlignment="1">
      <alignment horizontal="center"/>
    </xf>
    <xf numFmtId="177" fontId="115" fillId="0" borderId="144" xfId="1" applyNumberFormat="1" applyFont="1" applyFill="1" applyBorder="1" applyAlignment="1" applyProtection="1">
      <alignment horizontal="center" vertical="center"/>
    </xf>
    <xf numFmtId="0" fontId="25" fillId="0" borderId="144" xfId="0" applyFont="1" applyBorder="1" applyAlignment="1">
      <alignment horizontal="left" vertical="center"/>
    </xf>
    <xf numFmtId="39" fontId="27" fillId="0" borderId="161" xfId="19" applyNumberFormat="1" applyFont="1" applyFill="1" applyBorder="1" applyAlignment="1" applyProtection="1">
      <alignment vertical="center"/>
    </xf>
    <xf numFmtId="177" fontId="25" fillId="0" borderId="15" xfId="1" applyNumberFormat="1" applyFont="1" applyFill="1" applyBorder="1" applyAlignment="1" applyProtection="1">
      <alignment horizontal="center" vertical="center"/>
    </xf>
    <xf numFmtId="177" fontId="25" fillId="0" borderId="22" xfId="1" applyNumberFormat="1" applyFont="1" applyFill="1" applyBorder="1" applyAlignment="1" applyProtection="1">
      <alignment horizontal="center" vertical="center"/>
    </xf>
    <xf numFmtId="0" fontId="25" fillId="0" borderId="21" xfId="0" applyFont="1" applyBorder="1" applyAlignment="1">
      <alignment vertical="center"/>
    </xf>
    <xf numFmtId="197" fontId="25" fillId="0" borderId="0" xfId="0" applyNumberFormat="1" applyFont="1" applyAlignment="1">
      <alignment vertical="center"/>
    </xf>
    <xf numFmtId="39" fontId="25" fillId="0" borderId="20" xfId="2" applyNumberFormat="1" applyFont="1" applyFill="1" applyBorder="1" applyAlignment="1" applyProtection="1">
      <alignment horizontal="left" vertical="center"/>
    </xf>
    <xf numFmtId="198" fontId="0" fillId="0" borderId="0" xfId="1" applyNumberFormat="1" applyFont="1" applyAlignment="1"/>
    <xf numFmtId="0" fontId="26" fillId="0" borderId="16" xfId="1" applyNumberFormat="1" applyFont="1" applyFill="1" applyBorder="1" applyAlignment="1" applyProtection="1">
      <alignment horizontal="left" vertical="center"/>
    </xf>
    <xf numFmtId="0" fontId="25" fillId="0" borderId="281" xfId="0" applyFont="1" applyBorder="1" applyAlignment="1">
      <alignment vertical="center"/>
    </xf>
    <xf numFmtId="43" fontId="25" fillId="0" borderId="281" xfId="1" applyFont="1" applyFill="1" applyBorder="1" applyAlignment="1" applyProtection="1">
      <alignment vertical="center"/>
    </xf>
    <xf numFmtId="177" fontId="26" fillId="0" borderId="189" xfId="1" applyNumberFormat="1" applyFont="1" applyFill="1" applyBorder="1" applyAlignment="1" applyProtection="1">
      <alignment horizontal="center" vertical="center"/>
    </xf>
    <xf numFmtId="196" fontId="25" fillId="0" borderId="0" xfId="0" applyNumberFormat="1" applyFont="1" applyAlignment="1">
      <alignment vertical="center"/>
    </xf>
    <xf numFmtId="177" fontId="26" fillId="0" borderId="144" xfId="0" applyNumberFormat="1" applyFont="1" applyBorder="1" applyAlignment="1">
      <alignment vertical="center"/>
    </xf>
    <xf numFmtId="41" fontId="39" fillId="0" borderId="20" xfId="2" applyFont="1" applyFill="1" applyBorder="1" applyAlignment="1" applyProtection="1">
      <alignment horizontal="left" vertical="center"/>
    </xf>
    <xf numFmtId="177" fontId="25" fillId="0" borderId="189" xfId="1" applyNumberFormat="1" applyFont="1" applyFill="1" applyBorder="1" applyAlignment="1" applyProtection="1">
      <alignment horizontal="center" vertical="center"/>
    </xf>
    <xf numFmtId="177" fontId="25" fillId="0" borderId="17" xfId="1" quotePrefix="1" applyNumberFormat="1" applyFont="1" applyFill="1" applyBorder="1" applyAlignment="1" applyProtection="1">
      <alignment horizontal="center" vertical="center"/>
    </xf>
    <xf numFmtId="0" fontId="25" fillId="0" borderId="21" xfId="2" applyNumberFormat="1" applyFont="1" applyFill="1" applyBorder="1" applyAlignment="1" applyProtection="1">
      <alignment vertical="center"/>
    </xf>
    <xf numFmtId="177" fontId="25" fillId="0" borderId="0" xfId="2" applyNumberFormat="1" applyFont="1" applyFill="1" applyBorder="1" applyAlignment="1" applyProtection="1">
      <alignment horizontal="left" vertical="center"/>
    </xf>
    <xf numFmtId="197" fontId="25" fillId="0" borderId="0" xfId="2" applyNumberFormat="1" applyFont="1" applyFill="1" applyBorder="1" applyAlignment="1" applyProtection="1">
      <alignment horizontal="left" vertical="center"/>
    </xf>
    <xf numFmtId="39" fontId="25" fillId="3" borderId="144" xfId="0" applyNumberFormat="1" applyFont="1" applyFill="1" applyBorder="1"/>
    <xf numFmtId="41" fontId="106" fillId="0" borderId="20" xfId="2" applyFont="1" applyFill="1" applyBorder="1" applyAlignment="1" applyProtection="1">
      <alignment horizontal="left" vertical="center"/>
    </xf>
    <xf numFmtId="0" fontId="25" fillId="0" borderId="283" xfId="0" applyFont="1" applyBorder="1" applyAlignment="1">
      <alignment vertical="center"/>
    </xf>
    <xf numFmtId="43" fontId="25" fillId="0" borderId="283" xfId="1" applyFont="1" applyFill="1" applyBorder="1" applyAlignment="1" applyProtection="1">
      <alignment vertical="center"/>
    </xf>
    <xf numFmtId="0" fontId="25" fillId="0" borderId="282" xfId="0" applyFont="1" applyBorder="1" applyAlignment="1">
      <alignment vertical="center"/>
    </xf>
    <xf numFmtId="43" fontId="25" fillId="0" borderId="282" xfId="1" applyFont="1" applyFill="1" applyBorder="1" applyAlignment="1" applyProtection="1">
      <alignment vertical="center"/>
    </xf>
    <xf numFmtId="0" fontId="25" fillId="0" borderId="284" xfId="0" applyFont="1" applyBorder="1" applyAlignment="1">
      <alignment vertical="center"/>
    </xf>
    <xf numFmtId="0" fontId="25" fillId="0" borderId="285" xfId="0" applyFont="1" applyBorder="1" applyAlignment="1">
      <alignment vertical="center"/>
    </xf>
    <xf numFmtId="197" fontId="25" fillId="0" borderId="285" xfId="0" applyNumberFormat="1" applyFont="1" applyBorder="1" applyAlignment="1">
      <alignment vertical="center"/>
    </xf>
    <xf numFmtId="39" fontId="25" fillId="0" borderId="144" xfId="0" applyNumberFormat="1" applyFont="1" applyBorder="1"/>
    <xf numFmtId="43" fontId="106" fillId="0" borderId="286" xfId="1" applyFont="1" applyFill="1" applyBorder="1" applyAlignment="1" applyProtection="1">
      <alignment vertical="center"/>
    </xf>
    <xf numFmtId="177" fontId="25" fillId="0" borderId="287" xfId="1" applyNumberFormat="1" applyFont="1" applyFill="1" applyBorder="1" applyAlignment="1" applyProtection="1">
      <alignment horizontal="center" vertical="center"/>
    </xf>
    <xf numFmtId="177" fontId="25" fillId="0" borderId="97" xfId="1" applyNumberFormat="1" applyFont="1" applyFill="1" applyBorder="1" applyAlignment="1" applyProtection="1">
      <alignment horizontal="center" vertical="center"/>
    </xf>
    <xf numFmtId="0" fontId="25" fillId="0" borderId="96" xfId="0" applyFont="1" applyBorder="1" applyAlignment="1">
      <alignment vertical="center"/>
    </xf>
    <xf numFmtId="197" fontId="25" fillId="0" borderId="78" xfId="0" applyNumberFormat="1" applyFont="1" applyBorder="1" applyAlignment="1">
      <alignment vertical="center"/>
    </xf>
    <xf numFmtId="39" fontId="42" fillId="0" borderId="199" xfId="0" applyNumberFormat="1" applyFont="1" applyBorder="1"/>
    <xf numFmtId="43" fontId="64" fillId="0" borderId="126" xfId="1" applyFont="1" applyFill="1" applyBorder="1" applyAlignment="1" applyProtection="1">
      <alignment vertical="center"/>
    </xf>
    <xf numFmtId="39" fontId="26" fillId="0" borderId="144" xfId="0" applyNumberFormat="1" applyFont="1" applyBorder="1" applyAlignment="1">
      <alignment vertical="center"/>
    </xf>
    <xf numFmtId="177" fontId="25" fillId="0" borderId="16" xfId="1" applyNumberFormat="1" applyFont="1" applyFill="1" applyBorder="1" applyAlignment="1" applyProtection="1">
      <alignment horizontal="center" vertical="center"/>
    </xf>
    <xf numFmtId="177" fontId="25" fillId="0" borderId="21" xfId="2" applyNumberFormat="1" applyFont="1" applyFill="1" applyBorder="1" applyAlignment="1" applyProtection="1">
      <alignment vertical="center"/>
    </xf>
    <xf numFmtId="43" fontId="64" fillId="0" borderId="20" xfId="1" applyFont="1" applyFill="1" applyBorder="1" applyAlignment="1" applyProtection="1">
      <alignment vertical="center"/>
    </xf>
    <xf numFmtId="39" fontId="25" fillId="46" borderId="144" xfId="0" applyNumberFormat="1" applyFont="1" applyFill="1" applyBorder="1"/>
    <xf numFmtId="177" fontId="25" fillId="0" borderId="284" xfId="2" applyNumberFormat="1" applyFont="1" applyFill="1" applyBorder="1" applyAlignment="1" applyProtection="1">
      <alignment vertical="center"/>
    </xf>
    <xf numFmtId="177" fontId="25" fillId="0" borderId="285" xfId="2" applyNumberFormat="1" applyFont="1" applyFill="1" applyBorder="1" applyAlignment="1" applyProtection="1">
      <alignment horizontal="left" vertical="center"/>
    </xf>
    <xf numFmtId="197" fontId="25" fillId="0" borderId="285" xfId="2" applyNumberFormat="1" applyFont="1" applyFill="1" applyBorder="1" applyAlignment="1" applyProtection="1">
      <alignment horizontal="left" vertical="center"/>
    </xf>
    <xf numFmtId="39" fontId="25" fillId="0" borderId="161" xfId="0" applyNumberFormat="1" applyFont="1" applyBorder="1"/>
    <xf numFmtId="43" fontId="64" fillId="0" borderId="286" xfId="1" applyFont="1" applyFill="1" applyBorder="1" applyAlignment="1" applyProtection="1">
      <alignment vertical="center"/>
    </xf>
    <xf numFmtId="39" fontId="42" fillId="0" borderId="144" xfId="0" applyNumberFormat="1" applyFont="1" applyBorder="1"/>
    <xf numFmtId="177" fontId="59" fillId="0" borderId="189" xfId="1" applyNumberFormat="1" applyFont="1" applyFill="1" applyBorder="1" applyAlignment="1" applyProtection="1">
      <alignment horizontal="left" vertical="center"/>
    </xf>
    <xf numFmtId="177" fontId="58" fillId="0" borderId="17" xfId="1" quotePrefix="1" applyNumberFormat="1" applyFont="1" applyFill="1" applyBorder="1" applyAlignment="1" applyProtection="1">
      <alignment horizontal="center" vertical="center"/>
    </xf>
    <xf numFmtId="177" fontId="58" fillId="0" borderId="21" xfId="2" applyNumberFormat="1" applyFont="1" applyFill="1" applyBorder="1" applyAlignment="1" applyProtection="1">
      <alignment vertical="center"/>
    </xf>
    <xf numFmtId="197" fontId="58" fillId="0" borderId="0" xfId="2" applyNumberFormat="1" applyFont="1" applyFill="1" applyBorder="1" applyAlignment="1" applyProtection="1">
      <alignment horizontal="left" vertical="center"/>
    </xf>
    <xf numFmtId="43" fontId="58" fillId="0" borderId="20" xfId="1" applyFont="1" applyFill="1" applyBorder="1" applyAlignment="1" applyProtection="1">
      <alignment vertical="center"/>
    </xf>
    <xf numFmtId="177" fontId="58" fillId="0" borderId="17" xfId="1" applyNumberFormat="1" applyFont="1" applyFill="1" applyBorder="1" applyAlignment="1" applyProtection="1">
      <alignment horizontal="center" vertical="center"/>
    </xf>
    <xf numFmtId="39" fontId="25" fillId="3" borderId="161" xfId="0" applyNumberFormat="1" applyFont="1" applyFill="1" applyBorder="1"/>
    <xf numFmtId="43" fontId="58" fillId="0" borderId="286" xfId="1" applyFont="1" applyFill="1" applyBorder="1" applyAlignment="1" applyProtection="1">
      <alignment vertical="center"/>
    </xf>
    <xf numFmtId="177" fontId="58" fillId="0" borderId="189" xfId="1" applyNumberFormat="1" applyFont="1" applyFill="1" applyBorder="1" applyAlignment="1" applyProtection="1">
      <alignment horizontal="center" vertical="center"/>
    </xf>
    <xf numFmtId="177" fontId="58" fillId="0" borderId="16" xfId="1" applyNumberFormat="1" applyFont="1" applyFill="1" applyBorder="1" applyAlignment="1" applyProtection="1">
      <alignment horizontal="center" vertical="center"/>
    </xf>
    <xf numFmtId="0" fontId="58" fillId="0" borderId="21" xfId="0" applyFont="1" applyBorder="1" applyAlignment="1">
      <alignment vertical="center"/>
    </xf>
    <xf numFmtId="196" fontId="58" fillId="0" borderId="0" xfId="0" applyNumberFormat="1" applyFont="1" applyAlignment="1">
      <alignment vertical="center"/>
    </xf>
    <xf numFmtId="39" fontId="27" fillId="0" borderId="144" xfId="0" applyNumberFormat="1" applyFont="1" applyBorder="1"/>
    <xf numFmtId="39" fontId="58" fillId="0" borderId="144" xfId="0" applyNumberFormat="1" applyFont="1" applyBorder="1"/>
    <xf numFmtId="41" fontId="59" fillId="0" borderId="20" xfId="2" applyFont="1" applyFill="1" applyBorder="1" applyAlignment="1" applyProtection="1">
      <alignment horizontal="left" vertical="center"/>
    </xf>
    <xf numFmtId="39" fontId="59" fillId="25" borderId="255" xfId="0" applyNumberFormat="1" applyFont="1" applyFill="1" applyBorder="1"/>
    <xf numFmtId="41" fontId="59" fillId="34" borderId="291" xfId="2" applyFont="1" applyFill="1" applyBorder="1" applyAlignment="1" applyProtection="1">
      <alignment horizontal="left" vertical="center"/>
    </xf>
    <xf numFmtId="177" fontId="59" fillId="0" borderId="189" xfId="1" applyNumberFormat="1" applyFont="1" applyFill="1" applyBorder="1" applyAlignment="1" applyProtection="1">
      <alignment horizontal="center" vertical="center"/>
    </xf>
    <xf numFmtId="0" fontId="59" fillId="0" borderId="16" xfId="1" applyNumberFormat="1" applyFont="1" applyFill="1" applyBorder="1" applyAlignment="1" applyProtection="1">
      <alignment horizontal="left" vertical="center"/>
    </xf>
    <xf numFmtId="39" fontId="59" fillId="0" borderId="144" xfId="0" applyNumberFormat="1" applyFont="1" applyBorder="1" applyAlignment="1">
      <alignment vertical="center"/>
    </xf>
    <xf numFmtId="39" fontId="59" fillId="0" borderId="144" xfId="0" applyNumberFormat="1" applyFont="1" applyBorder="1" applyAlignment="1">
      <alignment horizontal="left" vertical="center"/>
    </xf>
    <xf numFmtId="177" fontId="58" fillId="0" borderId="0" xfId="2" applyNumberFormat="1" applyFont="1" applyFill="1" applyBorder="1" applyAlignment="1" applyProtection="1">
      <alignment vertical="center"/>
    </xf>
    <xf numFmtId="196" fontId="58" fillId="0" borderId="0" xfId="2" applyNumberFormat="1" applyFont="1" applyFill="1" applyBorder="1" applyAlignment="1" applyProtection="1">
      <alignment horizontal="left" vertical="center"/>
    </xf>
    <xf numFmtId="39" fontId="62" fillId="0" borderId="144" xfId="0" applyNumberFormat="1" applyFont="1" applyBorder="1"/>
    <xf numFmtId="197" fontId="58" fillId="0" borderId="0" xfId="0" applyNumberFormat="1" applyFont="1" applyAlignment="1">
      <alignment horizontal="left" vertical="center"/>
    </xf>
    <xf numFmtId="39" fontId="58" fillId="0" borderId="144" xfId="0" applyNumberFormat="1" applyFont="1" applyBorder="1" applyAlignment="1">
      <alignment vertical="center"/>
    </xf>
    <xf numFmtId="196" fontId="59" fillId="0" borderId="0" xfId="0" applyNumberFormat="1" applyFont="1" applyAlignment="1">
      <alignment vertical="center"/>
    </xf>
    <xf numFmtId="177" fontId="59" fillId="0" borderId="144" xfId="0" applyNumberFormat="1" applyFont="1" applyBorder="1" applyAlignment="1">
      <alignment vertical="center"/>
    </xf>
    <xf numFmtId="185" fontId="58" fillId="0" borderId="20" xfId="0" applyNumberFormat="1" applyFont="1" applyBorder="1" applyAlignment="1">
      <alignment horizontal="center" vertical="center"/>
    </xf>
    <xf numFmtId="177" fontId="58" fillId="0" borderId="0" xfId="1" applyNumberFormat="1" applyFont="1" applyFill="1" applyBorder="1" applyAlignment="1" applyProtection="1">
      <alignment horizontal="center" vertical="center"/>
    </xf>
    <xf numFmtId="177" fontId="58" fillId="0" borderId="260" xfId="0" applyNumberFormat="1" applyFont="1" applyBorder="1" applyAlignment="1">
      <alignment horizontal="left" vertical="center"/>
    </xf>
    <xf numFmtId="177" fontId="59" fillId="34" borderId="292" xfId="0" applyNumberFormat="1" applyFont="1" applyFill="1" applyBorder="1" applyAlignment="1">
      <alignment vertical="center"/>
    </xf>
    <xf numFmtId="177" fontId="59" fillId="0" borderId="257" xfId="0" applyNumberFormat="1" applyFont="1" applyBorder="1" applyAlignment="1">
      <alignment vertical="center"/>
    </xf>
    <xf numFmtId="177" fontId="59" fillId="26" borderId="296" xfId="0" applyNumberFormat="1" applyFont="1" applyFill="1" applyBorder="1" applyAlignment="1">
      <alignment vertical="center"/>
    </xf>
    <xf numFmtId="41" fontId="59" fillId="26" borderId="297" xfId="2" applyFont="1" applyFill="1" applyBorder="1" applyAlignment="1" applyProtection="1">
      <alignment horizontal="left" vertical="center"/>
    </xf>
    <xf numFmtId="177" fontId="116" fillId="0" borderId="0" xfId="0" applyNumberFormat="1" applyFont="1" applyAlignment="1">
      <alignment vertical="center"/>
    </xf>
    <xf numFmtId="41" fontId="26" fillId="0" borderId="0" xfId="2" applyFont="1" applyFill="1" applyBorder="1" applyAlignment="1" applyProtection="1">
      <alignment horizontal="left" vertical="center"/>
    </xf>
    <xf numFmtId="43" fontId="25" fillId="0" borderId="285" xfId="1" applyFont="1" applyFill="1" applyBorder="1" applyAlignment="1" applyProtection="1">
      <alignment vertical="center"/>
    </xf>
    <xf numFmtId="177" fontId="48" fillId="0" borderId="0" xfId="0" applyNumberFormat="1" applyFont="1" applyAlignment="1">
      <alignment vertical="center"/>
    </xf>
    <xf numFmtId="0" fontId="18" fillId="6" borderId="0" xfId="1" applyNumberFormat="1" applyFont="1" applyFill="1" applyBorder="1" applyAlignment="1" applyProtection="1">
      <alignment horizontal="left" vertical="center"/>
    </xf>
    <xf numFmtId="0" fontId="18" fillId="6" borderId="21" xfId="1" applyNumberFormat="1" applyFont="1" applyFill="1" applyBorder="1" applyAlignment="1" applyProtection="1">
      <alignment horizontal="center" vertical="center"/>
    </xf>
    <xf numFmtId="0" fontId="18" fillId="6" borderId="0" xfId="2" applyNumberFormat="1" applyFont="1" applyFill="1" applyBorder="1" applyAlignment="1" applyProtection="1">
      <alignment vertical="center"/>
    </xf>
    <xf numFmtId="196" fontId="18" fillId="6" borderId="0" xfId="2" applyNumberFormat="1" applyFont="1" applyFill="1" applyBorder="1" applyAlignment="1" applyProtection="1">
      <alignment horizontal="right" vertical="center"/>
    </xf>
    <xf numFmtId="196" fontId="18" fillId="6" borderId="0" xfId="2" quotePrefix="1" applyNumberFormat="1" applyFont="1" applyFill="1" applyBorder="1" applyAlignment="1" applyProtection="1">
      <alignment horizontal="right" vertical="center"/>
    </xf>
    <xf numFmtId="0" fontId="138" fillId="6" borderId="0" xfId="2" applyNumberFormat="1" applyFont="1" applyFill="1" applyBorder="1" applyAlignment="1" applyProtection="1">
      <alignment horizontal="left" vertical="center"/>
    </xf>
    <xf numFmtId="0" fontId="19" fillId="6" borderId="0" xfId="1" applyNumberFormat="1" applyFont="1" applyFill="1" applyBorder="1" applyAlignment="1" applyProtection="1">
      <alignment horizontal="right" vertical="center"/>
    </xf>
    <xf numFmtId="0" fontId="18" fillId="0" borderId="0" xfId="1" applyNumberFormat="1" applyFont="1" applyFill="1" applyBorder="1" applyAlignment="1" applyProtection="1">
      <alignment vertical="center"/>
    </xf>
    <xf numFmtId="43" fontId="139" fillId="0" borderId="0" xfId="1" applyFont="1" applyFill="1" applyBorder="1" applyAlignment="1" applyProtection="1">
      <alignment vertical="center"/>
    </xf>
    <xf numFmtId="0" fontId="139" fillId="0" borderId="285" xfId="0" applyFont="1" applyBorder="1" applyAlignment="1">
      <alignment vertical="center"/>
    </xf>
    <xf numFmtId="43" fontId="139" fillId="0" borderId="285" xfId="1" applyFont="1" applyFill="1" applyBorder="1" applyAlignment="1" applyProtection="1">
      <alignment vertical="center"/>
    </xf>
    <xf numFmtId="0" fontId="36" fillId="0" borderId="0" xfId="1" applyNumberFormat="1" applyFont="1" applyFill="1" applyBorder="1" applyAlignment="1" applyProtection="1">
      <alignment horizontal="right" vertical="center"/>
    </xf>
    <xf numFmtId="199" fontId="37" fillId="3" borderId="144" xfId="21" applyNumberFormat="1" applyFont="1" applyFill="1" applyBorder="1" applyAlignment="1">
      <alignment horizontal="left" vertical="center"/>
    </xf>
    <xf numFmtId="199" fontId="37" fillId="3" borderId="144" xfId="23" applyNumberFormat="1" applyFont="1" applyFill="1" applyBorder="1" applyAlignment="1" applyProtection="1">
      <alignment horizontal="left" vertical="center" wrapText="1"/>
      <protection locked="0"/>
    </xf>
    <xf numFmtId="177" fontId="27" fillId="0" borderId="17" xfId="1" quotePrefix="1" applyNumberFormat="1" applyFont="1" applyFill="1" applyBorder="1" applyAlignment="1" applyProtection="1">
      <alignment horizontal="center" vertical="center"/>
    </xf>
    <xf numFmtId="177" fontId="25" fillId="0" borderId="298" xfId="1" quotePrefix="1" applyNumberFormat="1" applyFont="1" applyFill="1" applyBorder="1" applyAlignment="1" applyProtection="1">
      <alignment horizontal="center" vertical="center"/>
    </xf>
    <xf numFmtId="49" fontId="26" fillId="0" borderId="15" xfId="1" applyNumberFormat="1" applyFont="1" applyFill="1" applyBorder="1" applyAlignment="1" applyProtection="1">
      <alignment horizontal="center" vertical="center"/>
    </xf>
    <xf numFmtId="49" fontId="26" fillId="0" borderId="17" xfId="1" applyNumberFormat="1" applyFont="1" applyFill="1" applyBorder="1" applyAlignment="1" applyProtection="1">
      <alignment horizontal="center" vertical="center"/>
    </xf>
    <xf numFmtId="43" fontId="26" fillId="0" borderId="21" xfId="1" applyFont="1" applyFill="1" applyBorder="1" applyAlignment="1" applyProtection="1">
      <alignment vertical="center"/>
    </xf>
    <xf numFmtId="197" fontId="26" fillId="0" borderId="0" xfId="1" applyNumberFormat="1" applyFont="1" applyFill="1" applyBorder="1" applyAlignment="1" applyProtection="1">
      <alignment horizontal="left" vertical="center"/>
    </xf>
    <xf numFmtId="39" fontId="42" fillId="0" borderId="144" xfId="1" applyNumberFormat="1" applyFont="1" applyFill="1" applyBorder="1" applyAlignment="1" applyProtection="1">
      <alignment vertical="center"/>
    </xf>
    <xf numFmtId="39" fontId="26" fillId="0" borderId="299" xfId="1" applyNumberFormat="1" applyFont="1" applyFill="1" applyBorder="1" applyAlignment="1" applyProtection="1">
      <alignment vertical="center"/>
    </xf>
    <xf numFmtId="177" fontId="26" fillId="34" borderId="164" xfId="0" applyNumberFormat="1" applyFont="1" applyFill="1" applyBorder="1" applyAlignment="1">
      <alignment vertical="center"/>
    </xf>
    <xf numFmtId="41" fontId="26" fillId="34" borderId="71" xfId="2" applyFont="1" applyFill="1" applyBorder="1" applyAlignment="1" applyProtection="1">
      <alignment horizontal="left" vertical="center"/>
    </xf>
    <xf numFmtId="197" fontId="58" fillId="0" borderId="108" xfId="2" applyNumberFormat="1" applyFont="1" applyFill="1" applyBorder="1" applyAlignment="1" applyProtection="1">
      <alignment horizontal="left" vertical="center"/>
    </xf>
    <xf numFmtId="0" fontId="59" fillId="0" borderId="0" xfId="1" applyNumberFormat="1" applyFont="1" applyFill="1" applyBorder="1" applyAlignment="1" applyProtection="1">
      <alignment horizontal="left" vertical="center"/>
    </xf>
    <xf numFmtId="0" fontId="58" fillId="0" borderId="0" xfId="0" quotePrefix="1" applyFont="1" applyAlignment="1">
      <alignment vertical="center"/>
    </xf>
    <xf numFmtId="0" fontId="59" fillId="0" borderId="0" xfId="1" quotePrefix="1" applyNumberFormat="1" applyFont="1" applyFill="1" applyBorder="1" applyAlignment="1" applyProtection="1">
      <alignment horizontal="left" vertical="center"/>
    </xf>
    <xf numFmtId="39" fontId="59" fillId="0" borderId="298" xfId="0" applyNumberFormat="1" applyFont="1" applyBorder="1" applyAlignment="1">
      <alignment vertical="center"/>
    </xf>
    <xf numFmtId="41" fontId="59" fillId="0" borderId="303" xfId="2" applyFont="1" applyFill="1" applyBorder="1" applyAlignment="1" applyProtection="1">
      <alignment horizontal="left" vertical="center"/>
    </xf>
    <xf numFmtId="0" fontId="134" fillId="0" borderId="0" xfId="0" applyFont="1"/>
    <xf numFmtId="49" fontId="26" fillId="0" borderId="0" xfId="1" applyNumberFormat="1" applyFont="1" applyFill="1" applyBorder="1" applyAlignment="1" applyProtection="1">
      <alignment vertical="center"/>
    </xf>
    <xf numFmtId="49" fontId="28" fillId="0" borderId="0" xfId="1" applyNumberFormat="1" applyFont="1" applyFill="1" applyBorder="1" applyAlignment="1" applyProtection="1">
      <alignment horizontal="right" vertical="center"/>
    </xf>
    <xf numFmtId="168" fontId="28" fillId="0" borderId="0" xfId="1" applyNumberFormat="1" applyFont="1" applyFill="1" applyBorder="1" applyAlignment="1" applyProtection="1">
      <alignment horizontal="right" vertical="center"/>
    </xf>
    <xf numFmtId="4" fontId="26" fillId="0" borderId="0" xfId="1" applyNumberFormat="1" applyFont="1" applyFill="1" applyBorder="1" applyAlignment="1" applyProtection="1">
      <alignment horizontal="left" vertical="center"/>
    </xf>
    <xf numFmtId="40" fontId="25" fillId="0" borderId="0" xfId="1" applyNumberFormat="1" applyFont="1" applyFill="1" applyBorder="1" applyAlignment="1" applyProtection="1">
      <alignment vertical="center"/>
    </xf>
    <xf numFmtId="0" fontId="26" fillId="0" borderId="0" xfId="1" applyNumberFormat="1" applyFont="1" applyFill="1" applyBorder="1" applyAlignment="1" applyProtection="1">
      <alignment horizontal="left"/>
    </xf>
    <xf numFmtId="0" fontId="28" fillId="0" borderId="0" xfId="1" applyNumberFormat="1" applyFont="1" applyFill="1" applyBorder="1" applyAlignment="1" applyProtection="1">
      <alignment horizontal="right"/>
    </xf>
    <xf numFmtId="49" fontId="26" fillId="26" borderId="181" xfId="1" applyNumberFormat="1" applyFont="1" applyFill="1" applyBorder="1" applyAlignment="1" applyProtection="1">
      <alignment horizontal="center" vertical="center"/>
    </xf>
    <xf numFmtId="40" fontId="26" fillId="26" borderId="6" xfId="1" applyNumberFormat="1" applyFont="1" applyFill="1" applyBorder="1" applyAlignment="1" applyProtection="1">
      <alignment horizontal="center" vertical="center"/>
    </xf>
    <xf numFmtId="49" fontId="28" fillId="26" borderId="86" xfId="1" applyNumberFormat="1" applyFont="1" applyFill="1" applyBorder="1" applyAlignment="1" applyProtection="1">
      <alignment horizontal="center" vertical="center"/>
    </xf>
    <xf numFmtId="49" fontId="26" fillId="0" borderId="15" xfId="1" applyNumberFormat="1" applyFont="1" applyFill="1" applyBorder="1" applyAlignment="1" applyProtection="1">
      <alignment horizontal="center"/>
    </xf>
    <xf numFmtId="49" fontId="26" fillId="0" borderId="21" xfId="1" applyNumberFormat="1" applyFont="1" applyFill="1" applyBorder="1" applyAlignment="1" applyProtection="1">
      <alignment horizontal="left"/>
    </xf>
    <xf numFmtId="0" fontId="26" fillId="0" borderId="21" xfId="0" applyFont="1" applyBorder="1"/>
    <xf numFmtId="0" fontId="26" fillId="0" borderId="17" xfId="0" applyFont="1" applyBorder="1"/>
    <xf numFmtId="40" fontId="25" fillId="0" borderId="17" xfId="0" applyNumberFormat="1" applyFont="1" applyBorder="1"/>
    <xf numFmtId="43" fontId="25" fillId="0" borderId="190" xfId="1" applyFont="1" applyFill="1" applyBorder="1" applyAlignment="1" applyProtection="1"/>
    <xf numFmtId="49" fontId="26" fillId="0" borderId="21" xfId="1" applyNumberFormat="1" applyFont="1" applyFill="1" applyBorder="1" applyAlignment="1" applyProtection="1">
      <alignment horizontal="center"/>
    </xf>
    <xf numFmtId="49" fontId="26" fillId="0" borderId="22" xfId="1" applyNumberFormat="1" applyFont="1" applyFill="1" applyBorder="1" applyAlignment="1" applyProtection="1">
      <alignment horizontal="left"/>
    </xf>
    <xf numFmtId="40" fontId="25" fillId="0" borderId="21" xfId="0" applyNumberFormat="1" applyFont="1" applyBorder="1"/>
    <xf numFmtId="49" fontId="25" fillId="0" borderId="15" xfId="1" applyNumberFormat="1" applyFont="1" applyFill="1" applyBorder="1" applyAlignment="1" applyProtection="1">
      <alignment horizontal="center"/>
    </xf>
    <xf numFmtId="49" fontId="25" fillId="0" borderId="21" xfId="1" applyNumberFormat="1" applyFont="1" applyFill="1" applyBorder="1" applyAlignment="1" applyProtection="1">
      <alignment horizontal="center"/>
    </xf>
    <xf numFmtId="49" fontId="25" fillId="0" borderId="21" xfId="1" applyNumberFormat="1" applyFont="1" applyFill="1" applyBorder="1" applyAlignment="1" applyProtection="1">
      <alignment horizontal="left"/>
    </xf>
    <xf numFmtId="41" fontId="25" fillId="0" borderId="17" xfId="2" applyFont="1" applyFill="1" applyBorder="1" applyAlignment="1" applyProtection="1">
      <alignment vertical="center"/>
    </xf>
    <xf numFmtId="41" fontId="25" fillId="0" borderId="190" xfId="2" applyFont="1" applyFill="1" applyBorder="1" applyAlignment="1" applyProtection="1">
      <alignment horizontal="left" vertical="center"/>
    </xf>
    <xf numFmtId="41" fontId="25" fillId="3" borderId="17" xfId="2" applyFont="1" applyFill="1" applyBorder="1" applyAlignment="1" applyProtection="1">
      <alignment vertical="center"/>
    </xf>
    <xf numFmtId="39" fontId="25" fillId="3" borderId="17" xfId="2" applyNumberFormat="1" applyFont="1" applyFill="1" applyBorder="1" applyAlignment="1" applyProtection="1">
      <alignment vertical="center"/>
    </xf>
    <xf numFmtId="41" fontId="25" fillId="0" borderId="21" xfId="2" applyFont="1" applyFill="1" applyBorder="1" applyAlignment="1" applyProtection="1">
      <alignment vertical="center"/>
    </xf>
    <xf numFmtId="17" fontId="25" fillId="0" borderId="17" xfId="0" applyNumberFormat="1" applyFont="1" applyBorder="1"/>
    <xf numFmtId="39" fontId="26" fillId="0" borderId="17" xfId="2" applyNumberFormat="1" applyFont="1" applyFill="1" applyBorder="1" applyAlignment="1" applyProtection="1">
      <alignment vertical="center"/>
    </xf>
    <xf numFmtId="0" fontId="25" fillId="0" borderId="17" xfId="0" applyFont="1" applyBorder="1"/>
    <xf numFmtId="0" fontId="26" fillId="0" borderId="21" xfId="1" applyNumberFormat="1" applyFont="1" applyFill="1" applyBorder="1" applyAlignment="1" applyProtection="1">
      <alignment horizontal="left"/>
    </xf>
    <xf numFmtId="0" fontId="25" fillId="0" borderId="21" xfId="1" applyNumberFormat="1" applyFont="1" applyFill="1" applyBorder="1" applyAlignment="1" applyProtection="1">
      <alignment horizontal="center"/>
    </xf>
    <xf numFmtId="177" fontId="26" fillId="0" borderId="21" xfId="2" applyNumberFormat="1" applyFont="1" applyFill="1" applyBorder="1" applyAlignment="1" applyProtection="1">
      <alignment vertical="center"/>
    </xf>
    <xf numFmtId="177" fontId="26" fillId="26" borderId="304" xfId="0" applyNumberFormat="1" applyFont="1" applyFill="1" applyBorder="1" applyAlignment="1">
      <alignment vertical="center"/>
    </xf>
    <xf numFmtId="43" fontId="25" fillId="26" borderId="305" xfId="1" applyFont="1" applyFill="1" applyBorder="1" applyAlignment="1" applyProtection="1"/>
    <xf numFmtId="39" fontId="27" fillId="3" borderId="17" xfId="2" applyNumberFormat="1" applyFont="1" applyFill="1" applyBorder="1" applyAlignment="1" applyProtection="1">
      <alignment vertical="center"/>
    </xf>
    <xf numFmtId="39" fontId="114" fillId="3" borderId="17" xfId="2" applyNumberFormat="1" applyFont="1" applyFill="1" applyBorder="1" applyAlignment="1" applyProtection="1">
      <alignment vertical="center"/>
    </xf>
    <xf numFmtId="39" fontId="140" fillId="3" borderId="282" xfId="2" applyNumberFormat="1" applyFont="1" applyFill="1" applyBorder="1" applyAlignment="1" applyProtection="1">
      <alignment vertical="center"/>
    </xf>
    <xf numFmtId="39" fontId="25" fillId="3" borderId="283" xfId="2" applyNumberFormat="1" applyFont="1" applyFill="1" applyBorder="1" applyAlignment="1" applyProtection="1">
      <alignment vertical="center"/>
    </xf>
    <xf numFmtId="39" fontId="42" fillId="3" borderId="282" xfId="2" applyNumberFormat="1" applyFont="1" applyFill="1" applyBorder="1" applyAlignment="1" applyProtection="1">
      <alignment vertical="center"/>
    </xf>
    <xf numFmtId="39" fontId="26" fillId="3" borderId="17" xfId="2" applyNumberFormat="1" applyFont="1" applyFill="1" applyBorder="1" applyAlignment="1" applyProtection="1">
      <alignment vertical="center"/>
    </xf>
    <xf numFmtId="39" fontId="70" fillId="3" borderId="17" xfId="2" applyNumberFormat="1" applyFont="1" applyFill="1" applyBorder="1" applyAlignment="1" applyProtection="1">
      <alignment vertical="center"/>
    </xf>
    <xf numFmtId="39" fontId="117" fillId="3" borderId="17" xfId="0" applyNumberFormat="1" applyFont="1" applyFill="1" applyBorder="1"/>
    <xf numFmtId="39" fontId="70" fillId="3" borderId="17" xfId="0" applyNumberFormat="1" applyFont="1" applyFill="1" applyBorder="1"/>
    <xf numFmtId="39" fontId="27" fillId="3" borderId="17" xfId="0" applyNumberFormat="1" applyFont="1" applyFill="1" applyBorder="1"/>
    <xf numFmtId="39" fontId="80" fillId="3" borderId="17" xfId="0" applyNumberFormat="1" applyFont="1" applyFill="1" applyBorder="1"/>
    <xf numFmtId="39" fontId="26" fillId="3" borderId="282" xfId="0" applyNumberFormat="1" applyFont="1" applyFill="1" applyBorder="1"/>
    <xf numFmtId="39" fontId="25" fillId="3" borderId="306" xfId="2" applyNumberFormat="1" applyFont="1" applyFill="1" applyBorder="1" applyAlignment="1" applyProtection="1">
      <alignment vertical="center"/>
    </xf>
    <xf numFmtId="0" fontId="57" fillId="0" borderId="0" xfId="0" applyFont="1" applyAlignment="1">
      <alignment horizontal="center"/>
    </xf>
    <xf numFmtId="38" fontId="28" fillId="0" borderId="0" xfId="0" applyNumberFormat="1" applyFont="1"/>
    <xf numFmtId="0" fontId="26" fillId="26" borderId="181" xfId="0" applyFont="1" applyFill="1" applyBorder="1" applyAlignment="1">
      <alignment horizontal="center"/>
    </xf>
    <xf numFmtId="0" fontId="26" fillId="26" borderId="5" xfId="0" applyFont="1" applyFill="1" applyBorder="1" applyAlignment="1">
      <alignment horizontal="center" vertical="center" wrapText="1"/>
    </xf>
    <xf numFmtId="38" fontId="26" fillId="26" borderId="5" xfId="0" applyNumberFormat="1" applyFont="1" applyFill="1" applyBorder="1" applyAlignment="1">
      <alignment horizontal="center"/>
    </xf>
    <xf numFmtId="0" fontId="26" fillId="26" borderId="183" xfId="0" applyFont="1" applyFill="1" applyBorder="1" applyAlignment="1">
      <alignment horizontal="center" vertical="center"/>
    </xf>
    <xf numFmtId="0" fontId="28" fillId="26" borderId="189" xfId="0" applyFont="1" applyFill="1" applyBorder="1" applyAlignment="1">
      <alignment horizontal="center"/>
    </xf>
    <xf numFmtId="0" fontId="28" fillId="26" borderId="17" xfId="0" applyFont="1" applyFill="1" applyBorder="1" applyAlignment="1">
      <alignment horizontal="center" vertical="center" wrapText="1"/>
    </xf>
    <xf numFmtId="38" fontId="28" fillId="26" borderId="17" xfId="0" applyNumberFormat="1" applyFont="1" applyFill="1" applyBorder="1" applyAlignment="1">
      <alignment horizontal="center"/>
    </xf>
    <xf numFmtId="38" fontId="26" fillId="26" borderId="17" xfId="0" applyNumberFormat="1" applyFont="1" applyFill="1" applyBorder="1" applyAlignment="1">
      <alignment horizontal="center"/>
    </xf>
    <xf numFmtId="0" fontId="77" fillId="26" borderId="190" xfId="0" applyFont="1" applyFill="1" applyBorder="1" applyAlignment="1">
      <alignment horizontal="center" vertical="center"/>
    </xf>
    <xf numFmtId="0" fontId="26" fillId="26" borderId="189" xfId="0" applyFont="1" applyFill="1" applyBorder="1" applyAlignment="1">
      <alignment horizontal="left"/>
    </xf>
    <xf numFmtId="38" fontId="26" fillId="26" borderId="17" xfId="0" applyNumberFormat="1" applyFont="1" applyFill="1" applyBorder="1" applyAlignment="1">
      <alignment horizontal="center" vertical="center" wrapText="1"/>
    </xf>
    <xf numFmtId="38" fontId="28" fillId="26" borderId="17" xfId="0" applyNumberFormat="1" applyFont="1" applyFill="1" applyBorder="1"/>
    <xf numFmtId="38" fontId="59" fillId="26" borderId="190" xfId="0" applyNumberFormat="1" applyFont="1" applyFill="1" applyBorder="1" applyAlignment="1">
      <alignment horizontal="center" vertical="center"/>
    </xf>
    <xf numFmtId="0" fontId="26" fillId="0" borderId="189" xfId="0" applyFont="1" applyBorder="1" applyAlignment="1">
      <alignment horizontal="center"/>
    </xf>
    <xf numFmtId="185" fontId="26" fillId="8" borderId="17" xfId="0" applyNumberFormat="1" applyFont="1" applyFill="1" applyBorder="1" applyAlignment="1">
      <alignment wrapText="1"/>
    </xf>
    <xf numFmtId="185" fontId="26" fillId="3" borderId="17" xfId="0" applyNumberFormat="1" applyFont="1" applyFill="1" applyBorder="1"/>
    <xf numFmtId="185" fontId="28" fillId="3" borderId="20" xfId="0" applyNumberFormat="1" applyFont="1" applyFill="1" applyBorder="1" applyAlignment="1">
      <alignment horizontal="right" vertical="center"/>
    </xf>
    <xf numFmtId="43" fontId="26" fillId="0" borderId="0" xfId="0" applyNumberFormat="1" applyFont="1"/>
    <xf numFmtId="0" fontId="26" fillId="0" borderId="189" xfId="0" applyFont="1" applyBorder="1" applyAlignment="1">
      <alignment horizontal="left"/>
    </xf>
    <xf numFmtId="177" fontId="26" fillId="8" borderId="17" xfId="0" applyNumberFormat="1" applyFont="1" applyFill="1" applyBorder="1" applyAlignment="1">
      <alignment wrapText="1"/>
    </xf>
    <xf numFmtId="177" fontId="26" fillId="3" borderId="17" xfId="0" applyNumberFormat="1" applyFont="1" applyFill="1" applyBorder="1"/>
    <xf numFmtId="177" fontId="25" fillId="3" borderId="17" xfId="0" applyNumberFormat="1" applyFont="1" applyFill="1" applyBorder="1"/>
    <xf numFmtId="177" fontId="29" fillId="3" borderId="20" xfId="0" applyNumberFormat="1" applyFont="1" applyFill="1" applyBorder="1" applyAlignment="1">
      <alignment horizontal="right" vertical="center"/>
    </xf>
    <xf numFmtId="177" fontId="25" fillId="8" borderId="17" xfId="0" applyNumberFormat="1" applyFont="1" applyFill="1" applyBorder="1" applyAlignment="1">
      <alignment wrapText="1"/>
    </xf>
    <xf numFmtId="177" fontId="114" fillId="3" borderId="17" xfId="0" applyNumberFormat="1" applyFont="1" applyFill="1" applyBorder="1" applyAlignment="1">
      <alignment horizontal="right"/>
    </xf>
    <xf numFmtId="177" fontId="25" fillId="3" borderId="20" xfId="0" applyNumberFormat="1" applyFont="1" applyFill="1" applyBorder="1" applyAlignment="1">
      <alignment horizontal="right"/>
    </xf>
    <xf numFmtId="177" fontId="117" fillId="3" borderId="17" xfId="0" applyNumberFormat="1" applyFont="1" applyFill="1" applyBorder="1" applyAlignment="1">
      <alignment horizontal="right"/>
    </xf>
    <xf numFmtId="41" fontId="25" fillId="0" borderId="0" xfId="2" applyFont="1" applyFill="1" applyBorder="1" applyAlignment="1" applyProtection="1">
      <alignment vertical="center"/>
    </xf>
    <xf numFmtId="14" fontId="25" fillId="0" borderId="16" xfId="0" applyNumberFormat="1" applyFont="1" applyBorder="1" applyAlignment="1">
      <alignment horizontal="left" vertical="center"/>
    </xf>
    <xf numFmtId="177" fontId="26" fillId="3" borderId="17" xfId="0" applyNumberFormat="1" applyFont="1" applyFill="1" applyBorder="1" applyAlignment="1">
      <alignment horizontal="right"/>
    </xf>
    <xf numFmtId="177" fontId="26" fillId="3" borderId="190" xfId="0" applyNumberFormat="1" applyFont="1" applyFill="1" applyBorder="1" applyAlignment="1">
      <alignment horizontal="right"/>
    </xf>
    <xf numFmtId="177" fontId="26" fillId="8" borderId="17" xfId="0" applyNumberFormat="1" applyFont="1" applyFill="1" applyBorder="1" applyAlignment="1">
      <alignment horizontal="center" wrapText="1"/>
    </xf>
    <xf numFmtId="177" fontId="26" fillId="3" borderId="17" xfId="0" applyNumberFormat="1" applyFont="1" applyFill="1" applyBorder="1" applyAlignment="1">
      <alignment horizontal="center"/>
    </xf>
    <xf numFmtId="177" fontId="25" fillId="3" borderId="17" xfId="0" applyNumberFormat="1" applyFont="1" applyFill="1" applyBorder="1" applyAlignment="1">
      <alignment horizontal="center"/>
    </xf>
    <xf numFmtId="177" fontId="26" fillId="3" borderId="20" xfId="0" applyNumberFormat="1" applyFont="1" applyFill="1" applyBorder="1" applyAlignment="1">
      <alignment horizontal="center"/>
    </xf>
    <xf numFmtId="177" fontId="25" fillId="0" borderId="0" xfId="2" applyNumberFormat="1" applyFont="1" applyFill="1" applyBorder="1" applyAlignment="1" applyProtection="1">
      <alignment vertical="center"/>
    </xf>
    <xf numFmtId="177" fontId="25" fillId="8" borderId="17" xfId="0" applyNumberFormat="1" applyFont="1" applyFill="1" applyBorder="1" applyAlignment="1">
      <alignment vertical="center" wrapText="1"/>
    </xf>
    <xf numFmtId="177" fontId="27" fillId="3" borderId="17" xfId="0" applyNumberFormat="1" applyFont="1" applyFill="1" applyBorder="1" applyAlignment="1">
      <alignment horizontal="center"/>
    </xf>
    <xf numFmtId="177" fontId="114" fillId="3" borderId="17" xfId="0" applyNumberFormat="1" applyFont="1" applyFill="1" applyBorder="1" applyAlignment="1">
      <alignment horizontal="center"/>
    </xf>
    <xf numFmtId="177" fontId="26" fillId="0" borderId="17" xfId="0" applyNumberFormat="1" applyFont="1" applyBorder="1" applyAlignment="1">
      <alignment horizontal="center"/>
    </xf>
    <xf numFmtId="177" fontId="26" fillId="3" borderId="190" xfId="0" applyNumberFormat="1" applyFont="1" applyFill="1" applyBorder="1" applyAlignment="1">
      <alignment horizontal="center"/>
    </xf>
    <xf numFmtId="177" fontId="25" fillId="8" borderId="17" xfId="2" applyNumberFormat="1" applyFont="1" applyFill="1" applyBorder="1" applyAlignment="1" applyProtection="1">
      <alignment vertical="center" wrapText="1"/>
    </xf>
    <xf numFmtId="177" fontId="117" fillId="3" borderId="17" xfId="0" applyNumberFormat="1" applyFont="1" applyFill="1" applyBorder="1" applyAlignment="1">
      <alignment horizontal="center"/>
    </xf>
    <xf numFmtId="177" fontId="25" fillId="3" borderId="190" xfId="0" applyNumberFormat="1" applyFont="1" applyFill="1" applyBorder="1" applyAlignment="1">
      <alignment horizontal="right"/>
    </xf>
    <xf numFmtId="177" fontId="25" fillId="8" borderId="17" xfId="2" applyNumberFormat="1" applyFont="1" applyFill="1" applyBorder="1" applyAlignment="1" applyProtection="1">
      <alignment horizontal="left" vertical="center" wrapText="1"/>
    </xf>
    <xf numFmtId="177" fontId="25" fillId="3" borderId="307" xfId="0" applyNumberFormat="1" applyFont="1" applyFill="1" applyBorder="1" applyAlignment="1">
      <alignment horizontal="right"/>
    </xf>
    <xf numFmtId="177" fontId="26" fillId="3" borderId="17" xfId="2" applyNumberFormat="1" applyFont="1" applyFill="1" applyBorder="1" applyAlignment="1" applyProtection="1">
      <alignment horizontal="left" vertical="center"/>
    </xf>
    <xf numFmtId="177" fontId="26" fillId="3" borderId="126" xfId="0" applyNumberFormat="1" applyFont="1" applyFill="1" applyBorder="1" applyAlignment="1">
      <alignment horizontal="center"/>
    </xf>
    <xf numFmtId="177" fontId="25" fillId="3" borderId="40" xfId="0" applyNumberFormat="1" applyFont="1" applyFill="1" applyBorder="1" applyAlignment="1">
      <alignment horizontal="center"/>
    </xf>
    <xf numFmtId="14" fontId="25" fillId="0" borderId="0" xfId="2" applyNumberFormat="1" applyFont="1" applyFill="1" applyBorder="1" applyAlignment="1" applyProtection="1">
      <alignment horizontal="left" vertical="center"/>
    </xf>
    <xf numFmtId="177" fontId="25" fillId="8" borderId="40" xfId="2" applyNumberFormat="1" applyFont="1" applyFill="1" applyBorder="1" applyAlignment="1" applyProtection="1">
      <alignment horizontal="left" vertical="center" wrapText="1"/>
    </xf>
    <xf numFmtId="0" fontId="26" fillId="0" borderId="288" xfId="0" applyFont="1" applyBorder="1" applyAlignment="1">
      <alignment horizontal="left"/>
    </xf>
    <xf numFmtId="0" fontId="26" fillId="0" borderId="257" xfId="0" applyFont="1" applyBorder="1" applyAlignment="1">
      <alignment horizontal="left" vertical="center"/>
    </xf>
    <xf numFmtId="0" fontId="25" fillId="0" borderId="257" xfId="0" applyFont="1" applyBorder="1" applyAlignment="1">
      <alignment horizontal="right" vertical="center"/>
    </xf>
    <xf numFmtId="0" fontId="25" fillId="0" borderId="257" xfId="0" applyFont="1" applyBorder="1"/>
    <xf numFmtId="4" fontId="26" fillId="0" borderId="257" xfId="0" applyNumberFormat="1" applyFont="1" applyBorder="1"/>
    <xf numFmtId="177" fontId="26" fillId="3" borderId="308" xfId="0" applyNumberFormat="1" applyFont="1" applyFill="1" applyBorder="1" applyAlignment="1">
      <alignment horizontal="center"/>
    </xf>
    <xf numFmtId="177" fontId="26" fillId="3" borderId="309" xfId="0" applyNumberFormat="1" applyFont="1" applyFill="1" applyBorder="1" applyAlignment="1">
      <alignment horizontal="center"/>
    </xf>
    <xf numFmtId="0" fontId="26" fillId="0" borderId="258" xfId="0" applyFont="1" applyBorder="1" applyAlignment="1">
      <alignment horizontal="center"/>
    </xf>
    <xf numFmtId="0" fontId="26" fillId="0" borderId="310" xfId="0" applyFont="1" applyBorder="1" applyAlignment="1">
      <alignment horizontal="left" vertical="center"/>
    </xf>
    <xf numFmtId="0" fontId="26" fillId="0" borderId="310" xfId="0" applyFont="1" applyBorder="1"/>
    <xf numFmtId="4" fontId="26" fillId="0" borderId="310" xfId="0" applyNumberFormat="1" applyFont="1" applyBorder="1"/>
    <xf numFmtId="177" fontId="26" fillId="8" borderId="259" xfId="0" applyNumberFormat="1" applyFont="1" applyFill="1" applyBorder="1" applyAlignment="1">
      <alignment horizontal="center" wrapText="1"/>
    </xf>
    <xf numFmtId="177" fontId="26" fillId="3" borderId="259" xfId="0" applyNumberFormat="1" applyFont="1" applyFill="1" applyBorder="1" applyAlignment="1">
      <alignment horizontal="center"/>
    </xf>
    <xf numFmtId="177" fontId="25" fillId="3" borderId="259" xfId="0" applyNumberFormat="1" applyFont="1" applyFill="1" applyBorder="1" applyAlignment="1">
      <alignment horizontal="center"/>
    </xf>
    <xf numFmtId="177" fontId="26" fillId="3" borderId="311" xfId="0" applyNumberFormat="1" applyFont="1" applyFill="1" applyBorder="1" applyAlignment="1">
      <alignment horizontal="center"/>
    </xf>
    <xf numFmtId="177" fontId="25" fillId="8" borderId="40" xfId="0" applyNumberFormat="1" applyFont="1" applyFill="1" applyBorder="1" applyAlignment="1">
      <alignment horizontal="center" wrapText="1"/>
    </xf>
    <xf numFmtId="177" fontId="25" fillId="0" borderId="17" xfId="0" applyNumberFormat="1" applyFont="1" applyBorder="1" applyAlignment="1">
      <alignment horizontal="center" wrapText="1"/>
    </xf>
    <xf numFmtId="177" fontId="25" fillId="0" borderId="40" xfId="0" applyNumberFormat="1" applyFont="1" applyBorder="1" applyAlignment="1">
      <alignment horizontal="center" wrapText="1"/>
    </xf>
    <xf numFmtId="177" fontId="25" fillId="3" borderId="40" xfId="0" applyNumberFormat="1" applyFont="1" applyFill="1" applyBorder="1" applyAlignment="1">
      <alignment horizontal="center" wrapText="1"/>
    </xf>
    <xf numFmtId="0" fontId="26" fillId="0" borderId="186" xfId="0" applyFont="1" applyBorder="1" applyAlignment="1">
      <alignment horizontal="left"/>
    </xf>
    <xf numFmtId="0" fontId="25" fillId="0" borderId="54" xfId="0" applyFont="1" applyBorder="1" applyAlignment="1">
      <alignment horizontal="right" vertical="center"/>
    </xf>
    <xf numFmtId="0" fontId="25" fillId="0" borderId="54" xfId="0" applyFont="1" applyBorder="1"/>
    <xf numFmtId="4" fontId="26" fillId="0" borderId="54" xfId="0" applyNumberFormat="1" applyFont="1" applyBorder="1"/>
    <xf numFmtId="177" fontId="26" fillId="0" borderId="11" xfId="0" applyNumberFormat="1" applyFont="1" applyBorder="1" applyAlignment="1">
      <alignment horizontal="center" wrapText="1"/>
    </xf>
    <xf numFmtId="177" fontId="25" fillId="3" borderId="11" xfId="0" applyNumberFormat="1" applyFont="1" applyFill="1" applyBorder="1" applyAlignment="1">
      <alignment horizontal="center"/>
    </xf>
    <xf numFmtId="177" fontId="25" fillId="3" borderId="188" xfId="0" applyNumberFormat="1" applyFont="1" applyFill="1" applyBorder="1" applyAlignment="1">
      <alignment horizontal="right"/>
    </xf>
    <xf numFmtId="177" fontId="26" fillId="24" borderId="309" xfId="0" applyNumberFormat="1" applyFont="1" applyFill="1" applyBorder="1" applyAlignment="1">
      <alignment horizontal="center"/>
    </xf>
    <xf numFmtId="177" fontId="42" fillId="8" borderId="17" xfId="0" applyNumberFormat="1" applyFont="1" applyFill="1" applyBorder="1" applyAlignment="1">
      <alignment wrapText="1"/>
    </xf>
    <xf numFmtId="177" fontId="28" fillId="3" borderId="20" xfId="0" applyNumberFormat="1" applyFont="1" applyFill="1" applyBorder="1" applyAlignment="1">
      <alignment horizontal="right"/>
    </xf>
    <xf numFmtId="177" fontId="25" fillId="3" borderId="20" xfId="0" applyNumberFormat="1" applyFont="1" applyFill="1" applyBorder="1" applyAlignment="1">
      <alignment horizontal="right" vertical="center"/>
    </xf>
    <xf numFmtId="177" fontId="26" fillId="24" borderId="309" xfId="0" applyNumberFormat="1" applyFont="1" applyFill="1" applyBorder="1"/>
    <xf numFmtId="177" fontId="26" fillId="8" borderId="11" xfId="0" applyNumberFormat="1" applyFont="1" applyFill="1" applyBorder="1" applyAlignment="1">
      <alignment wrapText="1"/>
    </xf>
    <xf numFmtId="177" fontId="26" fillId="3" borderId="308" xfId="0" applyNumberFormat="1" applyFont="1" applyFill="1" applyBorder="1"/>
    <xf numFmtId="177" fontId="26" fillId="3" borderId="11" xfId="0" applyNumberFormat="1" applyFont="1" applyFill="1" applyBorder="1" applyAlignment="1">
      <alignment horizontal="center"/>
    </xf>
    <xf numFmtId="177" fontId="26" fillId="3" borderId="20" xfId="0" applyNumberFormat="1" applyFont="1" applyFill="1" applyBorder="1"/>
    <xf numFmtId="4" fontId="42" fillId="0" borderId="0" xfId="0" applyNumberFormat="1" applyFont="1" applyAlignment="1">
      <alignment horizontal="left" vertical="center"/>
    </xf>
    <xf numFmtId="4" fontId="42" fillId="0" borderId="0" xfId="0" applyNumberFormat="1" applyFont="1" applyAlignment="1">
      <alignment vertical="center"/>
    </xf>
    <xf numFmtId="4" fontId="42" fillId="0" borderId="0" xfId="0" applyNumberFormat="1" applyFont="1"/>
    <xf numFmtId="4" fontId="41" fillId="0" borderId="0" xfId="0" applyNumberFormat="1" applyFont="1" applyAlignment="1">
      <alignment wrapText="1"/>
    </xf>
    <xf numFmtId="4" fontId="27" fillId="0" borderId="0" xfId="0" applyNumberFormat="1" applyFont="1"/>
    <xf numFmtId="0" fontId="48" fillId="0" borderId="0" xfId="0" applyFont="1"/>
    <xf numFmtId="38" fontId="42" fillId="0" borderId="0" xfId="0" applyNumberFormat="1" applyFont="1" applyAlignment="1">
      <alignment vertical="center" wrapText="1"/>
    </xf>
    <xf numFmtId="43" fontId="47" fillId="0" borderId="0" xfId="0" applyNumberFormat="1" applyFont="1"/>
    <xf numFmtId="0" fontId="67" fillId="0" borderId="0" xfId="0" applyFont="1"/>
    <xf numFmtId="0" fontId="144" fillId="6" borderId="0" xfId="0" applyFont="1" applyFill="1" applyAlignment="1">
      <alignment horizontal="left" vertical="center"/>
    </xf>
    <xf numFmtId="0" fontId="144" fillId="6" borderId="0" xfId="0" applyFont="1" applyFill="1" applyAlignment="1">
      <alignment vertical="center"/>
    </xf>
    <xf numFmtId="38" fontId="144" fillId="6" borderId="0" xfId="0" applyNumberFormat="1" applyFont="1" applyFill="1" applyAlignment="1">
      <alignment horizontal="right" vertical="center"/>
    </xf>
    <xf numFmtId="0" fontId="144" fillId="0" borderId="0" xfId="0" applyFont="1" applyAlignment="1">
      <alignment vertical="center"/>
    </xf>
    <xf numFmtId="0" fontId="146" fillId="0" borderId="0" xfId="0" applyFont="1" applyAlignment="1">
      <alignment vertical="center"/>
    </xf>
    <xf numFmtId="38" fontId="25" fillId="0" borderId="0" xfId="0" applyNumberFormat="1" applyFont="1" applyAlignment="1">
      <alignment horizontal="right"/>
    </xf>
    <xf numFmtId="38" fontId="25" fillId="0" borderId="0" xfId="0" applyNumberFormat="1" applyFont="1" applyAlignment="1">
      <alignment horizontal="right" wrapText="1"/>
    </xf>
    <xf numFmtId="49" fontId="36" fillId="0" borderId="0" xfId="0" applyNumberFormat="1" applyFont="1" applyAlignment="1">
      <alignment horizontal="left"/>
    </xf>
    <xf numFmtId="177" fontId="25" fillId="8" borderId="313" xfId="0" applyNumberFormat="1" applyFont="1" applyFill="1" applyBorder="1" applyAlignment="1">
      <alignment vertical="center" wrapText="1"/>
    </xf>
    <xf numFmtId="177" fontId="114" fillId="3" borderId="313" xfId="0" applyNumberFormat="1" applyFont="1" applyFill="1" applyBorder="1" applyAlignment="1">
      <alignment horizontal="center"/>
    </xf>
    <xf numFmtId="177" fontId="27" fillId="3" borderId="313" xfId="0" applyNumberFormat="1" applyFont="1" applyFill="1" applyBorder="1" applyAlignment="1">
      <alignment horizontal="center"/>
    </xf>
    <xf numFmtId="177" fontId="25" fillId="3" borderId="312" xfId="0" applyNumberFormat="1" applyFont="1" applyFill="1" applyBorder="1" applyAlignment="1">
      <alignment horizontal="right"/>
    </xf>
    <xf numFmtId="168" fontId="28" fillId="26" borderId="17" xfId="0" applyNumberFormat="1" applyFont="1" applyFill="1" applyBorder="1" applyAlignment="1">
      <alignment horizontal="center" vertical="center" wrapText="1"/>
    </xf>
    <xf numFmtId="168" fontId="77" fillId="26" borderId="190" xfId="0" applyNumberFormat="1" applyFont="1" applyFill="1" applyBorder="1" applyAlignment="1">
      <alignment horizontal="center" vertical="center"/>
    </xf>
    <xf numFmtId="0" fontId="26" fillId="0" borderId="314" xfId="0" applyFont="1" applyBorder="1" applyAlignment="1">
      <alignment horizontal="center"/>
    </xf>
    <xf numFmtId="0" fontId="26" fillId="0" borderId="315" xfId="0" applyFont="1" applyBorder="1" applyAlignment="1">
      <alignment horizontal="left" vertical="center"/>
    </xf>
    <xf numFmtId="0" fontId="26" fillId="0" borderId="315" xfId="0" applyFont="1" applyBorder="1" applyAlignment="1">
      <alignment horizontal="center" vertical="center"/>
    </xf>
    <xf numFmtId="38" fontId="84" fillId="8" borderId="316" xfId="0" applyNumberFormat="1" applyFont="1" applyFill="1" applyBorder="1" applyAlignment="1">
      <alignment horizontal="center" wrapText="1"/>
    </xf>
    <xf numFmtId="38" fontId="141" fillId="0" borderId="316" xfId="0" applyNumberFormat="1" applyFont="1" applyBorder="1" applyAlignment="1">
      <alignment horizontal="center"/>
    </xf>
    <xf numFmtId="38" fontId="142" fillId="0" borderId="317" xfId="0" applyNumberFormat="1" applyFont="1" applyBorder="1" applyAlignment="1">
      <alignment horizontal="center" vertical="center"/>
    </xf>
    <xf numFmtId="177" fontId="25" fillId="0" borderId="40" xfId="0" applyNumberFormat="1" applyFont="1" applyBorder="1" applyAlignment="1">
      <alignment horizontal="center"/>
    </xf>
    <xf numFmtId="177" fontId="117" fillId="3" borderId="40" xfId="0" applyNumberFormat="1" applyFont="1" applyFill="1" applyBorder="1" applyAlignment="1">
      <alignment horizontal="center"/>
    </xf>
    <xf numFmtId="177" fontId="114" fillId="3" borderId="313" xfId="0" applyNumberFormat="1" applyFont="1" applyFill="1" applyBorder="1" applyAlignment="1">
      <alignment horizontal="right"/>
    </xf>
    <xf numFmtId="177" fontId="27" fillId="3" borderId="40" xfId="0" applyNumberFormat="1" applyFont="1" applyFill="1" applyBorder="1" applyAlignment="1">
      <alignment horizontal="center"/>
    </xf>
    <xf numFmtId="177" fontId="25" fillId="3" borderId="318" xfId="0" applyNumberFormat="1" applyFont="1" applyFill="1" applyBorder="1" applyAlignment="1">
      <alignment horizontal="right"/>
    </xf>
    <xf numFmtId="200" fontId="25" fillId="0" borderId="0" xfId="0" applyNumberFormat="1" applyFont="1"/>
    <xf numFmtId="177" fontId="25" fillId="3" borderId="40" xfId="2" applyNumberFormat="1" applyFont="1" applyFill="1" applyBorder="1" applyAlignment="1" applyProtection="1">
      <alignment horizontal="left" vertical="center" wrapText="1"/>
    </xf>
    <xf numFmtId="177" fontId="26" fillId="3" borderId="190" xfId="2" applyNumberFormat="1" applyFont="1" applyFill="1" applyBorder="1" applyAlignment="1" applyProtection="1">
      <alignment horizontal="left" vertical="center"/>
    </xf>
    <xf numFmtId="177" fontId="26" fillId="8" borderId="313" xfId="0" applyNumberFormat="1" applyFont="1" applyFill="1" applyBorder="1" applyAlignment="1">
      <alignment horizontal="center" wrapText="1"/>
    </xf>
    <xf numFmtId="177" fontId="26" fillId="3" borderId="313" xfId="0" applyNumberFormat="1" applyFont="1" applyFill="1" applyBorder="1" applyAlignment="1">
      <alignment horizontal="center"/>
    </xf>
    <xf numFmtId="177" fontId="25" fillId="3" borderId="313" xfId="0" applyNumberFormat="1" applyFont="1" applyFill="1" applyBorder="1" applyAlignment="1">
      <alignment horizontal="center"/>
    </xf>
    <xf numFmtId="14" fontId="25" fillId="0" borderId="0" xfId="0" applyNumberFormat="1" applyFont="1" applyAlignment="1">
      <alignment horizontal="left" vertical="center"/>
    </xf>
    <xf numFmtId="177" fontId="25" fillId="3" borderId="319" xfId="0" applyNumberFormat="1" applyFont="1" applyFill="1" applyBorder="1" applyAlignment="1">
      <alignment horizontal="right"/>
    </xf>
    <xf numFmtId="4" fontId="29" fillId="0" borderId="0" xfId="0" applyNumberFormat="1" applyFont="1"/>
    <xf numFmtId="0" fontId="26" fillId="0" borderId="320" xfId="0" applyFont="1" applyBorder="1" applyAlignment="1">
      <alignment horizontal="left"/>
    </xf>
    <xf numFmtId="177" fontId="26" fillId="28" borderId="323" xfId="0" applyNumberFormat="1" applyFont="1" applyFill="1" applyBorder="1" applyAlignment="1">
      <alignment horizontal="center"/>
    </xf>
    <xf numFmtId="0" fontId="145" fillId="6" borderId="0" xfId="0" applyFont="1" applyFill="1" applyAlignment="1">
      <alignment horizontal="right" vertical="center"/>
    </xf>
    <xf numFmtId="177" fontId="25" fillId="0" borderId="313" xfId="0" applyNumberFormat="1" applyFont="1" applyBorder="1" applyAlignment="1">
      <alignment horizontal="right" vertical="center"/>
    </xf>
    <xf numFmtId="41" fontId="37" fillId="0" borderId="0" xfId="2" applyFont="1"/>
    <xf numFmtId="0" fontId="26" fillId="7" borderId="324" xfId="0" applyFont="1" applyFill="1" applyBorder="1" applyAlignment="1">
      <alignment horizontal="center" vertical="center"/>
    </xf>
    <xf numFmtId="4" fontId="26" fillId="7" borderId="276" xfId="0" applyNumberFormat="1" applyFont="1" applyFill="1" applyBorder="1" applyAlignment="1">
      <alignment horizontal="center" vertical="center"/>
    </xf>
    <xf numFmtId="0" fontId="26" fillId="7" borderId="259" xfId="0" applyFont="1" applyFill="1" applyBorder="1" applyAlignment="1">
      <alignment horizontal="center" vertical="center"/>
    </xf>
    <xf numFmtId="0" fontId="26" fillId="7" borderId="11" xfId="0" applyFont="1" applyFill="1" applyBorder="1" applyAlignment="1">
      <alignment horizontal="center" vertical="center"/>
    </xf>
    <xf numFmtId="43" fontId="25" fillId="0" borderId="0" xfId="1" applyFont="1" applyFill="1" applyBorder="1" applyAlignment="1" applyProtection="1"/>
    <xf numFmtId="173" fontId="70" fillId="0" borderId="40" xfId="0" applyNumberFormat="1" applyFont="1" applyBorder="1" applyAlignment="1">
      <alignment horizontal="right" vertical="center"/>
    </xf>
    <xf numFmtId="177" fontId="70" fillId="0" borderId="40" xfId="0" applyNumberFormat="1" applyFont="1" applyBorder="1" applyAlignment="1">
      <alignment horizontal="right" vertical="center"/>
    </xf>
    <xf numFmtId="177" fontId="26" fillId="0" borderId="282" xfId="0" applyNumberFormat="1" applyFont="1" applyBorder="1" applyAlignment="1">
      <alignment horizontal="right" vertical="center"/>
    </xf>
    <xf numFmtId="3" fontId="58" fillId="0" borderId="282" xfId="0" applyNumberFormat="1" applyFont="1" applyBorder="1" applyAlignment="1">
      <alignment horizontal="center" vertical="center"/>
    </xf>
    <xf numFmtId="3" fontId="58" fillId="0" borderId="31" xfId="0" applyNumberFormat="1" applyFont="1" applyBorder="1" applyAlignment="1">
      <alignment horizontal="center" vertical="center"/>
    </xf>
    <xf numFmtId="3" fontId="58" fillId="0" borderId="96" xfId="0" applyNumberFormat="1" applyFont="1" applyBorder="1" applyAlignment="1">
      <alignment horizontal="center" vertical="center"/>
    </xf>
    <xf numFmtId="0" fontId="26" fillId="11" borderId="324" xfId="0" applyFont="1" applyFill="1" applyBorder="1" applyAlignment="1">
      <alignment horizontal="center" vertical="center"/>
    </xf>
    <xf numFmtId="0" fontId="26" fillId="7" borderId="310" xfId="0" applyFont="1" applyFill="1" applyBorder="1" applyAlignment="1">
      <alignment horizontal="left" vertical="center"/>
    </xf>
    <xf numFmtId="0" fontId="25" fillId="7" borderId="328" xfId="0" applyFont="1" applyFill="1" applyBorder="1" applyAlignment="1">
      <alignment horizontal="left" vertical="center"/>
    </xf>
    <xf numFmtId="177" fontId="25" fillId="7" borderId="259" xfId="0" applyNumberFormat="1" applyFont="1" applyFill="1" applyBorder="1" applyAlignment="1">
      <alignment horizontal="right" vertical="center"/>
    </xf>
    <xf numFmtId="3" fontId="58" fillId="7" borderId="276" xfId="0" applyNumberFormat="1" applyFont="1" applyFill="1" applyBorder="1" applyAlignment="1">
      <alignment horizontal="center" vertical="center"/>
    </xf>
    <xf numFmtId="0" fontId="26" fillId="7" borderId="259" xfId="0" applyFont="1" applyFill="1" applyBorder="1" applyAlignment="1">
      <alignment horizontal="left" vertical="center"/>
    </xf>
    <xf numFmtId="177" fontId="25" fillId="7" borderId="276" xfId="0" applyNumberFormat="1" applyFont="1" applyFill="1" applyBorder="1" applyAlignment="1">
      <alignment horizontal="right" vertical="center"/>
    </xf>
    <xf numFmtId="0" fontId="29" fillId="7" borderId="276" xfId="0" applyFont="1" applyFill="1" applyBorder="1" applyAlignment="1">
      <alignment horizontal="right" vertical="center"/>
    </xf>
    <xf numFmtId="0" fontId="28" fillId="7" borderId="310" xfId="0" applyFont="1" applyFill="1" applyBorder="1" applyAlignment="1">
      <alignment horizontal="right" vertical="center"/>
    </xf>
    <xf numFmtId="0" fontId="29" fillId="11" borderId="329" xfId="0" applyFont="1" applyFill="1" applyBorder="1" applyAlignment="1">
      <alignment horizontal="right" vertical="center"/>
    </xf>
    <xf numFmtId="0" fontId="25" fillId="7" borderId="55" xfId="0" applyFont="1" applyFill="1" applyBorder="1" applyAlignment="1">
      <alignment horizontal="left" vertical="center"/>
    </xf>
    <xf numFmtId="3" fontId="59" fillId="7" borderId="12" xfId="0" applyNumberFormat="1" applyFont="1" applyFill="1" applyBorder="1" applyAlignment="1">
      <alignment horizontal="center" vertical="center"/>
    </xf>
    <xf numFmtId="3" fontId="58" fillId="7" borderId="12" xfId="0" applyNumberFormat="1" applyFont="1" applyFill="1" applyBorder="1" applyAlignment="1">
      <alignment horizontal="center" vertical="center"/>
    </xf>
    <xf numFmtId="0" fontId="29" fillId="7" borderId="12" xfId="0" applyFont="1" applyFill="1" applyBorder="1" applyAlignment="1">
      <alignment horizontal="right" vertical="center"/>
    </xf>
    <xf numFmtId="0" fontId="29" fillId="11" borderId="56" xfId="0" applyFont="1" applyFill="1" applyBorder="1" applyAlignment="1">
      <alignment horizontal="right" vertical="center"/>
    </xf>
    <xf numFmtId="41" fontId="27" fillId="0" borderId="0" xfId="2" applyFont="1"/>
    <xf numFmtId="0" fontId="70" fillId="0" borderId="0" xfId="0" applyFont="1" applyAlignment="1">
      <alignment horizontal="left" vertical="center"/>
    </xf>
    <xf numFmtId="0" fontId="147" fillId="0" borderId="0" xfId="0" applyFont="1" applyAlignment="1">
      <alignment horizontal="right"/>
    </xf>
    <xf numFmtId="2" fontId="70" fillId="0" borderId="0" xfId="0" applyNumberFormat="1" applyFont="1"/>
    <xf numFmtId="0" fontId="70" fillId="0" borderId="0" xfId="0" applyFont="1"/>
    <xf numFmtId="41" fontId="70" fillId="0" borderId="0" xfId="2" applyFont="1"/>
    <xf numFmtId="0" fontId="73" fillId="0" borderId="0" xfId="0" applyFont="1"/>
    <xf numFmtId="41" fontId="25" fillId="0" borderId="0" xfId="2" applyFont="1" applyAlignment="1">
      <alignment horizontal="center"/>
    </xf>
    <xf numFmtId="0" fontId="148" fillId="0" borderId="0" xfId="0" applyFont="1"/>
    <xf numFmtId="0" fontId="67" fillId="0" borderId="0" xfId="0" applyFont="1" applyAlignment="1">
      <alignment horizontal="center"/>
    </xf>
    <xf numFmtId="49" fontId="66" fillId="0" borderId="0" xfId="0" applyNumberFormat="1" applyFont="1" applyAlignment="1">
      <alignment horizontal="right" vertical="center"/>
    </xf>
    <xf numFmtId="0" fontId="143" fillId="6" borderId="0" xfId="0" applyFont="1" applyFill="1" applyAlignment="1">
      <alignment horizontal="left"/>
    </xf>
    <xf numFmtId="0" fontId="143" fillId="6" borderId="0" xfId="0" applyFont="1" applyFill="1" applyAlignment="1">
      <alignment horizontal="left" vertical="center"/>
    </xf>
    <xf numFmtId="0" fontId="68" fillId="6" borderId="0" xfId="0" applyFont="1" applyFill="1" applyAlignment="1">
      <alignment horizontal="left" vertical="center"/>
    </xf>
    <xf numFmtId="176" fontId="68" fillId="6" borderId="0" xfId="0" applyNumberFormat="1" applyFont="1" applyFill="1" applyAlignment="1">
      <alignment horizontal="left" vertical="center"/>
    </xf>
    <xf numFmtId="0" fontId="68" fillId="6" borderId="0" xfId="0" applyFont="1" applyFill="1" applyAlignment="1">
      <alignment horizontal="center"/>
    </xf>
    <xf numFmtId="0" fontId="68" fillId="6" borderId="0" xfId="0" applyFont="1" applyFill="1" applyAlignment="1">
      <alignment horizontal="left"/>
    </xf>
    <xf numFmtId="3" fontId="68" fillId="6" borderId="0" xfId="0" applyNumberFormat="1" applyFont="1" applyFill="1" applyAlignment="1">
      <alignment horizontal="center" vertical="center"/>
    </xf>
    <xf numFmtId="0" fontId="69" fillId="6" borderId="0" xfId="0" applyFont="1" applyFill="1" applyAlignment="1">
      <alignment horizontal="right"/>
    </xf>
    <xf numFmtId="0" fontId="149" fillId="6" borderId="0" xfId="0" applyFont="1" applyFill="1" applyAlignment="1">
      <alignment horizontal="right" vertical="center"/>
    </xf>
    <xf numFmtId="176" fontId="68" fillId="0" borderId="0" xfId="0" applyNumberFormat="1" applyFont="1" applyAlignment="1">
      <alignment horizontal="right" vertical="center"/>
    </xf>
    <xf numFmtId="41" fontId="68" fillId="0" borderId="0" xfId="2" applyFont="1"/>
    <xf numFmtId="0" fontId="68" fillId="0" borderId="0" xfId="0" applyFont="1"/>
    <xf numFmtId="4" fontId="25" fillId="0" borderId="0" xfId="0" applyNumberFormat="1" applyFont="1" applyAlignment="1">
      <alignment horizontal="left"/>
    </xf>
    <xf numFmtId="0" fontId="77" fillId="0" borderId="0" xfId="0" applyFont="1" applyAlignment="1">
      <alignment horizontal="right"/>
    </xf>
    <xf numFmtId="0" fontId="58" fillId="0" borderId="0" xfId="0" applyFont="1"/>
    <xf numFmtId="2" fontId="58" fillId="0" borderId="0" xfId="0" applyNumberFormat="1" applyFont="1"/>
    <xf numFmtId="41" fontId="58" fillId="0" borderId="0" xfId="2" applyFont="1"/>
    <xf numFmtId="1" fontId="59" fillId="0" borderId="0" xfId="0" applyNumberFormat="1" applyFont="1"/>
    <xf numFmtId="177" fontId="25" fillId="9" borderId="0" xfId="2" applyNumberFormat="1" applyFont="1" applyFill="1" applyBorder="1" applyAlignment="1" applyProtection="1">
      <alignment vertical="center"/>
    </xf>
    <xf numFmtId="4" fontId="26" fillId="9" borderId="0" xfId="0" applyNumberFormat="1" applyFont="1" applyFill="1"/>
    <xf numFmtId="14" fontId="25" fillId="9" borderId="0" xfId="0" applyNumberFormat="1" applyFont="1" applyFill="1" applyAlignment="1">
      <alignment horizontal="left" vertical="center"/>
    </xf>
    <xf numFmtId="0" fontId="25" fillId="9" borderId="0" xfId="0" applyFont="1" applyFill="1"/>
    <xf numFmtId="177" fontId="25" fillId="9" borderId="17" xfId="0" applyNumberFormat="1" applyFont="1" applyFill="1" applyBorder="1" applyAlignment="1">
      <alignment vertical="center" wrapText="1"/>
    </xf>
    <xf numFmtId="177" fontId="26" fillId="9" borderId="17" xfId="0" applyNumberFormat="1" applyFont="1" applyFill="1" applyBorder="1"/>
    <xf numFmtId="177" fontId="25" fillId="9" borderId="17" xfId="0" applyNumberFormat="1" applyFont="1" applyFill="1" applyBorder="1"/>
    <xf numFmtId="177" fontId="25" fillId="9" borderId="190" xfId="0" applyNumberFormat="1" applyFont="1" applyFill="1" applyBorder="1" applyAlignment="1">
      <alignment horizontal="right"/>
    </xf>
    <xf numFmtId="177" fontId="25" fillId="0" borderId="313" xfId="0" applyNumberFormat="1" applyFont="1" applyBorder="1" applyAlignment="1">
      <alignment horizontal="left" vertical="center"/>
    </xf>
    <xf numFmtId="3" fontId="58" fillId="0" borderId="330" xfId="0" applyNumberFormat="1" applyFont="1" applyBorder="1" applyAlignment="1">
      <alignment horizontal="center" vertical="center"/>
    </xf>
    <xf numFmtId="0" fontId="26" fillId="0" borderId="313" xfId="0" applyFont="1" applyBorder="1" applyAlignment="1">
      <alignment horizontal="left" vertical="center"/>
    </xf>
    <xf numFmtId="177" fontId="25" fillId="0" borderId="0" xfId="0" applyNumberFormat="1" applyFont="1" applyAlignment="1">
      <alignment horizontal="right"/>
    </xf>
    <xf numFmtId="172" fontId="150" fillId="3" borderId="0" xfId="2" applyNumberFormat="1" applyFont="1" applyFill="1"/>
    <xf numFmtId="49" fontId="25" fillId="0" borderId="0" xfId="1" applyNumberFormat="1" applyFont="1" applyFill="1" applyBorder="1" applyAlignment="1" applyProtection="1">
      <alignment horizontal="center"/>
    </xf>
    <xf numFmtId="177" fontId="25" fillId="0" borderId="0" xfId="1" applyNumberFormat="1" applyFont="1" applyFill="1" applyBorder="1" applyAlignment="1" applyProtection="1"/>
    <xf numFmtId="0" fontId="106" fillId="0" borderId="0" xfId="1" applyNumberFormat="1" applyFont="1" applyFill="1" applyBorder="1" applyAlignment="1" applyProtection="1"/>
    <xf numFmtId="0" fontId="58" fillId="0" borderId="0" xfId="1" applyNumberFormat="1" applyFont="1" applyFill="1" applyBorder="1" applyAlignment="1" applyProtection="1"/>
    <xf numFmtId="49" fontId="29" fillId="0" borderId="0" xfId="1" applyNumberFormat="1" applyFont="1" applyFill="1" applyBorder="1" applyAlignment="1" applyProtection="1">
      <alignment horizontal="right"/>
    </xf>
    <xf numFmtId="0" fontId="29" fillId="0" borderId="0" xfId="1" applyNumberFormat="1" applyFont="1" applyFill="1" applyBorder="1" applyAlignment="1" applyProtection="1">
      <alignment horizontal="right"/>
    </xf>
    <xf numFmtId="43" fontId="37" fillId="0" borderId="0" xfId="1" applyFont="1" applyFill="1" applyBorder="1" applyAlignment="1" applyProtection="1"/>
    <xf numFmtId="49" fontId="36" fillId="0" borderId="0" xfId="1" applyNumberFormat="1" applyFont="1" applyFill="1" applyBorder="1" applyAlignment="1" applyProtection="1">
      <alignment horizontal="left"/>
    </xf>
    <xf numFmtId="177" fontId="37" fillId="0" borderId="0" xfId="1" applyNumberFormat="1" applyFont="1" applyFill="1" applyBorder="1" applyAlignment="1" applyProtection="1"/>
    <xf numFmtId="0" fontId="37" fillId="0" borderId="0" xfId="1" applyNumberFormat="1" applyFont="1" applyFill="1" applyBorder="1" applyAlignment="1" applyProtection="1"/>
    <xf numFmtId="49" fontId="15" fillId="0" borderId="0" xfId="1" applyNumberFormat="1" applyFont="1" applyFill="1" applyBorder="1" applyAlignment="1" applyProtection="1">
      <alignment horizontal="right"/>
    </xf>
    <xf numFmtId="0" fontId="15" fillId="0" borderId="0" xfId="1" applyNumberFormat="1" applyFont="1" applyFill="1" applyBorder="1" applyAlignment="1" applyProtection="1">
      <alignment horizontal="right"/>
    </xf>
    <xf numFmtId="0" fontId="36" fillId="0" borderId="0" xfId="1" applyNumberFormat="1" applyFont="1" applyFill="1" applyBorder="1" applyAlignment="1" applyProtection="1"/>
    <xf numFmtId="0" fontId="59" fillId="0" borderId="0" xfId="1" applyNumberFormat="1" applyFont="1" applyFill="1" applyBorder="1" applyAlignment="1" applyProtection="1"/>
    <xf numFmtId="49" fontId="36" fillId="0" borderId="0" xfId="1" applyNumberFormat="1" applyFont="1" applyFill="1" applyBorder="1" applyAlignment="1" applyProtection="1"/>
    <xf numFmtId="49" fontId="26" fillId="0" borderId="0" xfId="1" applyNumberFormat="1" applyFont="1" applyFill="1" applyBorder="1" applyAlignment="1" applyProtection="1">
      <alignment horizontal="left"/>
    </xf>
    <xf numFmtId="0" fontId="58" fillId="0" borderId="54" xfId="0" applyFont="1" applyBorder="1" applyAlignment="1">
      <alignment horizontal="right"/>
    </xf>
    <xf numFmtId="49" fontId="28" fillId="0" borderId="0" xfId="1" applyNumberFormat="1" applyFont="1" applyFill="1" applyBorder="1" applyAlignment="1" applyProtection="1">
      <alignment horizontal="right"/>
    </xf>
    <xf numFmtId="177" fontId="26" fillId="7" borderId="259" xfId="1" applyNumberFormat="1" applyFont="1" applyFill="1" applyBorder="1" applyAlignment="1" applyProtection="1">
      <alignment horizontal="center" vertical="center"/>
    </xf>
    <xf numFmtId="177" fontId="26" fillId="7" borderId="276" xfId="1" applyNumberFormat="1" applyFont="1" applyFill="1" applyBorder="1" applyAlignment="1" applyProtection="1">
      <alignment horizontal="center" vertical="center"/>
    </xf>
    <xf numFmtId="168" fontId="77" fillId="7" borderId="11" xfId="1" applyNumberFormat="1" applyFont="1" applyFill="1" applyBorder="1" applyAlignment="1" applyProtection="1">
      <alignment horizontal="center" vertical="center"/>
    </xf>
    <xf numFmtId="168" fontId="28" fillId="7" borderId="11" xfId="1" applyNumberFormat="1" applyFont="1" applyFill="1" applyBorder="1" applyAlignment="1" applyProtection="1">
      <alignment horizontal="center" vertical="center"/>
    </xf>
    <xf numFmtId="177" fontId="25" fillId="0" borderId="17" xfId="0" applyNumberFormat="1" applyFont="1" applyBorder="1"/>
    <xf numFmtId="0" fontId="58" fillId="0" borderId="17" xfId="0" applyFont="1" applyBorder="1"/>
    <xf numFmtId="0" fontId="58" fillId="0" borderId="21" xfId="0" applyFont="1" applyBorder="1"/>
    <xf numFmtId="177" fontId="25" fillId="0" borderId="21" xfId="1" applyNumberFormat="1" applyFont="1" applyFill="1" applyBorder="1" applyAlignment="1" applyProtection="1"/>
    <xf numFmtId="0" fontId="58" fillId="0" borderId="21" xfId="1" applyNumberFormat="1" applyFont="1" applyFill="1" applyBorder="1" applyAlignment="1" applyProtection="1"/>
    <xf numFmtId="0" fontId="28" fillId="0" borderId="51" xfId="1" applyNumberFormat="1" applyFont="1" applyFill="1" applyBorder="1" applyAlignment="1" applyProtection="1">
      <alignment horizontal="right"/>
    </xf>
    <xf numFmtId="0" fontId="59" fillId="0" borderId="17" xfId="0" applyFont="1" applyBorder="1"/>
    <xf numFmtId="0" fontId="59" fillId="0" borderId="21" xfId="0" applyFont="1" applyBorder="1"/>
    <xf numFmtId="177" fontId="26" fillId="0" borderId="21" xfId="1" applyNumberFormat="1" applyFont="1" applyFill="1" applyBorder="1" applyAlignment="1" applyProtection="1"/>
    <xf numFmtId="0" fontId="59" fillId="0" borderId="21" xfId="1" applyNumberFormat="1" applyFont="1" applyFill="1" applyBorder="1" applyAlignment="1" applyProtection="1"/>
    <xf numFmtId="43" fontId="26" fillId="0" borderId="0" xfId="1" applyFont="1" applyFill="1" applyBorder="1" applyAlignment="1" applyProtection="1"/>
    <xf numFmtId="1" fontId="58" fillId="0" borderId="17" xfId="0" applyNumberFormat="1" applyFont="1" applyBorder="1"/>
    <xf numFmtId="177" fontId="25" fillId="0" borderId="17" xfId="1" applyNumberFormat="1" applyFont="1" applyFill="1" applyBorder="1" applyAlignment="1" applyProtection="1"/>
    <xf numFmtId="0" fontId="25" fillId="0" borderId="51" xfId="0" applyFont="1" applyBorder="1" applyAlignment="1">
      <alignment horizontal="center" vertical="center"/>
    </xf>
    <xf numFmtId="177" fontId="26" fillId="0" borderId="282" xfId="0" applyNumberFormat="1" applyFont="1" applyBorder="1"/>
    <xf numFmtId="0" fontId="29" fillId="0" borderId="51" xfId="1" applyNumberFormat="1" applyFont="1" applyFill="1" applyBorder="1" applyAlignment="1" applyProtection="1">
      <alignment horizontal="right"/>
    </xf>
    <xf numFmtId="1" fontId="59" fillId="0" borderId="17" xfId="0" applyNumberFormat="1" applyFont="1" applyBorder="1"/>
    <xf numFmtId="177" fontId="25" fillId="0" borderId="313" xfId="0" applyNumberFormat="1" applyFont="1" applyBorder="1"/>
    <xf numFmtId="1" fontId="58" fillId="0" borderId="40" xfId="0" applyNumberFormat="1" applyFont="1" applyBorder="1"/>
    <xf numFmtId="0" fontId="58" fillId="0" borderId="23" xfId="0" applyFont="1" applyBorder="1"/>
    <xf numFmtId="177" fontId="25" fillId="0" borderId="31" xfId="1" applyNumberFormat="1" applyFont="1" applyFill="1" applyBorder="1" applyAlignment="1" applyProtection="1"/>
    <xf numFmtId="43" fontId="25" fillId="9" borderId="0" xfId="1" applyFont="1" applyFill="1" applyBorder="1" applyAlignment="1" applyProtection="1"/>
    <xf numFmtId="177" fontId="25" fillId="0" borderId="40" xfId="1" applyNumberFormat="1" applyFont="1" applyFill="1" applyBorder="1" applyAlignment="1" applyProtection="1"/>
    <xf numFmtId="0" fontId="114" fillId="0" borderId="0" xfId="0" applyFont="1" applyAlignment="1">
      <alignment horizontal="left" vertical="center"/>
    </xf>
    <xf numFmtId="0" fontId="114" fillId="0" borderId="16" xfId="0" applyFont="1" applyBorder="1" applyAlignment="1">
      <alignment horizontal="left" vertical="center"/>
    </xf>
    <xf numFmtId="0" fontId="58" fillId="0" borderId="96" xfId="0" applyFont="1" applyBorder="1"/>
    <xf numFmtId="0" fontId="59" fillId="0" borderId="23" xfId="0" applyFont="1" applyBorder="1"/>
    <xf numFmtId="177" fontId="26" fillId="0" borderId="259" xfId="0" applyNumberFormat="1" applyFont="1" applyBorder="1"/>
    <xf numFmtId="0" fontId="59" fillId="0" borderId="259" xfId="0" applyFont="1" applyBorder="1"/>
    <xf numFmtId="0" fontId="59" fillId="0" borderId="74" xfId="0" applyFont="1" applyBorder="1"/>
    <xf numFmtId="173" fontId="58" fillId="8" borderId="2" xfId="0" applyNumberFormat="1" applyFont="1" applyFill="1" applyBorder="1" applyAlignment="1">
      <alignment vertical="top" wrapText="1"/>
    </xf>
    <xf numFmtId="173" fontId="58" fillId="8" borderId="336" xfId="0" applyNumberFormat="1" applyFont="1" applyFill="1" applyBorder="1" applyAlignment="1">
      <alignment vertical="top" wrapText="1"/>
    </xf>
    <xf numFmtId="0" fontId="26" fillId="7" borderId="290" xfId="0" applyFont="1" applyFill="1" applyBorder="1" applyAlignment="1">
      <alignment horizontal="left" vertical="center"/>
    </xf>
    <xf numFmtId="0" fontId="26" fillId="7" borderId="257" xfId="0" applyFont="1" applyFill="1" applyBorder="1" applyAlignment="1">
      <alignment horizontal="center" vertical="center"/>
    </xf>
    <xf numFmtId="0" fontId="26" fillId="7" borderId="325" xfId="0" applyFont="1" applyFill="1" applyBorder="1" applyAlignment="1">
      <alignment horizontal="left" vertical="center"/>
    </xf>
    <xf numFmtId="177" fontId="26" fillId="7" borderId="308" xfId="0" applyNumberFormat="1" applyFont="1" applyFill="1" applyBorder="1"/>
    <xf numFmtId="177" fontId="26" fillId="7" borderId="326" xfId="1" applyNumberFormat="1" applyFont="1" applyFill="1" applyBorder="1" applyAlignment="1" applyProtection="1"/>
    <xf numFmtId="0" fontId="28" fillId="7" borderId="257" xfId="0" applyFont="1" applyFill="1" applyBorder="1" applyAlignment="1">
      <alignment horizontal="right" vertical="center"/>
    </xf>
    <xf numFmtId="0" fontId="28" fillId="7" borderId="337" xfId="1" applyNumberFormat="1" applyFont="1" applyFill="1" applyBorder="1" applyAlignment="1" applyProtection="1">
      <alignment horizontal="right"/>
    </xf>
    <xf numFmtId="0" fontId="42" fillId="3" borderId="0" xfId="0" applyFont="1" applyFill="1" applyAlignment="1">
      <alignment horizontal="left" vertical="center"/>
    </xf>
    <xf numFmtId="177" fontId="42" fillId="3" borderId="0" xfId="0" applyNumberFormat="1" applyFont="1" applyFill="1"/>
    <xf numFmtId="0" fontId="100" fillId="3" borderId="0" xfId="0" applyFont="1" applyFill="1"/>
    <xf numFmtId="177" fontId="42" fillId="3" borderId="0" xfId="1" applyNumberFormat="1" applyFont="1" applyFill="1" applyBorder="1" applyAlignment="1" applyProtection="1"/>
    <xf numFmtId="0" fontId="84" fillId="3" borderId="0" xfId="0" applyFont="1" applyFill="1" applyAlignment="1">
      <alignment horizontal="right" vertical="center"/>
    </xf>
    <xf numFmtId="0" fontId="84" fillId="3" borderId="0" xfId="1" applyNumberFormat="1" applyFont="1" applyFill="1" applyBorder="1" applyAlignment="1" applyProtection="1">
      <alignment horizontal="right"/>
    </xf>
    <xf numFmtId="43" fontId="27" fillId="3" borderId="0" xfId="1" applyFont="1" applyFill="1" applyBorder="1" applyAlignment="1" applyProtection="1"/>
    <xf numFmtId="177" fontId="48" fillId="0" borderId="0" xfId="0" applyNumberFormat="1" applyFont="1"/>
    <xf numFmtId="0" fontId="101" fillId="0" borderId="0" xfId="0" applyFont="1"/>
    <xf numFmtId="177" fontId="26" fillId="0" borderId="0" xfId="0" applyNumberFormat="1" applyFont="1"/>
    <xf numFmtId="0" fontId="100" fillId="0" borderId="0" xfId="0" applyFont="1"/>
    <xf numFmtId="177" fontId="42" fillId="0" borderId="0" xfId="1" applyNumberFormat="1" applyFont="1" applyFill="1" applyBorder="1" applyAlignment="1" applyProtection="1"/>
    <xf numFmtId="0" fontId="84" fillId="0" borderId="0" xfId="0" applyFont="1" applyAlignment="1">
      <alignment horizontal="right" vertical="center"/>
    </xf>
    <xf numFmtId="0" fontId="84" fillId="0" borderId="0" xfId="1" applyNumberFormat="1" applyFont="1" applyFill="1" applyBorder="1" applyAlignment="1" applyProtection="1">
      <alignment horizontal="right"/>
    </xf>
    <xf numFmtId="43" fontId="27" fillId="0" borderId="0" xfId="1" applyFont="1" applyFill="1" applyBorder="1" applyAlignment="1" applyProtection="1"/>
    <xf numFmtId="0" fontId="116" fillId="0" borderId="0" xfId="0" applyFont="1" applyAlignment="1">
      <alignment horizontal="left" vertical="center"/>
    </xf>
    <xf numFmtId="0" fontId="116" fillId="0" borderId="0" xfId="0" applyFont="1" applyAlignment="1">
      <alignment horizontal="center" vertical="center"/>
    </xf>
    <xf numFmtId="0" fontId="151" fillId="0" borderId="0" xfId="0" applyFont="1"/>
    <xf numFmtId="177" fontId="116" fillId="0" borderId="0" xfId="1" applyNumberFormat="1" applyFont="1" applyFill="1" applyBorder="1" applyAlignment="1" applyProtection="1"/>
    <xf numFmtId="0" fontId="91" fillId="0" borderId="0" xfId="0" applyFont="1" applyAlignment="1">
      <alignment horizontal="right" vertical="center"/>
    </xf>
    <xf numFmtId="0" fontId="91" fillId="0" borderId="0" xfId="1" applyNumberFormat="1" applyFont="1" applyFill="1" applyBorder="1" applyAlignment="1" applyProtection="1">
      <alignment horizontal="right"/>
    </xf>
    <xf numFmtId="43" fontId="70" fillId="0" borderId="0" xfId="1" applyFont="1" applyFill="1" applyBorder="1" applyAlignment="1" applyProtection="1"/>
    <xf numFmtId="0" fontId="152" fillId="6" borderId="0" xfId="0" applyFont="1" applyFill="1" applyAlignment="1">
      <alignment vertical="center"/>
    </xf>
    <xf numFmtId="38" fontId="152" fillId="6" borderId="0" xfId="0" applyNumberFormat="1" applyFont="1" applyFill="1" applyAlignment="1">
      <alignment horizontal="right" vertical="center"/>
    </xf>
    <xf numFmtId="0" fontId="152" fillId="6" borderId="0" xfId="0" applyFont="1" applyFill="1" applyAlignment="1">
      <alignment horizontal="right" vertical="center"/>
    </xf>
    <xf numFmtId="49" fontId="143" fillId="6" borderId="0" xfId="0" quotePrefix="1" applyNumberFormat="1" applyFont="1" applyFill="1" applyAlignment="1">
      <alignment horizontal="center" vertical="center"/>
    </xf>
    <xf numFmtId="38" fontId="152" fillId="0" borderId="0" xfId="0" applyNumberFormat="1" applyFont="1" applyAlignment="1">
      <alignment horizontal="right" vertical="center"/>
    </xf>
    <xf numFmtId="0" fontId="152" fillId="0" borderId="0" xfId="0" applyFont="1" applyAlignment="1">
      <alignment vertical="center"/>
    </xf>
    <xf numFmtId="1" fontId="36" fillId="0" borderId="0" xfId="0" applyNumberFormat="1" applyFont="1" applyAlignment="1">
      <alignment horizontal="left"/>
    </xf>
    <xf numFmtId="177" fontId="25" fillId="0" borderId="243" xfId="0" applyNumberFormat="1" applyFont="1" applyBorder="1"/>
    <xf numFmtId="49" fontId="3" fillId="8" borderId="0" xfId="0" applyNumberFormat="1" applyFont="1" applyFill="1"/>
    <xf numFmtId="43" fontId="3" fillId="8" borderId="0" xfId="0" applyNumberFormat="1" applyFont="1" applyFill="1"/>
    <xf numFmtId="49" fontId="3" fillId="49" borderId="331" xfId="0" applyNumberFormat="1" applyFont="1" applyFill="1" applyBorder="1"/>
    <xf numFmtId="43" fontId="3" fillId="49" borderId="331" xfId="0" applyNumberFormat="1" applyFont="1" applyFill="1" applyBorder="1"/>
    <xf numFmtId="49" fontId="3" fillId="49" borderId="0" xfId="0" applyNumberFormat="1" applyFont="1" applyFill="1"/>
    <xf numFmtId="43" fontId="3" fillId="49" borderId="0" xfId="0" applyNumberFormat="1" applyFont="1" applyFill="1"/>
    <xf numFmtId="0" fontId="3" fillId="49" borderId="0" xfId="0" applyFont="1" applyFill="1"/>
    <xf numFmtId="0" fontId="3" fillId="49" borderId="0" xfId="0" applyFont="1" applyFill="1" applyAlignment="1">
      <alignment horizontal="right"/>
    </xf>
    <xf numFmtId="0" fontId="3" fillId="49" borderId="2" xfId="0" applyFont="1" applyFill="1" applyBorder="1" applyAlignment="1">
      <alignment horizontal="right"/>
    </xf>
    <xf numFmtId="0" fontId="3" fillId="3" borderId="0" xfId="0" applyFont="1" applyFill="1"/>
    <xf numFmtId="0" fontId="3" fillId="3" borderId="2" xfId="0" applyFont="1" applyFill="1" applyBorder="1"/>
    <xf numFmtId="182" fontId="3" fillId="3" borderId="0" xfId="0" applyNumberFormat="1" applyFont="1" applyFill="1"/>
    <xf numFmtId="49" fontId="3" fillId="0" borderId="0" xfId="0" applyNumberFormat="1" applyFont="1"/>
    <xf numFmtId="43" fontId="3" fillId="0" borderId="0" xfId="0" applyNumberFormat="1" applyFont="1"/>
    <xf numFmtId="8" fontId="3" fillId="58" borderId="0" xfId="0" applyNumberFormat="1" applyFont="1" applyFill="1" applyAlignment="1">
      <alignment horizontal="right"/>
    </xf>
    <xf numFmtId="8" fontId="3" fillId="47" borderId="0" xfId="0" applyNumberFormat="1" applyFont="1" applyFill="1" applyAlignment="1">
      <alignment horizontal="right"/>
    </xf>
    <xf numFmtId="8" fontId="3" fillId="2" borderId="0" xfId="0" applyNumberFormat="1" applyFont="1" applyFill="1" applyAlignment="1">
      <alignment horizontal="right"/>
    </xf>
    <xf numFmtId="43" fontId="37" fillId="8" borderId="0" xfId="0" applyNumberFormat="1" applyFont="1" applyFill="1" applyAlignment="1">
      <alignment horizontal="right"/>
    </xf>
    <xf numFmtId="0" fontId="37" fillId="8" borderId="0" xfId="0" applyFont="1" applyFill="1"/>
    <xf numFmtId="0" fontId="37" fillId="8" borderId="0" xfId="0" applyFont="1" applyFill="1" applyAlignment="1">
      <alignment horizontal="right"/>
    </xf>
    <xf numFmtId="43" fontId="37" fillId="49" borderId="331" xfId="0" applyNumberFormat="1" applyFont="1" applyFill="1" applyBorder="1" applyAlignment="1">
      <alignment horizontal="right"/>
    </xf>
    <xf numFmtId="43" fontId="153" fillId="49" borderId="331" xfId="0" applyNumberFormat="1" applyFont="1" applyFill="1" applyBorder="1" applyAlignment="1">
      <alignment horizontal="right"/>
    </xf>
    <xf numFmtId="0" fontId="37" fillId="49" borderId="331" xfId="0" applyFont="1" applyFill="1" applyBorder="1"/>
    <xf numFmtId="0" fontId="153" fillId="49" borderId="331" xfId="0" applyFont="1" applyFill="1" applyBorder="1" applyAlignment="1">
      <alignment horizontal="right"/>
    </xf>
    <xf numFmtId="0" fontId="153" fillId="49" borderId="332" xfId="0" applyFont="1" applyFill="1" applyBorder="1" applyAlignment="1">
      <alignment horizontal="right"/>
    </xf>
    <xf numFmtId="43" fontId="37" fillId="49" borderId="0" xfId="0" applyNumberFormat="1" applyFont="1" applyFill="1" applyAlignment="1">
      <alignment horizontal="right"/>
    </xf>
    <xf numFmtId="43" fontId="38" fillId="49" borderId="0" xfId="0" applyNumberFormat="1" applyFont="1" applyFill="1" applyAlignment="1">
      <alignment horizontal="right"/>
    </xf>
    <xf numFmtId="0" fontId="37" fillId="49" borderId="0" xfId="0" applyFont="1" applyFill="1"/>
    <xf numFmtId="0" fontId="38" fillId="49" borderId="0" xfId="0" applyFont="1" applyFill="1" applyAlignment="1">
      <alignment horizontal="right"/>
    </xf>
    <xf numFmtId="0" fontId="38" fillId="49" borderId="2" xfId="0" applyFont="1" applyFill="1" applyBorder="1" applyAlignment="1">
      <alignment horizontal="right"/>
    </xf>
    <xf numFmtId="43" fontId="153" fillId="49" borderId="0" xfId="0" applyNumberFormat="1" applyFont="1" applyFill="1" applyAlignment="1">
      <alignment horizontal="right"/>
    </xf>
    <xf numFmtId="0" fontId="37" fillId="49" borderId="0" xfId="0" applyFont="1" applyFill="1" applyAlignment="1">
      <alignment horizontal="right"/>
    </xf>
    <xf numFmtId="0" fontId="37" fillId="49" borderId="2" xfId="0" applyFont="1" applyFill="1" applyBorder="1" applyAlignment="1">
      <alignment horizontal="right"/>
    </xf>
    <xf numFmtId="0" fontId="112" fillId="49" borderId="0" xfId="0" applyFont="1" applyFill="1" applyAlignment="1">
      <alignment horizontal="right"/>
    </xf>
    <xf numFmtId="49" fontId="57" fillId="50" borderId="333" xfId="0" applyNumberFormat="1" applyFont="1" applyFill="1" applyBorder="1" applyAlignment="1">
      <alignment horizontal="center"/>
    </xf>
    <xf numFmtId="43" fontId="57" fillId="50" borderId="0" xfId="0" applyNumberFormat="1" applyFont="1" applyFill="1" applyAlignment="1">
      <alignment horizontal="center"/>
    </xf>
    <xf numFmtId="43" fontId="57" fillId="50" borderId="0" xfId="0" applyNumberFormat="1" applyFont="1" applyFill="1" applyAlignment="1">
      <alignment horizontal="right"/>
    </xf>
    <xf numFmtId="0" fontId="57" fillId="50" borderId="0" xfId="0" applyFont="1" applyFill="1" applyAlignment="1">
      <alignment horizontal="center"/>
    </xf>
    <xf numFmtId="0" fontId="57" fillId="50" borderId="0" xfId="0" applyFont="1" applyFill="1" applyAlignment="1">
      <alignment horizontal="right"/>
    </xf>
    <xf numFmtId="0" fontId="57" fillId="51" borderId="0" xfId="0" applyFont="1" applyFill="1" applyAlignment="1">
      <alignment horizontal="center"/>
    </xf>
    <xf numFmtId="0" fontId="57" fillId="50" borderId="2" xfId="0" applyFont="1" applyFill="1" applyBorder="1" applyAlignment="1">
      <alignment horizontal="right"/>
    </xf>
    <xf numFmtId="0" fontId="36" fillId="8" borderId="333" xfId="0" applyFont="1" applyFill="1" applyBorder="1" applyAlignment="1">
      <alignment horizontal="center"/>
    </xf>
    <xf numFmtId="49" fontId="37" fillId="8" borderId="333" xfId="0" applyNumberFormat="1" applyFont="1" applyFill="1" applyBorder="1" applyAlignment="1">
      <alignment vertical="top" wrapText="1"/>
    </xf>
    <xf numFmtId="43" fontId="37" fillId="8" borderId="0" xfId="0" applyNumberFormat="1" applyFont="1" applyFill="1" applyAlignment="1">
      <alignment vertical="top" wrapText="1"/>
    </xf>
    <xf numFmtId="43" fontId="37" fillId="8" borderId="0" xfId="0" applyNumberFormat="1" applyFont="1" applyFill="1" applyAlignment="1">
      <alignment horizontal="right" vertical="top"/>
    </xf>
    <xf numFmtId="43" fontId="37" fillId="3" borderId="0" xfId="0" applyNumberFormat="1" applyFont="1" applyFill="1" applyAlignment="1">
      <alignment horizontal="right" vertical="top"/>
    </xf>
    <xf numFmtId="182" fontId="37" fillId="3" borderId="0" xfId="0" applyNumberFormat="1" applyFont="1" applyFill="1" applyAlignment="1">
      <alignment horizontal="right" vertical="top"/>
    </xf>
    <xf numFmtId="182" fontId="37" fillId="3" borderId="0" xfId="0" applyNumberFormat="1" applyFont="1" applyFill="1" applyAlignment="1">
      <alignment horizontal="left" vertical="top"/>
    </xf>
    <xf numFmtId="182" fontId="37" fillId="3" borderId="2" xfId="0" applyNumberFormat="1" applyFont="1" applyFill="1" applyBorder="1" applyAlignment="1">
      <alignment horizontal="left" vertical="top"/>
    </xf>
    <xf numFmtId="0" fontId="37" fillId="0" borderId="333" xfId="0" applyFont="1" applyBorder="1" applyAlignment="1">
      <alignment vertical="top" wrapText="1"/>
    </xf>
    <xf numFmtId="0" fontId="37" fillId="0" borderId="0" xfId="0" applyFont="1" applyAlignment="1">
      <alignment vertical="top" wrapText="1"/>
    </xf>
    <xf numFmtId="0" fontId="154" fillId="3" borderId="0" xfId="0" applyFont="1" applyFill="1" applyAlignment="1">
      <alignment horizontal="right"/>
    </xf>
    <xf numFmtId="0" fontId="154" fillId="3" borderId="2" xfId="0" applyFont="1" applyFill="1" applyBorder="1" applyAlignment="1">
      <alignment horizontal="right"/>
    </xf>
    <xf numFmtId="0" fontId="37" fillId="0" borderId="333" xfId="0" applyFont="1" applyBorder="1"/>
    <xf numFmtId="8" fontId="37" fillId="8" borderId="0" xfId="0" applyNumberFormat="1" applyFont="1" applyFill="1" applyAlignment="1">
      <alignment horizontal="right" vertical="top"/>
    </xf>
    <xf numFmtId="8" fontId="37" fillId="3" borderId="0" xfId="0" applyNumberFormat="1" applyFont="1" applyFill="1" applyAlignment="1">
      <alignment horizontal="right" vertical="top"/>
    </xf>
    <xf numFmtId="0" fontId="37" fillId="3" borderId="0" xfId="0" applyFont="1" applyFill="1" applyAlignment="1">
      <alignment horizontal="right"/>
    </xf>
    <xf numFmtId="0" fontId="37" fillId="3" borderId="2" xfId="0" applyFont="1" applyFill="1" applyBorder="1" applyAlignment="1">
      <alignment horizontal="right"/>
    </xf>
    <xf numFmtId="0" fontId="36" fillId="3" borderId="0" xfId="0" applyFont="1" applyFill="1"/>
    <xf numFmtId="0" fontId="36" fillId="3" borderId="2" xfId="0" applyFont="1" applyFill="1" applyBorder="1"/>
    <xf numFmtId="182" fontId="37" fillId="3" borderId="0" xfId="0" applyNumberFormat="1" applyFont="1" applyFill="1"/>
    <xf numFmtId="0" fontId="37" fillId="3" borderId="0" xfId="0" applyFont="1" applyFill="1"/>
    <xf numFmtId="0" fontId="37" fillId="3" borderId="2" xfId="0" applyFont="1" applyFill="1" applyBorder="1"/>
    <xf numFmtId="0" fontId="37" fillId="9" borderId="0" xfId="0" applyFont="1" applyFill="1"/>
    <xf numFmtId="43" fontId="37" fillId="3" borderId="0" xfId="1" applyFont="1" applyFill="1" applyAlignment="1">
      <alignment horizontal="right"/>
    </xf>
    <xf numFmtId="173" fontId="37" fillId="0" borderId="0" xfId="0" applyNumberFormat="1" applyFont="1"/>
    <xf numFmtId="43" fontId="150" fillId="3" borderId="0" xfId="1" applyFont="1" applyFill="1" applyBorder="1" applyAlignment="1" applyProtection="1">
      <alignment vertical="center"/>
    </xf>
    <xf numFmtId="177" fontId="37" fillId="3" borderId="0" xfId="0" applyNumberFormat="1" applyFont="1" applyFill="1" applyAlignment="1">
      <alignment horizontal="right"/>
    </xf>
    <xf numFmtId="0" fontId="37" fillId="3" borderId="0" xfId="0" applyFont="1" applyFill="1" applyAlignment="1">
      <alignment horizontal="left"/>
    </xf>
    <xf numFmtId="43" fontId="150" fillId="3" borderId="0" xfId="1" applyFont="1" applyFill="1" applyBorder="1" applyAlignment="1" applyProtection="1">
      <alignment horizontal="right" vertical="center"/>
    </xf>
    <xf numFmtId="43" fontId="155" fillId="3" borderId="0" xfId="1" applyFont="1" applyFill="1" applyBorder="1" applyAlignment="1" applyProtection="1">
      <alignment vertical="center"/>
    </xf>
    <xf numFmtId="49" fontId="37" fillId="54" borderId="333" xfId="0" applyNumberFormat="1" applyFont="1" applyFill="1" applyBorder="1" applyAlignment="1">
      <alignment vertical="top" wrapText="1"/>
    </xf>
    <xf numFmtId="43" fontId="37" fillId="54" borderId="0" xfId="0" applyNumberFormat="1" applyFont="1" applyFill="1" applyAlignment="1">
      <alignment vertical="top" wrapText="1"/>
    </xf>
    <xf numFmtId="8" fontId="37" fillId="54" borderId="0" xfId="0" applyNumberFormat="1" applyFont="1" applyFill="1" applyAlignment="1">
      <alignment horizontal="right" vertical="top"/>
    </xf>
    <xf numFmtId="43" fontId="37" fillId="54" borderId="0" xfId="0" applyNumberFormat="1" applyFont="1" applyFill="1" applyAlignment="1">
      <alignment horizontal="right" vertical="top"/>
    </xf>
    <xf numFmtId="0" fontId="37" fillId="54" borderId="0" xfId="0" applyFont="1" applyFill="1" applyAlignment="1">
      <alignment horizontal="right"/>
    </xf>
    <xf numFmtId="0" fontId="37" fillId="54" borderId="0" xfId="0" applyFont="1" applyFill="1" applyAlignment="1">
      <alignment horizontal="left"/>
    </xf>
    <xf numFmtId="0" fontId="37" fillId="54" borderId="2" xfId="0" applyFont="1" applyFill="1" applyBorder="1" applyAlignment="1">
      <alignment horizontal="right"/>
    </xf>
    <xf numFmtId="8" fontId="37" fillId="2" borderId="0" xfId="0" applyNumberFormat="1" applyFont="1" applyFill="1" applyAlignment="1">
      <alignment horizontal="right" vertical="top"/>
    </xf>
    <xf numFmtId="8" fontId="37" fillId="57" borderId="0" xfId="0" applyNumberFormat="1" applyFont="1" applyFill="1" applyAlignment="1">
      <alignment horizontal="right" vertical="top"/>
    </xf>
    <xf numFmtId="49" fontId="37" fillId="3" borderId="333" xfId="0" applyNumberFormat="1" applyFont="1" applyFill="1" applyBorder="1" applyAlignment="1">
      <alignment vertical="top" wrapText="1"/>
    </xf>
    <xf numFmtId="43" fontId="37" fillId="3" borderId="0" xfId="0" applyNumberFormat="1" applyFont="1" applyFill="1" applyAlignment="1">
      <alignment vertical="top" wrapText="1"/>
    </xf>
    <xf numFmtId="8" fontId="37" fillId="53" borderId="0" xfId="0" applyNumberFormat="1" applyFont="1" applyFill="1" applyAlignment="1">
      <alignment horizontal="right" vertical="top"/>
    </xf>
    <xf numFmtId="0" fontId="37" fillId="2" borderId="0" xfId="0" applyFont="1" applyFill="1"/>
    <xf numFmtId="8" fontId="37" fillId="48" borderId="0" xfId="0" applyNumberFormat="1" applyFont="1" applyFill="1" applyAlignment="1">
      <alignment horizontal="right" vertical="top"/>
    </xf>
    <xf numFmtId="8" fontId="37" fillId="56" borderId="0" xfId="0" applyNumberFormat="1" applyFont="1" applyFill="1" applyAlignment="1">
      <alignment horizontal="right" vertical="top"/>
    </xf>
    <xf numFmtId="8" fontId="37" fillId="9" borderId="0" xfId="0" applyNumberFormat="1" applyFont="1" applyFill="1" applyAlignment="1">
      <alignment horizontal="right" vertical="top"/>
    </xf>
    <xf numFmtId="8" fontId="150" fillId="60" borderId="0" xfId="0" applyNumberFormat="1" applyFont="1" applyFill="1" applyAlignment="1">
      <alignment horizontal="right" vertical="top"/>
    </xf>
    <xf numFmtId="8" fontId="150" fillId="3" borderId="0" xfId="0" applyNumberFormat="1" applyFont="1" applyFill="1" applyAlignment="1">
      <alignment horizontal="right" vertical="top"/>
    </xf>
    <xf numFmtId="8" fontId="37" fillId="58" borderId="0" xfId="0" applyNumberFormat="1" applyFont="1" applyFill="1" applyAlignment="1">
      <alignment horizontal="right" vertical="top"/>
    </xf>
    <xf numFmtId="0" fontId="37" fillId="52" borderId="0" xfId="0" applyFont="1" applyFill="1"/>
    <xf numFmtId="0" fontId="154" fillId="3" borderId="334" xfId="0" applyFont="1" applyFill="1" applyBorder="1"/>
    <xf numFmtId="0" fontId="154" fillId="3" borderId="335" xfId="0" applyFont="1" applyFill="1" applyBorder="1"/>
    <xf numFmtId="43" fontId="37" fillId="0" borderId="0" xfId="0" applyNumberFormat="1" applyFont="1"/>
    <xf numFmtId="43" fontId="37" fillId="0" borderId="0" xfId="0" applyNumberFormat="1" applyFont="1" applyAlignment="1">
      <alignment horizontal="right"/>
    </xf>
    <xf numFmtId="8" fontId="37" fillId="58" borderId="0" xfId="0" applyNumberFormat="1" applyFont="1" applyFill="1" applyAlignment="1">
      <alignment horizontal="right"/>
    </xf>
    <xf numFmtId="8" fontId="37" fillId="3" borderId="0" xfId="0" applyNumberFormat="1" applyFont="1" applyFill="1" applyAlignment="1">
      <alignment horizontal="right"/>
    </xf>
    <xf numFmtId="8" fontId="37" fillId="2" borderId="0" xfId="0" applyNumberFormat="1" applyFont="1" applyFill="1" applyAlignment="1">
      <alignment horizontal="right"/>
    </xf>
    <xf numFmtId="8" fontId="37" fillId="55" borderId="0" xfId="0" applyNumberFormat="1" applyFont="1" applyFill="1" applyAlignment="1">
      <alignment horizontal="right"/>
    </xf>
    <xf numFmtId="43" fontId="37" fillId="3" borderId="0" xfId="0" applyNumberFormat="1" applyFont="1" applyFill="1" applyAlignment="1">
      <alignment horizontal="right"/>
    </xf>
    <xf numFmtId="49" fontId="37" fillId="3" borderId="0" xfId="0" applyNumberFormat="1" applyFont="1" applyFill="1"/>
    <xf numFmtId="43" fontId="37" fillId="3" borderId="0" xfId="0" applyNumberFormat="1" applyFont="1" applyFill="1"/>
    <xf numFmtId="0" fontId="37" fillId="0" borderId="0" xfId="0" applyFont="1" applyAlignment="1">
      <alignment horizontal="right"/>
    </xf>
    <xf numFmtId="8" fontId="37" fillId="59" borderId="0" xfId="0" applyNumberFormat="1" applyFont="1" applyFill="1" applyAlignment="1">
      <alignment horizontal="right"/>
    </xf>
    <xf numFmtId="8" fontId="37" fillId="19" borderId="0" xfId="0" applyNumberFormat="1" applyFont="1" applyFill="1" applyAlignment="1">
      <alignment horizontal="right"/>
    </xf>
    <xf numFmtId="8" fontId="37" fillId="61" borderId="0" xfId="0" applyNumberFormat="1" applyFont="1" applyFill="1" applyAlignment="1">
      <alignment horizontal="right"/>
    </xf>
    <xf numFmtId="8" fontId="37" fillId="17" borderId="0" xfId="0" applyNumberFormat="1" applyFont="1" applyFill="1" applyAlignment="1">
      <alignment horizontal="right"/>
    </xf>
    <xf numFmtId="8" fontId="37" fillId="56" borderId="0" xfId="0" applyNumberFormat="1" applyFont="1" applyFill="1" applyAlignment="1">
      <alignment horizontal="right"/>
    </xf>
    <xf numFmtId="8" fontId="37" fillId="43" borderId="0" xfId="0" applyNumberFormat="1" applyFont="1" applyFill="1" applyAlignment="1">
      <alignment horizontal="right"/>
    </xf>
    <xf numFmtId="43" fontId="37" fillId="61" borderId="0" xfId="0" applyNumberFormat="1" applyFont="1" applyFill="1" applyAlignment="1">
      <alignment horizontal="right"/>
    </xf>
    <xf numFmtId="177" fontId="25" fillId="61" borderId="17" xfId="0" applyNumberFormat="1" applyFont="1" applyFill="1" applyBorder="1"/>
    <xf numFmtId="8" fontId="37" fillId="62" borderId="0" xfId="0" applyNumberFormat="1" applyFont="1" applyFill="1" applyAlignment="1">
      <alignment horizontal="right"/>
    </xf>
    <xf numFmtId="177" fontId="25" fillId="3" borderId="243" xfId="0" applyNumberFormat="1" applyFont="1" applyFill="1" applyBorder="1"/>
    <xf numFmtId="177" fontId="25" fillId="0" borderId="243" xfId="1" applyNumberFormat="1" applyFont="1" applyFill="1" applyBorder="1" applyAlignment="1" applyProtection="1"/>
    <xf numFmtId="8" fontId="37" fillId="9" borderId="0" xfId="0" applyNumberFormat="1" applyFont="1" applyFill="1" applyAlignment="1">
      <alignment horizontal="right"/>
    </xf>
    <xf numFmtId="8" fontId="37" fillId="63" borderId="0" xfId="0" applyNumberFormat="1" applyFont="1" applyFill="1" applyAlignment="1">
      <alignment horizontal="right"/>
    </xf>
    <xf numFmtId="8" fontId="150" fillId="9" borderId="0" xfId="0" applyNumberFormat="1" applyFont="1" applyFill="1" applyAlignment="1">
      <alignment horizontal="right"/>
    </xf>
    <xf numFmtId="177" fontId="25" fillId="0" borderId="243" xfId="0" applyNumberFormat="1" applyFont="1" applyBorder="1" applyAlignment="1">
      <alignment horizontal="right" vertical="center"/>
    </xf>
    <xf numFmtId="49" fontId="59" fillId="0" borderId="0" xfId="0" applyNumberFormat="1" applyFont="1"/>
    <xf numFmtId="49" fontId="58" fillId="0" borderId="0" xfId="0" applyNumberFormat="1" applyFont="1"/>
    <xf numFmtId="49" fontId="77" fillId="0" borderId="0" xfId="0" applyNumberFormat="1" applyFont="1" applyAlignment="1">
      <alignment horizontal="right"/>
    </xf>
    <xf numFmtId="49" fontId="59" fillId="0" borderId="0" xfId="0" applyNumberFormat="1" applyFont="1" applyAlignment="1">
      <alignment horizontal="left" vertical="center"/>
    </xf>
    <xf numFmtId="49" fontId="58" fillId="0" borderId="0" xfId="0" applyNumberFormat="1" applyFont="1" applyAlignment="1">
      <alignment horizontal="left" vertical="center"/>
    </xf>
    <xf numFmtId="49" fontId="58" fillId="0" borderId="0" xfId="0" applyNumberFormat="1" applyFont="1" applyAlignment="1">
      <alignment horizontal="center" vertical="center"/>
    </xf>
    <xf numFmtId="49" fontId="65" fillId="0" borderId="0" xfId="0" applyNumberFormat="1" applyFont="1" applyAlignment="1">
      <alignment horizontal="right" vertical="center"/>
    </xf>
    <xf numFmtId="49" fontId="77" fillId="0" borderId="0" xfId="0" applyNumberFormat="1" applyFont="1" applyAlignment="1">
      <alignment horizontal="right" vertical="center"/>
    </xf>
    <xf numFmtId="0" fontId="0" fillId="4" borderId="0" xfId="0" applyFill="1"/>
    <xf numFmtId="49" fontId="0" fillId="4" borderId="0" xfId="0" applyNumberFormat="1" applyFill="1"/>
    <xf numFmtId="43" fontId="42" fillId="0" borderId="0" xfId="1" applyFont="1" applyFill="1" applyBorder="1" applyAlignment="1" applyProtection="1">
      <alignment vertical="center"/>
    </xf>
    <xf numFmtId="49" fontId="25" fillId="0" borderId="0" xfId="1" applyNumberFormat="1" applyFont="1" applyFill="1" applyBorder="1" applyAlignment="1" applyProtection="1">
      <alignment vertical="center"/>
    </xf>
    <xf numFmtId="1" fontId="25" fillId="0" borderId="0" xfId="1" applyNumberFormat="1" applyFont="1" applyFill="1" applyBorder="1" applyAlignment="1" applyProtection="1">
      <alignment vertical="center"/>
    </xf>
    <xf numFmtId="1" fontId="27" fillId="0" borderId="0" xfId="1" applyNumberFormat="1" applyFont="1" applyFill="1" applyBorder="1" applyAlignment="1" applyProtection="1">
      <alignment vertical="center"/>
    </xf>
    <xf numFmtId="49" fontId="43" fillId="0" borderId="0" xfId="1" applyNumberFormat="1" applyFont="1" applyFill="1" applyBorder="1" applyAlignment="1" applyProtection="1">
      <alignment horizontal="right" vertical="center"/>
    </xf>
    <xf numFmtId="0" fontId="43" fillId="0" borderId="0" xfId="1" applyNumberFormat="1" applyFont="1" applyFill="1" applyBorder="1" applyAlignment="1" applyProtection="1">
      <alignment horizontal="right" vertical="center"/>
    </xf>
    <xf numFmtId="43" fontId="156" fillId="0" borderId="0" xfId="1" applyFont="1" applyFill="1" applyBorder="1" applyAlignment="1" applyProtection="1">
      <alignment vertical="center"/>
    </xf>
    <xf numFmtId="1" fontId="37" fillId="0" borderId="0" xfId="1" applyNumberFormat="1" applyFont="1" applyFill="1" applyBorder="1" applyAlignment="1" applyProtection="1">
      <alignment vertical="center"/>
    </xf>
    <xf numFmtId="177" fontId="150" fillId="0" borderId="0" xfId="1" applyNumberFormat="1" applyFont="1" applyFill="1" applyBorder="1" applyAlignment="1" applyProtection="1">
      <alignment vertical="center"/>
    </xf>
    <xf numFmtId="1" fontId="150" fillId="0" borderId="0" xfId="1" applyNumberFormat="1" applyFont="1" applyFill="1" applyBorder="1" applyAlignment="1" applyProtection="1">
      <alignment vertical="center"/>
    </xf>
    <xf numFmtId="49" fontId="157" fillId="0" borderId="0" xfId="1" applyNumberFormat="1" applyFont="1" applyFill="1" applyBorder="1" applyAlignment="1" applyProtection="1">
      <alignment horizontal="right" vertical="center"/>
    </xf>
    <xf numFmtId="0" fontId="157" fillId="0" borderId="0" xfId="1" applyNumberFormat="1" applyFont="1" applyFill="1" applyBorder="1" applyAlignment="1" applyProtection="1">
      <alignment horizontal="right" vertical="center"/>
    </xf>
    <xf numFmtId="43" fontId="150" fillId="0" borderId="0" xfId="1" applyFont="1" applyFill="1" applyBorder="1" applyAlignment="1" applyProtection="1">
      <alignment vertical="center"/>
    </xf>
    <xf numFmtId="49" fontId="11" fillId="0" borderId="0" xfId="1" applyNumberFormat="1" applyFont="1" applyFill="1" applyBorder="1" applyAlignment="1" applyProtection="1">
      <alignment horizontal="left" vertical="center"/>
    </xf>
    <xf numFmtId="177" fontId="10" fillId="0" borderId="0" xfId="1" applyNumberFormat="1" applyFont="1" applyFill="1" applyBorder="1" applyAlignment="1" applyProtection="1">
      <alignment vertical="center"/>
    </xf>
    <xf numFmtId="1" fontId="10" fillId="0" borderId="0" xfId="1" applyNumberFormat="1" applyFont="1" applyFill="1" applyBorder="1" applyAlignment="1" applyProtection="1">
      <alignment vertical="center"/>
    </xf>
    <xf numFmtId="49" fontId="24" fillId="0" borderId="0" xfId="1" applyNumberFormat="1" applyFont="1" applyFill="1" applyBorder="1" applyAlignment="1" applyProtection="1">
      <alignment horizontal="right" vertical="center"/>
    </xf>
    <xf numFmtId="43" fontId="21" fillId="0" borderId="0" xfId="1" applyFont="1" applyFill="1" applyBorder="1" applyAlignment="1" applyProtection="1">
      <alignment vertical="center"/>
    </xf>
    <xf numFmtId="43" fontId="10" fillId="0" borderId="0" xfId="1" applyFont="1" applyFill="1" applyBorder="1" applyAlignment="1" applyProtection="1">
      <alignment vertical="center"/>
    </xf>
    <xf numFmtId="0" fontId="20" fillId="0" borderId="0" xfId="0" applyFont="1" applyAlignment="1">
      <alignment vertical="center"/>
    </xf>
    <xf numFmtId="0" fontId="20" fillId="0" borderId="0" xfId="0" applyFont="1" applyAlignment="1">
      <alignment horizontal="left" vertical="center"/>
    </xf>
    <xf numFmtId="0" fontId="20" fillId="0" borderId="0" xfId="1" applyNumberFormat="1" applyFont="1" applyFill="1" applyBorder="1" applyAlignment="1" applyProtection="1">
      <alignment vertical="center"/>
    </xf>
    <xf numFmtId="1" fontId="20" fillId="0" borderId="0" xfId="1" applyNumberFormat="1" applyFont="1" applyFill="1" applyBorder="1" applyAlignment="1" applyProtection="1">
      <alignment vertical="center"/>
    </xf>
    <xf numFmtId="0" fontId="158" fillId="0" borderId="0" xfId="1" applyNumberFormat="1" applyFont="1" applyFill="1" applyBorder="1" applyAlignment="1" applyProtection="1">
      <alignment horizontal="right" vertical="center"/>
    </xf>
    <xf numFmtId="0" fontId="158" fillId="0" borderId="0" xfId="0" applyFont="1" applyAlignment="1">
      <alignment horizontal="right" vertical="center"/>
    </xf>
    <xf numFmtId="49" fontId="20" fillId="0" borderId="0" xfId="1" applyNumberFormat="1" applyFont="1" applyFill="1" applyBorder="1" applyAlignment="1" applyProtection="1">
      <alignment vertical="center"/>
    </xf>
    <xf numFmtId="49" fontId="158" fillId="0" borderId="0" xfId="1" applyNumberFormat="1" applyFont="1" applyFill="1" applyBorder="1" applyAlignment="1" applyProtection="1">
      <alignment horizontal="right" vertical="center"/>
    </xf>
    <xf numFmtId="0" fontId="54" fillId="0" borderId="0" xfId="1" applyNumberFormat="1" applyFont="1" applyFill="1" applyBorder="1" applyAlignment="1" applyProtection="1">
      <alignment vertical="center"/>
    </xf>
    <xf numFmtId="0" fontId="54" fillId="0" borderId="0" xfId="0" applyFont="1" applyAlignment="1">
      <alignment vertical="center"/>
    </xf>
    <xf numFmtId="0" fontId="54" fillId="0" borderId="0" xfId="0" applyFont="1" applyAlignment="1">
      <alignment horizontal="left" vertical="center"/>
    </xf>
    <xf numFmtId="0" fontId="20" fillId="0" borderId="0" xfId="1" quotePrefix="1" applyNumberFormat="1" applyFont="1" applyFill="1" applyBorder="1" applyAlignment="1" applyProtection="1">
      <alignment horizontal="center" vertical="center"/>
    </xf>
    <xf numFmtId="1" fontId="54" fillId="0" borderId="0" xfId="1" applyNumberFormat="1" applyFont="1" applyFill="1" applyBorder="1" applyAlignment="1" applyProtection="1">
      <alignment vertical="center"/>
    </xf>
    <xf numFmtId="0" fontId="56" fillId="0" borderId="0" xfId="1" applyNumberFormat="1" applyFont="1" applyFill="1" applyBorder="1" applyAlignment="1" applyProtection="1">
      <alignment horizontal="right" vertical="center"/>
    </xf>
    <xf numFmtId="0" fontId="56" fillId="0" borderId="0" xfId="0" applyFont="1" applyAlignment="1">
      <alignment horizontal="right" vertical="center"/>
    </xf>
    <xf numFmtId="43" fontId="159" fillId="0" borderId="0" xfId="1" applyFont="1" applyFill="1" applyBorder="1" applyAlignment="1" applyProtection="1">
      <alignment vertical="center"/>
    </xf>
    <xf numFmtId="184" fontId="25" fillId="0" borderId="0" xfId="1" applyNumberFormat="1" applyFont="1" applyFill="1" applyBorder="1" applyAlignment="1" applyProtection="1">
      <alignment horizontal="center" vertical="center"/>
    </xf>
    <xf numFmtId="1" fontId="25" fillId="0" borderId="0" xfId="0" applyNumberFormat="1" applyFont="1" applyAlignment="1">
      <alignment horizontal="right" vertical="center"/>
    </xf>
    <xf numFmtId="0" fontId="29" fillId="0" borderId="0" xfId="1" applyNumberFormat="1" applyFont="1" applyFill="1" applyBorder="1" applyAlignment="1" applyProtection="1">
      <alignment horizontal="right" vertical="center"/>
    </xf>
    <xf numFmtId="17" fontId="26" fillId="7" borderId="259" xfId="1" applyNumberFormat="1" applyFont="1" applyFill="1" applyBorder="1" applyAlignment="1" applyProtection="1">
      <alignment horizontal="center" vertical="center"/>
    </xf>
    <xf numFmtId="49" fontId="26" fillId="7" borderId="276" xfId="1" applyNumberFormat="1" applyFont="1" applyFill="1" applyBorder="1" applyAlignment="1" applyProtection="1">
      <alignment horizontal="center" vertical="center"/>
    </xf>
    <xf numFmtId="1" fontId="26" fillId="7" borderId="6" xfId="1" applyNumberFormat="1" applyFont="1" applyFill="1" applyBorder="1" applyAlignment="1" applyProtection="1">
      <alignment horizontal="center" vertical="center"/>
    </xf>
    <xf numFmtId="17" fontId="26" fillId="7" borderId="6" xfId="1" applyNumberFormat="1" applyFont="1" applyFill="1" applyBorder="1" applyAlignment="1" applyProtection="1">
      <alignment horizontal="center" vertical="center"/>
    </xf>
    <xf numFmtId="177" fontId="26" fillId="7" borderId="6" xfId="1" applyNumberFormat="1" applyFont="1" applyFill="1" applyBorder="1" applyAlignment="1" applyProtection="1">
      <alignment horizontal="center" vertical="center"/>
    </xf>
    <xf numFmtId="43" fontId="27" fillId="0" borderId="0" xfId="1" applyFont="1" applyFill="1" applyBorder="1" applyAlignment="1" applyProtection="1">
      <alignment horizontal="center" vertical="center"/>
    </xf>
    <xf numFmtId="17" fontId="26" fillId="7" borderId="11" xfId="1" applyNumberFormat="1" applyFont="1" applyFill="1" applyBorder="1" applyAlignment="1" applyProtection="1">
      <alignment horizontal="center" vertical="center"/>
    </xf>
    <xf numFmtId="49" fontId="26" fillId="7" borderId="12" xfId="1" applyNumberFormat="1" applyFont="1" applyFill="1" applyBorder="1" applyAlignment="1" applyProtection="1">
      <alignment horizontal="center" vertical="center"/>
    </xf>
    <xf numFmtId="177" fontId="26" fillId="7" borderId="22" xfId="1" applyNumberFormat="1" applyFont="1" applyFill="1" applyBorder="1" applyAlignment="1" applyProtection="1">
      <alignment horizontal="center" vertical="center"/>
    </xf>
    <xf numFmtId="177" fontId="26" fillId="7" borderId="17" xfId="1" applyNumberFormat="1" applyFont="1" applyFill="1" applyBorder="1" applyAlignment="1" applyProtection="1">
      <alignment horizontal="center" vertical="center"/>
    </xf>
    <xf numFmtId="177" fontId="26" fillId="64" borderId="17" xfId="1" applyNumberFormat="1" applyFont="1" applyFill="1" applyBorder="1" applyAlignment="1" applyProtection="1">
      <alignment horizontal="center" vertical="center"/>
    </xf>
    <xf numFmtId="177" fontId="26" fillId="7" borderId="21" xfId="1" applyNumberFormat="1" applyFont="1" applyFill="1" applyBorder="1" applyAlignment="1" applyProtection="1">
      <alignment horizontal="center" vertical="center"/>
    </xf>
    <xf numFmtId="1" fontId="26" fillId="7" borderId="21" xfId="1" applyNumberFormat="1" applyFont="1" applyFill="1" applyBorder="1" applyAlignment="1" applyProtection="1">
      <alignment horizontal="center" vertical="center"/>
    </xf>
    <xf numFmtId="177" fontId="28" fillId="7" borderId="22" xfId="1" applyNumberFormat="1" applyFont="1" applyFill="1" applyBorder="1" applyAlignment="1" applyProtection="1">
      <alignment horizontal="center" vertical="center"/>
    </xf>
    <xf numFmtId="177" fontId="28" fillId="7" borderId="17" xfId="1" applyNumberFormat="1" applyFont="1" applyFill="1" applyBorder="1" applyAlignment="1" applyProtection="1">
      <alignment horizontal="center" vertical="center"/>
    </xf>
    <xf numFmtId="177" fontId="28" fillId="7" borderId="21" xfId="1" applyNumberFormat="1" applyFont="1" applyFill="1" applyBorder="1" applyAlignment="1" applyProtection="1">
      <alignment horizontal="center" vertical="center"/>
    </xf>
    <xf numFmtId="177" fontId="28" fillId="64" borderId="17" xfId="1" applyNumberFormat="1" applyFont="1" applyFill="1" applyBorder="1" applyAlignment="1" applyProtection="1">
      <alignment horizontal="center" vertical="center"/>
    </xf>
    <xf numFmtId="177" fontId="26" fillId="7" borderId="187" xfId="1" applyNumberFormat="1" applyFont="1" applyFill="1" applyBorder="1" applyAlignment="1" applyProtection="1">
      <alignment horizontal="center" vertical="center"/>
    </xf>
    <xf numFmtId="177" fontId="26" fillId="7" borderId="11" xfId="1" applyNumberFormat="1" applyFont="1" applyFill="1" applyBorder="1" applyAlignment="1" applyProtection="1">
      <alignment horizontal="center" vertical="center"/>
    </xf>
    <xf numFmtId="177" fontId="28" fillId="64" borderId="11" xfId="1" applyNumberFormat="1" applyFont="1" applyFill="1" applyBorder="1" applyAlignment="1" applyProtection="1">
      <alignment horizontal="center" vertical="center"/>
    </xf>
    <xf numFmtId="177" fontId="26" fillId="7" borderId="12" xfId="1" applyNumberFormat="1" applyFont="1" applyFill="1" applyBorder="1" applyAlignment="1" applyProtection="1">
      <alignment horizontal="center" vertical="center"/>
    </xf>
    <xf numFmtId="1" fontId="26" fillId="7" borderId="12" xfId="1" applyNumberFormat="1" applyFont="1" applyFill="1" applyBorder="1" applyAlignment="1" applyProtection="1">
      <alignment horizontal="center" vertical="center"/>
    </xf>
    <xf numFmtId="177" fontId="25" fillId="0" borderId="21" xfId="0" applyNumberFormat="1" applyFont="1" applyBorder="1" applyAlignment="1">
      <alignment horizontal="left" vertical="center"/>
    </xf>
    <xf numFmtId="177" fontId="25" fillId="0" borderId="17" xfId="1" applyNumberFormat="1" applyFont="1" applyFill="1" applyBorder="1" applyAlignment="1" applyProtection="1">
      <alignment vertical="center"/>
    </xf>
    <xf numFmtId="1" fontId="106" fillId="0" borderId="21" xfId="1" applyNumberFormat="1" applyFont="1" applyFill="1" applyBorder="1" applyAlignment="1" applyProtection="1">
      <alignment vertical="center"/>
    </xf>
    <xf numFmtId="184" fontId="106" fillId="0" borderId="21" xfId="1" applyNumberFormat="1" applyFont="1" applyFill="1" applyBorder="1" applyAlignment="1" applyProtection="1">
      <alignment vertical="center"/>
    </xf>
    <xf numFmtId="177" fontId="25" fillId="0" borderId="21" xfId="1" applyNumberFormat="1" applyFont="1" applyFill="1" applyBorder="1" applyAlignment="1" applyProtection="1">
      <alignment vertical="center"/>
    </xf>
    <xf numFmtId="0" fontId="28" fillId="0" borderId="20" xfId="1" applyNumberFormat="1" applyFont="1" applyFill="1" applyBorder="1" applyAlignment="1" applyProtection="1">
      <alignment horizontal="right" vertical="center"/>
    </xf>
    <xf numFmtId="1" fontId="25" fillId="0" borderId="21" xfId="1" applyNumberFormat="1" applyFont="1" applyFill="1" applyBorder="1" applyAlignment="1" applyProtection="1">
      <alignment vertical="center"/>
    </xf>
    <xf numFmtId="0" fontId="29" fillId="0" borderId="20" xfId="1" applyNumberFormat="1" applyFont="1" applyFill="1" applyBorder="1" applyAlignment="1" applyProtection="1">
      <alignment horizontal="right" vertical="center"/>
    </xf>
    <xf numFmtId="0" fontId="25" fillId="0" borderId="339" xfId="0" applyFont="1" applyBorder="1" applyAlignment="1">
      <alignment vertical="center"/>
    </xf>
    <xf numFmtId="0" fontId="25" fillId="0" borderId="285" xfId="0" applyFont="1" applyBorder="1" applyAlignment="1">
      <alignment horizontal="left" vertical="center"/>
    </xf>
    <xf numFmtId="0" fontId="25" fillId="0" borderId="98" xfId="0" applyFont="1" applyBorder="1" applyAlignment="1">
      <alignment horizontal="left" vertical="center"/>
    </xf>
    <xf numFmtId="177" fontId="25" fillId="0" borderId="283" xfId="0" applyNumberFormat="1" applyFont="1" applyBorder="1" applyAlignment="1">
      <alignment horizontal="left" vertical="center"/>
    </xf>
    <xf numFmtId="177" fontId="25" fillId="0" borderId="284" xfId="0" applyNumberFormat="1" applyFont="1" applyBorder="1" applyAlignment="1">
      <alignment horizontal="left" vertical="center"/>
    </xf>
    <xf numFmtId="177" fontId="25" fillId="0" borderId="243" xfId="0" applyNumberFormat="1" applyFont="1" applyBorder="1" applyAlignment="1">
      <alignment vertical="center"/>
    </xf>
    <xf numFmtId="177" fontId="25" fillId="0" borderId="340" xfId="1" applyNumberFormat="1" applyFont="1" applyFill="1" applyBorder="1" applyAlignment="1" applyProtection="1">
      <alignment vertical="center"/>
    </xf>
    <xf numFmtId="1" fontId="25" fillId="0" borderId="341" xfId="1" applyNumberFormat="1" applyFont="1" applyFill="1" applyBorder="1" applyAlignment="1" applyProtection="1">
      <alignment vertical="center"/>
    </xf>
    <xf numFmtId="177" fontId="25" fillId="0" borderId="341" xfId="1" applyNumberFormat="1" applyFont="1" applyFill="1" applyBorder="1" applyAlignment="1" applyProtection="1">
      <alignment vertical="center"/>
    </xf>
    <xf numFmtId="0" fontId="29" fillId="0" borderId="342" xfId="0" applyFont="1" applyBorder="1" applyAlignment="1">
      <alignment horizontal="right" vertical="center"/>
    </xf>
    <xf numFmtId="0" fontId="29" fillId="0" borderId="343" xfId="1" applyNumberFormat="1" applyFont="1" applyFill="1" applyBorder="1" applyAlignment="1" applyProtection="1">
      <alignment horizontal="right" vertical="center"/>
    </xf>
    <xf numFmtId="177" fontId="26" fillId="0" borderId="17" xfId="0" applyNumberFormat="1" applyFont="1" applyBorder="1" applyAlignment="1">
      <alignment horizontal="left" vertical="center"/>
    </xf>
    <xf numFmtId="177" fontId="26" fillId="0" borderId="21" xfId="0" applyNumberFormat="1" applyFont="1" applyBorder="1" applyAlignment="1">
      <alignment horizontal="left" vertical="center"/>
    </xf>
    <xf numFmtId="1" fontId="26" fillId="0" borderId="21" xfId="1" applyNumberFormat="1" applyFont="1" applyFill="1" applyBorder="1" applyAlignment="1" applyProtection="1">
      <alignment vertical="center"/>
    </xf>
    <xf numFmtId="177" fontId="26" fillId="0" borderId="21" xfId="1" applyNumberFormat="1" applyFont="1" applyFill="1" applyBorder="1" applyAlignment="1" applyProtection="1">
      <alignment vertical="center"/>
    </xf>
    <xf numFmtId="4" fontId="25" fillId="0" borderId="101" xfId="0" applyNumberFormat="1" applyFont="1" applyBorder="1" applyAlignment="1">
      <alignment vertical="center"/>
    </xf>
    <xf numFmtId="4" fontId="25" fillId="0" borderId="344" xfId="0" applyNumberFormat="1" applyFont="1" applyBorder="1" applyAlignment="1">
      <alignment vertical="center"/>
    </xf>
    <xf numFmtId="0" fontId="25" fillId="0" borderId="342" xfId="0" applyFont="1" applyBorder="1" applyAlignment="1">
      <alignment horizontal="left" vertical="center"/>
    </xf>
    <xf numFmtId="0" fontId="25" fillId="0" borderId="345" xfId="0" applyFont="1" applyBorder="1" applyAlignment="1">
      <alignment horizontal="left" vertical="center"/>
    </xf>
    <xf numFmtId="177" fontId="25" fillId="0" borderId="340" xfId="0" applyNumberFormat="1" applyFont="1" applyBorder="1" applyAlignment="1">
      <alignment horizontal="left" vertical="center"/>
    </xf>
    <xf numFmtId="177" fontId="25" fillId="0" borderId="341" xfId="0" applyNumberFormat="1" applyFont="1" applyBorder="1" applyAlignment="1">
      <alignment horizontal="left" vertical="center"/>
    </xf>
    <xf numFmtId="177" fontId="25" fillId="0" borderId="346" xfId="0" applyNumberFormat="1" applyFont="1" applyBorder="1" applyAlignment="1">
      <alignment vertical="center"/>
    </xf>
    <xf numFmtId="0" fontId="25" fillId="0" borderId="347" xfId="0" applyFont="1" applyBorder="1" applyAlignment="1">
      <alignment vertical="center"/>
    </xf>
    <xf numFmtId="177" fontId="26" fillId="0" borderId="17" xfId="1" applyNumberFormat="1" applyFont="1" applyFill="1" applyBorder="1" applyAlignment="1" applyProtection="1">
      <alignment vertical="center"/>
    </xf>
    <xf numFmtId="4" fontId="25" fillId="0" borderId="50" xfId="0" applyNumberFormat="1" applyFont="1" applyBorder="1" applyAlignment="1">
      <alignment horizontal="left" vertical="center"/>
    </xf>
    <xf numFmtId="4" fontId="25" fillId="0" borderId="347" xfId="0" applyNumberFormat="1" applyFont="1" applyBorder="1" applyAlignment="1">
      <alignment horizontal="left" vertical="center"/>
    </xf>
    <xf numFmtId="0" fontId="25" fillId="0" borderId="342" xfId="0" applyFont="1" applyBorder="1" applyAlignment="1">
      <alignment horizontal="center" vertical="center"/>
    </xf>
    <xf numFmtId="0" fontId="25" fillId="0" borderId="347" xfId="0" applyFont="1" applyBorder="1" applyAlignment="1">
      <alignment horizontal="left" vertical="center"/>
    </xf>
    <xf numFmtId="4" fontId="25" fillId="0" borderId="50" xfId="0" applyNumberFormat="1" applyFont="1" applyBorder="1" applyAlignment="1">
      <alignment vertical="center"/>
    </xf>
    <xf numFmtId="4" fontId="26" fillId="0" borderId="50" xfId="0" applyNumberFormat="1" applyFont="1" applyBorder="1" applyAlignment="1">
      <alignment vertical="center"/>
    </xf>
    <xf numFmtId="0" fontId="26" fillId="0" borderId="348" xfId="0" applyFont="1" applyBorder="1" applyAlignment="1">
      <alignment vertical="center"/>
    </xf>
    <xf numFmtId="0" fontId="26" fillId="0" borderId="77" xfId="0" applyFont="1" applyBorder="1" applyAlignment="1">
      <alignment horizontal="left" vertical="center"/>
    </xf>
    <xf numFmtId="0" fontId="26" fillId="0" borderId="99" xfId="0" applyFont="1" applyBorder="1" applyAlignment="1">
      <alignment horizontal="left" vertical="center"/>
    </xf>
    <xf numFmtId="177" fontId="26" fillId="0" borderId="282" xfId="0" applyNumberFormat="1" applyFont="1" applyBorder="1" applyAlignment="1">
      <alignment horizontal="left" vertical="center"/>
    </xf>
    <xf numFmtId="177" fontId="26" fillId="0" borderId="74" xfId="0" applyNumberFormat="1" applyFont="1" applyBorder="1" applyAlignment="1">
      <alignment horizontal="left" vertical="center"/>
    </xf>
    <xf numFmtId="177" fontId="26" fillId="0" borderId="349" xfId="0" applyNumberFormat="1" applyFont="1" applyBorder="1" applyAlignment="1">
      <alignment vertical="center"/>
    </xf>
    <xf numFmtId="177" fontId="26" fillId="0" borderId="282" xfId="0" applyNumberFormat="1" applyFont="1" applyBorder="1" applyAlignment="1">
      <alignment vertical="center"/>
    </xf>
    <xf numFmtId="1" fontId="26" fillId="0" borderId="74" xfId="1" applyNumberFormat="1" applyFont="1" applyFill="1" applyBorder="1" applyAlignment="1" applyProtection="1">
      <alignment vertical="center"/>
    </xf>
    <xf numFmtId="177" fontId="26" fillId="0" borderId="74" xfId="1" applyNumberFormat="1" applyFont="1" applyFill="1" applyBorder="1" applyAlignment="1" applyProtection="1">
      <alignment vertical="center"/>
    </xf>
    <xf numFmtId="0" fontId="28" fillId="0" borderId="77" xfId="0" applyFont="1" applyBorder="1" applyAlignment="1">
      <alignment horizontal="right" vertical="center"/>
    </xf>
    <xf numFmtId="0" fontId="28" fillId="0" borderId="299" xfId="1" applyNumberFormat="1" applyFont="1" applyFill="1" applyBorder="1" applyAlignment="1" applyProtection="1">
      <alignment horizontal="right" vertical="center"/>
    </xf>
    <xf numFmtId="4" fontId="29" fillId="0" borderId="190" xfId="0" applyNumberFormat="1" applyFont="1" applyBorder="1" applyAlignment="1">
      <alignment horizontal="right" vertical="center"/>
    </xf>
    <xf numFmtId="177" fontId="25" fillId="0" borderId="22" xfId="1" applyNumberFormat="1" applyFont="1" applyFill="1" applyBorder="1" applyAlignment="1" applyProtection="1">
      <alignment vertical="center"/>
    </xf>
    <xf numFmtId="4" fontId="25" fillId="0" borderId="347" xfId="0" applyNumberFormat="1" applyFont="1" applyBorder="1" applyAlignment="1">
      <alignment vertical="center"/>
    </xf>
    <xf numFmtId="177" fontId="25" fillId="0" borderId="346" xfId="1" applyNumberFormat="1" applyFont="1" applyFill="1" applyBorder="1" applyAlignment="1" applyProtection="1">
      <alignment vertical="center"/>
    </xf>
    <xf numFmtId="4" fontId="29" fillId="0" borderId="350" xfId="0" applyNumberFormat="1" applyFont="1" applyBorder="1" applyAlignment="1">
      <alignment horizontal="right" vertical="center"/>
    </xf>
    <xf numFmtId="0" fontId="26" fillId="0" borderId="351" xfId="0" applyFont="1" applyBorder="1" applyAlignment="1">
      <alignment vertical="center"/>
    </xf>
    <xf numFmtId="0" fontId="26" fillId="0" borderId="78" xfId="0" applyFont="1" applyBorder="1" applyAlignment="1">
      <alignment horizontal="left" vertical="center"/>
    </xf>
    <xf numFmtId="0" fontId="26" fillId="0" borderId="97" xfId="0" applyFont="1" applyBorder="1" applyAlignment="1">
      <alignment horizontal="left" vertical="center"/>
    </xf>
    <xf numFmtId="177" fontId="26" fillId="0" borderId="346" xfId="0" applyNumberFormat="1" applyFont="1" applyBorder="1" applyAlignment="1">
      <alignment horizontal="left" vertical="center"/>
    </xf>
    <xf numFmtId="177" fontId="26" fillId="0" borderId="96" xfId="0" applyNumberFormat="1" applyFont="1" applyBorder="1" applyAlignment="1">
      <alignment horizontal="left" vertical="center"/>
    </xf>
    <xf numFmtId="177" fontId="26" fillId="0" borderId="24" xfId="0" applyNumberFormat="1" applyFont="1" applyBorder="1" applyAlignment="1">
      <alignment vertical="center"/>
    </xf>
    <xf numFmtId="177" fontId="26" fillId="0" borderId="346" xfId="0" applyNumberFormat="1" applyFont="1" applyBorder="1" applyAlignment="1">
      <alignment vertical="center"/>
    </xf>
    <xf numFmtId="1" fontId="26" fillId="0" borderId="96" xfId="1" applyNumberFormat="1" applyFont="1" applyFill="1" applyBorder="1" applyAlignment="1" applyProtection="1">
      <alignment vertical="center"/>
    </xf>
    <xf numFmtId="177" fontId="26" fillId="0" borderId="96" xfId="1" applyNumberFormat="1" applyFont="1" applyFill="1" applyBorder="1" applyAlignment="1" applyProtection="1">
      <alignment vertical="center"/>
    </xf>
    <xf numFmtId="0" fontId="28" fillId="0" borderId="78" xfId="0" applyFont="1" applyBorder="1" applyAlignment="1">
      <alignment horizontal="right" vertical="center"/>
    </xf>
    <xf numFmtId="0" fontId="28" fillId="0" borderId="126" xfId="1" applyNumberFormat="1" applyFont="1" applyFill="1" applyBorder="1" applyAlignment="1" applyProtection="1">
      <alignment horizontal="right" vertical="center"/>
    </xf>
    <xf numFmtId="177" fontId="25" fillId="0" borderId="30" xfId="0" applyNumberFormat="1" applyFont="1" applyBorder="1" applyAlignment="1">
      <alignment vertical="center"/>
    </xf>
    <xf numFmtId="4" fontId="26" fillId="0" borderId="348" xfId="0" applyNumberFormat="1" applyFont="1" applyBorder="1" applyAlignment="1">
      <alignment vertical="center"/>
    </xf>
    <xf numFmtId="1" fontId="25" fillId="0" borderId="17" xfId="1" applyNumberFormat="1" applyFont="1" applyFill="1" applyBorder="1" applyAlignment="1" applyProtection="1">
      <alignment vertical="center"/>
    </xf>
    <xf numFmtId="0" fontId="26" fillId="0" borderId="77" xfId="0" applyFont="1" applyBorder="1" applyAlignment="1">
      <alignment horizontal="center" vertical="center"/>
    </xf>
    <xf numFmtId="0" fontId="26" fillId="0" borderId="342" xfId="0" applyFont="1" applyBorder="1" applyAlignment="1">
      <alignment horizontal="left" vertical="center"/>
    </xf>
    <xf numFmtId="0" fontId="26" fillId="0" borderId="345" xfId="0" applyFont="1" applyBorder="1" applyAlignment="1">
      <alignment horizontal="left" vertical="center"/>
    </xf>
    <xf numFmtId="177" fontId="26" fillId="0" borderId="340" xfId="0" applyNumberFormat="1" applyFont="1" applyBorder="1" applyAlignment="1">
      <alignment horizontal="left" vertical="center"/>
    </xf>
    <xf numFmtId="177" fontId="26" fillId="0" borderId="341" xfId="0" applyNumberFormat="1" applyFont="1" applyBorder="1" applyAlignment="1">
      <alignment horizontal="left" vertical="center"/>
    </xf>
    <xf numFmtId="177" fontId="25" fillId="0" borderId="352" xfId="0" applyNumberFormat="1" applyFont="1" applyBorder="1" applyAlignment="1">
      <alignment vertical="center"/>
    </xf>
    <xf numFmtId="1" fontId="26" fillId="0" borderId="341" xfId="1" applyNumberFormat="1" applyFont="1" applyFill="1" applyBorder="1" applyAlignment="1" applyProtection="1">
      <alignment vertical="center"/>
    </xf>
    <xf numFmtId="177" fontId="26" fillId="0" borderId="341" xfId="1" applyNumberFormat="1" applyFont="1" applyFill="1" applyBorder="1" applyAlignment="1" applyProtection="1">
      <alignment vertical="center"/>
    </xf>
    <xf numFmtId="0" fontId="28" fillId="0" borderId="342" xfId="0" applyFont="1" applyBorder="1" applyAlignment="1">
      <alignment horizontal="right" vertical="center"/>
    </xf>
    <xf numFmtId="177" fontId="26" fillId="65" borderId="308" xfId="0" applyNumberFormat="1" applyFont="1" applyFill="1" applyBorder="1" applyAlignment="1">
      <alignment horizontal="left" vertical="center"/>
    </xf>
    <xf numFmtId="177" fontId="26" fillId="65" borderId="326" xfId="0" applyNumberFormat="1" applyFont="1" applyFill="1" applyBorder="1" applyAlignment="1">
      <alignment horizontal="left" vertical="center"/>
    </xf>
    <xf numFmtId="177" fontId="26" fillId="65" borderId="191" xfId="0" applyNumberFormat="1" applyFont="1" applyFill="1" applyBorder="1" applyAlignment="1">
      <alignment vertical="center"/>
    </xf>
    <xf numFmtId="177" fontId="26" fillId="65" borderId="34" xfId="0" applyNumberFormat="1" applyFont="1" applyFill="1" applyBorder="1" applyAlignment="1">
      <alignment vertical="center"/>
    </xf>
    <xf numFmtId="1" fontId="26" fillId="65" borderId="304" xfId="1" applyNumberFormat="1" applyFont="1" applyFill="1" applyBorder="1" applyAlignment="1" applyProtection="1">
      <alignment vertical="center"/>
    </xf>
    <xf numFmtId="177" fontId="26" fillId="65" borderId="304" xfId="1" applyNumberFormat="1" applyFont="1" applyFill="1" applyBorder="1" applyAlignment="1" applyProtection="1">
      <alignment vertical="center"/>
    </xf>
    <xf numFmtId="0" fontId="28" fillId="65" borderId="43" xfId="0" applyFont="1" applyFill="1" applyBorder="1" applyAlignment="1">
      <alignment horizontal="right" vertical="center"/>
    </xf>
    <xf numFmtId="0" fontId="28" fillId="65" borderId="297" xfId="1" applyNumberFormat="1" applyFont="1" applyFill="1" applyBorder="1" applyAlignment="1" applyProtection="1">
      <alignment horizontal="right" vertical="center"/>
    </xf>
    <xf numFmtId="0" fontId="27" fillId="3" borderId="0" xfId="0" applyFont="1" applyFill="1" applyAlignment="1">
      <alignment vertical="center"/>
    </xf>
    <xf numFmtId="0" fontId="27" fillId="3" borderId="0" xfId="0" applyFont="1" applyFill="1" applyAlignment="1">
      <alignment horizontal="left" vertical="center"/>
    </xf>
    <xf numFmtId="177" fontId="27" fillId="3" borderId="0" xfId="0" applyNumberFormat="1" applyFont="1" applyFill="1" applyAlignment="1">
      <alignment horizontal="left" vertical="center"/>
    </xf>
    <xf numFmtId="177" fontId="27" fillId="3" borderId="0" xfId="0" applyNumberFormat="1" applyFont="1" applyFill="1" applyAlignment="1">
      <alignment vertical="center"/>
    </xf>
    <xf numFmtId="177" fontId="27" fillId="3" borderId="0" xfId="1" applyNumberFormat="1" applyFont="1" applyFill="1" applyBorder="1" applyAlignment="1" applyProtection="1">
      <alignment vertical="center"/>
    </xf>
    <xf numFmtId="0" fontId="41" fillId="3" borderId="0" xfId="0" applyFont="1" applyFill="1"/>
    <xf numFmtId="177" fontId="41" fillId="48" borderId="0" xfId="0" applyNumberFormat="1" applyFont="1" applyFill="1"/>
    <xf numFmtId="0" fontId="47" fillId="3" borderId="0" xfId="0" applyFont="1" applyFill="1" applyAlignment="1">
      <alignment vertical="center"/>
    </xf>
    <xf numFmtId="0" fontId="47" fillId="3" borderId="0" xfId="0" applyFont="1" applyFill="1" applyAlignment="1">
      <alignment horizontal="left" vertical="center"/>
    </xf>
    <xf numFmtId="177" fontId="47" fillId="3" borderId="0" xfId="0" applyNumberFormat="1" applyFont="1" applyFill="1" applyAlignment="1">
      <alignment horizontal="left" vertical="center"/>
    </xf>
    <xf numFmtId="177" fontId="25" fillId="3" borderId="0" xfId="0" applyNumberFormat="1" applyFont="1" applyFill="1" applyAlignment="1">
      <alignment vertical="center"/>
    </xf>
    <xf numFmtId="0" fontId="33" fillId="3" borderId="0" xfId="0" applyFont="1" applyFill="1"/>
    <xf numFmtId="201" fontId="25" fillId="3" borderId="0" xfId="2" applyNumberFormat="1" applyFont="1" applyFill="1" applyBorder="1" applyAlignment="1" applyProtection="1">
      <alignment vertical="center"/>
    </xf>
    <xf numFmtId="177" fontId="47" fillId="3" borderId="0" xfId="1" applyNumberFormat="1" applyFont="1" applyFill="1" applyBorder="1" applyAlignment="1" applyProtection="1">
      <alignment vertical="center"/>
    </xf>
    <xf numFmtId="0" fontId="33" fillId="0" borderId="0" xfId="0" applyFont="1"/>
    <xf numFmtId="177" fontId="25" fillId="3" borderId="0" xfId="1" applyNumberFormat="1" applyFont="1" applyFill="1" applyBorder="1" applyAlignment="1" applyProtection="1">
      <alignment vertical="center"/>
    </xf>
    <xf numFmtId="0" fontId="39" fillId="0" borderId="0" xfId="0" applyFont="1" applyAlignment="1">
      <alignment vertical="center"/>
    </xf>
    <xf numFmtId="177" fontId="26" fillId="0" borderId="0" xfId="0" applyNumberFormat="1" applyFont="1" applyAlignment="1">
      <alignment horizontal="left" vertical="center"/>
    </xf>
    <xf numFmtId="1" fontId="26" fillId="0" borderId="0" xfId="1" applyNumberFormat="1" applyFont="1" applyFill="1" applyBorder="1" applyAlignment="1" applyProtection="1">
      <alignment vertical="center"/>
    </xf>
    <xf numFmtId="177" fontId="26" fillId="0" borderId="0" xfId="1" applyNumberFormat="1" applyFont="1" applyFill="1" applyBorder="1" applyAlignment="1" applyProtection="1">
      <alignment vertical="center"/>
    </xf>
    <xf numFmtId="49" fontId="39" fillId="0" borderId="50" xfId="0" applyNumberFormat="1" applyFont="1" applyBorder="1" applyAlignment="1">
      <alignment horizontal="right" vertical="center"/>
    </xf>
    <xf numFmtId="0" fontId="48" fillId="10" borderId="0" xfId="0" applyFont="1" applyFill="1" applyAlignment="1">
      <alignment horizontal="left" vertical="center"/>
    </xf>
    <xf numFmtId="0" fontId="48" fillId="10" borderId="78" xfId="0" applyFont="1" applyFill="1" applyBorder="1" applyAlignment="1">
      <alignment horizontal="left" vertical="center"/>
    </xf>
    <xf numFmtId="177" fontId="48" fillId="10" borderId="78" xfId="0" applyNumberFormat="1" applyFont="1" applyFill="1" applyBorder="1" applyAlignment="1">
      <alignment horizontal="left" vertical="center"/>
    </xf>
    <xf numFmtId="177" fontId="48" fillId="10" borderId="78" xfId="0" applyNumberFormat="1" applyFont="1" applyFill="1" applyBorder="1" applyAlignment="1">
      <alignment vertical="center"/>
    </xf>
    <xf numFmtId="1" fontId="48" fillId="10" borderId="78" xfId="1" applyNumberFormat="1" applyFont="1" applyFill="1" applyBorder="1" applyAlignment="1" applyProtection="1">
      <alignment vertical="center"/>
    </xf>
    <xf numFmtId="177" fontId="48" fillId="10" borderId="78" xfId="1" applyNumberFormat="1" applyFont="1" applyFill="1" applyBorder="1" applyAlignment="1" applyProtection="1">
      <alignment vertical="center"/>
    </xf>
    <xf numFmtId="0" fontId="55" fillId="10" borderId="78" xfId="0" applyFont="1" applyFill="1" applyBorder="1" applyAlignment="1">
      <alignment horizontal="right" vertical="center"/>
    </xf>
    <xf numFmtId="0" fontId="55" fillId="10" borderId="78" xfId="1" applyNumberFormat="1" applyFont="1" applyFill="1" applyBorder="1" applyAlignment="1" applyProtection="1">
      <alignment horizontal="right" vertical="center"/>
    </xf>
    <xf numFmtId="0" fontId="129" fillId="6" borderId="50" xfId="0" applyFont="1" applyFill="1" applyBorder="1" applyAlignment="1">
      <alignment vertical="center"/>
    </xf>
    <xf numFmtId="0" fontId="131" fillId="6" borderId="0" xfId="0" applyFont="1" applyFill="1" applyAlignment="1">
      <alignment horizontal="center" vertical="center"/>
    </xf>
    <xf numFmtId="0" fontId="131" fillId="6" borderId="16" xfId="0" applyFont="1" applyFill="1" applyBorder="1" applyAlignment="1">
      <alignment horizontal="left" vertical="center"/>
    </xf>
    <xf numFmtId="0" fontId="131" fillId="6" borderId="17" xfId="0" applyFont="1" applyFill="1" applyBorder="1" applyAlignment="1">
      <alignment horizontal="left" vertical="center"/>
    </xf>
    <xf numFmtId="0" fontId="131" fillId="6" borderId="21" xfId="0" applyFont="1" applyFill="1" applyBorder="1" applyAlignment="1">
      <alignment horizontal="left" vertical="center"/>
    </xf>
    <xf numFmtId="0" fontId="131" fillId="6" borderId="189" xfId="0" applyFont="1" applyFill="1" applyBorder="1" applyAlignment="1">
      <alignment vertical="center"/>
    </xf>
    <xf numFmtId="0" fontId="131" fillId="6" borderId="17" xfId="0" applyFont="1" applyFill="1" applyBorder="1" applyAlignment="1">
      <alignment vertical="center"/>
    </xf>
    <xf numFmtId="0" fontId="129" fillId="6" borderId="17" xfId="0" quotePrefix="1" applyFont="1" applyFill="1" applyBorder="1" applyAlignment="1">
      <alignment horizontal="center" vertical="center"/>
    </xf>
    <xf numFmtId="0" fontId="131" fillId="6" borderId="21" xfId="0" applyFont="1" applyFill="1" applyBorder="1" applyAlignment="1">
      <alignment vertical="center"/>
    </xf>
    <xf numFmtId="0" fontId="131" fillId="6" borderId="21" xfId="1" applyNumberFormat="1" applyFont="1" applyFill="1" applyBorder="1" applyAlignment="1" applyProtection="1">
      <alignment vertical="center"/>
    </xf>
    <xf numFmtId="0" fontId="131" fillId="6" borderId="0" xfId="0" applyFont="1" applyFill="1" applyAlignment="1">
      <alignment horizontal="right" vertical="center"/>
    </xf>
    <xf numFmtId="0" fontId="131" fillId="6" borderId="50" xfId="0" applyFont="1" applyFill="1" applyBorder="1" applyAlignment="1">
      <alignment horizontal="right" vertical="center"/>
    </xf>
    <xf numFmtId="0" fontId="131" fillId="0" borderId="0" xfId="1" applyNumberFormat="1" applyFont="1" applyFill="1" applyBorder="1" applyAlignment="1" applyProtection="1">
      <alignment vertical="center"/>
    </xf>
    <xf numFmtId="177" fontId="131" fillId="0" borderId="0" xfId="1" applyNumberFormat="1" applyFont="1" applyFill="1" applyBorder="1" applyAlignment="1" applyProtection="1">
      <alignment vertical="center"/>
    </xf>
    <xf numFmtId="177" fontId="27" fillId="0" borderId="21" xfId="1" applyNumberFormat="1" applyFont="1" applyFill="1" applyBorder="1" applyAlignment="1" applyProtection="1">
      <alignment vertical="center"/>
    </xf>
    <xf numFmtId="49" fontId="84" fillId="0" borderId="0" xfId="1" applyNumberFormat="1" applyFont="1" applyFill="1" applyBorder="1" applyAlignment="1" applyProtection="1">
      <alignment horizontal="right" vertical="center"/>
    </xf>
    <xf numFmtId="1" fontId="20" fillId="0" borderId="0" xfId="0" applyNumberFormat="1" applyFont="1" applyAlignment="1">
      <alignment vertical="center"/>
    </xf>
    <xf numFmtId="172" fontId="150" fillId="0" borderId="0" xfId="2" applyNumberFormat="1" applyFont="1"/>
    <xf numFmtId="172" fontId="150" fillId="9" borderId="0" xfId="2" applyNumberFormat="1" applyFont="1" applyFill="1"/>
    <xf numFmtId="172" fontId="27" fillId="0" borderId="0" xfId="2" applyNumberFormat="1" applyFont="1"/>
    <xf numFmtId="172" fontId="150" fillId="2" borderId="0" xfId="2" applyNumberFormat="1" applyFont="1" applyFill="1"/>
    <xf numFmtId="172" fontId="150" fillId="66" borderId="0" xfId="2" applyNumberFormat="1" applyFont="1" applyFill="1"/>
    <xf numFmtId="43" fontId="27" fillId="66" borderId="0" xfId="1" applyFont="1" applyFill="1" applyBorder="1" applyAlignment="1" applyProtection="1">
      <alignment vertical="center"/>
    </xf>
    <xf numFmtId="177" fontId="25" fillId="0" borderId="354" xfId="0" applyNumberFormat="1" applyFont="1" applyBorder="1" applyAlignment="1">
      <alignment vertical="center"/>
    </xf>
    <xf numFmtId="177" fontId="25" fillId="0" borderId="353" xfId="0" applyNumberFormat="1" applyFont="1" applyBorder="1" applyAlignment="1">
      <alignment vertical="center"/>
    </xf>
    <xf numFmtId="172" fontId="27" fillId="9" borderId="0" xfId="2" applyNumberFormat="1" applyFont="1" applyFill="1"/>
    <xf numFmtId="172" fontId="150" fillId="53" borderId="0" xfId="2" applyNumberFormat="1" applyFont="1" applyFill="1"/>
    <xf numFmtId="0" fontId="81" fillId="53" borderId="0" xfId="0" applyFont="1" applyFill="1" applyAlignment="1">
      <alignment horizontal="right"/>
    </xf>
    <xf numFmtId="43" fontId="27" fillId="53" borderId="0" xfId="1" applyFont="1" applyFill="1" applyBorder="1" applyAlignment="1" applyProtection="1">
      <alignment vertical="center"/>
    </xf>
    <xf numFmtId="0" fontId="37" fillId="53" borderId="0" xfId="0" applyFont="1" applyFill="1"/>
    <xf numFmtId="177" fontId="26" fillId="67" borderId="34" xfId="0" applyNumberFormat="1" applyFont="1" applyFill="1" applyBorder="1" applyAlignment="1">
      <alignment vertical="center"/>
    </xf>
    <xf numFmtId="0" fontId="81" fillId="59" borderId="0" xfId="0" applyFont="1" applyFill="1" applyAlignment="1">
      <alignment horizontal="right"/>
    </xf>
    <xf numFmtId="172" fontId="150" fillId="59" borderId="0" xfId="2" applyNumberFormat="1" applyFont="1" applyFill="1"/>
    <xf numFmtId="172" fontId="27" fillId="59" borderId="0" xfId="2" applyNumberFormat="1" applyFont="1" applyFill="1"/>
    <xf numFmtId="177" fontId="26" fillId="11" borderId="17" xfId="1" applyNumberFormat="1" applyFont="1" applyFill="1" applyBorder="1" applyAlignment="1" applyProtection="1">
      <alignment horizontal="center" vertical="center"/>
    </xf>
    <xf numFmtId="177" fontId="28" fillId="11" borderId="17" xfId="1" applyNumberFormat="1" applyFont="1" applyFill="1" applyBorder="1" applyAlignment="1" applyProtection="1">
      <alignment horizontal="center" vertical="center"/>
    </xf>
    <xf numFmtId="177" fontId="28" fillId="11" borderId="11" xfId="1" applyNumberFormat="1" applyFont="1" applyFill="1" applyBorder="1" applyAlignment="1" applyProtection="1">
      <alignment horizontal="center" vertical="center"/>
    </xf>
    <xf numFmtId="0" fontId="81" fillId="11" borderId="0" xfId="0" applyFont="1" applyFill="1" applyAlignment="1">
      <alignment horizontal="right"/>
    </xf>
    <xf numFmtId="172" fontId="150" fillId="11" borderId="0" xfId="2" applyNumberFormat="1" applyFont="1" applyFill="1"/>
    <xf numFmtId="0" fontId="81" fillId="9" borderId="0" xfId="0" applyFont="1" applyFill="1" applyAlignment="1">
      <alignment horizontal="right"/>
    </xf>
    <xf numFmtId="177" fontId="25" fillId="0" borderId="144" xfId="0" applyNumberFormat="1" applyFont="1" applyBorder="1" applyAlignment="1">
      <alignment vertical="center"/>
    </xf>
    <xf numFmtId="172" fontId="150" fillId="56" borderId="0" xfId="2" applyNumberFormat="1" applyFont="1" applyFill="1"/>
    <xf numFmtId="0" fontId="133" fillId="0" borderId="15" xfId="0" applyFont="1" applyBorder="1" applyAlignment="1">
      <alignment horizontal="center" vertical="center"/>
    </xf>
    <xf numFmtId="0" fontId="133" fillId="0" borderId="0" xfId="0" applyFont="1" applyAlignment="1">
      <alignment horizontal="center" vertical="center"/>
    </xf>
    <xf numFmtId="0" fontId="133" fillId="0" borderId="0" xfId="0" applyFont="1" applyAlignment="1">
      <alignment vertical="center"/>
    </xf>
    <xf numFmtId="177" fontId="133" fillId="0" borderId="21" xfId="0" applyNumberFormat="1" applyFont="1" applyBorder="1" applyAlignment="1">
      <alignment vertical="center"/>
    </xf>
    <xf numFmtId="0" fontId="161" fillId="0" borderId="17" xfId="27" applyFont="1" applyBorder="1">
      <alignment vertical="center"/>
    </xf>
    <xf numFmtId="0" fontId="133" fillId="0" borderId="17" xfId="27" applyFont="1" applyBorder="1">
      <alignment vertical="center"/>
    </xf>
    <xf numFmtId="195" fontId="133" fillId="0" borderId="17" xfId="27" applyNumberFormat="1" applyFont="1" applyBorder="1" applyAlignment="1">
      <alignment horizontal="center" vertical="center"/>
    </xf>
    <xf numFmtId="0" fontId="133" fillId="0" borderId="17" xfId="27" applyFont="1" applyBorder="1" applyAlignment="1">
      <alignment horizontal="center" vertical="center"/>
    </xf>
    <xf numFmtId="177" fontId="133" fillId="0" borderId="17" xfId="27" applyNumberFormat="1" applyFont="1" applyBorder="1" applyAlignment="1">
      <alignment horizontal="center" vertical="center"/>
    </xf>
    <xf numFmtId="177" fontId="133" fillId="0" borderId="17" xfId="27" applyNumberFormat="1" applyFont="1" applyBorder="1">
      <alignment vertical="center"/>
    </xf>
    <xf numFmtId="177" fontId="133" fillId="0" borderId="355" xfId="27" applyNumberFormat="1" applyFont="1" applyBorder="1" applyAlignment="1">
      <alignment vertical="center" wrapText="1"/>
    </xf>
    <xf numFmtId="0" fontId="133" fillId="0" borderId="357" xfId="0" applyFont="1" applyBorder="1" applyAlignment="1">
      <alignment vertical="center"/>
    </xf>
    <xf numFmtId="195" fontId="133" fillId="0" borderId="357" xfId="0" applyNumberFormat="1" applyFont="1" applyBorder="1" applyAlignment="1">
      <alignment horizontal="center" vertical="center"/>
    </xf>
    <xf numFmtId="0" fontId="133" fillId="0" borderId="357" xfId="0" applyFont="1" applyBorder="1" applyAlignment="1">
      <alignment horizontal="center" vertical="center"/>
    </xf>
    <xf numFmtId="177" fontId="133" fillId="0" borderId="357" xfId="0" applyNumberFormat="1" applyFont="1" applyBorder="1" applyAlignment="1">
      <alignment vertical="center"/>
    </xf>
    <xf numFmtId="177" fontId="133" fillId="0" borderId="356" xfId="0" applyNumberFormat="1" applyFont="1" applyBorder="1" applyAlignment="1">
      <alignment vertical="center"/>
    </xf>
    <xf numFmtId="195" fontId="103" fillId="0" borderId="17" xfId="0" applyNumberFormat="1" applyFont="1" applyBorder="1" applyAlignment="1">
      <alignment horizontal="center" vertical="center"/>
    </xf>
    <xf numFmtId="177" fontId="103" fillId="0" borderId="17" xfId="0" applyNumberFormat="1" applyFont="1" applyBorder="1" applyAlignment="1">
      <alignment vertical="center"/>
    </xf>
    <xf numFmtId="0" fontId="103" fillId="0" borderId="0" xfId="0" applyFont="1" applyAlignment="1">
      <alignment vertical="center" wrapText="1"/>
    </xf>
    <xf numFmtId="0" fontId="133" fillId="0" borderId="17" xfId="0" quotePrefix="1" applyFont="1" applyBorder="1" applyAlignment="1">
      <alignment horizontal="center" vertical="center"/>
    </xf>
    <xf numFmtId="0" fontId="133" fillId="0" borderId="358" xfId="0" applyFont="1" applyBorder="1" applyAlignment="1">
      <alignment vertical="center"/>
    </xf>
    <xf numFmtId="195" fontId="133" fillId="0" borderId="358" xfId="0" applyNumberFormat="1" applyFont="1" applyBorder="1" applyAlignment="1">
      <alignment horizontal="center" vertical="center"/>
    </xf>
    <xf numFmtId="0" fontId="133" fillId="0" borderId="358" xfId="0" applyFont="1" applyBorder="1" applyAlignment="1">
      <alignment horizontal="center" vertical="center"/>
    </xf>
    <xf numFmtId="177" fontId="133" fillId="0" borderId="358" xfId="0" applyNumberFormat="1" applyFont="1" applyBorder="1" applyAlignment="1">
      <alignment vertical="center"/>
    </xf>
    <xf numFmtId="0" fontId="26" fillId="9" borderId="0" xfId="0" applyFont="1" applyFill="1" applyAlignment="1">
      <alignment vertical="center"/>
    </xf>
    <xf numFmtId="0" fontId="25" fillId="9" borderId="0" xfId="0" applyFont="1" applyFill="1" applyAlignment="1">
      <alignment vertical="center"/>
    </xf>
    <xf numFmtId="0" fontId="25" fillId="0" borderId="1" xfId="0" applyFont="1" applyBorder="1" applyAlignment="1">
      <alignment horizontal="center"/>
    </xf>
    <xf numFmtId="177" fontId="26" fillId="0" borderId="257" xfId="0" applyNumberFormat="1" applyFont="1" applyBorder="1" applyAlignment="1">
      <alignment vertical="center"/>
    </xf>
    <xf numFmtId="39" fontId="25" fillId="3" borderId="144" xfId="19" applyNumberFormat="1" applyFont="1" applyFill="1" applyBorder="1" applyAlignment="1" applyProtection="1">
      <alignment vertical="center"/>
    </xf>
    <xf numFmtId="8" fontId="134" fillId="0" borderId="0" xfId="0" applyNumberFormat="1" applyFont="1"/>
    <xf numFmtId="177" fontId="25" fillId="0" borderId="346" xfId="1" applyNumberFormat="1" applyFont="1" applyFill="1" applyBorder="1" applyAlignment="1" applyProtection="1">
      <alignment horizontal="center" vertical="center"/>
    </xf>
    <xf numFmtId="177" fontId="25" fillId="0" borderId="346" xfId="0" applyNumberFormat="1" applyFont="1" applyBorder="1" applyAlignment="1">
      <alignment horizontal="right" vertical="center"/>
    </xf>
    <xf numFmtId="177" fontId="25" fillId="0" borderId="21" xfId="0" applyNumberFormat="1" applyFont="1" applyBorder="1" applyAlignment="1">
      <alignment horizontal="center" vertical="center"/>
    </xf>
    <xf numFmtId="177" fontId="25" fillId="0" borderId="17" xfId="0" applyNumberFormat="1" applyFont="1" applyBorder="1" applyAlignment="1">
      <alignment horizontal="center" vertical="center"/>
    </xf>
    <xf numFmtId="8" fontId="37" fillId="33" borderId="0" xfId="0" applyNumberFormat="1" applyFont="1" applyFill="1" applyAlignment="1">
      <alignment horizontal="right" vertical="top"/>
    </xf>
    <xf numFmtId="0" fontId="155" fillId="0" borderId="0" xfId="0" applyFont="1" applyAlignment="1">
      <alignment horizontal="center"/>
    </xf>
    <xf numFmtId="177" fontId="150" fillId="0" borderId="0" xfId="1" applyNumberFormat="1" applyFont="1" applyFill="1" applyBorder="1" applyAlignment="1" applyProtection="1"/>
    <xf numFmtId="49" fontId="155" fillId="0" borderId="0" xfId="1" applyNumberFormat="1" applyFont="1" applyFill="1" applyBorder="1" applyAlignment="1" applyProtection="1"/>
    <xf numFmtId="0" fontId="26" fillId="0" borderId="0" xfId="1" applyNumberFormat="1" applyFont="1" applyFill="1" applyBorder="1" applyAlignment="1" applyProtection="1"/>
    <xf numFmtId="177" fontId="48" fillId="0" borderId="0" xfId="1" applyNumberFormat="1" applyFont="1" applyFill="1" applyBorder="1" applyAlignment="1" applyProtection="1"/>
    <xf numFmtId="0" fontId="42" fillId="0" borderId="0" xfId="1" applyNumberFormat="1" applyFont="1" applyFill="1" applyBorder="1" applyAlignment="1" applyProtection="1"/>
    <xf numFmtId="0" fontId="26" fillId="7" borderId="276" xfId="0" applyFont="1" applyFill="1" applyBorder="1" applyAlignment="1">
      <alignment horizontal="center" vertical="center"/>
    </xf>
    <xf numFmtId="168" fontId="28" fillId="7" borderId="359" xfId="0" applyNumberFormat="1" applyFont="1" applyFill="1" applyBorder="1" applyAlignment="1">
      <alignment horizontal="center" vertical="center"/>
    </xf>
    <xf numFmtId="177" fontId="26" fillId="0" borderId="21" xfId="0" applyNumberFormat="1" applyFont="1" applyBorder="1" applyAlignment="1">
      <alignment horizontal="center" vertical="center"/>
    </xf>
    <xf numFmtId="0" fontId="26" fillId="0" borderId="21" xfId="0" applyFont="1" applyBorder="1" applyAlignment="1">
      <alignment horizontal="center" vertical="center"/>
    </xf>
    <xf numFmtId="0" fontId="26" fillId="0" borderId="21" xfId="0" applyFont="1" applyBorder="1" applyAlignment="1">
      <alignment horizontal="left" vertical="center"/>
    </xf>
    <xf numFmtId="0" fontId="25" fillId="0" borderId="21" xfId="0" applyFont="1" applyBorder="1" applyAlignment="1">
      <alignment horizontal="left" vertical="center"/>
    </xf>
    <xf numFmtId="0" fontId="26" fillId="0" borderId="290" xfId="0" applyFont="1" applyBorder="1" applyAlignment="1">
      <alignment horizontal="center" vertical="center"/>
    </xf>
    <xf numFmtId="0" fontId="26" fillId="0" borderId="325" xfId="0" applyFont="1" applyBorder="1" applyAlignment="1">
      <alignment horizontal="left" vertical="center"/>
    </xf>
    <xf numFmtId="177" fontId="26" fillId="0" borderId="325" xfId="0" applyNumberFormat="1" applyFont="1" applyBorder="1" applyAlignment="1">
      <alignment horizontal="left" vertical="center"/>
    </xf>
    <xf numFmtId="0" fontId="26" fillId="0" borderId="326" xfId="0" applyFont="1" applyBorder="1" applyAlignment="1">
      <alignment horizontal="left" vertical="center"/>
    </xf>
    <xf numFmtId="0" fontId="28" fillId="0" borderId="337" xfId="0" applyFont="1" applyBorder="1" applyAlignment="1">
      <alignment horizontal="right" vertical="center"/>
    </xf>
    <xf numFmtId="177" fontId="25" fillId="0" borderId="360" xfId="0" applyNumberFormat="1" applyFont="1" applyBorder="1" applyAlignment="1">
      <alignment horizontal="center" vertical="center"/>
    </xf>
    <xf numFmtId="177" fontId="26" fillId="0" borderId="197" xfId="0" applyNumberFormat="1" applyFont="1" applyBorder="1" applyAlignment="1">
      <alignment horizontal="left" vertical="center"/>
    </xf>
    <xf numFmtId="39" fontId="25" fillId="0" borderId="230" xfId="0" applyNumberFormat="1" applyFont="1" applyBorder="1"/>
    <xf numFmtId="177" fontId="26" fillId="7" borderId="197" xfId="0" applyNumberFormat="1" applyFont="1" applyFill="1" applyBorder="1" applyAlignment="1">
      <alignment horizontal="center" vertical="center"/>
    </xf>
    <xf numFmtId="39" fontId="25" fillId="0" borderId="0" xfId="0" applyNumberFormat="1" applyFont="1"/>
    <xf numFmtId="177" fontId="26" fillId="0" borderId="326" xfId="0" applyNumberFormat="1" applyFont="1" applyBorder="1" applyAlignment="1">
      <alignment horizontal="left" vertical="center"/>
    </xf>
    <xf numFmtId="0" fontId="25" fillId="0" borderId="21" xfId="0" applyFont="1" applyBorder="1" applyAlignment="1">
      <alignment horizontal="right" vertical="center"/>
    </xf>
    <xf numFmtId="177" fontId="26" fillId="0" borderId="326" xfId="0" applyNumberFormat="1" applyFont="1" applyBorder="1" applyAlignment="1">
      <alignment horizontal="right" vertical="center"/>
    </xf>
    <xf numFmtId="0" fontId="28" fillId="0" borderId="53" xfId="0" applyFont="1" applyBorder="1" applyAlignment="1">
      <alignment horizontal="right" vertical="center"/>
    </xf>
    <xf numFmtId="177" fontId="25" fillId="0" borderId="76" xfId="0" applyNumberFormat="1" applyFont="1" applyBorder="1"/>
    <xf numFmtId="177" fontId="25" fillId="0" borderId="361" xfId="0" applyNumberFormat="1" applyFont="1" applyBorder="1" applyAlignment="1">
      <alignment horizontal="center" vertical="center"/>
    </xf>
    <xf numFmtId="177" fontId="25" fillId="0" borderId="362" xfId="0" applyNumberFormat="1" applyFont="1" applyBorder="1" applyAlignment="1">
      <alignment horizontal="center" vertical="center"/>
    </xf>
    <xf numFmtId="177" fontId="29" fillId="0" borderId="21" xfId="0" applyNumberFormat="1" applyFont="1" applyBorder="1" applyAlignment="1">
      <alignment horizontal="right" vertical="center"/>
    </xf>
    <xf numFmtId="177" fontId="25" fillId="0" borderId="21" xfId="2" applyNumberFormat="1" applyFont="1" applyFill="1" applyBorder="1" applyAlignment="1" applyProtection="1"/>
    <xf numFmtId="177" fontId="26" fillId="0" borderId="363" xfId="2" applyNumberFormat="1" applyFont="1" applyFill="1" applyBorder="1" applyAlignment="1" applyProtection="1"/>
    <xf numFmtId="177" fontId="26" fillId="0" borderId="360" xfId="2" applyNumberFormat="1" applyFont="1" applyFill="1" applyBorder="1" applyAlignment="1" applyProtection="1"/>
    <xf numFmtId="177" fontId="26" fillId="0" borderId="21" xfId="2" applyNumberFormat="1" applyFont="1" applyFill="1" applyBorder="1" applyAlignment="1" applyProtection="1"/>
    <xf numFmtId="177" fontId="142" fillId="0" borderId="21" xfId="0" applyNumberFormat="1" applyFont="1" applyBorder="1" applyAlignment="1">
      <alignment horizontal="center" vertical="center"/>
    </xf>
    <xf numFmtId="0" fontId="26" fillId="7" borderId="290" xfId="0" applyFont="1" applyFill="1" applyBorder="1" applyAlignment="1">
      <alignment vertical="center"/>
    </xf>
    <xf numFmtId="0" fontId="26" fillId="7" borderId="257" xfId="0" applyFont="1" applyFill="1" applyBorder="1" applyAlignment="1">
      <alignment vertical="center"/>
    </xf>
    <xf numFmtId="177" fontId="26" fillId="7" borderId="326" xfId="0" applyNumberFormat="1" applyFont="1" applyFill="1" applyBorder="1" applyAlignment="1">
      <alignment vertical="center"/>
    </xf>
    <xf numFmtId="0" fontId="26" fillId="7" borderId="326" xfId="0" applyFont="1" applyFill="1" applyBorder="1" applyAlignment="1">
      <alignment vertical="center"/>
    </xf>
    <xf numFmtId="0" fontId="28" fillId="7" borderId="337" xfId="0" applyFont="1" applyFill="1" applyBorder="1" applyAlignment="1">
      <alignment horizontal="right" vertical="center"/>
    </xf>
    <xf numFmtId="43" fontId="27" fillId="3" borderId="0" xfId="0" applyNumberFormat="1" applyFont="1" applyFill="1"/>
    <xf numFmtId="0" fontId="47" fillId="3" borderId="0" xfId="0" applyFont="1" applyFill="1"/>
    <xf numFmtId="177" fontId="47" fillId="0" borderId="0" xfId="0" applyNumberFormat="1" applyFont="1" applyAlignment="1">
      <alignment horizontal="left" vertical="center"/>
    </xf>
    <xf numFmtId="0" fontId="34" fillId="6" borderId="0" xfId="0" applyFont="1" applyFill="1" applyAlignment="1">
      <alignment horizontal="left" vertical="center"/>
    </xf>
    <xf numFmtId="177" fontId="34" fillId="6" borderId="0" xfId="0" quotePrefix="1" applyNumberFormat="1" applyFont="1" applyFill="1" applyAlignment="1">
      <alignment horizontal="right" vertical="center"/>
    </xf>
    <xf numFmtId="177" fontId="34" fillId="6" borderId="0" xfId="0" applyNumberFormat="1" applyFont="1" applyFill="1" applyAlignment="1">
      <alignment horizontal="left" vertical="center"/>
    </xf>
    <xf numFmtId="0" fontId="164" fillId="6" borderId="0" xfId="0" applyFont="1" applyFill="1" applyAlignment="1">
      <alignment horizontal="right" vertical="center"/>
    </xf>
    <xf numFmtId="0" fontId="34" fillId="0" borderId="0" xfId="0" applyFont="1" applyAlignment="1">
      <alignment horizontal="left" vertical="center"/>
    </xf>
    <xf numFmtId="177" fontId="26" fillId="0" borderId="0" xfId="0" applyNumberFormat="1" applyFont="1" applyAlignment="1">
      <alignment horizontal="center"/>
    </xf>
    <xf numFmtId="0" fontId="47" fillId="0" borderId="0" xfId="0" applyFont="1" applyAlignment="1">
      <alignment horizontal="center"/>
    </xf>
    <xf numFmtId="177" fontId="42" fillId="0" borderId="0" xfId="0" applyNumberFormat="1" applyFont="1"/>
    <xf numFmtId="173" fontId="116" fillId="0" borderId="0" xfId="0" applyNumberFormat="1" applyFont="1"/>
    <xf numFmtId="0" fontId="42" fillId="0" borderId="0" xfId="0" applyFont="1"/>
    <xf numFmtId="0" fontId="167" fillId="0" borderId="0" xfId="0" applyFont="1"/>
    <xf numFmtId="41" fontId="0" fillId="0" borderId="0" xfId="0" applyNumberFormat="1"/>
    <xf numFmtId="0" fontId="169" fillId="68" borderId="365" xfId="0" applyFont="1" applyFill="1" applyBorder="1"/>
    <xf numFmtId="41" fontId="166" fillId="68" borderId="365" xfId="0" applyNumberFormat="1" applyFont="1" applyFill="1" applyBorder="1" applyAlignment="1">
      <alignment horizontal="center" vertical="center"/>
    </xf>
    <xf numFmtId="0" fontId="168" fillId="66" borderId="364" xfId="0" applyFont="1" applyFill="1" applyBorder="1"/>
    <xf numFmtId="0" fontId="166" fillId="66" borderId="364" xfId="0" applyFont="1" applyFill="1" applyBorder="1"/>
    <xf numFmtId="0" fontId="169" fillId="66" borderId="364" xfId="0" applyFont="1" applyFill="1" applyBorder="1"/>
    <xf numFmtId="171" fontId="166" fillId="66" borderId="364" xfId="0" applyNumberFormat="1" applyFont="1" applyFill="1" applyBorder="1" applyAlignment="1">
      <alignment horizontal="center"/>
    </xf>
    <xf numFmtId="0" fontId="167" fillId="0" borderId="15" xfId="0" applyFont="1" applyBorder="1"/>
    <xf numFmtId="41" fontId="0" fillId="0" borderId="355" xfId="0" applyNumberFormat="1" applyBorder="1"/>
    <xf numFmtId="0" fontId="168" fillId="68" borderId="254" xfId="0" applyFont="1" applyFill="1" applyBorder="1"/>
    <xf numFmtId="0" fontId="166" fillId="68" borderId="119" xfId="0" applyFont="1" applyFill="1" applyBorder="1"/>
    <xf numFmtId="0" fontId="169" fillId="68" borderId="119" xfId="0" applyFont="1" applyFill="1" applyBorder="1"/>
    <xf numFmtId="41" fontId="166" fillId="68" borderId="364" xfId="0" applyNumberFormat="1" applyFont="1" applyFill="1" applyBorder="1"/>
    <xf numFmtId="41" fontId="0" fillId="0" borderId="364" xfId="0" applyNumberFormat="1" applyBorder="1"/>
    <xf numFmtId="41" fontId="0" fillId="0" borderId="355" xfId="30" applyFont="1" applyBorder="1"/>
    <xf numFmtId="0" fontId="168" fillId="66" borderId="254" xfId="0" applyFont="1" applyFill="1" applyBorder="1"/>
    <xf numFmtId="0" fontId="168" fillId="66" borderId="119" xfId="0" applyFont="1" applyFill="1" applyBorder="1"/>
    <xf numFmtId="0" fontId="169" fillId="66" borderId="119" xfId="0" applyFont="1" applyFill="1" applyBorder="1"/>
    <xf numFmtId="41" fontId="166" fillId="66" borderId="364" xfId="0" applyNumberFormat="1" applyFont="1" applyFill="1" applyBorder="1"/>
    <xf numFmtId="0" fontId="168" fillId="68" borderId="119" xfId="0" applyFont="1" applyFill="1" applyBorder="1"/>
    <xf numFmtId="41" fontId="0" fillId="68" borderId="364" xfId="0" applyNumberFormat="1" applyFill="1" applyBorder="1"/>
    <xf numFmtId="0" fontId="168" fillId="66" borderId="254" xfId="0" applyFont="1" applyFill="1" applyBorder="1" applyAlignment="1">
      <alignment horizontal="left"/>
    </xf>
    <xf numFmtId="0" fontId="166" fillId="66" borderId="119" xfId="0" applyFont="1" applyFill="1" applyBorder="1"/>
    <xf numFmtId="41" fontId="0" fillId="66" borderId="364" xfId="0" applyNumberFormat="1" applyFill="1" applyBorder="1"/>
    <xf numFmtId="204" fontId="0" fillId="0" borderId="0" xfId="41" applyNumberFormat="1" applyFont="1"/>
    <xf numFmtId="41" fontId="167" fillId="0" borderId="0" xfId="0" applyNumberFormat="1" applyFont="1"/>
    <xf numFmtId="41" fontId="57" fillId="0" borderId="0" xfId="30" applyFont="1" applyFill="1" applyAlignment="1"/>
    <xf numFmtId="0" fontId="0" fillId="0" borderId="0" xfId="0" applyProtection="1">
      <protection hidden="1"/>
    </xf>
    <xf numFmtId="41" fontId="0" fillId="0" borderId="0" xfId="30" applyFont="1" applyProtection="1">
      <protection hidden="1"/>
    </xf>
    <xf numFmtId="0" fontId="169" fillId="0" borderId="20" xfId="0" applyFont="1" applyBorder="1" applyProtection="1">
      <protection hidden="1"/>
    </xf>
    <xf numFmtId="0" fontId="166" fillId="68" borderId="254" xfId="0" applyFont="1" applyFill="1" applyBorder="1" applyAlignment="1" applyProtection="1">
      <alignment horizontal="center"/>
      <protection hidden="1"/>
    </xf>
    <xf numFmtId="171" fontId="166" fillId="68" borderId="364" xfId="0" applyNumberFormat="1" applyFont="1" applyFill="1" applyBorder="1" applyAlignment="1" applyProtection="1">
      <alignment horizontal="center"/>
      <protection hidden="1"/>
    </xf>
    <xf numFmtId="0" fontId="171" fillId="0" borderId="20" xfId="0" applyFont="1" applyBorder="1" applyProtection="1">
      <protection hidden="1"/>
    </xf>
    <xf numFmtId="0" fontId="166" fillId="0" borderId="15" xfId="0" applyFont="1" applyBorder="1" applyProtection="1">
      <protection hidden="1"/>
    </xf>
    <xf numFmtId="41" fontId="0" fillId="0" borderId="365" xfId="0" applyNumberFormat="1" applyBorder="1" applyProtection="1">
      <protection hidden="1"/>
    </xf>
    <xf numFmtId="0" fontId="171" fillId="0" borderId="0" xfId="0" applyFont="1" applyProtection="1">
      <protection hidden="1"/>
    </xf>
    <xf numFmtId="41" fontId="0" fillId="0" borderId="355" xfId="0" applyNumberFormat="1" applyBorder="1" applyProtection="1">
      <protection hidden="1"/>
    </xf>
    <xf numFmtId="0" fontId="172" fillId="0" borderId="0" xfId="0" applyFont="1" applyProtection="1">
      <protection hidden="1"/>
    </xf>
    <xf numFmtId="0" fontId="0" fillId="0" borderId="15" xfId="0" applyBorder="1" applyProtection="1">
      <protection hidden="1"/>
    </xf>
    <xf numFmtId="41" fontId="0" fillId="0" borderId="0" xfId="0" applyNumberFormat="1" applyProtection="1">
      <protection hidden="1"/>
    </xf>
    <xf numFmtId="41" fontId="0" fillId="0" borderId="366" xfId="0" applyNumberFormat="1" applyBorder="1" applyProtection="1">
      <protection hidden="1"/>
    </xf>
    <xf numFmtId="41" fontId="0" fillId="0" borderId="367" xfId="0" applyNumberFormat="1" applyBorder="1" applyProtection="1">
      <protection hidden="1"/>
    </xf>
    <xf numFmtId="0" fontId="172" fillId="0" borderId="20" xfId="0" applyFont="1" applyBorder="1" applyProtection="1">
      <protection hidden="1"/>
    </xf>
    <xf numFmtId="0" fontId="173" fillId="66" borderId="254" xfId="0" applyFont="1" applyFill="1" applyBorder="1" applyProtection="1">
      <protection hidden="1"/>
    </xf>
    <xf numFmtId="41" fontId="166" fillId="66" borderId="364" xfId="0" applyNumberFormat="1" applyFont="1" applyFill="1" applyBorder="1" applyProtection="1">
      <protection hidden="1"/>
    </xf>
    <xf numFmtId="0" fontId="166" fillId="68" borderId="254" xfId="0" applyFont="1" applyFill="1" applyBorder="1" applyProtection="1">
      <protection hidden="1"/>
    </xf>
    <xf numFmtId="41" fontId="166" fillId="68" borderId="364" xfId="0" applyNumberFormat="1" applyFont="1" applyFill="1" applyBorder="1" applyProtection="1">
      <protection hidden="1"/>
    </xf>
    <xf numFmtId="0" fontId="166" fillId="66" borderId="254" xfId="0" applyFont="1" applyFill="1" applyBorder="1" applyProtection="1">
      <protection hidden="1"/>
    </xf>
    <xf numFmtId="0" fontId="167" fillId="0" borderId="20" xfId="0" applyFont="1" applyBorder="1" applyProtection="1">
      <protection hidden="1"/>
    </xf>
    <xf numFmtId="0" fontId="167" fillId="0" borderId="0" xfId="0" applyFont="1" applyProtection="1">
      <protection hidden="1"/>
    </xf>
    <xf numFmtId="0" fontId="85" fillId="6" borderId="0" xfId="0" applyFont="1" applyFill="1" applyAlignment="1">
      <alignment vertical="center"/>
    </xf>
    <xf numFmtId="0" fontId="25" fillId="47" borderId="0" xfId="0" applyFont="1" applyFill="1" applyAlignment="1">
      <alignment vertical="center"/>
    </xf>
    <xf numFmtId="38" fontId="25" fillId="47" borderId="0" xfId="0" applyNumberFormat="1" applyFont="1" applyFill="1" applyAlignment="1">
      <alignment vertical="center"/>
    </xf>
    <xf numFmtId="175" fontId="25" fillId="47" borderId="0" xfId="0" applyNumberFormat="1" applyFont="1" applyFill="1" applyAlignment="1">
      <alignment vertical="center"/>
    </xf>
    <xf numFmtId="175" fontId="25" fillId="47" borderId="78" xfId="0" applyNumberFormat="1" applyFont="1" applyFill="1" applyBorder="1" applyAlignment="1">
      <alignment vertical="center"/>
    </xf>
    <xf numFmtId="177" fontId="26" fillId="47" borderId="0" xfId="0" applyNumberFormat="1" applyFont="1" applyFill="1" applyAlignment="1">
      <alignment vertical="center"/>
    </xf>
    <xf numFmtId="0" fontId="25" fillId="47" borderId="0" xfId="0" applyFont="1" applyFill="1" applyAlignment="1">
      <alignment horizontal="left" vertical="center"/>
    </xf>
    <xf numFmtId="0" fontId="58" fillId="47" borderId="0" xfId="0" applyFont="1" applyFill="1" applyAlignment="1">
      <alignment vertical="center"/>
    </xf>
    <xf numFmtId="4" fontId="59" fillId="47" borderId="0" xfId="0" applyNumberFormat="1" applyFont="1" applyFill="1" applyAlignment="1">
      <alignment vertical="center"/>
    </xf>
    <xf numFmtId="0" fontId="58" fillId="47" borderId="54" xfId="0" applyFont="1" applyFill="1" applyBorder="1" applyAlignment="1">
      <alignment vertical="center"/>
    </xf>
    <xf numFmtId="4" fontId="59" fillId="47" borderId="54" xfId="0" applyNumberFormat="1" applyFont="1" applyFill="1" applyBorder="1" applyAlignment="1">
      <alignment vertical="center"/>
    </xf>
    <xf numFmtId="177" fontId="103" fillId="41" borderId="282" xfId="0" applyNumberFormat="1" applyFont="1" applyFill="1" applyBorder="1" applyAlignment="1">
      <alignment horizontal="center" vertical="center"/>
    </xf>
    <xf numFmtId="0" fontId="103" fillId="41" borderId="368" xfId="0" applyFont="1" applyFill="1" applyBorder="1" applyAlignment="1">
      <alignment vertical="center"/>
    </xf>
    <xf numFmtId="49" fontId="103" fillId="41" borderId="368" xfId="0" applyNumberFormat="1" applyFont="1" applyFill="1" applyBorder="1" applyAlignment="1">
      <alignment horizontal="center" vertical="center"/>
    </xf>
    <xf numFmtId="195" fontId="103" fillId="41" borderId="368" xfId="0" applyNumberFormat="1" applyFont="1" applyFill="1" applyBorder="1" applyAlignment="1">
      <alignment horizontal="center" vertical="center"/>
    </xf>
    <xf numFmtId="177" fontId="103" fillId="41" borderId="368" xfId="0" applyNumberFormat="1" applyFont="1" applyFill="1" applyBorder="1" applyAlignment="1">
      <alignment horizontal="center" vertical="center"/>
    </xf>
    <xf numFmtId="177" fontId="103" fillId="41" borderId="359" xfId="0" applyNumberFormat="1" applyFont="1" applyFill="1" applyBorder="1" applyAlignment="1">
      <alignment horizontal="center" vertical="center"/>
    </xf>
    <xf numFmtId="177" fontId="104" fillId="41" borderId="368" xfId="0" applyNumberFormat="1" applyFont="1" applyFill="1" applyBorder="1" applyAlignment="1">
      <alignment horizontal="center" vertical="center"/>
    </xf>
    <xf numFmtId="49" fontId="103" fillId="3" borderId="230" xfId="0" applyNumberFormat="1" applyFont="1" applyFill="1" applyBorder="1" applyAlignment="1">
      <alignment horizontal="left" vertical="center"/>
    </xf>
    <xf numFmtId="177" fontId="133" fillId="9" borderId="17" xfId="0" applyNumberFormat="1" applyFont="1" applyFill="1" applyBorder="1" applyAlignment="1">
      <alignment vertical="center"/>
    </xf>
    <xf numFmtId="177" fontId="133" fillId="9" borderId="190" xfId="0" applyNumberFormat="1" applyFont="1" applyFill="1" applyBorder="1" applyAlignment="1">
      <alignment vertical="center"/>
    </xf>
    <xf numFmtId="188" fontId="59" fillId="43" borderId="308" xfId="1" applyNumberFormat="1" applyFont="1" applyFill="1" applyBorder="1" applyAlignment="1">
      <alignment vertical="center"/>
    </xf>
    <xf numFmtId="188" fontId="59" fillId="43" borderId="308" xfId="1" applyNumberFormat="1" applyFont="1" applyFill="1" applyBorder="1" applyAlignment="1">
      <alignment horizontal="center" vertical="center"/>
    </xf>
    <xf numFmtId="173" fontId="25" fillId="0" borderId="21" xfId="0" applyNumberFormat="1" applyFont="1" applyBorder="1"/>
    <xf numFmtId="177" fontId="58" fillId="9" borderId="0" xfId="0" applyNumberFormat="1" applyFont="1" applyFill="1" applyAlignment="1">
      <alignment vertical="center"/>
    </xf>
    <xf numFmtId="0" fontId="25" fillId="9" borderId="0" xfId="0" applyFont="1" applyFill="1" applyAlignment="1">
      <alignment horizontal="left" vertical="center"/>
    </xf>
    <xf numFmtId="177" fontId="25" fillId="9" borderId="17" xfId="0" applyNumberFormat="1" applyFont="1" applyFill="1" applyBorder="1" applyAlignment="1">
      <alignment horizontal="left" vertical="center"/>
    </xf>
    <xf numFmtId="177" fontId="25" fillId="9" borderId="17" xfId="0" applyNumberFormat="1" applyFont="1" applyFill="1" applyBorder="1" applyAlignment="1">
      <alignment vertical="center"/>
    </xf>
    <xf numFmtId="0" fontId="0" fillId="3" borderId="0" xfId="0" applyFill="1"/>
    <xf numFmtId="8" fontId="36" fillId="0" borderId="0" xfId="0" applyNumberFormat="1" applyFont="1"/>
    <xf numFmtId="8" fontId="37" fillId="0" borderId="0" xfId="0" applyNumberFormat="1" applyFont="1"/>
    <xf numFmtId="43" fontId="58" fillId="3" borderId="0" xfId="0" applyNumberFormat="1" applyFont="1" applyFill="1" applyAlignment="1">
      <alignment vertical="center"/>
    </xf>
    <xf numFmtId="49" fontId="59" fillId="57" borderId="119" xfId="16" applyNumberFormat="1" applyFont="1" applyFill="1" applyBorder="1" applyAlignment="1">
      <alignment horizontal="center" vertical="center"/>
    </xf>
    <xf numFmtId="49" fontId="59" fillId="57" borderId="121" xfId="16" applyNumberFormat="1" applyFont="1" applyFill="1" applyBorder="1" applyAlignment="1">
      <alignment horizontal="center" vertical="center"/>
    </xf>
    <xf numFmtId="192" fontId="59" fillId="57" borderId="164" xfId="16" applyNumberFormat="1" applyFont="1" applyFill="1" applyBorder="1" applyAlignment="1">
      <alignment vertical="center"/>
    </xf>
    <xf numFmtId="192" fontId="59" fillId="57" borderId="165" xfId="16" applyNumberFormat="1" applyFont="1" applyFill="1" applyBorder="1" applyAlignment="1">
      <alignment vertical="center"/>
    </xf>
    <xf numFmtId="185" fontId="59" fillId="25" borderId="166" xfId="16" applyNumberFormat="1" applyFont="1" applyFill="1" applyBorder="1" applyAlignment="1">
      <alignment horizontal="left" vertical="center"/>
    </xf>
    <xf numFmtId="185" fontId="77" fillId="25" borderId="169" xfId="16" applyNumberFormat="1" applyFont="1" applyFill="1" applyBorder="1" applyAlignment="1">
      <alignment horizontal="left" vertical="center"/>
    </xf>
    <xf numFmtId="49" fontId="59" fillId="57" borderId="67" xfId="16" applyNumberFormat="1" applyFont="1" applyFill="1" applyBorder="1" applyAlignment="1">
      <alignment horizontal="left" vertical="center"/>
    </xf>
    <xf numFmtId="185" fontId="110" fillId="26" borderId="180" xfId="16" applyNumberFormat="1" applyFont="1" applyFill="1" applyBorder="1" applyAlignment="1">
      <alignment horizontal="left" vertical="center"/>
    </xf>
    <xf numFmtId="185" fontId="59" fillId="26" borderId="131" xfId="16" applyNumberFormat="1" applyFont="1" applyFill="1" applyBorder="1" applyAlignment="1">
      <alignment horizontal="left" vertical="center"/>
    </xf>
    <xf numFmtId="185" fontId="65" fillId="26" borderId="180" xfId="16" applyNumberFormat="1" applyFont="1" applyFill="1" applyBorder="1" applyAlignment="1">
      <alignment horizontal="left" vertical="center"/>
    </xf>
    <xf numFmtId="49" fontId="59" fillId="3" borderId="254" xfId="16" applyNumberFormat="1" applyFont="1" applyFill="1" applyBorder="1" applyAlignment="1">
      <alignment horizontal="left" vertical="center"/>
    </xf>
    <xf numFmtId="0" fontId="24" fillId="0" borderId="0" xfId="4" applyFont="1"/>
    <xf numFmtId="49" fontId="175" fillId="0" borderId="0" xfId="6" applyNumberFormat="1" applyFont="1" applyFill="1" applyBorder="1" applyAlignment="1"/>
    <xf numFmtId="0" fontId="176" fillId="0" borderId="0" xfId="4" applyFont="1" applyAlignment="1">
      <alignment vertical="center"/>
    </xf>
    <xf numFmtId="49" fontId="10" fillId="0" borderId="0" xfId="6" applyNumberFormat="1" applyFont="1" applyFill="1" applyBorder="1" applyAlignment="1"/>
    <xf numFmtId="168" fontId="24" fillId="0" borderId="0" xfId="4" applyNumberFormat="1" applyFont="1" applyAlignment="1">
      <alignment vertical="center"/>
    </xf>
    <xf numFmtId="169" fontId="11" fillId="0" borderId="0" xfId="4" applyNumberFormat="1" applyFont="1"/>
    <xf numFmtId="170" fontId="24" fillId="0" borderId="0" xfId="4" applyNumberFormat="1" applyFont="1"/>
    <xf numFmtId="49" fontId="17" fillId="0" borderId="0" xfId="6" applyNumberFormat="1" applyFont="1" applyFill="1" applyBorder="1" applyAlignment="1"/>
    <xf numFmtId="2" fontId="18" fillId="5" borderId="0" xfId="4" applyNumberFormat="1" applyFont="1" applyFill="1" applyAlignment="1">
      <alignment horizontal="right" vertical="center"/>
    </xf>
    <xf numFmtId="204" fontId="133" fillId="3" borderId="17" xfId="1" applyNumberFormat="1" applyFont="1" applyFill="1" applyBorder="1" applyAlignment="1">
      <alignment vertical="center"/>
    </xf>
    <xf numFmtId="0" fontId="58" fillId="9" borderId="16" xfId="0" applyFont="1" applyFill="1" applyBorder="1" applyAlignment="1">
      <alignment vertical="center"/>
    </xf>
    <xf numFmtId="0" fontId="59" fillId="9" borderId="17" xfId="0" applyFont="1" applyFill="1" applyBorder="1" applyAlignment="1">
      <alignment vertical="center"/>
    </xf>
    <xf numFmtId="195" fontId="59" fillId="9" borderId="17" xfId="0" applyNumberFormat="1" applyFont="1" applyFill="1" applyBorder="1" applyAlignment="1">
      <alignment horizontal="center" vertical="center"/>
    </xf>
    <xf numFmtId="0" fontId="59" fillId="9" borderId="17" xfId="0" applyFont="1" applyFill="1" applyBorder="1" applyAlignment="1">
      <alignment horizontal="center" vertical="center"/>
    </xf>
    <xf numFmtId="177" fontId="59" fillId="9" borderId="17" xfId="0" applyNumberFormat="1" applyFont="1" applyFill="1" applyBorder="1" applyAlignment="1">
      <alignment vertical="center"/>
    </xf>
    <xf numFmtId="177" fontId="58" fillId="9" borderId="17" xfId="0" applyNumberFormat="1" applyFont="1" applyFill="1" applyBorder="1" applyAlignment="1">
      <alignment vertical="center"/>
    </xf>
    <xf numFmtId="177" fontId="133" fillId="9" borderId="17" xfId="27" applyNumberFormat="1" applyFont="1" applyFill="1" applyBorder="1">
      <alignment vertical="center"/>
    </xf>
    <xf numFmtId="173" fontId="58" fillId="3" borderId="108" xfId="1" applyNumberFormat="1" applyFont="1" applyFill="1" applyBorder="1" applyAlignment="1">
      <alignment horizontal="left" vertical="center"/>
    </xf>
    <xf numFmtId="177" fontId="25" fillId="0" borderId="144" xfId="0" applyNumberFormat="1" applyFont="1" applyBorder="1" applyAlignment="1">
      <alignment horizontal="right" vertical="center"/>
    </xf>
    <xf numFmtId="164" fontId="26" fillId="26" borderId="132" xfId="1" applyNumberFormat="1" applyFont="1" applyFill="1" applyBorder="1" applyAlignment="1" applyProtection="1">
      <alignment horizontal="center" vertical="center"/>
    </xf>
    <xf numFmtId="204" fontId="0" fillId="0" borderId="0" xfId="1" applyNumberFormat="1" applyFont="1"/>
    <xf numFmtId="204" fontId="0" fillId="4" borderId="0" xfId="1" applyNumberFormat="1" applyFont="1" applyFill="1"/>
    <xf numFmtId="8" fontId="37" fillId="0" borderId="0" xfId="0" applyNumberFormat="1" applyFont="1" applyAlignment="1">
      <alignment horizontal="right" vertical="top"/>
    </xf>
    <xf numFmtId="204" fontId="134" fillId="0" borderId="0" xfId="1" applyNumberFormat="1" applyFont="1" applyFill="1"/>
    <xf numFmtId="49" fontId="26" fillId="0" borderId="127" xfId="0" applyNumberFormat="1" applyFont="1" applyBorder="1" applyAlignment="1">
      <alignment horizontal="center" vertical="center"/>
    </xf>
    <xf numFmtId="204" fontId="0" fillId="0" borderId="0" xfId="1" applyNumberFormat="1" applyFont="1" applyFill="1"/>
    <xf numFmtId="177" fontId="25" fillId="0" borderId="371" xfId="0" applyNumberFormat="1" applyFont="1" applyBorder="1"/>
    <xf numFmtId="177" fontId="25" fillId="0" borderId="372" xfId="0" applyNumberFormat="1" applyFont="1" applyBorder="1" applyAlignment="1">
      <alignment horizontal="center" vertical="center"/>
    </xf>
    <xf numFmtId="0" fontId="103" fillId="0" borderId="193" xfId="0" applyFont="1" applyBorder="1" applyAlignment="1">
      <alignment horizontal="center" vertical="center"/>
    </xf>
    <xf numFmtId="0" fontId="133" fillId="3" borderId="194" xfId="0" applyFont="1" applyFill="1" applyBorder="1" applyAlignment="1">
      <alignment horizontal="center" vertical="center"/>
    </xf>
    <xf numFmtId="0" fontId="133" fillId="9" borderId="194" xfId="0" applyFont="1" applyFill="1" applyBorder="1" applyAlignment="1">
      <alignment vertical="center"/>
    </xf>
    <xf numFmtId="195" fontId="133" fillId="9" borderId="194" xfId="0" applyNumberFormat="1" applyFont="1" applyFill="1" applyBorder="1" applyAlignment="1">
      <alignment horizontal="center" vertical="center"/>
    </xf>
    <xf numFmtId="0" fontId="133" fillId="9" borderId="194" xfId="0" applyFont="1" applyFill="1" applyBorder="1" applyAlignment="1">
      <alignment horizontal="center" vertical="center"/>
    </xf>
    <xf numFmtId="177" fontId="133" fillId="9" borderId="194" xfId="0" applyNumberFormat="1" applyFont="1" applyFill="1" applyBorder="1" applyAlignment="1">
      <alignment vertical="center"/>
    </xf>
    <xf numFmtId="195" fontId="133" fillId="9" borderId="308" xfId="0" applyNumberFormat="1" applyFont="1" applyFill="1" applyBorder="1" applyAlignment="1">
      <alignment horizontal="center" vertical="center"/>
    </xf>
    <xf numFmtId="0" fontId="133" fillId="9" borderId="308" xfId="0" applyFont="1" applyFill="1" applyBorder="1" applyAlignment="1">
      <alignment horizontal="center" vertical="center"/>
    </xf>
    <xf numFmtId="0" fontId="133" fillId="9" borderId="308" xfId="0" applyFont="1" applyFill="1" applyBorder="1" applyAlignment="1">
      <alignment vertical="center"/>
    </xf>
    <xf numFmtId="177" fontId="133" fillId="9" borderId="308" xfId="0" applyNumberFormat="1" applyFont="1" applyFill="1" applyBorder="1" applyAlignment="1">
      <alignment vertical="center"/>
    </xf>
    <xf numFmtId="168" fontId="28" fillId="7" borderId="12" xfId="1" applyNumberFormat="1" applyFont="1" applyFill="1" applyBorder="1" applyAlignment="1" applyProtection="1">
      <alignment horizontal="center" vertical="center"/>
    </xf>
    <xf numFmtId="43" fontId="25" fillId="0" borderId="375" xfId="1" applyFont="1" applyFill="1" applyBorder="1" applyAlignment="1" applyProtection="1">
      <alignment vertical="center"/>
    </xf>
    <xf numFmtId="177" fontId="25" fillId="0" borderId="355" xfId="1" applyNumberFormat="1" applyFont="1" applyFill="1" applyBorder="1" applyAlignment="1" applyProtection="1">
      <alignment vertical="center"/>
    </xf>
    <xf numFmtId="177" fontId="25" fillId="0" borderId="376" xfId="1" applyNumberFormat="1" applyFont="1" applyFill="1" applyBorder="1" applyAlignment="1" applyProtection="1">
      <alignment vertical="center"/>
    </xf>
    <xf numFmtId="177" fontId="26" fillId="0" borderId="355" xfId="0" applyNumberFormat="1" applyFont="1" applyBorder="1" applyAlignment="1">
      <alignment vertical="center"/>
    </xf>
    <xf numFmtId="177" fontId="26" fillId="0" borderId="377" xfId="0" applyNumberFormat="1" applyFont="1" applyBorder="1" applyAlignment="1">
      <alignment vertical="center"/>
    </xf>
    <xf numFmtId="177" fontId="25" fillId="0" borderId="366" xfId="1" applyNumberFormat="1" applyFont="1" applyFill="1" applyBorder="1" applyAlignment="1" applyProtection="1">
      <alignment vertical="center"/>
    </xf>
    <xf numFmtId="177" fontId="26" fillId="0" borderId="366" xfId="0" applyNumberFormat="1" applyFont="1" applyBorder="1" applyAlignment="1">
      <alignment vertical="center"/>
    </xf>
    <xf numFmtId="177" fontId="25" fillId="3" borderId="376" xfId="1" applyNumberFormat="1" applyFont="1" applyFill="1" applyBorder="1" applyAlignment="1" applyProtection="1">
      <alignment vertical="center"/>
    </xf>
    <xf numFmtId="168" fontId="26" fillId="7" borderId="17" xfId="1" applyNumberFormat="1" applyFont="1" applyFill="1" applyBorder="1" applyAlignment="1" applyProtection="1">
      <alignment horizontal="center" vertical="center"/>
    </xf>
    <xf numFmtId="177" fontId="28" fillId="7" borderId="17" xfId="1" quotePrefix="1" applyNumberFormat="1" applyFont="1" applyFill="1" applyBorder="1" applyAlignment="1" applyProtection="1">
      <alignment vertical="center"/>
    </xf>
    <xf numFmtId="43" fontId="25" fillId="0" borderId="377" xfId="1" applyFont="1" applyFill="1" applyBorder="1" applyAlignment="1" applyProtection="1"/>
    <xf numFmtId="43" fontId="26" fillId="0" borderId="355" xfId="1" applyFont="1" applyFill="1" applyBorder="1" applyAlignment="1" applyProtection="1"/>
    <xf numFmtId="177" fontId="25" fillId="0" borderId="355" xfId="0" applyNumberFormat="1" applyFont="1" applyBorder="1"/>
    <xf numFmtId="177" fontId="25" fillId="0" borderId="355" xfId="1" applyNumberFormat="1" applyFont="1" applyFill="1" applyBorder="1" applyAlignment="1" applyProtection="1"/>
    <xf numFmtId="177" fontId="26" fillId="0" borderId="377" xfId="0" applyNumberFormat="1" applyFont="1" applyBorder="1"/>
    <xf numFmtId="177" fontId="26" fillId="0" borderId="355" xfId="1" applyNumberFormat="1" applyFont="1" applyFill="1" applyBorder="1" applyAlignment="1" applyProtection="1"/>
    <xf numFmtId="177" fontId="25" fillId="0" borderId="366" xfId="1" applyNumberFormat="1" applyFont="1" applyFill="1" applyBorder="1" applyAlignment="1" applyProtection="1"/>
    <xf numFmtId="177" fontId="26" fillId="0" borderId="355" xfId="0" applyNumberFormat="1" applyFont="1" applyBorder="1"/>
    <xf numFmtId="177" fontId="25" fillId="0" borderId="376" xfId="1" applyNumberFormat="1" applyFont="1" applyFill="1" applyBorder="1" applyAlignment="1" applyProtection="1"/>
    <xf numFmtId="177" fontId="26" fillId="0" borderId="378" xfId="0" applyNumberFormat="1" applyFont="1" applyBorder="1"/>
    <xf numFmtId="43" fontId="25" fillId="9" borderId="375" xfId="1" applyFont="1" applyFill="1" applyBorder="1" applyAlignment="1" applyProtection="1">
      <alignment horizontal="center"/>
    </xf>
    <xf numFmtId="168" fontId="25" fillId="9" borderId="355" xfId="1" applyNumberFormat="1" applyFont="1" applyFill="1" applyBorder="1" applyAlignment="1" applyProtection="1">
      <alignment horizontal="center"/>
    </xf>
    <xf numFmtId="177" fontId="25" fillId="0" borderId="379" xfId="1" applyNumberFormat="1" applyFont="1" applyFill="1" applyBorder="1" applyAlignment="1" applyProtection="1"/>
    <xf numFmtId="4" fontId="25" fillId="34" borderId="375" xfId="0" applyNumberFormat="1" applyFont="1" applyFill="1" applyBorder="1" applyAlignment="1">
      <alignment horizontal="center"/>
    </xf>
    <xf numFmtId="0" fontId="25" fillId="34" borderId="355" xfId="0" applyFont="1" applyFill="1" applyBorder="1"/>
    <xf numFmtId="2" fontId="18" fillId="0" borderId="0" xfId="4" applyNumberFormat="1" applyFont="1" applyAlignment="1">
      <alignment vertical="center"/>
    </xf>
    <xf numFmtId="0" fontId="19" fillId="0" borderId="0" xfId="4" applyFont="1" applyAlignment="1">
      <alignment horizontal="right" vertical="center"/>
    </xf>
    <xf numFmtId="0" fontId="106" fillId="3" borderId="144" xfId="16" applyFont="1" applyFill="1" applyBorder="1" applyAlignment="1">
      <alignment horizontal="center" vertical="center"/>
    </xf>
    <xf numFmtId="177" fontId="25" fillId="0" borderId="371" xfId="0" applyNumberFormat="1" applyFont="1" applyBorder="1" applyAlignment="1">
      <alignment vertical="center"/>
    </xf>
    <xf numFmtId="177" fontId="70" fillId="9" borderId="0" xfId="0" applyNumberFormat="1" applyFont="1" applyFill="1"/>
    <xf numFmtId="43" fontId="27" fillId="9" borderId="0" xfId="1" applyFont="1" applyFill="1" applyBorder="1" applyAlignment="1" applyProtection="1"/>
    <xf numFmtId="177" fontId="26" fillId="0" borderId="381" xfId="0" applyNumberFormat="1" applyFont="1" applyBorder="1" applyAlignment="1">
      <alignment vertical="center"/>
    </xf>
    <xf numFmtId="171" fontId="103" fillId="41" borderId="282" xfId="0" quotePrefix="1" applyNumberFormat="1" applyFont="1" applyFill="1" applyBorder="1" applyAlignment="1">
      <alignment horizontal="center" vertical="center"/>
    </xf>
    <xf numFmtId="166" fontId="103" fillId="41" borderId="282" xfId="0" quotePrefix="1" applyNumberFormat="1" applyFont="1" applyFill="1" applyBorder="1" applyAlignment="1">
      <alignment horizontal="center" vertical="center"/>
    </xf>
    <xf numFmtId="1" fontId="26" fillId="0" borderId="0" xfId="1" applyNumberFormat="1" applyFont="1" applyFill="1" applyBorder="1" applyAlignment="1" applyProtection="1">
      <alignment horizontal="left" vertical="center"/>
    </xf>
    <xf numFmtId="10" fontId="170" fillId="0" borderId="0" xfId="33" applyNumberFormat="1" applyFont="1"/>
    <xf numFmtId="0" fontId="19" fillId="0" borderId="0" xfId="1" applyNumberFormat="1" applyFont="1" applyFill="1" applyBorder="1" applyAlignment="1" applyProtection="1">
      <alignment horizontal="right" vertical="center"/>
    </xf>
    <xf numFmtId="0" fontId="56" fillId="6" borderId="0" xfId="2" applyNumberFormat="1" applyFont="1" applyFill="1" applyBorder="1" applyAlignment="1" applyProtection="1">
      <alignment horizontal="right" vertical="center"/>
    </xf>
    <xf numFmtId="177" fontId="47" fillId="0" borderId="0" xfId="0" applyNumberFormat="1" applyFont="1" applyAlignment="1">
      <alignment vertical="center"/>
    </xf>
    <xf numFmtId="177" fontId="42" fillId="9" borderId="0" xfId="0" applyNumberFormat="1" applyFont="1" applyFill="1" applyAlignment="1">
      <alignment vertical="center"/>
    </xf>
    <xf numFmtId="177" fontId="63" fillId="9" borderId="0" xfId="0" applyNumberFormat="1" applyFont="1" applyFill="1" applyAlignment="1">
      <alignment vertical="center"/>
    </xf>
    <xf numFmtId="43" fontId="26" fillId="9" borderId="375" xfId="1" applyFont="1" applyFill="1" applyBorder="1" applyAlignment="1" applyProtection="1">
      <alignment horizontal="center" vertical="center"/>
    </xf>
    <xf numFmtId="168" fontId="26" fillId="9" borderId="380" xfId="1" applyNumberFormat="1" applyFont="1" applyFill="1" applyBorder="1" applyAlignment="1" applyProtection="1">
      <alignment horizontal="center"/>
    </xf>
    <xf numFmtId="171" fontId="0" fillId="0" borderId="364" xfId="0" applyNumberFormat="1" applyBorder="1" applyAlignment="1">
      <alignment horizontal="center"/>
    </xf>
    <xf numFmtId="9" fontId="25" fillId="0" borderId="0" xfId="2" applyNumberFormat="1" applyFont="1" applyFill="1" applyAlignment="1">
      <alignment vertical="center"/>
    </xf>
    <xf numFmtId="177" fontId="133" fillId="3" borderId="382" xfId="0" applyNumberFormat="1" applyFont="1" applyFill="1" applyBorder="1" applyAlignment="1">
      <alignment vertical="center"/>
    </xf>
    <xf numFmtId="177" fontId="133" fillId="3" borderId="383" xfId="0" applyNumberFormat="1" applyFont="1" applyFill="1" applyBorder="1" applyAlignment="1">
      <alignment vertical="center"/>
    </xf>
    <xf numFmtId="177" fontId="59" fillId="3" borderId="370" xfId="0" applyNumberFormat="1" applyFont="1" applyFill="1" applyBorder="1" applyAlignment="1">
      <alignment vertical="center"/>
    </xf>
    <xf numFmtId="177" fontId="133" fillId="3" borderId="370" xfId="0" applyNumberFormat="1" applyFont="1" applyFill="1" applyBorder="1" applyAlignment="1">
      <alignment vertical="center"/>
    </xf>
    <xf numFmtId="177" fontId="73" fillId="3" borderId="0" xfId="0" applyNumberFormat="1" applyFont="1" applyFill="1" applyAlignment="1">
      <alignment vertical="center"/>
    </xf>
    <xf numFmtId="0" fontId="133" fillId="0" borderId="371" xfId="27" applyFont="1" applyBorder="1">
      <alignment vertical="center"/>
    </xf>
    <xf numFmtId="0" fontId="133" fillId="0" borderId="384" xfId="27" applyFont="1" applyBorder="1">
      <alignment vertical="center"/>
    </xf>
    <xf numFmtId="177" fontId="133" fillId="3" borderId="127" xfId="0" applyNumberFormat="1" applyFont="1" applyFill="1" applyBorder="1" applyAlignment="1">
      <alignment vertical="center"/>
    </xf>
    <xf numFmtId="177" fontId="133" fillId="0" borderId="127" xfId="0" applyNumberFormat="1" applyFont="1" applyBorder="1" applyAlignment="1">
      <alignment vertical="center"/>
    </xf>
    <xf numFmtId="166" fontId="29" fillId="0" borderId="0" xfId="0" applyNumberFormat="1" applyFont="1" applyAlignment="1">
      <alignment horizontal="right" vertical="center"/>
    </xf>
    <xf numFmtId="49" fontId="59" fillId="40" borderId="67" xfId="16" applyNumberFormat="1" applyFont="1" applyFill="1" applyBorder="1" applyAlignment="1">
      <alignment horizontal="center" vertical="center"/>
    </xf>
    <xf numFmtId="49" fontId="59" fillId="40" borderId="119" xfId="16" applyNumberFormat="1" applyFont="1" applyFill="1" applyBorder="1" applyAlignment="1">
      <alignment horizontal="center" vertical="center"/>
    </xf>
    <xf numFmtId="49" fontId="59" fillId="40" borderId="121" xfId="16" applyNumberFormat="1" applyFont="1" applyFill="1" applyBorder="1" applyAlignment="1">
      <alignment horizontal="center" vertical="center"/>
    </xf>
    <xf numFmtId="192" fontId="58" fillId="40" borderId="164" xfId="16" applyNumberFormat="1" applyFont="1" applyFill="1" applyBorder="1" applyAlignment="1">
      <alignment vertical="center"/>
    </xf>
    <xf numFmtId="192" fontId="59" fillId="40" borderId="164" xfId="16" applyNumberFormat="1" applyFont="1" applyFill="1" applyBorder="1" applyAlignment="1">
      <alignment vertical="center"/>
    </xf>
    <xf numFmtId="192" fontId="59" fillId="40" borderId="165" xfId="16" applyNumberFormat="1" applyFont="1" applyFill="1" applyBorder="1" applyAlignment="1">
      <alignment vertical="center"/>
    </xf>
    <xf numFmtId="177" fontId="27" fillId="0" borderId="371" xfId="0" applyNumberFormat="1" applyFont="1" applyBorder="1" applyAlignment="1">
      <alignment vertical="center"/>
    </xf>
    <xf numFmtId="164" fontId="25" fillId="0" borderId="17" xfId="1" quotePrefix="1" applyNumberFormat="1" applyFont="1" applyFill="1" applyBorder="1" applyAlignment="1" applyProtection="1">
      <alignment horizontal="center" vertical="center"/>
    </xf>
    <xf numFmtId="177" fontId="62" fillId="3" borderId="0" xfId="0" applyNumberFormat="1" applyFont="1" applyFill="1" applyAlignment="1">
      <alignment vertical="center"/>
    </xf>
    <xf numFmtId="173" fontId="62" fillId="3" borderId="108" xfId="1" applyNumberFormat="1" applyFont="1" applyFill="1" applyBorder="1" applyAlignment="1">
      <alignment horizontal="left" vertical="center"/>
    </xf>
    <xf numFmtId="171" fontId="0" fillId="0" borderId="0" xfId="0" applyNumberFormat="1" applyAlignment="1">
      <alignment horizontal="center"/>
    </xf>
    <xf numFmtId="171" fontId="0" fillId="4" borderId="0" xfId="0" applyNumberFormat="1" applyFill="1" applyAlignment="1">
      <alignment horizontal="center"/>
    </xf>
    <xf numFmtId="0" fontId="180" fillId="0" borderId="0" xfId="0" applyFont="1"/>
    <xf numFmtId="204" fontId="180" fillId="0" borderId="0" xfId="1" applyNumberFormat="1" applyFont="1" applyFill="1"/>
    <xf numFmtId="0" fontId="34" fillId="0" borderId="0" xfId="0" applyFont="1" applyAlignment="1">
      <alignment horizontal="right" vertical="center"/>
    </xf>
    <xf numFmtId="177" fontId="25" fillId="0" borderId="301" xfId="0" applyNumberFormat="1" applyFont="1" applyBorder="1" applyAlignment="1">
      <alignment horizontal="center" vertical="center"/>
    </xf>
    <xf numFmtId="0" fontId="26" fillId="0" borderId="388" xfId="0" applyFont="1" applyBorder="1" applyAlignment="1">
      <alignment horizontal="left" vertical="center"/>
    </xf>
    <xf numFmtId="0" fontId="26" fillId="0" borderId="388" xfId="0" applyFont="1" applyBorder="1" applyAlignment="1">
      <alignment horizontal="center" vertical="center"/>
    </xf>
    <xf numFmtId="177" fontId="26" fillId="0" borderId="388" xfId="0" applyNumberFormat="1" applyFont="1" applyBorder="1" applyAlignment="1">
      <alignment horizontal="center" vertical="center"/>
    </xf>
    <xf numFmtId="177" fontId="26" fillId="0" borderId="387" xfId="0" applyNumberFormat="1" applyFont="1" applyBorder="1" applyAlignment="1">
      <alignment horizontal="center" vertical="center"/>
    </xf>
    <xf numFmtId="177" fontId="26" fillId="0" borderId="386" xfId="0" applyNumberFormat="1" applyFont="1" applyBorder="1" applyAlignment="1">
      <alignment horizontal="center" vertical="center"/>
    </xf>
    <xf numFmtId="0" fontId="36" fillId="0" borderId="300" xfId="0" applyFont="1" applyBorder="1" applyAlignment="1">
      <alignment horizontal="center" vertical="center" wrapText="1"/>
    </xf>
    <xf numFmtId="0" fontId="36" fillId="0" borderId="15" xfId="0" applyFont="1" applyBorder="1" applyAlignment="1">
      <alignment horizontal="center" vertical="center" wrapText="1"/>
    </xf>
    <xf numFmtId="0" fontId="37" fillId="0" borderId="301" xfId="0" applyFont="1" applyBorder="1" applyAlignment="1">
      <alignment horizontal="left" vertical="center" wrapText="1"/>
    </xf>
    <xf numFmtId="177" fontId="181" fillId="9" borderId="0" xfId="0" applyNumberFormat="1" applyFont="1" applyFill="1" applyAlignment="1">
      <alignment vertical="center"/>
    </xf>
    <xf numFmtId="0" fontId="25" fillId="0" borderId="375" xfId="0" applyFont="1" applyBorder="1" applyAlignment="1">
      <alignment horizontal="center" vertical="center"/>
    </xf>
    <xf numFmtId="168" fontId="25" fillId="0" borderId="395" xfId="0" applyNumberFormat="1" applyFont="1" applyBorder="1" applyAlignment="1">
      <alignment horizontal="center" vertical="center"/>
    </xf>
    <xf numFmtId="0" fontId="25" fillId="0" borderId="375" xfId="0" applyFont="1" applyBorder="1" applyAlignment="1">
      <alignment vertical="center"/>
    </xf>
    <xf numFmtId="0" fontId="25" fillId="0" borderId="355" xfId="0" applyFont="1" applyBorder="1" applyAlignment="1">
      <alignment vertical="center"/>
    </xf>
    <xf numFmtId="177" fontId="60" fillId="0" borderId="355" xfId="0" applyNumberFormat="1" applyFont="1" applyBorder="1" applyAlignment="1">
      <alignment vertical="center"/>
    </xf>
    <xf numFmtId="177" fontId="60" fillId="0" borderId="379" xfId="0" applyNumberFormat="1" applyFont="1" applyBorder="1" applyAlignment="1">
      <alignment vertical="center"/>
    </xf>
    <xf numFmtId="177" fontId="60" fillId="0" borderId="396" xfId="0" applyNumberFormat="1" applyFont="1" applyBorder="1" applyAlignment="1">
      <alignment vertical="center"/>
    </xf>
    <xf numFmtId="43" fontId="60" fillId="0" borderId="355" xfId="1" applyFont="1" applyBorder="1" applyAlignment="1">
      <alignment vertical="center"/>
    </xf>
    <xf numFmtId="177" fontId="60" fillId="0" borderId="395" xfId="0" applyNumberFormat="1" applyFont="1" applyBorder="1" applyAlignment="1">
      <alignment vertical="center"/>
    </xf>
    <xf numFmtId="177" fontId="60" fillId="0" borderId="375" xfId="0" applyNumberFormat="1" applyFont="1" applyBorder="1" applyAlignment="1">
      <alignment vertical="center"/>
    </xf>
    <xf numFmtId="177" fontId="60" fillId="0" borderId="397" xfId="0" applyNumberFormat="1" applyFont="1" applyBorder="1" applyAlignment="1">
      <alignment vertical="center"/>
    </xf>
    <xf numFmtId="177" fontId="27" fillId="0" borderId="17" xfId="1" quotePrefix="1" applyNumberFormat="1" applyFont="1" applyFill="1" applyBorder="1" applyAlignment="1" applyProtection="1">
      <alignment horizontal="left" vertical="center"/>
    </xf>
    <xf numFmtId="168" fontId="28" fillId="69" borderId="359" xfId="0" applyNumberFormat="1" applyFont="1" applyFill="1" applyBorder="1" applyAlignment="1">
      <alignment horizontal="center" vertical="center"/>
    </xf>
    <xf numFmtId="177" fontId="26" fillId="55" borderId="385" xfId="0" applyNumberFormat="1" applyFont="1" applyFill="1" applyBorder="1" applyAlignment="1">
      <alignment horizontal="center" vertical="center"/>
    </xf>
    <xf numFmtId="0" fontId="26" fillId="69" borderId="391" xfId="0" applyFont="1" applyFill="1" applyBorder="1" applyAlignment="1">
      <alignment horizontal="center" vertical="center"/>
    </xf>
    <xf numFmtId="0" fontId="26" fillId="70" borderId="391" xfId="0" applyFont="1" applyFill="1" applyBorder="1" applyAlignment="1">
      <alignment horizontal="center" vertical="center"/>
    </xf>
    <xf numFmtId="168" fontId="28" fillId="70" borderId="359" xfId="0" applyNumberFormat="1" applyFont="1" applyFill="1" applyBorder="1" applyAlignment="1">
      <alignment horizontal="center" vertical="center"/>
    </xf>
    <xf numFmtId="177" fontId="26" fillId="43" borderId="385" xfId="0" applyNumberFormat="1" applyFont="1" applyFill="1" applyBorder="1" applyAlignment="1">
      <alignment horizontal="center" vertical="center"/>
    </xf>
    <xf numFmtId="0" fontId="26" fillId="64" borderId="393" xfId="0" applyFont="1" applyFill="1" applyBorder="1" applyAlignment="1">
      <alignment horizontal="center" vertical="center"/>
    </xf>
    <xf numFmtId="168" fontId="28" fillId="64" borderId="394" xfId="0" applyNumberFormat="1" applyFont="1" applyFill="1" applyBorder="1" applyAlignment="1">
      <alignment horizontal="center" vertical="center"/>
    </xf>
    <xf numFmtId="177" fontId="26" fillId="9" borderId="239" xfId="0" applyNumberFormat="1" applyFont="1" applyFill="1" applyBorder="1" applyAlignment="1">
      <alignment horizontal="center" vertical="center"/>
    </xf>
    <xf numFmtId="9" fontId="27" fillId="0" borderId="0" xfId="147" applyFont="1" applyAlignment="1">
      <alignment horizontal="right" vertical="center"/>
    </xf>
    <xf numFmtId="204" fontId="25" fillId="0" borderId="0" xfId="1" applyNumberFormat="1" applyFont="1" applyFill="1" applyAlignment="1">
      <alignment vertical="center"/>
    </xf>
    <xf numFmtId="0" fontId="133" fillId="9" borderId="17" xfId="0" applyFont="1" applyFill="1" applyBorder="1" applyAlignment="1">
      <alignment vertical="center"/>
    </xf>
    <xf numFmtId="185" fontId="26" fillId="26" borderId="178" xfId="15" applyFont="1" applyFill="1" applyBorder="1" applyAlignment="1" applyProtection="1">
      <alignment vertical="center"/>
    </xf>
    <xf numFmtId="177" fontId="25" fillId="9" borderId="0" xfId="1" applyNumberFormat="1" applyFont="1" applyFill="1" applyBorder="1" applyAlignment="1" applyProtection="1"/>
    <xf numFmtId="4" fontId="25" fillId="9" borderId="0" xfId="0" applyNumberFormat="1" applyFont="1" applyFill="1" applyAlignment="1">
      <alignment horizontal="right"/>
    </xf>
    <xf numFmtId="49" fontId="25" fillId="9" borderId="0" xfId="1" applyNumberFormat="1" applyFont="1" applyFill="1" applyBorder="1" applyAlignment="1" applyProtection="1">
      <alignment horizontal="center"/>
    </xf>
    <xf numFmtId="49" fontId="25" fillId="42" borderId="0" xfId="1" applyNumberFormat="1" applyFont="1" applyFill="1" applyBorder="1" applyAlignment="1" applyProtection="1">
      <alignment horizontal="center"/>
    </xf>
    <xf numFmtId="49" fontId="26" fillId="42" borderId="0" xfId="1" applyNumberFormat="1" applyFont="1" applyFill="1" applyBorder="1" applyAlignment="1" applyProtection="1">
      <alignment horizontal="center"/>
    </xf>
    <xf numFmtId="177" fontId="26" fillId="42" borderId="0" xfId="1" applyNumberFormat="1" applyFont="1" applyFill="1" applyBorder="1" applyAlignment="1" applyProtection="1"/>
    <xf numFmtId="204" fontId="25" fillId="0" borderId="21" xfId="1" applyNumberFormat="1" applyFont="1" applyBorder="1" applyAlignment="1">
      <alignment horizontal="center" vertical="center"/>
    </xf>
    <xf numFmtId="43" fontId="25" fillId="0" borderId="0" xfId="0" applyNumberFormat="1" applyFont="1" applyAlignment="1">
      <alignment horizontal="left" vertical="center"/>
    </xf>
    <xf numFmtId="41" fontId="44" fillId="0" borderId="0" xfId="2" applyFont="1" applyFill="1" applyBorder="1" applyAlignment="1">
      <alignment horizontal="right" vertical="center" wrapText="1"/>
    </xf>
    <xf numFmtId="182" fontId="44" fillId="0" borderId="0" xfId="9" applyNumberFormat="1" applyFont="1" applyAlignment="1">
      <alignment horizontal="right" vertical="center" wrapText="1"/>
    </xf>
    <xf numFmtId="182" fontId="44" fillId="0" borderId="0" xfId="11" applyNumberFormat="1" applyFont="1" applyAlignment="1">
      <alignment horizontal="right" vertical="center" wrapText="1"/>
    </xf>
    <xf numFmtId="182" fontId="81" fillId="0" borderId="0" xfId="9" applyNumberFormat="1" applyFont="1" applyAlignment="1">
      <alignment vertical="center"/>
    </xf>
    <xf numFmtId="204" fontId="182" fillId="0" borderId="0" xfId="1" applyNumberFormat="1" applyFont="1" applyAlignment="1">
      <alignment vertical="center"/>
    </xf>
    <xf numFmtId="204" fontId="182" fillId="0" borderId="0" xfId="1" applyNumberFormat="1" applyFont="1"/>
    <xf numFmtId="204" fontId="183" fillId="0" borderId="0" xfId="1" applyNumberFormat="1" applyFont="1"/>
    <xf numFmtId="204" fontId="184" fillId="0" borderId="0" xfId="1" applyNumberFormat="1" applyFont="1"/>
    <xf numFmtId="204" fontId="185" fillId="0" borderId="0" xfId="1" applyNumberFormat="1" applyFont="1"/>
    <xf numFmtId="204" fontId="186" fillId="0" borderId="0" xfId="1" applyNumberFormat="1" applyFont="1"/>
    <xf numFmtId="177" fontId="103" fillId="0" borderId="21" xfId="0" applyNumberFormat="1" applyFont="1" applyBorder="1" applyAlignment="1">
      <alignment vertical="center"/>
    </xf>
    <xf numFmtId="0" fontId="133" fillId="0" borderId="400" xfId="0" applyFont="1" applyBorder="1" applyAlignment="1">
      <alignment vertical="center"/>
    </xf>
    <xf numFmtId="195" fontId="133" fillId="0" borderId="400" xfId="0" applyNumberFormat="1" applyFont="1" applyBorder="1" applyAlignment="1">
      <alignment horizontal="center" vertical="center"/>
    </xf>
    <xf numFmtId="0" fontId="133" fillId="0" borderId="400" xfId="0" applyFont="1" applyBorder="1" applyAlignment="1">
      <alignment horizontal="center" vertical="center"/>
    </xf>
    <xf numFmtId="177" fontId="133" fillId="0" borderId="400" xfId="0" applyNumberFormat="1" applyFont="1" applyBorder="1" applyAlignment="1">
      <alignment vertical="center"/>
    </xf>
    <xf numFmtId="177" fontId="103" fillId="0" borderId="400" xfId="0" applyNumberFormat="1" applyFont="1" applyBorder="1" applyAlignment="1">
      <alignment vertical="center"/>
    </xf>
    <xf numFmtId="177" fontId="103" fillId="0" borderId="401" xfId="0" applyNumberFormat="1" applyFont="1" applyBorder="1" applyAlignment="1">
      <alignment vertical="center"/>
    </xf>
    <xf numFmtId="177" fontId="103" fillId="0" borderId="127" xfId="0" applyNumberFormat="1" applyFont="1" applyBorder="1" applyAlignment="1">
      <alignment vertical="center"/>
    </xf>
    <xf numFmtId="177" fontId="103" fillId="0" borderId="144" xfId="0" applyNumberFormat="1" applyFont="1" applyBorder="1" applyAlignment="1">
      <alignment vertical="center"/>
    </xf>
    <xf numFmtId="177" fontId="103" fillId="0" borderId="157" xfId="0" applyNumberFormat="1" applyFont="1" applyBorder="1" applyAlignment="1">
      <alignment vertical="center"/>
    </xf>
    <xf numFmtId="177" fontId="133" fillId="0" borderId="144" xfId="0" applyNumberFormat="1" applyFont="1" applyBorder="1" applyAlignment="1">
      <alignment vertical="center"/>
    </xf>
    <xf numFmtId="177" fontId="133" fillId="0" borderId="157" xfId="0" applyNumberFormat="1" applyFont="1" applyBorder="1" applyAlignment="1">
      <alignment vertical="center"/>
    </xf>
    <xf numFmtId="49" fontId="0" fillId="0" borderId="0" xfId="0" applyNumberFormat="1" applyAlignment="1">
      <alignment horizontal="center"/>
    </xf>
    <xf numFmtId="49" fontId="0" fillId="4" borderId="0" xfId="0" applyNumberFormat="1" applyFill="1" applyAlignment="1">
      <alignment horizontal="center"/>
    </xf>
    <xf numFmtId="49" fontId="0" fillId="9" borderId="0" xfId="0" applyNumberFormat="1" applyFill="1"/>
    <xf numFmtId="49" fontId="0" fillId="9" borderId="0" xfId="0" applyNumberFormat="1" applyFill="1" applyAlignment="1">
      <alignment horizontal="center"/>
    </xf>
    <xf numFmtId="177" fontId="133" fillId="0" borderId="402" xfId="27" applyNumberFormat="1" applyFont="1" applyBorder="1">
      <alignment vertical="center"/>
    </xf>
    <xf numFmtId="177" fontId="133" fillId="3" borderId="404" xfId="0" applyNumberFormat="1" applyFont="1" applyFill="1" applyBorder="1" applyAlignment="1">
      <alignment vertical="center"/>
    </xf>
    <xf numFmtId="177" fontId="133" fillId="3" borderId="403" xfId="0" applyNumberFormat="1" applyFont="1" applyFill="1" applyBorder="1" applyAlignment="1">
      <alignment vertical="center"/>
    </xf>
    <xf numFmtId="38" fontId="59" fillId="0" borderId="0" xfId="0" applyNumberFormat="1" applyFont="1" applyAlignment="1">
      <alignment vertical="center"/>
    </xf>
    <xf numFmtId="205" fontId="77" fillId="0" borderId="0" xfId="0" applyNumberFormat="1" applyFont="1" applyAlignment="1">
      <alignment vertical="center"/>
    </xf>
    <xf numFmtId="38" fontId="77" fillId="0" borderId="0" xfId="0" applyNumberFormat="1" applyFont="1" applyAlignment="1">
      <alignment vertical="center"/>
    </xf>
    <xf numFmtId="43" fontId="25" fillId="0" borderId="239" xfId="0" applyNumberFormat="1" applyFont="1" applyBorder="1"/>
    <xf numFmtId="177" fontId="26" fillId="3" borderId="408" xfId="0" applyNumberFormat="1" applyFont="1" applyFill="1" applyBorder="1" applyAlignment="1">
      <alignment vertical="center"/>
    </xf>
    <xf numFmtId="177" fontId="26" fillId="3" borderId="407" xfId="0" applyNumberFormat="1" applyFont="1" applyFill="1" applyBorder="1" applyAlignment="1">
      <alignment vertical="center"/>
    </xf>
    <xf numFmtId="43" fontId="25" fillId="0" borderId="393" xfId="0" applyNumberFormat="1" applyFont="1" applyBorder="1"/>
    <xf numFmtId="43" fontId="25" fillId="0" borderId="410" xfId="0" applyNumberFormat="1" applyFont="1" applyBorder="1"/>
    <xf numFmtId="38" fontId="59" fillId="9" borderId="0" xfId="0" applyNumberFormat="1" applyFont="1" applyFill="1" applyAlignment="1">
      <alignment horizontal="center" vertical="center"/>
    </xf>
    <xf numFmtId="171" fontId="77" fillId="9" borderId="0" xfId="0" applyNumberFormat="1" applyFont="1" applyFill="1" applyAlignment="1">
      <alignment horizontal="center" vertical="center"/>
    </xf>
    <xf numFmtId="38" fontId="59" fillId="9" borderId="0" xfId="0" applyNumberFormat="1" applyFont="1" applyFill="1" applyAlignment="1">
      <alignment horizontal="center" vertical="center" wrapText="1"/>
    </xf>
    <xf numFmtId="43" fontId="26" fillId="0" borderId="157" xfId="0" applyNumberFormat="1" applyFont="1" applyBorder="1"/>
    <xf numFmtId="0" fontId="0" fillId="0" borderId="157" xfId="0" applyBorder="1"/>
    <xf numFmtId="43" fontId="25" fillId="0" borderId="157" xfId="0" applyNumberFormat="1" applyFont="1" applyBorder="1"/>
    <xf numFmtId="0" fontId="25" fillId="0" borderId="412" xfId="0" applyFont="1" applyBorder="1"/>
    <xf numFmtId="43" fontId="25" fillId="0" borderId="413" xfId="0" applyNumberFormat="1" applyFont="1" applyBorder="1"/>
    <xf numFmtId="0" fontId="26" fillId="0" borderId="143" xfId="0" applyFont="1" applyBorder="1"/>
    <xf numFmtId="43" fontId="26" fillId="0" borderId="144" xfId="0" applyNumberFormat="1" applyFont="1" applyBorder="1"/>
    <xf numFmtId="0" fontId="25" fillId="0" borderId="143" xfId="0" applyFont="1" applyBorder="1"/>
    <xf numFmtId="8" fontId="0" fillId="0" borderId="143" xfId="0" applyNumberFormat="1" applyBorder="1"/>
    <xf numFmtId="43" fontId="25" fillId="0" borderId="144" xfId="0" applyNumberFormat="1" applyFont="1" applyBorder="1"/>
    <xf numFmtId="43" fontId="26" fillId="0" borderId="143" xfId="0" applyNumberFormat="1" applyFont="1" applyBorder="1"/>
    <xf numFmtId="43" fontId="25" fillId="0" borderId="143" xfId="0" applyNumberFormat="1" applyFont="1" applyBorder="1"/>
    <xf numFmtId="0" fontId="25" fillId="0" borderId="414" xfId="0" applyFont="1" applyBorder="1"/>
    <xf numFmtId="43" fontId="25" fillId="0" borderId="415" xfId="0" applyNumberFormat="1" applyFont="1" applyBorder="1"/>
    <xf numFmtId="0" fontId="25" fillId="0" borderId="237" xfId="0" applyFont="1" applyBorder="1"/>
    <xf numFmtId="43" fontId="25" fillId="0" borderId="238" xfId="0" applyNumberFormat="1" applyFont="1" applyBorder="1"/>
    <xf numFmtId="38" fontId="77" fillId="9" borderId="178" xfId="0" applyNumberFormat="1" applyFont="1" applyFill="1" applyBorder="1" applyAlignment="1">
      <alignment horizontal="center" vertical="center"/>
    </xf>
    <xf numFmtId="177" fontId="26" fillId="0" borderId="189" xfId="0" applyNumberFormat="1" applyFont="1" applyBorder="1" applyAlignment="1">
      <alignment horizontal="center"/>
    </xf>
    <xf numFmtId="177" fontId="26" fillId="3" borderId="392" xfId="0" applyNumberFormat="1" applyFont="1" applyFill="1" applyBorder="1" applyAlignment="1">
      <alignment horizontal="center"/>
    </xf>
    <xf numFmtId="177" fontId="26" fillId="3" borderId="419" xfId="0" applyNumberFormat="1" applyFont="1" applyFill="1" applyBorder="1" applyAlignment="1">
      <alignment horizontal="center"/>
    </xf>
    <xf numFmtId="177" fontId="26" fillId="3" borderId="420" xfId="0" applyNumberFormat="1" applyFont="1" applyFill="1" applyBorder="1" applyAlignment="1">
      <alignment horizontal="center"/>
    </xf>
    <xf numFmtId="177" fontId="26" fillId="24" borderId="420" xfId="0" applyNumberFormat="1" applyFont="1" applyFill="1" applyBorder="1" applyAlignment="1">
      <alignment horizontal="center"/>
    </xf>
    <xf numFmtId="177" fontId="26" fillId="24" borderId="419" xfId="0" applyNumberFormat="1" applyFont="1" applyFill="1" applyBorder="1" applyAlignment="1">
      <alignment horizontal="center"/>
    </xf>
    <xf numFmtId="38" fontId="77" fillId="9" borderId="421" xfId="0" applyNumberFormat="1" applyFont="1" applyFill="1" applyBorder="1" applyAlignment="1">
      <alignment horizontal="center" vertical="center"/>
    </xf>
    <xf numFmtId="38" fontId="59" fillId="9" borderId="416" xfId="0" applyNumberFormat="1" applyFont="1" applyFill="1" applyBorder="1" applyAlignment="1">
      <alignment horizontal="center" vertical="center"/>
    </xf>
    <xf numFmtId="38" fontId="59" fillId="9" borderId="417" xfId="0" applyNumberFormat="1" applyFont="1" applyFill="1" applyBorder="1" applyAlignment="1">
      <alignment horizontal="center" vertical="center"/>
    </xf>
    <xf numFmtId="43" fontId="26" fillId="9" borderId="157" xfId="0" applyNumberFormat="1" applyFont="1" applyFill="1" applyBorder="1"/>
    <xf numFmtId="177" fontId="26" fillId="9" borderId="190" xfId="0" applyNumberFormat="1" applyFont="1" applyFill="1" applyBorder="1" applyAlignment="1">
      <alignment horizontal="center"/>
    </xf>
    <xf numFmtId="43" fontId="25" fillId="9" borderId="157" xfId="0" applyNumberFormat="1" applyFont="1" applyFill="1" applyBorder="1"/>
    <xf numFmtId="206" fontId="25" fillId="0" borderId="21" xfId="2" applyNumberFormat="1" applyFont="1" applyFill="1" applyBorder="1" applyAlignment="1"/>
    <xf numFmtId="0" fontId="25" fillId="0" borderId="423" xfId="0" applyFont="1" applyBorder="1" applyAlignment="1">
      <alignment horizontal="center"/>
    </xf>
    <xf numFmtId="177" fontId="26" fillId="7" borderId="359" xfId="0" applyNumberFormat="1" applyFont="1" applyFill="1" applyBorder="1" applyAlignment="1">
      <alignment horizontal="right" vertical="center"/>
    </xf>
    <xf numFmtId="177" fontId="26" fillId="0" borderId="359" xfId="0" applyNumberFormat="1" applyFont="1" applyBorder="1" applyAlignment="1">
      <alignment horizontal="right"/>
    </xf>
    <xf numFmtId="0" fontId="133" fillId="0" borderId="368" xfId="0" applyFont="1" applyBorder="1" applyAlignment="1">
      <alignment vertical="center"/>
    </xf>
    <xf numFmtId="195" fontId="133" fillId="0" borderId="368" xfId="0" applyNumberFormat="1" applyFont="1" applyBorder="1" applyAlignment="1">
      <alignment horizontal="center" vertical="center"/>
    </xf>
    <xf numFmtId="0" fontId="133" fillId="0" borderId="368" xfId="0" applyFont="1" applyBorder="1" applyAlignment="1">
      <alignment horizontal="center" vertical="center"/>
    </xf>
    <xf numFmtId="177" fontId="133" fillId="0" borderId="368" xfId="0" applyNumberFormat="1" applyFont="1" applyBorder="1" applyAlignment="1">
      <alignment vertical="center"/>
    </xf>
    <xf numFmtId="177" fontId="103" fillId="0" borderId="368" xfId="0" applyNumberFormat="1" applyFont="1" applyBorder="1" applyAlignment="1">
      <alignment vertical="center"/>
    </xf>
    <xf numFmtId="177" fontId="103" fillId="0" borderId="424" xfId="0" applyNumberFormat="1" applyFont="1" applyBorder="1" applyAlignment="1">
      <alignment vertical="center"/>
    </xf>
    <xf numFmtId="177" fontId="133" fillId="0" borderId="178" xfId="0" applyNumberFormat="1" applyFont="1" applyBorder="1" applyAlignment="1">
      <alignment vertical="center"/>
    </xf>
    <xf numFmtId="177" fontId="133" fillId="0" borderId="418" xfId="0" applyNumberFormat="1" applyFont="1" applyBorder="1" applyAlignment="1">
      <alignment vertical="center"/>
    </xf>
    <xf numFmtId="177" fontId="25" fillId="0" borderId="422" xfId="0" applyNumberFormat="1" applyFont="1" applyBorder="1" applyAlignment="1">
      <alignment vertical="center"/>
    </xf>
    <xf numFmtId="43" fontId="58" fillId="0" borderId="0" xfId="0" applyNumberFormat="1" applyFont="1" applyAlignment="1">
      <alignment vertical="center"/>
    </xf>
    <xf numFmtId="0" fontId="58" fillId="3" borderId="422" xfId="16" applyFont="1" applyFill="1" applyBorder="1" applyAlignment="1">
      <alignment vertical="center"/>
    </xf>
    <xf numFmtId="0" fontId="106" fillId="3" borderId="422" xfId="16" applyFont="1" applyFill="1" applyBorder="1" applyAlignment="1">
      <alignment horizontal="center" vertical="center"/>
    </xf>
    <xf numFmtId="192" fontId="58" fillId="3" borderId="422" xfId="16" applyNumberFormat="1" applyFont="1" applyFill="1" applyBorder="1" applyAlignment="1">
      <alignment vertical="center"/>
    </xf>
    <xf numFmtId="0" fontId="58" fillId="3" borderId="409" xfId="16" applyFont="1" applyFill="1" applyBorder="1" applyAlignment="1">
      <alignment vertical="center"/>
    </xf>
    <xf numFmtId="1" fontId="58" fillId="3" borderId="144" xfId="16" quotePrefix="1" applyNumberFormat="1" applyFont="1" applyFill="1" applyBorder="1" applyAlignment="1">
      <alignment horizontal="center" vertical="center"/>
    </xf>
    <xf numFmtId="1" fontId="58" fillId="3" borderId="144" xfId="1" quotePrefix="1" applyNumberFormat="1" applyFont="1" applyFill="1" applyBorder="1" applyAlignment="1">
      <alignment horizontal="center" vertical="center"/>
    </xf>
    <xf numFmtId="49" fontId="26" fillId="0" borderId="0" xfId="1" applyNumberFormat="1" applyFont="1" applyFill="1" applyBorder="1" applyAlignment="1" applyProtection="1">
      <alignment horizontal="center"/>
    </xf>
    <xf numFmtId="177" fontId="25" fillId="0" borderId="382" xfId="0" applyNumberFormat="1" applyFont="1" applyBorder="1"/>
    <xf numFmtId="177" fontId="25" fillId="0" borderId="382" xfId="0" applyNumberFormat="1" applyFont="1" applyBorder="1" applyAlignment="1">
      <alignment vertical="center"/>
    </xf>
    <xf numFmtId="0" fontId="26" fillId="0" borderId="254" xfId="0" applyFont="1" applyBorder="1" applyAlignment="1">
      <alignment horizontal="center" vertical="center"/>
    </xf>
    <xf numFmtId="0" fontId="37" fillId="0" borderId="113" xfId="0" applyFont="1" applyBorder="1" applyAlignment="1">
      <alignment horizontal="left" vertical="center" wrapText="1"/>
    </xf>
    <xf numFmtId="177" fontId="25" fillId="0" borderId="113" xfId="0" applyNumberFormat="1" applyFont="1" applyBorder="1" applyAlignment="1">
      <alignment horizontal="center" vertical="center"/>
    </xf>
    <xf numFmtId="177" fontId="26" fillId="0" borderId="116" xfId="0" applyNumberFormat="1" applyFont="1" applyBorder="1" applyAlignment="1">
      <alignment horizontal="center" vertical="center"/>
    </xf>
    <xf numFmtId="0" fontId="25" fillId="0" borderId="254" xfId="0" applyFont="1" applyBorder="1"/>
    <xf numFmtId="185" fontId="58" fillId="72" borderId="0" xfId="17" applyNumberFormat="1" applyFont="1" applyFill="1" applyBorder="1" applyAlignment="1" applyProtection="1">
      <alignment vertical="center"/>
    </xf>
    <xf numFmtId="177" fontId="80" fillId="0" borderId="0" xfId="0" applyNumberFormat="1" applyFont="1" applyAlignment="1">
      <alignment horizontal="center" vertical="center"/>
    </xf>
    <xf numFmtId="41" fontId="180" fillId="0" borderId="0" xfId="30" applyFont="1" applyProtection="1">
      <protection hidden="1"/>
    </xf>
    <xf numFmtId="0" fontId="180" fillId="0" borderId="0" xfId="0" applyFont="1" applyProtection="1">
      <protection hidden="1"/>
    </xf>
    <xf numFmtId="41" fontId="180" fillId="0" borderId="0" xfId="0" applyNumberFormat="1" applyFont="1" applyProtection="1">
      <protection hidden="1"/>
    </xf>
    <xf numFmtId="0" fontId="25" fillId="0" borderId="425" xfId="0" applyFont="1" applyBorder="1" applyAlignment="1">
      <alignment vertical="center"/>
    </xf>
    <xf numFmtId="43" fontId="25" fillId="0" borderId="425" xfId="1" applyFont="1" applyFill="1" applyBorder="1" applyAlignment="1" applyProtection="1">
      <alignment vertical="center"/>
    </xf>
    <xf numFmtId="10" fontId="179" fillId="0" borderId="0" xfId="33" applyNumberFormat="1" applyFont="1" applyAlignment="1">
      <alignment horizontal="center"/>
    </xf>
    <xf numFmtId="177" fontId="11" fillId="9" borderId="239" xfId="0" applyNumberFormat="1" applyFont="1" applyFill="1" applyBorder="1" applyAlignment="1">
      <alignment horizontal="center" vertical="center"/>
    </xf>
    <xf numFmtId="177" fontId="11" fillId="55" borderId="385" xfId="0" applyNumberFormat="1" applyFont="1" applyFill="1" applyBorder="1" applyAlignment="1">
      <alignment horizontal="center" vertical="center"/>
    </xf>
    <xf numFmtId="177" fontId="11" fillId="43" borderId="385" xfId="0" applyNumberFormat="1" applyFont="1" applyFill="1" applyBorder="1" applyAlignment="1">
      <alignment horizontal="center" vertical="center"/>
    </xf>
    <xf numFmtId="177" fontId="25" fillId="9" borderId="21" xfId="0" applyNumberFormat="1" applyFont="1" applyFill="1" applyBorder="1" applyAlignment="1">
      <alignment horizontal="right" vertical="center"/>
    </xf>
    <xf numFmtId="177" fontId="25" fillId="9" borderId="355" xfId="1" applyNumberFormat="1" applyFont="1" applyFill="1" applyBorder="1" applyAlignment="1" applyProtection="1"/>
    <xf numFmtId="177" fontId="25" fillId="9" borderId="21" xfId="1" applyNumberFormat="1" applyFont="1" applyFill="1" applyBorder="1" applyAlignment="1" applyProtection="1">
      <alignment vertical="center"/>
    </xf>
    <xf numFmtId="177" fontId="25" fillId="9" borderId="355" xfId="1" applyNumberFormat="1" applyFont="1" applyFill="1" applyBorder="1" applyAlignment="1" applyProtection="1">
      <alignment vertical="center"/>
    </xf>
    <xf numFmtId="0" fontId="0" fillId="0" borderId="0" xfId="0" applyAlignment="1">
      <alignment horizontal="center"/>
    </xf>
    <xf numFmtId="177" fontId="60" fillId="0" borderId="375" xfId="0" applyNumberFormat="1" applyFont="1" applyBorder="1"/>
    <xf numFmtId="0" fontId="25" fillId="0" borderId="375" xfId="0" applyFont="1" applyBorder="1" applyAlignment="1">
      <alignment horizontal="center"/>
    </xf>
    <xf numFmtId="177" fontId="118" fillId="0" borderId="355" xfId="0" applyNumberFormat="1" applyFont="1" applyBorder="1"/>
    <xf numFmtId="177" fontId="60" fillId="0" borderId="355" xfId="0" applyNumberFormat="1" applyFont="1" applyBorder="1"/>
    <xf numFmtId="177" fontId="60" fillId="0" borderId="431" xfId="0" applyNumberFormat="1" applyFont="1" applyBorder="1"/>
    <xf numFmtId="168" fontId="29" fillId="0" borderId="395" xfId="0" applyNumberFormat="1" applyFont="1" applyBorder="1" applyAlignment="1">
      <alignment horizontal="center"/>
    </xf>
    <xf numFmtId="177" fontId="60" fillId="0" borderId="379" xfId="0" applyNumberFormat="1" applyFont="1" applyBorder="1"/>
    <xf numFmtId="177" fontId="188" fillId="0" borderId="355" xfId="0" applyNumberFormat="1" applyFont="1" applyBorder="1"/>
    <xf numFmtId="177" fontId="188" fillId="0" borderId="431" xfId="0" applyNumberFormat="1" applyFont="1" applyBorder="1"/>
    <xf numFmtId="177" fontId="188" fillId="0" borderId="395" xfId="0" applyNumberFormat="1" applyFont="1" applyBorder="1"/>
    <xf numFmtId="177" fontId="188" fillId="0" borderId="1" xfId="0" applyNumberFormat="1" applyFont="1" applyBorder="1"/>
    <xf numFmtId="177" fontId="26" fillId="0" borderId="432" xfId="0" applyNumberFormat="1" applyFont="1" applyBorder="1" applyAlignment="1">
      <alignment vertical="center"/>
    </xf>
    <xf numFmtId="177" fontId="25" fillId="0" borderId="100" xfId="1" applyNumberFormat="1" applyFont="1" applyFill="1" applyBorder="1" applyAlignment="1" applyProtection="1">
      <alignment vertical="center"/>
    </xf>
    <xf numFmtId="177" fontId="25" fillId="0" borderId="433" xfId="1" applyNumberFormat="1" applyFont="1" applyFill="1" applyBorder="1" applyAlignment="1" applyProtection="1">
      <alignment vertical="center"/>
    </xf>
    <xf numFmtId="177" fontId="26" fillId="0" borderId="100" xfId="0" applyNumberFormat="1" applyFont="1" applyBorder="1" applyAlignment="1">
      <alignment vertical="center"/>
    </xf>
    <xf numFmtId="177" fontId="25" fillId="0" borderId="434" xfId="1" applyNumberFormat="1" applyFont="1" applyFill="1" applyBorder="1" applyAlignment="1" applyProtection="1">
      <alignment vertical="center"/>
    </xf>
    <xf numFmtId="177" fontId="26" fillId="65" borderId="435" xfId="0" applyNumberFormat="1" applyFont="1" applyFill="1" applyBorder="1" applyAlignment="1">
      <alignment vertical="center"/>
    </xf>
    <xf numFmtId="177" fontId="82" fillId="0" borderId="102" xfId="0" applyNumberFormat="1" applyFont="1" applyBorder="1" applyAlignment="1">
      <alignment horizontal="center" vertical="center"/>
    </xf>
    <xf numFmtId="177" fontId="82" fillId="0" borderId="437" xfId="0" applyNumberFormat="1" applyFont="1" applyBorder="1" applyAlignment="1">
      <alignment horizontal="center" vertical="center"/>
    </xf>
    <xf numFmtId="0" fontId="80" fillId="0" borderId="436" xfId="0" applyFont="1" applyBorder="1" applyAlignment="1">
      <alignment horizontal="center" vertical="center"/>
    </xf>
    <xf numFmtId="177" fontId="82" fillId="0" borderId="102" xfId="0" applyNumberFormat="1" applyFont="1" applyBorder="1" applyAlignment="1">
      <alignment vertical="center"/>
    </xf>
    <xf numFmtId="177" fontId="82" fillId="0" borderId="437" xfId="0" applyNumberFormat="1" applyFont="1" applyBorder="1" applyAlignment="1">
      <alignment vertical="center"/>
    </xf>
    <xf numFmtId="0" fontId="80" fillId="0" borderId="438" xfId="0" applyFont="1" applyBorder="1" applyAlignment="1">
      <alignment horizontal="center" vertical="center"/>
    </xf>
    <xf numFmtId="43" fontId="82" fillId="0" borderId="439" xfId="0" applyNumberFormat="1" applyFont="1" applyBorder="1" applyAlignment="1">
      <alignment vertical="center"/>
    </xf>
    <xf numFmtId="43" fontId="82" fillId="0" borderId="440" xfId="0" applyNumberFormat="1" applyFont="1" applyBorder="1" applyAlignment="1">
      <alignment vertical="center"/>
    </xf>
    <xf numFmtId="0" fontId="82" fillId="0" borderId="436" xfId="0" applyFont="1" applyBorder="1" applyAlignment="1">
      <alignment horizontal="center" vertical="center"/>
    </xf>
    <xf numFmtId="172" fontId="25" fillId="0" borderId="382" xfId="0" applyNumberFormat="1" applyFont="1" applyBorder="1" applyAlignment="1">
      <alignment horizontal="center" vertical="center"/>
    </xf>
    <xf numFmtId="39" fontId="26" fillId="0" borderId="444" xfId="0" applyNumberFormat="1" applyFont="1" applyBorder="1" applyAlignment="1">
      <alignment horizontal="right" vertical="center"/>
    </xf>
    <xf numFmtId="49" fontId="39" fillId="22" borderId="0" xfId="17" applyNumberFormat="1" applyFont="1" applyFill="1" applyBorder="1" applyAlignment="1" applyProtection="1">
      <alignment horizontal="center" vertical="center"/>
    </xf>
    <xf numFmtId="177" fontId="39" fillId="7" borderId="132" xfId="17" applyFont="1" applyFill="1" applyBorder="1" applyAlignment="1" applyProtection="1">
      <alignment horizontal="center" vertical="center"/>
    </xf>
    <xf numFmtId="177" fontId="40" fillId="7" borderId="144" xfId="17" applyFont="1" applyFill="1" applyBorder="1" applyAlignment="1" applyProtection="1">
      <alignment horizontal="center" vertical="center"/>
    </xf>
    <xf numFmtId="177" fontId="40" fillId="7" borderId="152" xfId="17" applyFont="1" applyFill="1" applyBorder="1" applyAlignment="1" applyProtection="1">
      <alignment horizontal="center" vertical="center"/>
    </xf>
    <xf numFmtId="177" fontId="40" fillId="21" borderId="251" xfId="17" applyFont="1" applyFill="1" applyBorder="1" applyAlignment="1" applyProtection="1">
      <alignment horizontal="center" vertical="center"/>
    </xf>
    <xf numFmtId="0" fontId="109" fillId="3" borderId="144" xfId="16" applyFont="1" applyFill="1" applyBorder="1" applyAlignment="1">
      <alignment horizontal="center" vertical="center"/>
    </xf>
    <xf numFmtId="192" fontId="59" fillId="3" borderId="255" xfId="16" applyNumberFormat="1" applyFont="1" applyFill="1" applyBorder="1" applyAlignment="1">
      <alignment horizontal="center" vertical="center"/>
    </xf>
    <xf numFmtId="0" fontId="78" fillId="10" borderId="0" xfId="16" applyFont="1" applyFill="1" applyAlignment="1">
      <alignment horizontal="center" vertical="center"/>
    </xf>
    <xf numFmtId="192" fontId="58" fillId="3" borderId="144" xfId="16" applyNumberFormat="1" applyFont="1" applyFill="1" applyBorder="1" applyAlignment="1">
      <alignment horizontal="center" vertical="center"/>
    </xf>
    <xf numFmtId="192" fontId="59" fillId="3" borderId="144" xfId="16" applyNumberFormat="1" applyFont="1" applyFill="1" applyBorder="1" applyAlignment="1">
      <alignment horizontal="center" vertical="center"/>
    </xf>
    <xf numFmtId="192" fontId="59" fillId="25" borderId="167" xfId="16" applyNumberFormat="1" applyFont="1" applyFill="1" applyBorder="1" applyAlignment="1">
      <alignment horizontal="center" vertical="center"/>
    </xf>
    <xf numFmtId="192" fontId="59" fillId="25" borderId="170" xfId="16" applyNumberFormat="1" applyFont="1" applyFill="1" applyBorder="1" applyAlignment="1">
      <alignment horizontal="center" vertical="center"/>
    </xf>
    <xf numFmtId="0" fontId="106" fillId="29" borderId="146" xfId="16" applyFont="1" applyFill="1" applyBorder="1" applyAlignment="1">
      <alignment horizontal="center" vertical="center"/>
    </xf>
    <xf numFmtId="0" fontId="106" fillId="29" borderId="174" xfId="16" applyFont="1" applyFill="1" applyBorder="1" applyAlignment="1">
      <alignment horizontal="center" vertical="center"/>
    </xf>
    <xf numFmtId="0" fontId="106" fillId="3" borderId="146" xfId="16" applyFont="1" applyFill="1" applyBorder="1" applyAlignment="1">
      <alignment horizontal="center" vertical="center"/>
    </xf>
    <xf numFmtId="0" fontId="106" fillId="3" borderId="146" xfId="16" applyFont="1" applyFill="1" applyBorder="1" applyAlignment="1">
      <alignment horizontal="center" vertical="center" wrapText="1"/>
    </xf>
    <xf numFmtId="177" fontId="59" fillId="21" borderId="267" xfId="17" applyFont="1" applyFill="1" applyBorder="1" applyAlignment="1" applyProtection="1">
      <alignment horizontal="center" vertical="center" wrapText="1"/>
    </xf>
    <xf numFmtId="185" fontId="58" fillId="21" borderId="0" xfId="17" applyNumberFormat="1" applyFont="1" applyFill="1" applyBorder="1" applyAlignment="1" applyProtection="1">
      <alignment horizontal="center" vertical="center"/>
    </xf>
    <xf numFmtId="43" fontId="37" fillId="0" borderId="0" xfId="1" applyFont="1" applyFill="1" applyBorder="1" applyAlignment="1" applyProtection="1">
      <alignment wrapText="1"/>
    </xf>
    <xf numFmtId="43" fontId="37" fillId="0" borderId="0" xfId="1" applyFont="1" applyFill="1" applyBorder="1" applyAlignment="1" applyProtection="1">
      <alignment vertical="center" wrapText="1"/>
    </xf>
    <xf numFmtId="0" fontId="25" fillId="0" borderId="0" xfId="0" applyFont="1" applyAlignment="1">
      <alignment wrapText="1"/>
    </xf>
    <xf numFmtId="0" fontId="47" fillId="3" borderId="0" xfId="0" applyFont="1" applyFill="1" applyAlignment="1">
      <alignment wrapText="1"/>
    </xf>
    <xf numFmtId="177" fontId="26" fillId="0" borderId="15" xfId="0" applyNumberFormat="1" applyFont="1" applyBorder="1" applyAlignment="1">
      <alignment horizontal="center" vertical="center"/>
    </xf>
    <xf numFmtId="177" fontId="26" fillId="0" borderId="190" xfId="0" applyNumberFormat="1" applyFont="1" applyBorder="1" applyAlignment="1">
      <alignment horizontal="center" vertical="center"/>
    </xf>
    <xf numFmtId="204" fontId="25" fillId="0" borderId="15" xfId="1" applyNumberFormat="1" applyFont="1" applyBorder="1" applyAlignment="1">
      <alignment horizontal="center" vertical="center"/>
    </xf>
    <xf numFmtId="204" fontId="25" fillId="0" borderId="190" xfId="1" applyNumberFormat="1" applyFont="1" applyBorder="1" applyAlignment="1">
      <alignment horizontal="center" vertical="center"/>
    </xf>
    <xf numFmtId="177" fontId="25" fillId="0" borderId="15" xfId="0" applyNumberFormat="1" applyFont="1" applyBorder="1" applyAlignment="1">
      <alignment horizontal="center" vertical="center"/>
    </xf>
    <xf numFmtId="177" fontId="25" fillId="0" borderId="190" xfId="0" applyNumberFormat="1" applyFont="1" applyBorder="1" applyAlignment="1">
      <alignment horizontal="center" vertical="center"/>
    </xf>
    <xf numFmtId="177" fontId="26" fillId="0" borderId="15" xfId="0" applyNumberFormat="1" applyFont="1" applyBorder="1" applyAlignment="1">
      <alignment horizontal="left" vertical="center"/>
    </xf>
    <xf numFmtId="177" fontId="26" fillId="0" borderId="190" xfId="0" applyNumberFormat="1" applyFont="1" applyBorder="1" applyAlignment="1">
      <alignment horizontal="left" vertical="center"/>
    </xf>
    <xf numFmtId="177" fontId="26" fillId="0" borderId="392" xfId="0" applyNumberFormat="1" applyFont="1" applyBorder="1" applyAlignment="1">
      <alignment horizontal="left" vertical="center"/>
    </xf>
    <xf numFmtId="177" fontId="26" fillId="0" borderId="448" xfId="0" applyNumberFormat="1" applyFont="1" applyBorder="1" applyAlignment="1">
      <alignment horizontal="left" vertical="center"/>
    </xf>
    <xf numFmtId="177" fontId="26" fillId="0" borderId="15" xfId="0" applyNumberFormat="1" applyFont="1" applyBorder="1"/>
    <xf numFmtId="177" fontId="26" fillId="0" borderId="190" xfId="0" applyNumberFormat="1" applyFont="1" applyBorder="1"/>
    <xf numFmtId="177" fontId="25" fillId="0" borderId="15" xfId="0" applyNumberFormat="1" applyFont="1" applyBorder="1"/>
    <xf numFmtId="177" fontId="25" fillId="0" borderId="190" xfId="0" applyNumberFormat="1" applyFont="1" applyBorder="1"/>
    <xf numFmtId="177" fontId="25" fillId="0" borderId="449" xfId="0" applyNumberFormat="1" applyFont="1" applyBorder="1" applyAlignment="1">
      <alignment horizontal="center" vertical="center"/>
    </xf>
    <xf numFmtId="177" fontId="25" fillId="0" borderId="450" xfId="0" applyNumberFormat="1" applyFont="1" applyBorder="1" applyAlignment="1">
      <alignment horizontal="center" vertical="center"/>
    </xf>
    <xf numFmtId="177" fontId="26" fillId="0" borderId="451" xfId="0" applyNumberFormat="1" applyFont="1" applyBorder="1" applyAlignment="1">
      <alignment horizontal="left" vertical="center"/>
    </xf>
    <xf numFmtId="39" fontId="25" fillId="0" borderId="452" xfId="0" applyNumberFormat="1" applyFont="1" applyBorder="1"/>
    <xf numFmtId="39" fontId="25" fillId="0" borderId="280" xfId="0" applyNumberFormat="1" applyFont="1" applyBorder="1"/>
    <xf numFmtId="177" fontId="26" fillId="7" borderId="392" xfId="0" applyNumberFormat="1" applyFont="1" applyFill="1" applyBorder="1" applyAlignment="1">
      <alignment horizontal="center" vertical="center"/>
    </xf>
    <xf numFmtId="177" fontId="26" fillId="7" borderId="451" xfId="0" applyNumberFormat="1" applyFont="1" applyFill="1" applyBorder="1" applyAlignment="1">
      <alignment horizontal="center" vertical="center"/>
    </xf>
    <xf numFmtId="173" fontId="25" fillId="0" borderId="189" xfId="0" applyNumberFormat="1" applyFont="1" applyBorder="1"/>
    <xf numFmtId="173" fontId="25" fillId="0" borderId="190" xfId="0" applyNumberFormat="1" applyFont="1" applyBorder="1"/>
    <xf numFmtId="177" fontId="26" fillId="0" borderId="453" xfId="0" applyNumberFormat="1" applyFont="1" applyBorder="1" applyAlignment="1">
      <alignment horizontal="left" vertical="center"/>
    </xf>
    <xf numFmtId="177" fontId="26" fillId="0" borderId="419" xfId="0" applyNumberFormat="1" applyFont="1" applyBorder="1" applyAlignment="1">
      <alignment horizontal="left" vertical="center"/>
    </xf>
    <xf numFmtId="177" fontId="26" fillId="0" borderId="453" xfId="0" applyNumberFormat="1" applyFont="1" applyBorder="1" applyAlignment="1">
      <alignment horizontal="right" vertical="center"/>
    </xf>
    <xf numFmtId="177" fontId="26" fillId="0" borderId="419" xfId="0" applyNumberFormat="1" applyFont="1" applyBorder="1" applyAlignment="1">
      <alignment horizontal="right" vertical="center"/>
    </xf>
    <xf numFmtId="177" fontId="25" fillId="0" borderId="189" xfId="0" applyNumberFormat="1" applyFont="1" applyBorder="1"/>
    <xf numFmtId="177" fontId="25" fillId="0" borderId="189" xfId="0" applyNumberFormat="1" applyFont="1" applyBorder="1" applyAlignment="1">
      <alignment horizontal="center" vertical="center"/>
    </xf>
    <xf numFmtId="177" fontId="25" fillId="0" borderId="454" xfId="0" applyNumberFormat="1" applyFont="1" applyBorder="1" applyAlignment="1">
      <alignment horizontal="center" vertical="center"/>
    </xf>
    <xf numFmtId="177" fontId="25" fillId="0" borderId="455" xfId="0" applyNumberFormat="1" applyFont="1" applyBorder="1" applyAlignment="1">
      <alignment horizontal="center" vertical="center"/>
    </xf>
    <xf numFmtId="177" fontId="25" fillId="0" borderId="15" xfId="2" applyNumberFormat="1" applyFont="1" applyFill="1" applyBorder="1" applyAlignment="1" applyProtection="1"/>
    <xf numFmtId="177" fontId="25" fillId="0" borderId="190" xfId="2" applyNumberFormat="1" applyFont="1" applyFill="1" applyBorder="1" applyAlignment="1" applyProtection="1"/>
    <xf numFmtId="177" fontId="26" fillId="0" borderId="15" xfId="2" applyNumberFormat="1" applyFont="1" applyFill="1" applyBorder="1" applyAlignment="1" applyProtection="1"/>
    <xf numFmtId="177" fontId="26" fillId="0" borderId="190" xfId="2" applyNumberFormat="1" applyFont="1" applyFill="1" applyBorder="1" applyAlignment="1" applyProtection="1"/>
    <xf numFmtId="177" fontId="26" fillId="7" borderId="456" xfId="0" applyNumberFormat="1" applyFont="1" applyFill="1" applyBorder="1" applyAlignment="1">
      <alignment vertical="center"/>
    </xf>
    <xf numFmtId="177" fontId="26" fillId="7" borderId="323" xfId="0" applyNumberFormat="1" applyFont="1" applyFill="1" applyBorder="1" applyAlignment="1">
      <alignment vertical="center"/>
    </xf>
    <xf numFmtId="43" fontId="25" fillId="3" borderId="0" xfId="0" applyNumberFormat="1" applyFont="1" applyFill="1" applyAlignment="1">
      <alignment wrapText="1"/>
    </xf>
    <xf numFmtId="177" fontId="25" fillId="0" borderId="372" xfId="0" applyNumberFormat="1" applyFont="1" applyBorder="1"/>
    <xf numFmtId="0" fontId="47" fillId="3" borderId="102" xfId="0" applyFont="1" applyFill="1" applyBorder="1" applyAlignment="1">
      <alignment wrapText="1"/>
    </xf>
    <xf numFmtId="43" fontId="25" fillId="3" borderId="102" xfId="0" applyNumberFormat="1" applyFont="1" applyFill="1" applyBorder="1" applyAlignment="1">
      <alignment wrapText="1"/>
    </xf>
    <xf numFmtId="0" fontId="47" fillId="0" borderId="102" xfId="0" applyFont="1" applyBorder="1" applyAlignment="1">
      <alignment wrapText="1"/>
    </xf>
    <xf numFmtId="0" fontId="25" fillId="0" borderId="102" xfId="0" applyFont="1" applyBorder="1" applyAlignment="1">
      <alignment vertical="center" wrapText="1"/>
    </xf>
    <xf numFmtId="0" fontId="34" fillId="0" borderId="102" xfId="0" applyFont="1" applyBorder="1" applyAlignment="1">
      <alignment horizontal="left" vertical="center" wrapText="1"/>
    </xf>
    <xf numFmtId="0" fontId="25" fillId="0" borderId="102" xfId="0" applyFont="1" applyBorder="1" applyAlignment="1">
      <alignment wrapText="1"/>
    </xf>
    <xf numFmtId="0" fontId="27" fillId="0" borderId="102" xfId="0" applyFont="1" applyBorder="1" applyAlignment="1">
      <alignment wrapText="1"/>
    </xf>
    <xf numFmtId="16" fontId="25" fillId="3" borderId="0" xfId="0" applyNumberFormat="1" applyFont="1" applyFill="1"/>
    <xf numFmtId="170" fontId="37" fillId="0" borderId="0" xfId="1" applyNumberFormat="1" applyFont="1" applyFill="1" applyBorder="1" applyAlignment="1" applyProtection="1"/>
    <xf numFmtId="170" fontId="37" fillId="0" borderId="0" xfId="1" applyNumberFormat="1" applyFont="1" applyFill="1" applyBorder="1" applyAlignment="1" applyProtection="1">
      <alignment vertical="center"/>
    </xf>
    <xf numFmtId="170" fontId="25" fillId="0" borderId="0" xfId="1" applyNumberFormat="1" applyFont="1" applyFill="1" applyBorder="1" applyAlignment="1" applyProtection="1"/>
    <xf numFmtId="170" fontId="25" fillId="0" borderId="0" xfId="0" applyNumberFormat="1" applyFont="1"/>
    <xf numFmtId="170" fontId="29" fillId="0" borderId="0" xfId="0" applyNumberFormat="1" applyFont="1"/>
    <xf numFmtId="170" fontId="26" fillId="0" borderId="0" xfId="0" applyNumberFormat="1" applyFont="1"/>
    <xf numFmtId="170" fontId="47" fillId="3" borderId="0" xfId="0" applyNumberFormat="1" applyFont="1" applyFill="1"/>
    <xf numFmtId="166" fontId="25" fillId="0" borderId="0" xfId="0" applyNumberFormat="1" applyFont="1"/>
    <xf numFmtId="166" fontId="25" fillId="3" borderId="102" xfId="0" applyNumberFormat="1" applyFont="1" applyFill="1" applyBorder="1" applyAlignment="1">
      <alignment horizontal="center"/>
    </xf>
    <xf numFmtId="0" fontId="36" fillId="0" borderId="102" xfId="0" applyFont="1" applyBorder="1" applyAlignment="1">
      <alignment horizontal="left" vertical="center" wrapText="1"/>
    </xf>
    <xf numFmtId="43" fontId="25" fillId="0" borderId="102" xfId="1" applyNumberFormat="1" applyFont="1" applyBorder="1" applyAlignment="1">
      <alignment wrapText="1"/>
    </xf>
    <xf numFmtId="0" fontId="25" fillId="73" borderId="355" xfId="0" applyFont="1" applyFill="1" applyBorder="1"/>
    <xf numFmtId="43" fontId="25" fillId="0" borderId="395" xfId="1" applyFont="1" applyFill="1" applyBorder="1" applyAlignment="1" applyProtection="1"/>
    <xf numFmtId="177" fontId="25" fillId="47" borderId="355" xfId="0" applyNumberFormat="1" applyFont="1" applyFill="1" applyBorder="1" applyAlignment="1">
      <alignment horizontal="right" vertical="center"/>
    </xf>
    <xf numFmtId="177" fontId="25" fillId="47" borderId="457" xfId="0" applyNumberFormat="1" applyFont="1" applyFill="1" applyBorder="1" applyAlignment="1">
      <alignment horizontal="right" vertical="center"/>
    </xf>
    <xf numFmtId="177" fontId="26" fillId="47" borderId="355" xfId="0" applyNumberFormat="1" applyFont="1" applyFill="1" applyBorder="1" applyAlignment="1">
      <alignment horizontal="right" vertical="center"/>
    </xf>
    <xf numFmtId="177" fontId="26" fillId="47" borderId="458" xfId="0" applyNumberFormat="1" applyFont="1" applyFill="1" applyBorder="1" applyAlignment="1">
      <alignment horizontal="right" vertical="center"/>
    </xf>
    <xf numFmtId="177" fontId="25" fillId="47" borderId="379" xfId="0" applyNumberFormat="1" applyFont="1" applyFill="1" applyBorder="1" applyAlignment="1">
      <alignment horizontal="right" vertical="center"/>
    </xf>
    <xf numFmtId="177" fontId="25" fillId="74" borderId="378" xfId="0" applyNumberFormat="1" applyFont="1" applyFill="1" applyBorder="1" applyAlignment="1">
      <alignment horizontal="right" vertical="center"/>
    </xf>
    <xf numFmtId="177" fontId="26" fillId="74" borderId="395" xfId="0" applyNumberFormat="1" applyFont="1" applyFill="1" applyBorder="1" applyAlignment="1">
      <alignment horizontal="right" vertical="center"/>
    </xf>
    <xf numFmtId="173" fontId="106" fillId="3" borderId="17" xfId="0" applyNumberFormat="1" applyFont="1" applyFill="1" applyBorder="1" applyAlignment="1">
      <alignment vertical="center"/>
    </xf>
    <xf numFmtId="204" fontId="26" fillId="0" borderId="0" xfId="1" applyNumberFormat="1" applyFont="1"/>
    <xf numFmtId="0" fontId="133" fillId="3" borderId="17" xfId="0" applyFont="1" applyFill="1" applyBorder="1" applyAlignment="1">
      <alignment vertical="center" wrapText="1"/>
    </xf>
    <xf numFmtId="0" fontId="133" fillId="3" borderId="16" xfId="0" applyFont="1" applyFill="1" applyBorder="1" applyAlignment="1">
      <alignment vertical="center" wrapText="1"/>
    </xf>
    <xf numFmtId="0" fontId="133" fillId="3" borderId="17" xfId="78" applyFont="1" applyFill="1" applyBorder="1" applyAlignment="1">
      <alignment vertical="center"/>
    </xf>
    <xf numFmtId="195" fontId="133" fillId="3" borderId="17" xfId="78" applyNumberFormat="1" applyFont="1" applyFill="1" applyBorder="1" applyAlignment="1">
      <alignment horizontal="center" vertical="center"/>
    </xf>
    <xf numFmtId="0" fontId="133" fillId="3" borderId="17" xfId="78" applyFont="1" applyFill="1" applyBorder="1" applyAlignment="1">
      <alignment horizontal="center" vertical="center"/>
    </xf>
    <xf numFmtId="177" fontId="133" fillId="3" borderId="17" xfId="78" applyNumberFormat="1" applyFont="1" applyFill="1" applyBorder="1" applyAlignment="1">
      <alignment vertical="center"/>
    </xf>
    <xf numFmtId="177" fontId="133" fillId="3" borderId="0" xfId="0" applyNumberFormat="1" applyFont="1" applyFill="1" applyBorder="1" applyAlignment="1">
      <alignment vertical="center"/>
    </xf>
    <xf numFmtId="43" fontId="103" fillId="3" borderId="16" xfId="0" applyNumberFormat="1" applyFont="1" applyFill="1" applyBorder="1" applyAlignment="1">
      <alignment horizontal="left" vertical="center"/>
    </xf>
    <xf numFmtId="43" fontId="26" fillId="0" borderId="0" xfId="1" applyFont="1"/>
    <xf numFmtId="41" fontId="25" fillId="0" borderId="0" xfId="2" applyFont="1" applyFill="1" applyBorder="1" applyAlignment="1">
      <alignment vertical="center"/>
    </xf>
    <xf numFmtId="43" fontId="25" fillId="0" borderId="459" xfId="0" applyNumberFormat="1" applyFont="1" applyBorder="1"/>
    <xf numFmtId="43" fontId="26" fillId="9" borderId="460" xfId="0" applyNumberFormat="1" applyFont="1" applyFill="1" applyBorder="1"/>
    <xf numFmtId="43" fontId="25" fillId="0" borderId="422" xfId="0" applyNumberFormat="1" applyFont="1" applyBorder="1"/>
    <xf numFmtId="43" fontId="26" fillId="9" borderId="409" xfId="0" applyNumberFormat="1" applyFont="1" applyFill="1" applyBorder="1"/>
    <xf numFmtId="43" fontId="25" fillId="0" borderId="414" xfId="0" applyNumberFormat="1" applyFont="1" applyBorder="1"/>
    <xf numFmtId="43" fontId="25" fillId="0" borderId="461" xfId="0" applyNumberFormat="1" applyFont="1" applyBorder="1"/>
    <xf numFmtId="43" fontId="26" fillId="9" borderId="462" xfId="0" applyNumberFormat="1" applyFont="1" applyFill="1" applyBorder="1"/>
    <xf numFmtId="177" fontId="26" fillId="3" borderId="431" xfId="0" applyNumberFormat="1" applyFont="1" applyFill="1" applyBorder="1" applyAlignment="1">
      <alignment horizontal="center"/>
    </xf>
    <xf numFmtId="177" fontId="26" fillId="3" borderId="463" xfId="0" applyNumberFormat="1" applyFont="1" applyFill="1" applyBorder="1" applyAlignment="1">
      <alignment horizontal="center"/>
    </xf>
    <xf numFmtId="177" fontId="26" fillId="9" borderId="463" xfId="0" applyNumberFormat="1" applyFont="1" applyFill="1" applyBorder="1" applyAlignment="1">
      <alignment horizontal="center"/>
    </xf>
    <xf numFmtId="0" fontId="25" fillId="0" borderId="464" xfId="0" applyFont="1" applyBorder="1"/>
    <xf numFmtId="43" fontId="25" fillId="0" borderId="465" xfId="0" applyNumberFormat="1" applyFont="1" applyBorder="1"/>
    <xf numFmtId="43" fontId="25" fillId="0" borderId="466" xfId="0" applyNumberFormat="1" applyFont="1" applyBorder="1"/>
    <xf numFmtId="204" fontId="37" fillId="0" borderId="0" xfId="1" applyNumberFormat="1" applyFont="1"/>
    <xf numFmtId="204" fontId="25" fillId="0" borderId="0" xfId="1" applyNumberFormat="1" applyFont="1"/>
    <xf numFmtId="204" fontId="59" fillId="0" borderId="0" xfId="1" applyNumberFormat="1" applyFont="1" applyAlignment="1">
      <alignment vertical="center"/>
    </xf>
    <xf numFmtId="204" fontId="77" fillId="0" borderId="0" xfId="1" applyNumberFormat="1" applyFont="1" applyAlignment="1">
      <alignment vertical="center"/>
    </xf>
    <xf numFmtId="204" fontId="25" fillId="0" borderId="405" xfId="1" applyNumberFormat="1" applyFont="1" applyBorder="1"/>
    <xf numFmtId="204" fontId="25" fillId="0" borderId="393" xfId="1" applyNumberFormat="1" applyFont="1" applyBorder="1"/>
    <xf numFmtId="204" fontId="26" fillId="0" borderId="15" xfId="1" applyNumberFormat="1" applyFont="1" applyBorder="1"/>
    <xf numFmtId="204" fontId="26" fillId="0" borderId="409" xfId="1" applyNumberFormat="1" applyFont="1" applyBorder="1"/>
    <xf numFmtId="204" fontId="25" fillId="0" borderId="15" xfId="1" applyNumberFormat="1" applyFont="1" applyBorder="1"/>
    <xf numFmtId="204" fontId="0" fillId="0" borderId="409" xfId="1" applyNumberFormat="1" applyFont="1" applyBorder="1"/>
    <xf numFmtId="204" fontId="0" fillId="0" borderId="15" xfId="1" applyNumberFormat="1" applyFont="1" applyBorder="1"/>
    <xf numFmtId="204" fontId="25" fillId="0" borderId="409" xfId="1" applyNumberFormat="1" applyFont="1" applyBorder="1"/>
    <xf numFmtId="204" fontId="0" fillId="0" borderId="406" xfId="1" applyNumberFormat="1" applyFont="1" applyBorder="1"/>
    <xf numFmtId="204" fontId="25" fillId="0" borderId="410" xfId="1" applyNumberFormat="1" applyFont="1" applyBorder="1"/>
    <xf numFmtId="204" fontId="25" fillId="0" borderId="406" xfId="1" applyNumberFormat="1" applyFont="1" applyBorder="1"/>
    <xf numFmtId="204" fontId="25" fillId="0" borderId="300" xfId="1" applyNumberFormat="1" applyFont="1" applyBorder="1"/>
    <xf numFmtId="204" fontId="25" fillId="0" borderId="239" xfId="1" applyNumberFormat="1" applyFont="1" applyBorder="1"/>
    <xf numFmtId="204" fontId="27" fillId="0" borderId="0" xfId="1" applyNumberFormat="1" applyFont="1"/>
    <xf numFmtId="204" fontId="47" fillId="0" borderId="0" xfId="1" applyNumberFormat="1" applyFont="1"/>
    <xf numFmtId="204" fontId="146" fillId="0" borderId="0" xfId="1" applyNumberFormat="1" applyFont="1" applyAlignment="1">
      <alignment vertical="center"/>
    </xf>
    <xf numFmtId="204" fontId="144" fillId="0" borderId="0" xfId="1" applyNumberFormat="1" applyFont="1" applyAlignment="1">
      <alignment vertical="center"/>
    </xf>
    <xf numFmtId="41" fontId="25" fillId="0" borderId="467" xfId="2" applyFont="1" applyFill="1" applyBorder="1" applyAlignment="1">
      <alignment vertical="center"/>
    </xf>
    <xf numFmtId="41" fontId="25" fillId="0" borderId="468" xfId="2" applyFont="1" applyFill="1" applyBorder="1" applyAlignment="1">
      <alignment vertical="center"/>
    </xf>
    <xf numFmtId="177" fontId="25" fillId="0" borderId="240" xfId="0" applyNumberFormat="1" applyFont="1" applyBorder="1" applyAlignment="1">
      <alignment vertical="center"/>
    </xf>
    <xf numFmtId="41" fontId="25" fillId="0" borderId="469" xfId="2" applyFont="1" applyFill="1" applyBorder="1" applyAlignment="1">
      <alignment vertical="center"/>
    </xf>
    <xf numFmtId="41" fontId="25" fillId="0" borderId="371" xfId="2" applyFont="1" applyFill="1" applyBorder="1" applyAlignment="1">
      <alignment vertical="center"/>
    </xf>
    <xf numFmtId="41" fontId="25" fillId="0" borderId="470" xfId="2" applyFont="1" applyFill="1" applyBorder="1" applyAlignment="1">
      <alignment vertical="center"/>
    </xf>
    <xf numFmtId="177" fontId="25" fillId="0" borderId="471" xfId="0" applyNumberFormat="1" applyFont="1" applyBorder="1" applyAlignment="1">
      <alignment vertical="center"/>
    </xf>
    <xf numFmtId="41" fontId="25" fillId="0" borderId="472" xfId="2" applyFont="1" applyFill="1" applyBorder="1" applyAlignment="1">
      <alignment vertical="center"/>
    </xf>
    <xf numFmtId="41" fontId="25" fillId="0" borderId="244" xfId="2" applyFont="1" applyFill="1" applyBorder="1" applyAlignment="1">
      <alignment vertical="center"/>
    </xf>
    <xf numFmtId="41" fontId="25" fillId="0" borderId="473" xfId="2" applyFont="1" applyFill="1" applyBorder="1" applyAlignment="1">
      <alignment vertical="center"/>
    </xf>
    <xf numFmtId="177" fontId="25" fillId="0" borderId="474" xfId="0" applyNumberFormat="1" applyFont="1" applyBorder="1" applyAlignment="1">
      <alignment vertical="center"/>
    </xf>
    <xf numFmtId="41" fontId="25" fillId="0" borderId="374" xfId="2" applyFont="1" applyFill="1" applyBorder="1" applyAlignment="1">
      <alignment vertical="center"/>
    </xf>
    <xf numFmtId="177" fontId="25" fillId="0" borderId="374" xfId="0" applyNumberFormat="1" applyFont="1" applyBorder="1" applyAlignment="1">
      <alignment vertical="center"/>
    </xf>
    <xf numFmtId="41" fontId="25" fillId="0" borderId="475" xfId="2" applyFont="1" applyFill="1" applyBorder="1" applyAlignment="1">
      <alignment vertical="center"/>
    </xf>
    <xf numFmtId="41" fontId="25" fillId="0" borderId="17" xfId="2" applyFont="1" applyFill="1" applyBorder="1" applyAlignment="1">
      <alignment vertical="center"/>
    </xf>
    <xf numFmtId="41" fontId="25" fillId="0" borderId="476" xfId="2" applyFont="1" applyFill="1" applyBorder="1" applyAlignment="1">
      <alignment vertical="center"/>
    </xf>
    <xf numFmtId="177" fontId="25" fillId="0" borderId="477" xfId="0" applyNumberFormat="1" applyFont="1" applyBorder="1" applyAlignment="1">
      <alignment vertical="center"/>
    </xf>
    <xf numFmtId="41" fontId="25" fillId="0" borderId="234" xfId="2" applyFont="1" applyFill="1" applyBorder="1" applyAlignment="1">
      <alignment vertical="center"/>
    </xf>
    <xf numFmtId="41" fontId="25" fillId="0" borderId="316" xfId="2" applyFont="1" applyFill="1" applyBorder="1" applyAlignment="1">
      <alignment vertical="center"/>
    </xf>
    <xf numFmtId="177" fontId="25" fillId="0" borderId="478" xfId="0" applyNumberFormat="1" applyFont="1" applyBorder="1" applyAlignment="1">
      <alignment vertical="center"/>
    </xf>
    <xf numFmtId="41" fontId="25" fillId="0" borderId="289" xfId="2" applyFont="1" applyFill="1" applyBorder="1" applyAlignment="1">
      <alignment vertical="center"/>
    </xf>
    <xf numFmtId="177" fontId="25" fillId="0" borderId="327" xfId="0" applyNumberFormat="1" applyFont="1" applyBorder="1" applyAlignment="1">
      <alignment vertical="center"/>
    </xf>
    <xf numFmtId="0" fontId="25" fillId="0" borderId="0" xfId="0" applyFont="1" applyBorder="1" applyAlignment="1">
      <alignment vertical="center"/>
    </xf>
    <xf numFmtId="41" fontId="25" fillId="0" borderId="479" xfId="2" applyFont="1" applyFill="1" applyBorder="1" applyAlignment="1">
      <alignment vertical="center"/>
    </xf>
    <xf numFmtId="41" fontId="25" fillId="0" borderId="300" xfId="2" applyFont="1" applyFill="1" applyBorder="1" applyAlignment="1">
      <alignment vertical="center"/>
    </xf>
    <xf numFmtId="177" fontId="25" fillId="0" borderId="236" xfId="0" applyNumberFormat="1" applyFont="1" applyBorder="1" applyAlignment="1">
      <alignment vertical="center"/>
    </xf>
    <xf numFmtId="41" fontId="26" fillId="0" borderId="259" xfId="2" applyFont="1" applyFill="1" applyBorder="1" applyAlignment="1">
      <alignment vertical="center"/>
    </xf>
    <xf numFmtId="41" fontId="25" fillId="0" borderId="0" xfId="2" applyFont="1" applyFill="1" applyBorder="1" applyAlignment="1">
      <alignment vertical="center"/>
    </xf>
    <xf numFmtId="173" fontId="25" fillId="0" borderId="0" xfId="0" applyNumberFormat="1" applyFont="1" applyAlignment="1">
      <alignment vertical="center"/>
    </xf>
    <xf numFmtId="168" fontId="25" fillId="0" borderId="0" xfId="0" applyNumberFormat="1" applyFont="1" applyBorder="1" applyAlignment="1">
      <alignment vertical="center"/>
    </xf>
    <xf numFmtId="39" fontId="25" fillId="0" borderId="0" xfId="0" applyNumberFormat="1" applyFont="1" applyBorder="1" applyAlignment="1">
      <alignment horizontal="right" vertical="center"/>
    </xf>
    <xf numFmtId="9" fontId="25" fillId="9" borderId="102" xfId="147" applyFont="1" applyFill="1" applyBorder="1"/>
    <xf numFmtId="9" fontId="25" fillId="0" borderId="102" xfId="147" applyFont="1" applyBorder="1"/>
    <xf numFmtId="0" fontId="25" fillId="9" borderId="102" xfId="0" applyFont="1" applyFill="1" applyBorder="1"/>
    <xf numFmtId="9" fontId="25" fillId="0" borderId="0" xfId="0" applyNumberFormat="1" applyFont="1"/>
    <xf numFmtId="173" fontId="47" fillId="0" borderId="0" xfId="0" applyNumberFormat="1" applyFont="1"/>
    <xf numFmtId="43" fontId="47" fillId="0" borderId="0" xfId="1" applyFont="1"/>
    <xf numFmtId="173" fontId="25" fillId="9" borderId="102" xfId="0" applyNumberFormat="1" applyFont="1" applyFill="1" applyBorder="1"/>
    <xf numFmtId="10" fontId="25" fillId="0" borderId="0" xfId="0" applyNumberFormat="1" applyFont="1"/>
    <xf numFmtId="177" fontId="60" fillId="0" borderId="405" xfId="0" applyNumberFormat="1" applyFont="1" applyBorder="1"/>
    <xf numFmtId="177" fontId="188" fillId="0" borderId="480" xfId="0" applyNumberFormat="1" applyFont="1" applyBorder="1"/>
    <xf numFmtId="9" fontId="25" fillId="9" borderId="102" xfId="147" applyFont="1" applyFill="1" applyBorder="1" applyAlignment="1">
      <alignment horizontal="center"/>
    </xf>
    <xf numFmtId="173" fontId="25" fillId="0" borderId="0" xfId="0" applyNumberFormat="1" applyFont="1" applyAlignment="1">
      <alignment horizontal="center"/>
    </xf>
    <xf numFmtId="177" fontId="60" fillId="0" borderId="15" xfId="0" applyNumberFormat="1" applyFont="1" applyBorder="1"/>
    <xf numFmtId="9" fontId="25" fillId="0" borderId="102" xfId="147" applyFont="1" applyFill="1" applyBorder="1"/>
    <xf numFmtId="10" fontId="58" fillId="0" borderId="17" xfId="147" applyNumberFormat="1" applyFont="1" applyBorder="1"/>
    <xf numFmtId="10" fontId="58" fillId="0" borderId="382" xfId="147" applyNumberFormat="1" applyFont="1" applyBorder="1"/>
    <xf numFmtId="10" fontId="26" fillId="0" borderId="17" xfId="147" applyNumberFormat="1" applyFont="1" applyBorder="1"/>
    <xf numFmtId="10" fontId="26" fillId="0" borderId="259" xfId="147" applyNumberFormat="1" applyFont="1" applyBorder="1"/>
    <xf numFmtId="10" fontId="26" fillId="0" borderId="282" xfId="147" applyNumberFormat="1" applyFont="1" applyBorder="1"/>
    <xf numFmtId="9" fontId="26" fillId="7" borderId="308" xfId="147" applyFont="1" applyFill="1" applyBorder="1"/>
    <xf numFmtId="10" fontId="58" fillId="0" borderId="21" xfId="147" applyNumberFormat="1" applyFont="1" applyFill="1" applyBorder="1" applyAlignment="1" applyProtection="1"/>
    <xf numFmtId="10" fontId="58" fillId="0" borderId="17" xfId="147" applyNumberFormat="1" applyFont="1" applyFill="1" applyBorder="1" applyAlignment="1" applyProtection="1"/>
    <xf numFmtId="10" fontId="58" fillId="0" borderId="282" xfId="147" applyNumberFormat="1" applyFont="1" applyFill="1" applyBorder="1" applyAlignment="1" applyProtection="1"/>
    <xf numFmtId="10" fontId="59" fillId="0" borderId="21" xfId="147" applyNumberFormat="1" applyFont="1" applyFill="1" applyBorder="1" applyAlignment="1" applyProtection="1"/>
    <xf numFmtId="10" fontId="58" fillId="0" borderId="23" xfId="147" applyNumberFormat="1" applyFont="1" applyFill="1" applyBorder="1" applyAlignment="1" applyProtection="1"/>
    <xf numFmtId="10" fontId="58" fillId="0" borderId="382" xfId="147" applyNumberFormat="1" applyFont="1" applyFill="1" applyBorder="1" applyAlignment="1" applyProtection="1"/>
    <xf numFmtId="10" fontId="25" fillId="0" borderId="17" xfId="147" applyNumberFormat="1" applyFont="1" applyBorder="1"/>
    <xf numFmtId="9" fontId="26" fillId="7" borderId="308" xfId="147" applyNumberFormat="1" applyFont="1" applyFill="1" applyBorder="1"/>
    <xf numFmtId="177" fontId="114" fillId="0" borderId="481" xfId="0" applyNumberFormat="1" applyFont="1" applyBorder="1" applyAlignment="1">
      <alignment vertical="center"/>
    </xf>
    <xf numFmtId="177" fontId="114" fillId="0" borderId="425" xfId="0" applyNumberFormat="1" applyFont="1" applyBorder="1" applyAlignment="1">
      <alignment vertical="center"/>
    </xf>
    <xf numFmtId="43" fontId="37" fillId="0" borderId="0" xfId="0" applyNumberFormat="1" applyFont="1" applyFill="1"/>
    <xf numFmtId="49" fontId="3" fillId="0" borderId="0" xfId="0" applyNumberFormat="1" applyFont="1" applyFill="1"/>
    <xf numFmtId="43" fontId="3" fillId="0" borderId="0" xfId="0" applyNumberFormat="1" applyFont="1" applyFill="1"/>
    <xf numFmtId="49" fontId="0" fillId="0" borderId="0" xfId="0" applyNumberFormat="1" applyFill="1"/>
    <xf numFmtId="49" fontId="37" fillId="0" borderId="0" xfId="0" applyNumberFormat="1" applyFont="1" applyFill="1"/>
    <xf numFmtId="0" fontId="7" fillId="2" borderId="0" xfId="0" applyFont="1" applyFill="1" applyAlignment="1">
      <alignment horizontal="center"/>
    </xf>
    <xf numFmtId="0" fontId="5" fillId="2" borderId="0" xfId="0" applyFont="1" applyFill="1" applyAlignment="1">
      <alignment horizontal="center"/>
    </xf>
    <xf numFmtId="170" fontId="24" fillId="0" borderId="0" xfId="4" applyNumberFormat="1" applyFont="1" applyAlignment="1">
      <alignment horizontal="center"/>
    </xf>
    <xf numFmtId="0" fontId="11" fillId="0" borderId="0" xfId="4" applyFont="1" applyAlignment="1">
      <alignment horizontal="right" vertical="center"/>
    </xf>
    <xf numFmtId="0" fontId="11" fillId="0" borderId="0" xfId="4" applyFont="1" applyAlignment="1">
      <alignment horizontal="right"/>
    </xf>
    <xf numFmtId="0" fontId="176" fillId="5" borderId="0" xfId="4" applyFont="1" applyFill="1" applyAlignment="1">
      <alignment horizontal="center" vertical="center"/>
    </xf>
    <xf numFmtId="49" fontId="175" fillId="0" borderId="0" xfId="6" applyNumberFormat="1" applyFont="1" applyFill="1" applyBorder="1" applyAlignment="1">
      <alignment horizontal="center"/>
    </xf>
    <xf numFmtId="0" fontId="11" fillId="0" borderId="0" xfId="4" quotePrefix="1" applyFont="1" applyAlignment="1">
      <alignment horizontal="center" vertical="center"/>
    </xf>
    <xf numFmtId="168" fontId="24" fillId="0" borderId="0" xfId="4" applyNumberFormat="1" applyFont="1" applyAlignment="1">
      <alignment horizontal="left" vertical="center"/>
    </xf>
    <xf numFmtId="169" fontId="11" fillId="0" borderId="0" xfId="4" applyNumberFormat="1" applyFont="1" applyAlignment="1">
      <alignment horizontal="center"/>
    </xf>
    <xf numFmtId="0" fontId="10" fillId="0" borderId="0" xfId="4" applyFont="1" applyAlignment="1">
      <alignment horizontal="center" vertical="center"/>
    </xf>
    <xf numFmtId="49" fontId="17" fillId="0" borderId="0" xfId="6" applyNumberFormat="1" applyFont="1" applyFill="1" applyBorder="1" applyAlignment="1">
      <alignment horizontal="center"/>
    </xf>
    <xf numFmtId="49" fontId="25" fillId="0" borderId="0" xfId="0" applyNumberFormat="1" applyFont="1" applyAlignment="1">
      <alignment horizontal="center"/>
    </xf>
    <xf numFmtId="0" fontId="11" fillId="0" borderId="0" xfId="0" applyFont="1" applyAlignment="1">
      <alignment horizontal="center"/>
    </xf>
    <xf numFmtId="164" fontId="11" fillId="0" borderId="0" xfId="0" applyNumberFormat="1" applyFont="1" applyAlignment="1">
      <alignment horizontal="right"/>
    </xf>
    <xf numFmtId="168" fontId="24" fillId="0" borderId="0" xfId="0" applyNumberFormat="1" applyFont="1" applyAlignment="1">
      <alignment horizontal="left"/>
    </xf>
    <xf numFmtId="0" fontId="11" fillId="0" borderId="0" xfId="0" applyFont="1" applyAlignment="1">
      <alignment horizontal="center" wrapText="1"/>
    </xf>
    <xf numFmtId="0" fontId="24" fillId="0" borderId="0" xfId="0" applyFont="1" applyAlignment="1">
      <alignment horizontal="center"/>
    </xf>
    <xf numFmtId="0" fontId="26" fillId="0" borderId="0" xfId="0" applyFont="1" applyAlignment="1">
      <alignment horizontal="center"/>
    </xf>
    <xf numFmtId="0" fontId="28" fillId="0" borderId="0" xfId="0" applyFont="1" applyAlignment="1">
      <alignment horizontal="center"/>
    </xf>
    <xf numFmtId="0" fontId="18" fillId="6" borderId="0" xfId="14" applyFont="1" applyFill="1" applyAlignment="1">
      <alignment horizontal="center" vertical="center"/>
    </xf>
    <xf numFmtId="0" fontId="47" fillId="8" borderId="0" xfId="14" applyFont="1" applyFill="1" applyAlignment="1">
      <alignment horizontal="center"/>
    </xf>
    <xf numFmtId="179" fontId="26" fillId="7" borderId="9" xfId="0" applyNumberFormat="1" applyFont="1" applyFill="1" applyBorder="1" applyAlignment="1">
      <alignment horizontal="left" vertical="center"/>
    </xf>
    <xf numFmtId="179" fontId="26" fillId="7" borderId="10" xfId="0" applyNumberFormat="1" applyFont="1" applyFill="1" applyBorder="1" applyAlignment="1">
      <alignment horizontal="left" vertical="center"/>
    </xf>
    <xf numFmtId="179" fontId="28" fillId="7" borderId="13" xfId="0" applyNumberFormat="1" applyFont="1" applyFill="1" applyBorder="1" applyAlignment="1">
      <alignment horizontal="right" vertical="center"/>
    </xf>
    <xf numFmtId="179" fontId="28" fillId="7" borderId="14" xfId="0" applyNumberFormat="1" applyFont="1" applyFill="1" applyBorder="1" applyAlignment="1">
      <alignment horizontal="right" vertical="center"/>
    </xf>
    <xf numFmtId="0" fontId="34" fillId="6" borderId="0" xfId="0" applyFont="1" applyFill="1" applyAlignment="1">
      <alignment horizontal="center"/>
    </xf>
    <xf numFmtId="178" fontId="36" fillId="0" borderId="0" xfId="0" applyNumberFormat="1" applyFont="1" applyAlignment="1">
      <alignment horizontal="left"/>
    </xf>
    <xf numFmtId="168" fontId="15" fillId="0" borderId="0" xfId="0" applyNumberFormat="1" applyFont="1" applyAlignment="1">
      <alignment horizontal="right"/>
    </xf>
    <xf numFmtId="0" fontId="26" fillId="7" borderId="3" xfId="0" applyFont="1" applyFill="1" applyBorder="1" applyAlignment="1">
      <alignment horizontal="center" vertical="center"/>
    </xf>
    <xf numFmtId="0" fontId="26" fillId="7" borderId="4" xfId="0" applyFont="1" applyFill="1" applyBorder="1" applyAlignment="1">
      <alignment horizontal="center" vertical="center"/>
    </xf>
    <xf numFmtId="0" fontId="26" fillId="7" borderId="9" xfId="0" applyFont="1" applyFill="1" applyBorder="1" applyAlignment="1">
      <alignment horizontal="center" vertical="center"/>
    </xf>
    <xf numFmtId="0" fontId="26" fillId="7" borderId="10" xfId="0" applyFont="1" applyFill="1" applyBorder="1" applyAlignment="1">
      <alignment horizontal="center" vertical="center"/>
    </xf>
    <xf numFmtId="0" fontId="28" fillId="7" borderId="7" xfId="0" applyFont="1" applyFill="1" applyBorder="1" applyAlignment="1">
      <alignment horizontal="center" vertical="center"/>
    </xf>
    <xf numFmtId="0" fontId="28" fillId="7" borderId="8" xfId="0" applyFont="1" applyFill="1" applyBorder="1" applyAlignment="1">
      <alignment horizontal="center" vertical="center"/>
    </xf>
    <xf numFmtId="0" fontId="28" fillId="7" borderId="13" xfId="0" applyFont="1" applyFill="1" applyBorder="1" applyAlignment="1">
      <alignment horizontal="center" vertical="center"/>
    </xf>
    <xf numFmtId="0" fontId="28" fillId="7" borderId="14" xfId="0" applyFont="1" applyFill="1" applyBorder="1" applyAlignment="1">
      <alignment horizontal="center" vertical="center"/>
    </xf>
    <xf numFmtId="168" fontId="15" fillId="0" borderId="0" xfId="0" quotePrefix="1" applyNumberFormat="1" applyFont="1" applyAlignment="1">
      <alignment horizontal="right"/>
    </xf>
    <xf numFmtId="0" fontId="57" fillId="6" borderId="0" xfId="0" applyFont="1" applyFill="1" applyAlignment="1">
      <alignment horizontal="center"/>
    </xf>
    <xf numFmtId="0" fontId="74" fillId="6" borderId="0" xfId="0" applyFont="1" applyFill="1" applyAlignment="1">
      <alignment horizontal="center"/>
    </xf>
    <xf numFmtId="0" fontId="26" fillId="7" borderId="47" xfId="0" applyFont="1" applyFill="1" applyBorder="1" applyAlignment="1">
      <alignment horizontal="center" vertical="center"/>
    </xf>
    <xf numFmtId="3" fontId="59" fillId="7" borderId="33" xfId="0" applyNumberFormat="1" applyFont="1" applyFill="1" applyBorder="1" applyAlignment="1">
      <alignment horizontal="center" vertical="center"/>
    </xf>
    <xf numFmtId="3" fontId="59" fillId="7" borderId="35" xfId="0" applyNumberFormat="1" applyFont="1" applyFill="1" applyBorder="1" applyAlignment="1">
      <alignment horizontal="center" vertical="center"/>
    </xf>
    <xf numFmtId="185" fontId="27" fillId="9" borderId="0" xfId="0" applyNumberFormat="1" applyFont="1" applyFill="1" applyAlignment="1">
      <alignment horizontal="center" vertical="center"/>
    </xf>
    <xf numFmtId="0" fontId="26" fillId="7" borderId="57" xfId="0" applyFont="1" applyFill="1" applyBorder="1" applyAlignment="1">
      <alignment horizontal="left" vertical="center"/>
    </xf>
    <xf numFmtId="0" fontId="28" fillId="7" borderId="72" xfId="0" applyFont="1" applyFill="1" applyBorder="1" applyAlignment="1">
      <alignment horizontal="right" vertical="center"/>
    </xf>
    <xf numFmtId="0" fontId="26" fillId="7" borderId="62" xfId="0" applyFont="1" applyFill="1" applyBorder="1" applyAlignment="1">
      <alignment horizontal="left" vertical="center"/>
    </xf>
    <xf numFmtId="0" fontId="28" fillId="7" borderId="73" xfId="0" applyFont="1" applyFill="1" applyBorder="1" applyAlignment="1">
      <alignment horizontal="right" vertical="center"/>
    </xf>
    <xf numFmtId="0" fontId="26" fillId="7" borderId="47" xfId="0" applyFont="1" applyFill="1" applyBorder="1" applyAlignment="1">
      <alignment horizontal="left" vertical="center"/>
    </xf>
    <xf numFmtId="0" fontId="28" fillId="7" borderId="13" xfId="0" applyFont="1" applyFill="1" applyBorder="1" applyAlignment="1">
      <alignment horizontal="right" vertical="center"/>
    </xf>
    <xf numFmtId="0" fontId="27" fillId="0" borderId="0" xfId="0" applyFont="1" applyAlignment="1">
      <alignment horizontal="center" vertical="center"/>
    </xf>
    <xf numFmtId="0" fontId="36" fillId="0" borderId="0" xfId="0" applyFont="1" applyAlignment="1">
      <alignment horizontal="left"/>
    </xf>
    <xf numFmtId="0" fontId="25" fillId="0" borderId="0" xfId="0" applyFont="1" applyAlignment="1">
      <alignment horizontal="center" vertical="center"/>
    </xf>
    <xf numFmtId="0" fontId="57" fillId="6" borderId="0" xfId="0" applyFont="1" applyFill="1" applyAlignment="1">
      <alignment horizontal="center" vertical="center"/>
    </xf>
    <xf numFmtId="0" fontId="26" fillId="0" borderId="0" xfId="0" applyFont="1" applyAlignment="1">
      <alignment horizontal="center" vertical="center"/>
    </xf>
    <xf numFmtId="0" fontId="11" fillId="9" borderId="398" xfId="0" applyFont="1" applyFill="1" applyBorder="1" applyAlignment="1">
      <alignment horizontal="center" vertical="center"/>
    </xf>
    <xf numFmtId="0" fontId="11" fillId="9" borderId="399" xfId="0" applyFont="1" applyFill="1" applyBorder="1" applyAlignment="1">
      <alignment horizontal="center" vertical="center"/>
    </xf>
    <xf numFmtId="43" fontId="11" fillId="9" borderId="398" xfId="0" applyNumberFormat="1" applyFont="1" applyFill="1" applyBorder="1" applyAlignment="1">
      <alignment horizontal="center" vertical="center"/>
    </xf>
    <xf numFmtId="43" fontId="25" fillId="0" borderId="0" xfId="0" applyNumberFormat="1" applyFont="1" applyAlignment="1">
      <alignment horizontal="center" vertical="center"/>
    </xf>
    <xf numFmtId="39" fontId="25" fillId="0" borderId="53" xfId="2" applyNumberFormat="1" applyFont="1" applyFill="1" applyBorder="1" applyAlignment="1">
      <alignment vertical="center"/>
    </xf>
    <xf numFmtId="39" fontId="25" fillId="0" borderId="0" xfId="2" applyNumberFormat="1" applyFont="1" applyFill="1" applyBorder="1" applyAlignment="1">
      <alignment vertical="center"/>
    </xf>
    <xf numFmtId="39" fontId="25" fillId="0" borderId="108" xfId="2" applyNumberFormat="1" applyFont="1" applyFill="1" applyBorder="1" applyAlignment="1">
      <alignment vertical="center"/>
    </xf>
    <xf numFmtId="177" fontId="58" fillId="0" borderId="21" xfId="0" applyNumberFormat="1" applyFont="1" applyBorder="1" applyAlignment="1">
      <alignment horizontal="center" vertical="center"/>
    </xf>
    <xf numFmtId="177" fontId="58" fillId="0" borderId="0" xfId="0" applyNumberFormat="1" applyFont="1" applyAlignment="1">
      <alignment horizontal="center" vertical="center"/>
    </xf>
    <xf numFmtId="177" fontId="58" fillId="0" borderId="108" xfId="0" applyNumberFormat="1" applyFont="1" applyBorder="1" applyAlignment="1">
      <alignment horizontal="center" vertical="center"/>
    </xf>
    <xf numFmtId="177" fontId="58" fillId="0" borderId="17" xfId="0" applyNumberFormat="1" applyFont="1" applyBorder="1" applyAlignment="1">
      <alignment horizontal="center" vertical="center"/>
    </xf>
    <xf numFmtId="177" fontId="25" fillId="0" borderId="0" xfId="0" applyNumberFormat="1" applyFont="1" applyAlignment="1">
      <alignment horizontal="center" vertical="center"/>
    </xf>
    <xf numFmtId="177" fontId="25" fillId="0" borderId="374" xfId="0" applyNumberFormat="1" applyFont="1" applyBorder="1" applyAlignment="1">
      <alignment horizontal="center" vertical="center"/>
    </xf>
    <xf numFmtId="173" fontId="25" fillId="0" borderId="0" xfId="0" applyNumberFormat="1" applyFont="1" applyAlignment="1">
      <alignment horizontal="center" vertical="center"/>
    </xf>
    <xf numFmtId="4" fontId="27" fillId="0" borderId="0" xfId="2" applyNumberFormat="1" applyFont="1" applyFill="1" applyBorder="1" applyAlignment="1">
      <alignment horizontal="right" vertical="center"/>
    </xf>
    <xf numFmtId="175" fontId="26" fillId="0" borderId="79" xfId="0" applyNumberFormat="1" applyFont="1" applyBorder="1" applyAlignment="1">
      <alignment horizontal="center" vertical="center"/>
    </xf>
    <xf numFmtId="185" fontId="27" fillId="0" borderId="81" xfId="0" applyNumberFormat="1" applyFont="1" applyBorder="1" applyAlignment="1">
      <alignment horizontal="center" vertical="center"/>
    </xf>
    <xf numFmtId="175" fontId="25" fillId="0" borderId="0" xfId="0" applyNumberFormat="1" applyFont="1" applyAlignment="1">
      <alignment horizontal="center" vertical="center"/>
    </xf>
    <xf numFmtId="173" fontId="25" fillId="0" borderId="0" xfId="0" applyNumberFormat="1" applyFont="1" applyAlignment="1">
      <alignment horizontal="left" vertical="center"/>
    </xf>
    <xf numFmtId="177" fontId="59" fillId="0" borderId="33" xfId="0" applyNumberFormat="1" applyFont="1" applyBorder="1" applyAlignment="1">
      <alignment horizontal="center" vertical="center"/>
    </xf>
    <xf numFmtId="177" fontId="59" fillId="0" borderId="19" xfId="0" applyNumberFormat="1" applyFont="1" applyBorder="1" applyAlignment="1">
      <alignment horizontal="center" vertical="center"/>
    </xf>
    <xf numFmtId="38" fontId="25" fillId="0" borderId="0" xfId="0" applyNumberFormat="1" applyFont="1" applyAlignment="1">
      <alignment horizontal="center" vertical="center"/>
    </xf>
    <xf numFmtId="168" fontId="29" fillId="0" borderId="54" xfId="0" applyNumberFormat="1" applyFont="1" applyBorder="1" applyAlignment="1">
      <alignment horizontal="center" vertical="center"/>
    </xf>
    <xf numFmtId="177" fontId="59" fillId="0" borderId="12" xfId="0" applyNumberFormat="1" applyFont="1" applyBorder="1" applyAlignment="1">
      <alignment horizontal="center" vertical="center"/>
    </xf>
    <xf numFmtId="177" fontId="59" fillId="0" borderId="33" xfId="0" applyNumberFormat="1" applyFont="1" applyBorder="1" applyAlignment="1">
      <alignment horizontal="right" vertical="center"/>
    </xf>
    <xf numFmtId="177" fontId="58" fillId="0" borderId="17" xfId="0" applyNumberFormat="1" applyFont="1" applyBorder="1" applyAlignment="1">
      <alignment horizontal="right" vertical="center"/>
    </xf>
    <xf numFmtId="177" fontId="58" fillId="0" borderId="21" xfId="0" applyNumberFormat="1" applyFont="1" applyBorder="1" applyAlignment="1">
      <alignment horizontal="right" vertical="center"/>
    </xf>
    <xf numFmtId="177" fontId="58" fillId="0" borderId="0" xfId="0" applyNumberFormat="1" applyFont="1" applyAlignment="1">
      <alignment horizontal="right" vertical="center"/>
    </xf>
    <xf numFmtId="177" fontId="58" fillId="0" borderId="16" xfId="0" applyNumberFormat="1" applyFont="1" applyBorder="1" applyAlignment="1">
      <alignment horizontal="right" vertical="center"/>
    </xf>
    <xf numFmtId="177" fontId="58" fillId="0" borderId="16" xfId="0" applyNumberFormat="1" applyFont="1" applyBorder="1" applyAlignment="1">
      <alignment horizontal="center" vertical="center"/>
    </xf>
    <xf numFmtId="177" fontId="59" fillId="0" borderId="17" xfId="0" applyNumberFormat="1" applyFont="1" applyBorder="1" applyAlignment="1">
      <alignment horizontal="center" vertical="center"/>
    </xf>
    <xf numFmtId="177" fontId="59" fillId="0" borderId="52" xfId="0" applyNumberFormat="1" applyFont="1" applyBorder="1" applyAlignment="1">
      <alignment horizontal="center" vertical="center"/>
    </xf>
    <xf numFmtId="177" fontId="58" fillId="0" borderId="52" xfId="0" applyNumberFormat="1" applyFont="1" applyBorder="1" applyAlignment="1">
      <alignment horizontal="center" vertical="center"/>
    </xf>
    <xf numFmtId="177" fontId="58" fillId="0" borderId="31" xfId="0" applyNumberFormat="1" applyFont="1" applyBorder="1" applyAlignment="1">
      <alignment horizontal="right" vertical="center"/>
    </xf>
    <xf numFmtId="177" fontId="58" fillId="0" borderId="370" xfId="0" applyNumberFormat="1" applyFont="1" applyBorder="1" applyAlignment="1">
      <alignment horizontal="center" vertical="center"/>
    </xf>
    <xf numFmtId="177" fontId="59" fillId="0" borderId="52" xfId="0" applyNumberFormat="1" applyFont="1" applyBorder="1" applyAlignment="1">
      <alignment vertical="center"/>
    </xf>
    <xf numFmtId="177" fontId="58" fillId="0" borderId="40" xfId="0" applyNumberFormat="1" applyFont="1" applyBorder="1" applyAlignment="1">
      <alignment vertical="center"/>
    </xf>
    <xf numFmtId="177" fontId="59" fillId="0" borderId="52" xfId="0" applyNumberFormat="1" applyFont="1" applyBorder="1" applyAlignment="1">
      <alignment horizontal="right" vertical="center"/>
    </xf>
    <xf numFmtId="177" fontId="58" fillId="0" borderId="23" xfId="0" applyNumberFormat="1" applyFont="1" applyBorder="1" applyAlignment="1">
      <alignment horizontal="right" vertical="center"/>
    </xf>
    <xf numFmtId="177" fontId="58" fillId="0" borderId="82" xfId="0" applyNumberFormat="1" applyFont="1" applyBorder="1" applyAlignment="1">
      <alignment horizontal="right" vertical="center"/>
    </xf>
    <xf numFmtId="177" fontId="58" fillId="0" borderId="98" xfId="0" applyNumberFormat="1" applyFont="1" applyBorder="1" applyAlignment="1">
      <alignment horizontal="right" vertical="center"/>
    </xf>
    <xf numFmtId="177" fontId="58" fillId="0" borderId="363" xfId="0" applyNumberFormat="1" applyFont="1" applyBorder="1" applyAlignment="1">
      <alignment horizontal="center" vertical="center"/>
    </xf>
    <xf numFmtId="177" fontId="58" fillId="0" borderId="374" xfId="0" applyNumberFormat="1" applyFont="1" applyBorder="1" applyAlignment="1">
      <alignment horizontal="center" vertical="center"/>
    </xf>
    <xf numFmtId="177" fontId="58" fillId="0" borderId="345" xfId="0" applyNumberFormat="1" applyFont="1" applyBorder="1" applyAlignment="1">
      <alignment horizontal="center" vertical="center"/>
    </xf>
    <xf numFmtId="168" fontId="28" fillId="0" borderId="12" xfId="0" applyNumberFormat="1" applyFont="1" applyBorder="1" applyAlignment="1">
      <alignment horizontal="center" vertical="center"/>
    </xf>
    <xf numFmtId="168" fontId="28" fillId="0" borderId="54" xfId="0" applyNumberFormat="1" applyFont="1" applyBorder="1" applyAlignment="1">
      <alignment horizontal="center" vertical="center"/>
    </xf>
    <xf numFmtId="168" fontId="28" fillId="0" borderId="55" xfId="0" applyNumberFormat="1" applyFont="1" applyBorder="1" applyAlignment="1">
      <alignment horizontal="center" vertical="center"/>
    </xf>
    <xf numFmtId="38" fontId="28" fillId="0" borderId="12" xfId="0" applyNumberFormat="1" applyFont="1" applyBorder="1" applyAlignment="1">
      <alignment horizontal="center" vertical="center"/>
    </xf>
    <xf numFmtId="38" fontId="28" fillId="0" borderId="11" xfId="0" applyNumberFormat="1" applyFont="1" applyBorder="1" applyAlignment="1">
      <alignment horizontal="center" vertical="center"/>
    </xf>
    <xf numFmtId="38" fontId="26" fillId="0" borderId="17" xfId="0" applyNumberFormat="1" applyFont="1" applyBorder="1" applyAlignment="1">
      <alignment horizontal="center" vertical="center"/>
    </xf>
    <xf numFmtId="38" fontId="28" fillId="0" borderId="17" xfId="0" applyNumberFormat="1" applyFont="1" applyBorder="1" applyAlignment="1">
      <alignment horizontal="center" vertical="center"/>
    </xf>
    <xf numFmtId="0" fontId="28" fillId="0" borderId="40" xfId="0" applyFont="1" applyBorder="1" applyAlignment="1">
      <alignment horizontal="center" vertical="center"/>
    </xf>
    <xf numFmtId="164" fontId="26" fillId="0" borderId="17" xfId="0" applyNumberFormat="1" applyFont="1" applyBorder="1" applyAlignment="1">
      <alignment horizontal="center" vertical="center"/>
    </xf>
    <xf numFmtId="38" fontId="26" fillId="0" borderId="21" xfId="0" applyNumberFormat="1" applyFont="1" applyBorder="1" applyAlignment="1">
      <alignment horizontal="center" vertical="center"/>
    </xf>
    <xf numFmtId="38" fontId="26" fillId="0" borderId="21" xfId="0" quotePrefix="1" applyNumberFormat="1" applyFont="1" applyBorder="1" applyAlignment="1">
      <alignment horizontal="center" vertical="center"/>
    </xf>
    <xf numFmtId="169" fontId="59" fillId="0" borderId="54" xfId="0" applyNumberFormat="1" applyFont="1" applyBorder="1" applyAlignment="1">
      <alignment horizontal="center" vertical="center"/>
    </xf>
    <xf numFmtId="0" fontId="26" fillId="0" borderId="10" xfId="0" applyFont="1" applyBorder="1" applyAlignment="1">
      <alignment horizontal="center" vertical="center"/>
    </xf>
    <xf numFmtId="0" fontId="26" fillId="0" borderId="48" xfId="0" applyFont="1" applyBorder="1" applyAlignment="1">
      <alignment horizontal="center" vertical="center"/>
    </xf>
    <xf numFmtId="38" fontId="26" fillId="0" borderId="48" xfId="0" applyNumberFormat="1" applyFont="1" applyBorder="1" applyAlignment="1">
      <alignment horizontal="center" vertical="center"/>
    </xf>
    <xf numFmtId="38" fontId="26" fillId="0" borderId="13" xfId="0" applyNumberFormat="1" applyFont="1" applyBorder="1" applyAlignment="1">
      <alignment horizontal="center" vertical="center"/>
    </xf>
    <xf numFmtId="0" fontId="28" fillId="0" borderId="17" xfId="0" applyFont="1" applyBorder="1" applyAlignment="1">
      <alignment horizontal="center" vertical="center"/>
    </xf>
    <xf numFmtId="177" fontId="25" fillId="0" borderId="21" xfId="0" applyNumberFormat="1" applyFont="1" applyBorder="1" applyAlignment="1">
      <alignment horizontal="center" vertical="center"/>
    </xf>
    <xf numFmtId="177" fontId="25" fillId="0" borderId="16" xfId="0" applyNumberFormat="1" applyFont="1" applyBorder="1" applyAlignment="1">
      <alignment horizontal="center" vertical="center"/>
    </xf>
    <xf numFmtId="177" fontId="58" fillId="0" borderId="40" xfId="0" applyNumberFormat="1" applyFont="1" applyBorder="1" applyAlignment="1">
      <alignment horizontal="center" vertical="center"/>
    </xf>
    <xf numFmtId="177" fontId="58" fillId="0" borderId="40" xfId="0" applyNumberFormat="1" applyFont="1" applyBorder="1" applyAlignment="1">
      <alignment horizontal="right" vertical="center"/>
    </xf>
    <xf numFmtId="177" fontId="25" fillId="0" borderId="23" xfId="0" applyNumberFormat="1" applyFont="1" applyBorder="1" applyAlignment="1">
      <alignment horizontal="center" vertical="center"/>
    </xf>
    <xf numFmtId="177" fontId="25" fillId="0" borderId="82" xfId="0" applyNumberFormat="1" applyFont="1" applyBorder="1" applyAlignment="1">
      <alignment horizontal="center" vertical="center"/>
    </xf>
    <xf numFmtId="177" fontId="25" fillId="0" borderId="98" xfId="0" applyNumberFormat="1" applyFont="1" applyBorder="1" applyAlignment="1">
      <alignment horizontal="center" vertical="center"/>
    </xf>
    <xf numFmtId="177" fontId="25" fillId="0" borderId="17" xfId="0" applyNumberFormat="1" applyFont="1" applyBorder="1" applyAlignment="1">
      <alignment horizontal="center" vertical="center"/>
    </xf>
    <xf numFmtId="177" fontId="59" fillId="0" borderId="48" xfId="0" applyNumberFormat="1" applyFont="1" applyBorder="1" applyAlignment="1">
      <alignment horizontal="center" vertical="center"/>
    </xf>
    <xf numFmtId="177" fontId="59" fillId="0" borderId="17" xfId="0" applyNumberFormat="1" applyFont="1" applyBorder="1" applyAlignment="1">
      <alignment vertical="center"/>
    </xf>
    <xf numFmtId="177" fontId="58" fillId="0" borderId="306" xfId="0" applyNumberFormat="1" applyFont="1" applyBorder="1" applyAlignment="1">
      <alignment vertical="center"/>
    </xf>
    <xf numFmtId="177" fontId="58" fillId="0" borderId="17" xfId="0" applyNumberFormat="1" applyFont="1" applyBorder="1" applyAlignment="1">
      <alignment vertical="center"/>
    </xf>
    <xf numFmtId="177" fontId="59" fillId="0" borderId="17" xfId="0" applyNumberFormat="1" applyFont="1" applyBorder="1" applyAlignment="1">
      <alignment horizontal="right" vertical="center"/>
    </xf>
    <xf numFmtId="177" fontId="59" fillId="0" borderId="74" xfId="0" applyNumberFormat="1" applyFont="1" applyBorder="1" applyAlignment="1">
      <alignment horizontal="center" vertical="center"/>
    </xf>
    <xf numFmtId="177" fontId="59" fillId="0" borderId="77" xfId="0" applyNumberFormat="1" applyFont="1" applyBorder="1" applyAlignment="1">
      <alignment horizontal="center" vertical="center"/>
    </xf>
    <xf numFmtId="177" fontId="59" fillId="0" borderId="99" xfId="0" applyNumberFormat="1" applyFont="1" applyBorder="1" applyAlignment="1">
      <alignment horizontal="center" vertical="center"/>
    </xf>
    <xf numFmtId="177" fontId="58" fillId="0" borderId="313" xfId="0" applyNumberFormat="1" applyFont="1" applyBorder="1" applyAlignment="1">
      <alignment horizontal="right" vertical="center"/>
    </xf>
    <xf numFmtId="177" fontId="58" fillId="0" borderId="306" xfId="0" applyNumberFormat="1" applyFont="1" applyBorder="1" applyAlignment="1">
      <alignment horizontal="right" vertical="center"/>
    </xf>
    <xf numFmtId="39" fontId="25" fillId="0" borderId="53" xfId="2" applyNumberFormat="1" applyFont="1" applyFill="1" applyBorder="1" applyAlignment="1">
      <alignment vertical="top"/>
    </xf>
    <xf numFmtId="39" fontId="25" fillId="0" borderId="0" xfId="2" applyNumberFormat="1" applyFont="1" applyFill="1" applyBorder="1" applyAlignment="1">
      <alignment vertical="top"/>
    </xf>
    <xf numFmtId="39" fontId="25" fillId="0" borderId="108" xfId="2" applyNumberFormat="1" applyFont="1" applyFill="1" applyBorder="1" applyAlignment="1">
      <alignment vertical="top"/>
    </xf>
    <xf numFmtId="0" fontId="65" fillId="0" borderId="120" xfId="0" applyFont="1" applyBorder="1" applyAlignment="1">
      <alignment horizontal="right" vertical="center"/>
    </xf>
    <xf numFmtId="0" fontId="65" fillId="0" borderId="119" xfId="0" applyFont="1" applyBorder="1" applyAlignment="1">
      <alignment horizontal="right" vertical="center"/>
    </xf>
    <xf numFmtId="0" fontId="65" fillId="0" borderId="71" xfId="0" applyFont="1" applyBorder="1" applyAlignment="1">
      <alignment horizontal="right" vertical="center"/>
    </xf>
    <xf numFmtId="190" fontId="27" fillId="0" borderId="0" xfId="2" applyNumberFormat="1" applyFont="1" applyFill="1" applyAlignment="1">
      <alignment vertical="center"/>
    </xf>
    <xf numFmtId="0" fontId="59" fillId="0" borderId="10" xfId="0" applyFont="1" applyBorder="1" applyAlignment="1">
      <alignment horizontal="center" vertical="center"/>
    </xf>
    <xf numFmtId="0" fontId="59" fillId="0" borderId="48" xfId="0" applyFont="1" applyBorder="1" applyAlignment="1">
      <alignment horizontal="center" vertical="center"/>
    </xf>
    <xf numFmtId="38" fontId="59" fillId="0" borderId="48" xfId="0" applyNumberFormat="1" applyFont="1" applyBorder="1" applyAlignment="1">
      <alignment horizontal="center" vertical="center"/>
    </xf>
    <xf numFmtId="38" fontId="59" fillId="0" borderId="13" xfId="0" applyNumberFormat="1" applyFont="1" applyBorder="1" applyAlignment="1">
      <alignment horizontal="center" vertical="center"/>
    </xf>
    <xf numFmtId="38" fontId="77" fillId="0" borderId="11" xfId="0" applyNumberFormat="1" applyFont="1" applyBorder="1" applyAlignment="1">
      <alignment horizontal="center" vertical="center"/>
    </xf>
    <xf numFmtId="168" fontId="105" fillId="0" borderId="12" xfId="0" applyNumberFormat="1" applyFont="1" applyBorder="1" applyAlignment="1">
      <alignment horizontal="center" vertical="center"/>
    </xf>
    <xf numFmtId="0" fontId="77" fillId="0" borderId="17" xfId="0" applyFont="1" applyBorder="1" applyAlignment="1">
      <alignment horizontal="center" vertical="center"/>
    </xf>
    <xf numFmtId="38" fontId="77" fillId="0" borderId="17" xfId="0" applyNumberFormat="1" applyFont="1" applyBorder="1" applyAlignment="1">
      <alignment horizontal="center" vertical="center"/>
    </xf>
    <xf numFmtId="38" fontId="59" fillId="0" borderId="17" xfId="0" applyNumberFormat="1" applyFont="1" applyBorder="1" applyAlignment="1">
      <alignment horizontal="center" vertical="center"/>
    </xf>
    <xf numFmtId="205" fontId="77" fillId="0" borderId="40" xfId="0" applyNumberFormat="1" applyFont="1" applyBorder="1" applyAlignment="1">
      <alignment horizontal="center" vertical="center"/>
    </xf>
    <xf numFmtId="38" fontId="103" fillId="0" borderId="17" xfId="0" applyNumberFormat="1" applyFont="1" applyBorder="1" applyAlignment="1">
      <alignment horizontal="center" vertical="center"/>
    </xf>
    <xf numFmtId="38" fontId="59" fillId="0" borderId="21" xfId="0" applyNumberFormat="1" applyFont="1" applyBorder="1" applyAlignment="1">
      <alignment horizontal="center" vertical="center"/>
    </xf>
    <xf numFmtId="39" fontId="25" fillId="0" borderId="120" xfId="2" applyNumberFormat="1" applyFont="1" applyFill="1" applyBorder="1" applyAlignment="1">
      <alignment vertical="center"/>
    </xf>
    <xf numFmtId="39" fontId="25" fillId="0" borderId="119" xfId="2" applyNumberFormat="1" applyFont="1" applyFill="1" applyBorder="1" applyAlignment="1">
      <alignment vertical="center"/>
    </xf>
    <xf numFmtId="39" fontId="25" fillId="0" borderId="121" xfId="2" applyNumberFormat="1" applyFont="1" applyFill="1" applyBorder="1" applyAlignment="1">
      <alignment vertical="center"/>
    </xf>
    <xf numFmtId="0" fontId="25" fillId="0" borderId="67" xfId="0" applyFont="1" applyBorder="1" applyAlignment="1">
      <alignment vertical="center"/>
    </xf>
    <xf numFmtId="0" fontId="25" fillId="0" borderId="119" xfId="0" applyFont="1" applyBorder="1" applyAlignment="1">
      <alignment vertical="center"/>
    </xf>
    <xf numFmtId="39" fontId="26" fillId="0" borderId="120" xfId="2" applyNumberFormat="1" applyFont="1" applyFill="1" applyBorder="1" applyAlignment="1">
      <alignment vertical="center"/>
    </xf>
    <xf numFmtId="39" fontId="26" fillId="0" borderId="119" xfId="2" applyNumberFormat="1" applyFont="1" applyFill="1" applyBorder="1" applyAlignment="1">
      <alignment vertical="center"/>
    </xf>
    <xf numFmtId="39" fontId="26" fillId="0" borderId="121" xfId="2" applyNumberFormat="1" applyFont="1" applyFill="1" applyBorder="1" applyAlignment="1">
      <alignment vertical="center"/>
    </xf>
    <xf numFmtId="38" fontId="99" fillId="0" borderId="21" xfId="0" applyNumberFormat="1" applyFont="1" applyBorder="1" applyAlignment="1">
      <alignment horizontal="center" vertical="center"/>
    </xf>
    <xf numFmtId="168" fontId="104" fillId="0" borderId="11" xfId="0" applyNumberFormat="1" applyFont="1" applyBorder="1" applyAlignment="1">
      <alignment horizontal="center" vertical="center"/>
    </xf>
    <xf numFmtId="38" fontId="77" fillId="0" borderId="12" xfId="0" applyNumberFormat="1" applyFont="1" applyBorder="1" applyAlignment="1">
      <alignment horizontal="center" vertical="center"/>
    </xf>
    <xf numFmtId="39" fontId="25" fillId="0" borderId="106" xfId="2" applyNumberFormat="1" applyFont="1" applyFill="1" applyBorder="1" applyAlignment="1">
      <alignment vertical="top"/>
    </xf>
    <xf numFmtId="39" fontId="25" fillId="0" borderId="78" xfId="2" applyNumberFormat="1" applyFont="1" applyFill="1" applyBorder="1" applyAlignment="1">
      <alignment vertical="top"/>
    </xf>
    <xf numFmtId="39" fontId="25" fillId="0" borderId="107" xfId="2" applyNumberFormat="1" applyFont="1" applyFill="1" applyBorder="1" applyAlignment="1">
      <alignment vertical="top"/>
    </xf>
    <xf numFmtId="39" fontId="25" fillId="0" borderId="106" xfId="2" applyNumberFormat="1" applyFont="1" applyFill="1" applyBorder="1" applyAlignment="1">
      <alignment vertical="center"/>
    </xf>
    <xf numFmtId="39" fontId="25" fillId="0" borderId="78" xfId="2" applyNumberFormat="1" applyFont="1" applyFill="1" applyBorder="1" applyAlignment="1">
      <alignment vertical="center"/>
    </xf>
    <xf numFmtId="39" fontId="25" fillId="0" borderId="107" xfId="2" applyNumberFormat="1" applyFont="1" applyFill="1" applyBorder="1" applyAlignment="1">
      <alignment vertical="center"/>
    </xf>
    <xf numFmtId="167" fontId="25" fillId="0" borderId="106" xfId="2" applyNumberFormat="1" applyFont="1" applyFill="1" applyBorder="1" applyAlignment="1">
      <alignment vertical="center"/>
    </xf>
    <xf numFmtId="167" fontId="25" fillId="0" borderId="78" xfId="2" applyNumberFormat="1" applyFont="1" applyFill="1" applyBorder="1" applyAlignment="1">
      <alignment vertical="center"/>
    </xf>
    <xf numFmtId="167" fontId="25" fillId="0" borderId="107" xfId="2" applyNumberFormat="1" applyFont="1" applyFill="1" applyBorder="1" applyAlignment="1">
      <alignment vertical="center"/>
    </xf>
    <xf numFmtId="177" fontId="58" fillId="0" borderId="53" xfId="0" applyNumberFormat="1" applyFont="1" applyBorder="1" applyAlignment="1">
      <alignment horizontal="center" vertical="center"/>
    </xf>
    <xf numFmtId="41" fontId="25" fillId="0" borderId="106" xfId="2" applyFont="1" applyFill="1" applyBorder="1" applyAlignment="1">
      <alignment vertical="center"/>
    </xf>
    <xf numFmtId="41" fontId="25" fillId="0" borderId="78" xfId="2" applyFont="1" applyFill="1" applyBorder="1" applyAlignment="1">
      <alignment vertical="center"/>
    </xf>
    <xf numFmtId="41" fontId="25" fillId="0" borderId="107" xfId="2" applyFont="1" applyFill="1" applyBorder="1" applyAlignment="1">
      <alignment vertical="center"/>
    </xf>
    <xf numFmtId="39" fontId="25" fillId="0" borderId="103" xfId="2" applyNumberFormat="1" applyFont="1" applyFill="1" applyBorder="1" applyAlignment="1">
      <alignment vertical="center"/>
    </xf>
    <xf numFmtId="39" fontId="25" fillId="0" borderId="104" xfId="2" applyNumberFormat="1" applyFont="1" applyFill="1" applyBorder="1" applyAlignment="1">
      <alignment vertical="center"/>
    </xf>
    <xf numFmtId="39" fontId="25" fillId="0" borderId="105" xfId="2" applyNumberFormat="1" applyFont="1" applyFill="1" applyBorder="1" applyAlignment="1">
      <alignment vertical="center"/>
    </xf>
    <xf numFmtId="39" fontId="25" fillId="0" borderId="106" xfId="2" applyNumberFormat="1" applyFont="1" applyFill="1" applyBorder="1" applyAlignment="1">
      <alignment horizontal="right" vertical="center"/>
    </xf>
    <xf numFmtId="39" fontId="25" fillId="0" borderId="78" xfId="2" applyNumberFormat="1" applyFont="1" applyFill="1" applyBorder="1" applyAlignment="1">
      <alignment horizontal="right" vertical="center"/>
    </xf>
    <xf numFmtId="39" fontId="25" fillId="0" borderId="107" xfId="2" applyNumberFormat="1" applyFont="1" applyFill="1" applyBorder="1" applyAlignment="1">
      <alignment horizontal="right" vertical="center"/>
    </xf>
    <xf numFmtId="37" fontId="25" fillId="0" borderId="78" xfId="2" applyNumberFormat="1" applyFont="1" applyFill="1" applyBorder="1" applyAlignment="1">
      <alignment vertical="center"/>
    </xf>
    <xf numFmtId="39" fontId="26" fillId="0" borderId="53" xfId="2" applyNumberFormat="1" applyFont="1" applyFill="1" applyBorder="1" applyAlignment="1">
      <alignment vertical="center"/>
    </xf>
    <xf numFmtId="39" fontId="26" fillId="0" borderId="0" xfId="2" applyNumberFormat="1" applyFont="1" applyFill="1" applyBorder="1" applyAlignment="1">
      <alignment vertical="center"/>
    </xf>
    <xf numFmtId="39" fontId="26" fillId="0" borderId="108" xfId="2" applyNumberFormat="1" applyFont="1" applyFill="1" applyBorder="1" applyAlignment="1">
      <alignment vertical="center"/>
    </xf>
    <xf numFmtId="39" fontId="26" fillId="0" borderId="122" xfId="2" applyNumberFormat="1" applyFont="1" applyFill="1" applyBorder="1" applyAlignment="1">
      <alignment vertical="center"/>
    </xf>
    <xf numFmtId="39" fontId="26" fillId="0" borderId="123" xfId="2" applyNumberFormat="1" applyFont="1" applyFill="1" applyBorder="1" applyAlignment="1">
      <alignment vertical="center"/>
    </xf>
    <xf numFmtId="39" fontId="26" fillId="0" borderId="124" xfId="2" applyNumberFormat="1" applyFont="1" applyFill="1" applyBorder="1" applyAlignment="1">
      <alignment vertical="center"/>
    </xf>
    <xf numFmtId="39" fontId="26" fillId="0" borderId="114" xfId="2" applyNumberFormat="1" applyFont="1" applyFill="1" applyBorder="1" applyAlignment="1">
      <alignment horizontal="right" vertical="center"/>
    </xf>
    <xf numFmtId="39" fontId="26" fillId="0" borderId="113" xfId="2" applyNumberFormat="1" applyFont="1" applyFill="1" applyBorder="1" applyAlignment="1">
      <alignment horizontal="right" vertical="center"/>
    </xf>
    <xf numFmtId="39" fontId="26" fillId="0" borderId="115" xfId="2" applyNumberFormat="1" applyFont="1" applyFill="1" applyBorder="1" applyAlignment="1">
      <alignment horizontal="right" vertical="center"/>
    </xf>
    <xf numFmtId="39" fontId="25" fillId="0" borderId="114" xfId="2" applyNumberFormat="1" applyFont="1" applyFill="1" applyBorder="1" applyAlignment="1">
      <alignment vertical="center"/>
    </xf>
    <xf numFmtId="39" fontId="25" fillId="0" borderId="113" xfId="2" applyNumberFormat="1" applyFont="1" applyFill="1" applyBorder="1" applyAlignment="1">
      <alignment vertical="center"/>
    </xf>
    <xf numFmtId="39" fontId="25" fillId="0" borderId="115" xfId="2" applyNumberFormat="1" applyFont="1" applyFill="1" applyBorder="1" applyAlignment="1">
      <alignment vertical="center"/>
    </xf>
    <xf numFmtId="41" fontId="25" fillId="0" borderId="0" xfId="2" applyFont="1" applyFill="1" applyBorder="1" applyAlignment="1">
      <alignment vertical="center"/>
    </xf>
    <xf numFmtId="39" fontId="25" fillId="0" borderId="53" xfId="2" applyNumberFormat="1" applyFont="1" applyFill="1" applyBorder="1" applyAlignment="1">
      <alignment horizontal="right" vertical="center"/>
    </xf>
    <xf numFmtId="39" fontId="25" fillId="0" borderId="0" xfId="2" applyNumberFormat="1" applyFont="1" applyFill="1" applyBorder="1" applyAlignment="1">
      <alignment horizontal="right" vertical="center"/>
    </xf>
    <xf numFmtId="39" fontId="25" fillId="0" borderId="108" xfId="2" applyNumberFormat="1" applyFont="1" applyFill="1" applyBorder="1" applyAlignment="1">
      <alignment horizontal="right" vertical="center"/>
    </xf>
    <xf numFmtId="39" fontId="25" fillId="47" borderId="53" xfId="2" applyNumberFormat="1" applyFont="1" applyFill="1" applyBorder="1" applyAlignment="1">
      <alignment vertical="center"/>
    </xf>
    <xf numFmtId="39" fontId="25" fillId="47" borderId="0" xfId="2" applyNumberFormat="1" applyFont="1" applyFill="1" applyBorder="1" applyAlignment="1">
      <alignment vertical="center"/>
    </xf>
    <xf numFmtId="39" fontId="25" fillId="47" borderId="108" xfId="2" applyNumberFormat="1" applyFont="1" applyFill="1" applyBorder="1" applyAlignment="1">
      <alignment vertical="center"/>
    </xf>
    <xf numFmtId="177" fontId="59" fillId="9" borderId="33" xfId="0" applyNumberFormat="1" applyFont="1" applyFill="1" applyBorder="1" applyAlignment="1">
      <alignment horizontal="center" vertical="center"/>
    </xf>
    <xf numFmtId="177" fontId="59" fillId="0" borderId="37" xfId="0" applyNumberFormat="1" applyFont="1" applyBorder="1" applyAlignment="1">
      <alignment horizontal="center" vertical="center"/>
    </xf>
    <xf numFmtId="177" fontId="58" fillId="0" borderId="342" xfId="0" applyNumberFormat="1" applyFont="1" applyBorder="1" applyAlignment="1">
      <alignment horizontal="center" vertical="center"/>
    </xf>
    <xf numFmtId="39" fontId="25" fillId="0" borderId="361" xfId="2" applyNumberFormat="1" applyFont="1" applyFill="1" applyBorder="1" applyAlignment="1">
      <alignment vertical="center"/>
    </xf>
    <xf numFmtId="190" fontId="25" fillId="0" borderId="53" xfId="2" applyNumberFormat="1" applyFont="1" applyFill="1" applyBorder="1" applyAlignment="1">
      <alignment vertical="center"/>
    </xf>
    <xf numFmtId="190" fontId="25" fillId="0" borderId="0" xfId="2" applyNumberFormat="1" applyFont="1" applyFill="1" applyBorder="1" applyAlignment="1">
      <alignment vertical="center"/>
    </xf>
    <xf numFmtId="190" fontId="25" fillId="0" borderId="108" xfId="2" applyNumberFormat="1" applyFont="1" applyFill="1" applyBorder="1" applyAlignment="1">
      <alignment vertical="center"/>
    </xf>
    <xf numFmtId="39" fontId="58" fillId="0" borderId="53" xfId="2" applyNumberFormat="1" applyFont="1" applyFill="1" applyBorder="1" applyAlignment="1">
      <alignment vertical="center"/>
    </xf>
    <xf numFmtId="39" fontId="58" fillId="0" borderId="0" xfId="2" applyNumberFormat="1" applyFont="1" applyFill="1" applyBorder="1" applyAlignment="1">
      <alignment vertical="center"/>
    </xf>
    <xf numFmtId="39" fontId="58" fillId="0" borderId="108" xfId="2" applyNumberFormat="1" applyFont="1" applyFill="1" applyBorder="1" applyAlignment="1">
      <alignment vertical="center"/>
    </xf>
    <xf numFmtId="0" fontId="28" fillId="0" borderId="0" xfId="0" applyFont="1" applyAlignment="1">
      <alignment horizontal="center" vertical="center"/>
    </xf>
    <xf numFmtId="38" fontId="26" fillId="0" borderId="53" xfId="0" applyNumberFormat="1" applyFont="1" applyBorder="1" applyAlignment="1">
      <alignment horizontal="center" vertical="center"/>
    </xf>
    <xf numFmtId="0" fontId="26" fillId="0" borderId="108" xfId="0" applyFont="1" applyBorder="1" applyAlignment="1">
      <alignment horizontal="center" vertical="center"/>
    </xf>
    <xf numFmtId="168" fontId="28" fillId="0" borderId="117" xfId="0" applyNumberFormat="1" applyFont="1" applyBorder="1" applyAlignment="1">
      <alignment horizontal="center" vertical="center"/>
    </xf>
    <xf numFmtId="168" fontId="28" fillId="0" borderId="83" xfId="0" applyNumberFormat="1" applyFont="1" applyBorder="1" applyAlignment="1">
      <alignment horizontal="center" vertical="center"/>
    </xf>
    <xf numFmtId="168" fontId="28" fillId="0" borderId="118" xfId="0" applyNumberFormat="1" applyFont="1" applyBorder="1" applyAlignment="1">
      <alignment horizontal="center" vertical="center"/>
    </xf>
    <xf numFmtId="0" fontId="28" fillId="0" borderId="83" xfId="0" applyFont="1" applyBorder="1" applyAlignment="1">
      <alignment horizontal="center" vertical="center"/>
    </xf>
    <xf numFmtId="190" fontId="25" fillId="0" borderId="114" xfId="2" applyNumberFormat="1" applyFont="1" applyFill="1" applyBorder="1" applyAlignment="1">
      <alignment vertical="center"/>
    </xf>
    <xf numFmtId="190" fontId="25" fillId="0" borderId="113" xfId="2" applyNumberFormat="1" applyFont="1" applyFill="1" applyBorder="1" applyAlignment="1">
      <alignment vertical="center"/>
    </xf>
    <xf numFmtId="190" fontId="25" fillId="0" borderId="115" xfId="2" applyNumberFormat="1" applyFont="1" applyFill="1" applyBorder="1" applyAlignment="1">
      <alignment vertical="center"/>
    </xf>
    <xf numFmtId="169" fontId="59" fillId="0" borderId="83" xfId="0" applyNumberFormat="1" applyFont="1" applyBorder="1" applyAlignment="1">
      <alignment horizontal="center" vertical="center"/>
    </xf>
    <xf numFmtId="0" fontId="26" fillId="0" borderId="112" xfId="0" applyFont="1" applyBorder="1" applyAlignment="1">
      <alignment horizontal="center" vertical="center"/>
    </xf>
    <xf numFmtId="0" fontId="26" fillId="0" borderId="113" xfId="0" applyFont="1" applyBorder="1" applyAlignment="1">
      <alignment horizontal="center" vertical="center"/>
    </xf>
    <xf numFmtId="0" fontId="26" fillId="0" borderId="15" xfId="0" applyFont="1" applyBorder="1" applyAlignment="1">
      <alignment horizontal="center" vertical="center"/>
    </xf>
    <xf numFmtId="0" fontId="26" fillId="0" borderId="65" xfId="0" applyFont="1" applyBorder="1" applyAlignment="1">
      <alignment horizontal="center" vertical="center"/>
    </xf>
    <xf numFmtId="0" fontId="26" fillId="0" borderId="83" xfId="0" applyFont="1" applyBorder="1" applyAlignment="1">
      <alignment horizontal="center" vertical="center"/>
    </xf>
    <xf numFmtId="0" fontId="26" fillId="0" borderId="114" xfId="0" applyFont="1" applyBorder="1" applyAlignment="1">
      <alignment horizontal="center" vertical="center"/>
    </xf>
    <xf numFmtId="0" fontId="26" fillId="0" borderId="115" xfId="0" applyFont="1" applyBorder="1" applyAlignment="1">
      <alignment horizontal="center" vertical="center"/>
    </xf>
    <xf numFmtId="0" fontId="28" fillId="0" borderId="113" xfId="0" applyFont="1" applyBorder="1" applyAlignment="1">
      <alignment horizontal="center" vertical="center"/>
    </xf>
    <xf numFmtId="0" fontId="28" fillId="0" borderId="116" xfId="0" applyFont="1" applyBorder="1" applyAlignment="1">
      <alignment horizontal="center" vertical="center"/>
    </xf>
    <xf numFmtId="0" fontId="28" fillId="0" borderId="20" xfId="0" applyFont="1" applyBorder="1" applyAlignment="1">
      <alignment horizontal="center" vertical="center"/>
    </xf>
    <xf numFmtId="0" fontId="28" fillId="0" borderId="66" xfId="0" applyFont="1" applyBorder="1" applyAlignment="1">
      <alignment horizontal="center" vertical="center"/>
    </xf>
    <xf numFmtId="0" fontId="28" fillId="0" borderId="53" xfId="0" applyFont="1" applyBorder="1" applyAlignment="1">
      <alignment horizontal="center" vertical="center"/>
    </xf>
    <xf numFmtId="0" fontId="28" fillId="0" borderId="108" xfId="0" applyFont="1" applyBorder="1" applyAlignment="1">
      <alignment horizontal="center" vertical="center"/>
    </xf>
    <xf numFmtId="164" fontId="26" fillId="0" borderId="53" xfId="0" applyNumberFormat="1" applyFont="1" applyBorder="1" applyAlignment="1">
      <alignment horizontal="center" vertical="center"/>
    </xf>
    <xf numFmtId="164" fontId="26" fillId="0" borderId="0" xfId="0" applyNumberFormat="1" applyFont="1" applyAlignment="1">
      <alignment horizontal="center" vertical="center"/>
    </xf>
    <xf numFmtId="164" fontId="26" fillId="0" borderId="108" xfId="0" applyNumberFormat="1" applyFont="1" applyBorder="1" applyAlignment="1">
      <alignment horizontal="center" vertical="center"/>
    </xf>
    <xf numFmtId="0" fontId="59" fillId="0" borderId="10" xfId="0" applyFont="1" applyBorder="1" applyAlignment="1">
      <alignment horizontal="left" vertical="center"/>
    </xf>
    <xf numFmtId="0" fontId="77" fillId="0" borderId="13" xfId="0" applyFont="1" applyBorder="1" applyAlignment="1">
      <alignment horizontal="right" vertical="center"/>
    </xf>
    <xf numFmtId="177" fontId="101" fillId="0" borderId="19" xfId="0" applyNumberFormat="1" applyFont="1" applyBorder="1" applyAlignment="1">
      <alignment horizontal="center" vertical="center"/>
    </xf>
    <xf numFmtId="177" fontId="58" fillId="0" borderId="31" xfId="0" applyNumberFormat="1" applyFont="1" applyBorder="1" applyAlignment="1">
      <alignment horizontal="center" vertical="center"/>
    </xf>
    <xf numFmtId="177" fontId="58" fillId="0" borderId="82" xfId="0" applyNumberFormat="1" applyFont="1" applyBorder="1" applyAlignment="1">
      <alignment horizontal="center" vertical="center"/>
    </xf>
    <xf numFmtId="177" fontId="59" fillId="0" borderId="70" xfId="0" applyNumberFormat="1" applyFont="1" applyBorder="1" applyAlignment="1">
      <alignment horizontal="center" vertical="center"/>
    </xf>
    <xf numFmtId="177" fontId="59" fillId="0" borderId="68" xfId="0" applyNumberFormat="1" applyFont="1" applyBorder="1" applyAlignment="1">
      <alignment horizontal="center" vertical="center"/>
    </xf>
    <xf numFmtId="177" fontId="59" fillId="0" borderId="69" xfId="0" applyNumberFormat="1" applyFont="1" applyBorder="1" applyAlignment="1">
      <alignment horizontal="center" vertical="center"/>
    </xf>
    <xf numFmtId="177" fontId="59" fillId="0" borderId="96" xfId="0" applyNumberFormat="1" applyFont="1" applyBorder="1" applyAlignment="1">
      <alignment horizontal="center" vertical="center"/>
    </xf>
    <xf numFmtId="177" fontId="59" fillId="0" borderId="78" xfId="0" applyNumberFormat="1" applyFont="1" applyBorder="1" applyAlignment="1">
      <alignment horizontal="center" vertical="center"/>
    </xf>
    <xf numFmtId="177" fontId="59" fillId="0" borderId="97" xfId="0" applyNumberFormat="1" applyFont="1" applyBorder="1" applyAlignment="1">
      <alignment horizontal="center" vertical="center"/>
    </xf>
    <xf numFmtId="177" fontId="58" fillId="0" borderId="96" xfId="0" applyNumberFormat="1" applyFont="1" applyBorder="1" applyAlignment="1">
      <alignment horizontal="center" vertical="center"/>
    </xf>
    <xf numFmtId="177" fontId="58" fillId="0" borderId="78" xfId="0" applyNumberFormat="1" applyFont="1" applyBorder="1" applyAlignment="1">
      <alignment horizontal="center" vertical="center"/>
    </xf>
    <xf numFmtId="177" fontId="58" fillId="0" borderId="97" xfId="0" applyNumberFormat="1" applyFont="1" applyBorder="1" applyAlignment="1">
      <alignment horizontal="center" vertical="center"/>
    </xf>
    <xf numFmtId="177" fontId="58" fillId="47" borderId="17" xfId="0" applyNumberFormat="1" applyFont="1" applyFill="1" applyBorder="1" applyAlignment="1">
      <alignment horizontal="center" vertical="center"/>
    </xf>
    <xf numFmtId="177" fontId="59" fillId="0" borderId="21" xfId="0" applyNumberFormat="1" applyFont="1" applyBorder="1" applyAlignment="1">
      <alignment horizontal="center" vertical="center"/>
    </xf>
    <xf numFmtId="177" fontId="59" fillId="0" borderId="0" xfId="0" applyNumberFormat="1" applyFont="1" applyAlignment="1">
      <alignment horizontal="center" vertical="center"/>
    </xf>
    <xf numFmtId="177" fontId="59" fillId="0" borderId="16" xfId="0" applyNumberFormat="1" applyFont="1" applyBorder="1" applyAlignment="1">
      <alignment horizontal="center" vertical="center"/>
    </xf>
    <xf numFmtId="177" fontId="58" fillId="0" borderId="382" xfId="0" applyNumberFormat="1" applyFont="1" applyBorder="1" applyAlignment="1">
      <alignment horizontal="center" vertical="center"/>
    </xf>
    <xf numFmtId="177" fontId="59" fillId="0" borderId="110" xfId="0" applyNumberFormat="1" applyFont="1" applyBorder="1" applyAlignment="1">
      <alignment horizontal="center" vertical="center"/>
    </xf>
    <xf numFmtId="177" fontId="58" fillId="0" borderId="426" xfId="0" applyNumberFormat="1" applyFont="1" applyBorder="1" applyAlignment="1">
      <alignment horizontal="center" vertical="center"/>
    </xf>
    <xf numFmtId="177" fontId="58" fillId="0" borderId="427" xfId="0" applyNumberFormat="1" applyFont="1" applyBorder="1" applyAlignment="1">
      <alignment horizontal="center" vertical="center"/>
    </xf>
    <xf numFmtId="38" fontId="99" fillId="0" borderId="17" xfId="0" applyNumberFormat="1" applyFont="1" applyBorder="1" applyAlignment="1">
      <alignment horizontal="center" vertical="center"/>
    </xf>
    <xf numFmtId="168" fontId="77" fillId="0" borderId="11" xfId="0" applyNumberFormat="1" applyFont="1" applyBorder="1" applyAlignment="1">
      <alignment horizontal="center" vertical="center"/>
    </xf>
    <xf numFmtId="173" fontId="26" fillId="0" borderId="80" xfId="0" applyNumberFormat="1" applyFont="1" applyBorder="1" applyAlignment="1">
      <alignment vertical="center"/>
    </xf>
    <xf numFmtId="0" fontId="59" fillId="0" borderId="0" xfId="0" applyFont="1" applyAlignment="1">
      <alignment horizontal="center" vertical="center"/>
    </xf>
    <xf numFmtId="0" fontId="59" fillId="0" borderId="13" xfId="0" applyFont="1" applyBorder="1" applyAlignment="1">
      <alignment horizontal="center" vertical="center"/>
    </xf>
    <xf numFmtId="168" fontId="29" fillId="0" borderId="83" xfId="0" applyNumberFormat="1" applyFont="1" applyBorder="1" applyAlignment="1">
      <alignment horizontal="center" vertical="center"/>
    </xf>
    <xf numFmtId="173" fontId="80" fillId="0" borderId="0" xfId="0" applyNumberFormat="1" applyFont="1" applyAlignment="1">
      <alignment vertical="center"/>
    </xf>
    <xf numFmtId="173" fontId="80" fillId="9" borderId="0" xfId="0" applyNumberFormat="1" applyFont="1" applyFill="1" applyAlignment="1">
      <alignment vertical="center"/>
    </xf>
    <xf numFmtId="173" fontId="25" fillId="0" borderId="0" xfId="0" applyNumberFormat="1" applyFont="1" applyAlignment="1">
      <alignment vertical="center"/>
    </xf>
    <xf numFmtId="173" fontId="25" fillId="9" borderId="0" xfId="0" applyNumberFormat="1" applyFont="1" applyFill="1" applyAlignment="1">
      <alignment horizontal="center" vertical="center"/>
    </xf>
    <xf numFmtId="173" fontId="27" fillId="0" borderId="0" xfId="0" applyNumberFormat="1" applyFont="1" applyAlignment="1">
      <alignment horizontal="center" vertical="center"/>
    </xf>
    <xf numFmtId="173" fontId="27" fillId="0" borderId="0" xfId="0" applyNumberFormat="1" applyFont="1" applyAlignment="1">
      <alignment vertical="center"/>
    </xf>
    <xf numFmtId="0" fontId="94" fillId="0" borderId="102" xfId="13" applyBorder="1" applyAlignment="1">
      <alignment horizontal="center"/>
    </xf>
    <xf numFmtId="173" fontId="25" fillId="9" borderId="0" xfId="0" applyNumberFormat="1" applyFont="1" applyFill="1" applyAlignment="1">
      <alignment vertical="center"/>
    </xf>
    <xf numFmtId="177" fontId="25" fillId="3" borderId="0" xfId="0" applyNumberFormat="1" applyFont="1" applyFill="1" applyAlignment="1">
      <alignment horizontal="center" vertical="center"/>
    </xf>
    <xf numFmtId="177" fontId="27" fillId="3" borderId="0" xfId="0" applyNumberFormat="1" applyFont="1" applyFill="1" applyAlignment="1">
      <alignment horizontal="center" vertical="center"/>
    </xf>
    <xf numFmtId="175" fontId="25" fillId="3" borderId="0" xfId="0" applyNumberFormat="1" applyFont="1" applyFill="1" applyAlignment="1">
      <alignment horizontal="center" vertical="center"/>
    </xf>
    <xf numFmtId="175" fontId="27" fillId="0" borderId="0" xfId="0" applyNumberFormat="1" applyFont="1" applyAlignment="1">
      <alignment horizontal="center" vertical="center"/>
    </xf>
    <xf numFmtId="173" fontId="80" fillId="18" borderId="0" xfId="0" applyNumberFormat="1" applyFont="1" applyFill="1" applyAlignment="1">
      <alignment vertical="center"/>
    </xf>
    <xf numFmtId="173" fontId="80" fillId="0" borderId="78" xfId="0" applyNumberFormat="1" applyFont="1" applyBorder="1" applyAlignment="1">
      <alignment vertical="center"/>
    </xf>
    <xf numFmtId="173" fontId="26" fillId="0" borderId="0" xfId="0" applyNumberFormat="1" applyFont="1" applyAlignment="1">
      <alignment vertical="center"/>
    </xf>
    <xf numFmtId="173" fontId="82" fillId="0" borderId="0" xfId="0" applyNumberFormat="1" applyFont="1" applyAlignment="1">
      <alignment vertical="center"/>
    </xf>
    <xf numFmtId="173" fontId="25" fillId="17" borderId="0" xfId="0" applyNumberFormat="1" applyFont="1" applyFill="1" applyAlignment="1">
      <alignment vertical="center"/>
    </xf>
    <xf numFmtId="173" fontId="25" fillId="0" borderId="82" xfId="0" applyNumberFormat="1" applyFont="1" applyBorder="1" applyAlignment="1">
      <alignment horizontal="center" vertical="center"/>
    </xf>
    <xf numFmtId="173" fontId="80" fillId="0" borderId="0" xfId="0" applyNumberFormat="1" applyFont="1" applyAlignment="1">
      <alignment horizontal="center" vertical="center"/>
    </xf>
    <xf numFmtId="173" fontId="26" fillId="0" borderId="77" xfId="0" applyNumberFormat="1" applyFont="1" applyBorder="1" applyAlignment="1">
      <alignment horizontal="center" vertical="center"/>
    </xf>
    <xf numFmtId="173" fontId="82" fillId="0" borderId="77" xfId="0" applyNumberFormat="1" applyFont="1" applyBorder="1" applyAlignment="1">
      <alignment horizontal="center" vertical="center"/>
    </xf>
    <xf numFmtId="175" fontId="26" fillId="0" borderId="77" xfId="0" applyNumberFormat="1" applyFont="1" applyBorder="1" applyAlignment="1">
      <alignment horizontal="center" vertical="center"/>
    </xf>
    <xf numFmtId="175" fontId="70" fillId="0" borderId="0" xfId="0" applyNumberFormat="1" applyFont="1" applyAlignment="1">
      <alignment horizontal="center" vertical="center"/>
    </xf>
    <xf numFmtId="173" fontId="25" fillId="0" borderId="78" xfId="0" applyNumberFormat="1" applyFont="1" applyBorder="1" applyAlignment="1">
      <alignment horizontal="center" vertical="center"/>
    </xf>
    <xf numFmtId="173" fontId="26" fillId="0" borderId="68" xfId="0" applyNumberFormat="1" applyFont="1" applyBorder="1" applyAlignment="1">
      <alignment vertical="center"/>
    </xf>
    <xf numFmtId="4" fontId="25" fillId="9" borderId="0" xfId="2" applyNumberFormat="1" applyFont="1" applyFill="1" applyAlignment="1">
      <alignment horizontal="right" vertical="center"/>
    </xf>
    <xf numFmtId="4" fontId="27" fillId="9" borderId="0" xfId="2" applyNumberFormat="1" applyFont="1" applyFill="1" applyAlignment="1">
      <alignment horizontal="right" vertical="center"/>
    </xf>
    <xf numFmtId="167" fontId="25" fillId="9" borderId="0" xfId="0" applyNumberFormat="1" applyFont="1" applyFill="1" applyAlignment="1">
      <alignment vertical="center"/>
    </xf>
    <xf numFmtId="175" fontId="25" fillId="3" borderId="82" xfId="0" applyNumberFormat="1" applyFont="1" applyFill="1" applyBorder="1" applyAlignment="1">
      <alignment horizontal="center" vertical="center"/>
    </xf>
    <xf numFmtId="175" fontId="26" fillId="3" borderId="77" xfId="0" applyNumberFormat="1" applyFont="1" applyFill="1" applyBorder="1" applyAlignment="1">
      <alignment horizontal="center" vertical="center"/>
    </xf>
    <xf numFmtId="172" fontId="25" fillId="0" borderId="0" xfId="0" applyNumberFormat="1" applyFont="1" applyAlignment="1">
      <alignment horizontal="center" vertical="center"/>
    </xf>
    <xf numFmtId="175" fontId="82" fillId="0" borderId="77" xfId="0" applyNumberFormat="1" applyFont="1" applyBorder="1" applyAlignment="1">
      <alignment horizontal="center" vertical="center"/>
    </xf>
    <xf numFmtId="175" fontId="80" fillId="0" borderId="0" xfId="0" applyNumberFormat="1" applyFont="1" applyAlignment="1">
      <alignment horizontal="center" vertical="center"/>
    </xf>
    <xf numFmtId="175" fontId="82" fillId="0" borderId="0" xfId="0" applyNumberFormat="1" applyFont="1" applyAlignment="1">
      <alignment horizontal="center" vertical="center"/>
    </xf>
    <xf numFmtId="175" fontId="26" fillId="0" borderId="0" xfId="0" applyNumberFormat="1" applyFont="1" applyAlignment="1">
      <alignment horizontal="center" vertical="center"/>
    </xf>
    <xf numFmtId="175" fontId="25" fillId="0" borderId="82" xfId="0" applyNumberFormat="1" applyFont="1" applyBorder="1" applyAlignment="1">
      <alignment horizontal="center" vertical="center"/>
    </xf>
    <xf numFmtId="175" fontId="42" fillId="0" borderId="77" xfId="0" applyNumberFormat="1" applyFont="1" applyBorder="1" applyAlignment="1">
      <alignment horizontal="center" vertical="center"/>
    </xf>
    <xf numFmtId="175" fontId="26" fillId="0" borderId="68" xfId="0" applyNumberFormat="1" applyFont="1" applyBorder="1" applyAlignment="1">
      <alignment horizontal="center" vertical="center"/>
    </xf>
    <xf numFmtId="175" fontId="25" fillId="0" borderId="77" xfId="0" applyNumberFormat="1" applyFont="1" applyBorder="1" applyAlignment="1">
      <alignment horizontal="center" vertical="center"/>
    </xf>
    <xf numFmtId="40" fontId="25" fillId="0" borderId="0" xfId="0" applyNumberFormat="1" applyFont="1" applyAlignment="1">
      <alignment horizontal="center" vertical="center"/>
    </xf>
    <xf numFmtId="185" fontId="25" fillId="19" borderId="0" xfId="0" applyNumberFormat="1" applyFont="1" applyFill="1" applyAlignment="1">
      <alignment horizontal="center" vertical="center"/>
    </xf>
    <xf numFmtId="185" fontId="25" fillId="0" borderId="0" xfId="0" applyNumberFormat="1" applyFont="1" applyAlignment="1">
      <alignment horizontal="center" vertical="center"/>
    </xf>
    <xf numFmtId="185" fontId="25" fillId="19" borderId="82" xfId="2" applyNumberFormat="1" applyFont="1" applyFill="1" applyBorder="1" applyAlignment="1" applyProtection="1">
      <alignment horizontal="center" vertical="center"/>
    </xf>
    <xf numFmtId="185" fontId="25" fillId="0" borderId="82" xfId="2" applyNumberFormat="1" applyFont="1" applyFill="1" applyBorder="1" applyAlignment="1" applyProtection="1">
      <alignment horizontal="center" vertical="center"/>
    </xf>
    <xf numFmtId="177" fontId="59" fillId="0" borderId="11" xfId="0" applyNumberFormat="1" applyFont="1" applyBorder="1" applyAlignment="1">
      <alignment horizontal="center" vertical="center"/>
    </xf>
    <xf numFmtId="177" fontId="58" fillId="0" borderId="11" xfId="0" applyNumberFormat="1" applyFont="1" applyBorder="1" applyAlignment="1">
      <alignment horizontal="center" vertical="center"/>
    </xf>
    <xf numFmtId="177" fontId="58" fillId="9" borderId="17" xfId="0" applyNumberFormat="1" applyFont="1" applyFill="1" applyBorder="1" applyAlignment="1">
      <alignment horizontal="center" vertical="center"/>
    </xf>
    <xf numFmtId="177" fontId="58" fillId="0" borderId="11" xfId="0" applyNumberFormat="1" applyFont="1" applyBorder="1" applyAlignment="1">
      <alignment horizontal="right" vertical="center"/>
    </xf>
    <xf numFmtId="177" fontId="58" fillId="0" borderId="12" xfId="0" applyNumberFormat="1" applyFont="1" applyBorder="1" applyAlignment="1">
      <alignment horizontal="center" vertical="center"/>
    </xf>
    <xf numFmtId="177" fontId="58" fillId="0" borderId="54" xfId="0" applyNumberFormat="1" applyFont="1" applyBorder="1" applyAlignment="1">
      <alignment horizontal="center" vertical="center"/>
    </xf>
    <xf numFmtId="177" fontId="58" fillId="0" borderId="55" xfId="0" applyNumberFormat="1" applyFont="1" applyBorder="1" applyAlignment="1">
      <alignment horizontal="center" vertical="center"/>
    </xf>
    <xf numFmtId="177" fontId="59" fillId="0" borderId="18" xfId="0" applyNumberFormat="1" applyFont="1" applyBorder="1" applyAlignment="1">
      <alignment horizontal="center" vertical="center"/>
    </xf>
    <xf numFmtId="177" fontId="59" fillId="0" borderId="57" xfId="0" applyNumberFormat="1" applyFont="1" applyBorder="1" applyAlignment="1">
      <alignment horizontal="center" vertical="center"/>
    </xf>
    <xf numFmtId="177" fontId="58" fillId="0" borderId="74" xfId="0" applyNumberFormat="1" applyFont="1" applyBorder="1" applyAlignment="1">
      <alignment horizontal="center" vertical="center"/>
    </xf>
    <xf numFmtId="177" fontId="58" fillId="0" borderId="77" xfId="0" applyNumberFormat="1" applyFont="1" applyBorder="1" applyAlignment="1">
      <alignment horizontal="center" vertical="center"/>
    </xf>
    <xf numFmtId="177" fontId="58" fillId="0" borderId="99" xfId="0" applyNumberFormat="1" applyFont="1" applyBorder="1" applyAlignment="1">
      <alignment horizontal="center" vertical="center"/>
    </xf>
    <xf numFmtId="177" fontId="58" fillId="0" borderId="52" xfId="0" applyNumberFormat="1" applyFont="1" applyBorder="1" applyAlignment="1">
      <alignment horizontal="right" vertical="center"/>
    </xf>
    <xf numFmtId="177" fontId="58" fillId="9" borderId="21" xfId="0" applyNumberFormat="1" applyFont="1" applyFill="1" applyBorder="1" applyAlignment="1">
      <alignment horizontal="center" vertical="center"/>
    </xf>
    <xf numFmtId="177" fontId="58" fillId="9" borderId="0" xfId="0" applyNumberFormat="1" applyFont="1" applyFill="1" applyAlignment="1">
      <alignment horizontal="center" vertical="center"/>
    </xf>
    <xf numFmtId="177" fontId="58" fillId="9" borderId="16" xfId="0" applyNumberFormat="1" applyFont="1" applyFill="1" applyBorder="1" applyAlignment="1">
      <alignment horizontal="center" vertical="center"/>
    </xf>
    <xf numFmtId="177" fontId="58" fillId="0" borderId="23" xfId="0" applyNumberFormat="1" applyFont="1" applyBorder="1" applyAlignment="1">
      <alignment horizontal="center" vertical="center"/>
    </xf>
    <xf numFmtId="177" fontId="58" fillId="0" borderId="98" xfId="0" applyNumberFormat="1" applyFont="1" applyBorder="1" applyAlignment="1">
      <alignment horizontal="center" vertical="center"/>
    </xf>
    <xf numFmtId="0" fontId="77" fillId="0" borderId="11" xfId="0" applyFont="1" applyBorder="1" applyAlignment="1">
      <alignment horizontal="center" vertical="center"/>
    </xf>
    <xf numFmtId="168" fontId="77" fillId="0" borderId="11" xfId="0" quotePrefix="1" applyNumberFormat="1" applyFont="1" applyBorder="1" applyAlignment="1">
      <alignment horizontal="center" vertical="center"/>
    </xf>
    <xf numFmtId="4" fontId="59" fillId="0" borderId="48" xfId="0" applyNumberFormat="1" applyFont="1" applyBorder="1" applyAlignment="1">
      <alignment horizontal="center" vertical="center"/>
    </xf>
    <xf numFmtId="164" fontId="59" fillId="0" borderId="48" xfId="0" applyNumberFormat="1" applyFont="1" applyBorder="1" applyAlignment="1">
      <alignment horizontal="center" vertical="center"/>
    </xf>
    <xf numFmtId="164" fontId="59" fillId="0" borderId="48" xfId="0" quotePrefix="1" applyNumberFormat="1" applyFont="1" applyBorder="1" applyAlignment="1">
      <alignment horizontal="center" vertical="center"/>
    </xf>
    <xf numFmtId="38" fontId="77" fillId="0" borderId="13" xfId="0" applyNumberFormat="1" applyFont="1" applyBorder="1" applyAlignment="1">
      <alignment horizontal="center" vertical="center"/>
    </xf>
    <xf numFmtId="164" fontId="59" fillId="0" borderId="17" xfId="0" applyNumberFormat="1" applyFont="1" applyBorder="1" applyAlignment="1">
      <alignment horizontal="center" vertical="center"/>
    </xf>
    <xf numFmtId="0" fontId="59" fillId="0" borderId="94" xfId="0" applyFont="1" applyBorder="1" applyAlignment="1">
      <alignment horizontal="left" vertical="center"/>
    </xf>
    <xf numFmtId="0" fontId="59" fillId="0" borderId="95" xfId="0" applyFont="1" applyBorder="1" applyAlignment="1">
      <alignment horizontal="left" vertical="center"/>
    </xf>
    <xf numFmtId="177" fontId="59" fillId="0" borderId="34" xfId="0" applyNumberFormat="1" applyFont="1" applyBorder="1" applyAlignment="1">
      <alignment horizontal="center" vertical="center"/>
    </xf>
    <xf numFmtId="177" fontId="58" fillId="47" borderId="11" xfId="0" applyNumberFormat="1" applyFont="1" applyFill="1" applyBorder="1" applyAlignment="1">
      <alignment horizontal="center" vertical="center"/>
    </xf>
    <xf numFmtId="177" fontId="59" fillId="0" borderId="90" xfId="0" applyNumberFormat="1" applyFont="1" applyBorder="1" applyAlignment="1">
      <alignment horizontal="center" vertical="center"/>
    </xf>
    <xf numFmtId="177" fontId="62" fillId="0" borderId="17" xfId="0" applyNumberFormat="1" applyFont="1" applyBorder="1" applyAlignment="1">
      <alignment horizontal="center" vertical="center"/>
    </xf>
    <xf numFmtId="177" fontId="26" fillId="0" borderId="79" xfId="0" applyNumberFormat="1" applyFont="1" applyBorder="1" applyAlignment="1">
      <alignment horizontal="center" vertical="center"/>
    </xf>
    <xf numFmtId="0" fontId="59" fillId="0" borderId="3" xfId="0" applyFont="1" applyBorder="1" applyAlignment="1">
      <alignment horizontal="center" vertical="center"/>
    </xf>
    <xf numFmtId="0" fontId="59" fillId="0" borderId="4" xfId="0" applyFont="1" applyBorder="1" applyAlignment="1">
      <alignment horizontal="center" vertical="center"/>
    </xf>
    <xf numFmtId="0" fontId="59" fillId="0" borderId="9" xfId="0" applyFont="1" applyBorder="1" applyAlignment="1">
      <alignment horizontal="center" vertical="center"/>
    </xf>
    <xf numFmtId="0" fontId="59" fillId="0" borderId="5" xfId="0" applyFont="1" applyBorder="1" applyAlignment="1">
      <alignment horizontal="center" vertical="center"/>
    </xf>
    <xf numFmtId="38" fontId="77" fillId="0" borderId="7" xfId="0" applyNumberFormat="1" applyFont="1" applyBorder="1" applyAlignment="1">
      <alignment horizontal="center" vertical="center"/>
    </xf>
    <xf numFmtId="38" fontId="77" fillId="0" borderId="8" xfId="0" applyNumberFormat="1" applyFont="1" applyBorder="1" applyAlignment="1">
      <alignment horizontal="center" vertical="center"/>
    </xf>
    <xf numFmtId="38" fontId="77" fillId="0" borderId="14" xfId="0" applyNumberFormat="1" applyFont="1" applyBorder="1" applyAlignment="1">
      <alignment horizontal="center" vertical="center"/>
    </xf>
    <xf numFmtId="177" fontId="37" fillId="0" borderId="0" xfId="0" applyNumberFormat="1" applyFont="1" applyAlignment="1">
      <alignment horizontal="center" vertical="center"/>
    </xf>
    <xf numFmtId="177" fontId="26" fillId="0" borderId="77" xfId="0" applyNumberFormat="1" applyFont="1" applyBorder="1" applyAlignment="1">
      <alignment horizontal="center" vertical="center"/>
    </xf>
    <xf numFmtId="177" fontId="27" fillId="0" borderId="0" xfId="0" applyNumberFormat="1" applyFont="1" applyAlignment="1">
      <alignment horizontal="center" vertical="center"/>
    </xf>
    <xf numFmtId="177" fontId="26" fillId="0" borderId="68" xfId="0" applyNumberFormat="1" applyFont="1" applyBorder="1" applyAlignment="1">
      <alignment horizontal="center" vertical="center"/>
    </xf>
    <xf numFmtId="177" fontId="80" fillId="0" borderId="0" xfId="0" applyNumberFormat="1" applyFont="1" applyAlignment="1">
      <alignment horizontal="center" vertical="center"/>
    </xf>
    <xf numFmtId="177" fontId="25" fillId="0" borderId="78" xfId="0" applyNumberFormat="1" applyFont="1" applyBorder="1" applyAlignment="1">
      <alignment horizontal="center" vertical="center"/>
    </xf>
    <xf numFmtId="39" fontId="25" fillId="3" borderId="0" xfId="0" applyNumberFormat="1" applyFont="1" applyFill="1" applyAlignment="1">
      <alignment horizontal="right" vertical="center"/>
    </xf>
    <xf numFmtId="0" fontId="25" fillId="3" borderId="0" xfId="0" applyFont="1" applyFill="1" applyAlignment="1">
      <alignment horizontal="right" vertical="center"/>
    </xf>
    <xf numFmtId="177" fontId="27" fillId="47" borderId="0" xfId="0" applyNumberFormat="1" applyFont="1" applyFill="1" applyAlignment="1">
      <alignment horizontal="center" vertical="center"/>
    </xf>
    <xf numFmtId="177" fontId="25" fillId="47" borderId="0" xfId="0" applyNumberFormat="1" applyFont="1" applyFill="1" applyAlignment="1">
      <alignment horizontal="center" vertical="center"/>
    </xf>
    <xf numFmtId="177" fontId="27" fillId="47" borderId="82" xfId="0" applyNumberFormat="1" applyFont="1" applyFill="1" applyBorder="1" applyAlignment="1">
      <alignment horizontal="center" vertical="center"/>
    </xf>
    <xf numFmtId="177" fontId="25" fillId="47" borderId="82" xfId="0" applyNumberFormat="1" applyFont="1" applyFill="1" applyBorder="1" applyAlignment="1">
      <alignment horizontal="center" vertical="center"/>
    </xf>
    <xf numFmtId="177" fontId="75" fillId="3" borderId="0" xfId="0" applyNumberFormat="1" applyFont="1" applyFill="1" applyAlignment="1">
      <alignment horizontal="center" vertical="center"/>
    </xf>
    <xf numFmtId="41" fontId="25" fillId="0" borderId="0" xfId="2" applyFont="1" applyFill="1" applyAlignment="1">
      <alignment vertical="center"/>
    </xf>
    <xf numFmtId="175" fontId="26" fillId="0" borderId="26" xfId="0" applyNumberFormat="1" applyFont="1" applyBorder="1" applyAlignment="1">
      <alignment horizontal="center" vertical="center"/>
    </xf>
    <xf numFmtId="175" fontId="25" fillId="17" borderId="0" xfId="0" applyNumberFormat="1" applyFont="1" applyFill="1" applyAlignment="1">
      <alignment horizontal="center" vertical="center"/>
    </xf>
    <xf numFmtId="175" fontId="27" fillId="18" borderId="0" xfId="0" applyNumberFormat="1" applyFont="1" applyFill="1" applyAlignment="1">
      <alignment horizontal="center" vertical="center"/>
    </xf>
    <xf numFmtId="175" fontId="25" fillId="0" borderId="78" xfId="0" applyNumberFormat="1" applyFont="1" applyBorder="1" applyAlignment="1">
      <alignment horizontal="center" vertical="center"/>
    </xf>
    <xf numFmtId="175" fontId="25" fillId="18" borderId="0" xfId="0" applyNumberFormat="1" applyFont="1" applyFill="1" applyAlignment="1">
      <alignment horizontal="center" vertical="center"/>
    </xf>
    <xf numFmtId="175" fontId="82" fillId="0" borderId="26" xfId="0" applyNumberFormat="1" applyFont="1" applyBorder="1" applyAlignment="1">
      <alignment horizontal="center" vertical="center"/>
    </xf>
    <xf numFmtId="175" fontId="82" fillId="0" borderId="79" xfId="0" applyNumberFormat="1" applyFont="1" applyBorder="1" applyAlignment="1">
      <alignment horizontal="center" vertical="center"/>
    </xf>
    <xf numFmtId="177" fontId="82" fillId="0" borderId="0" xfId="0" applyNumberFormat="1" applyFont="1" applyAlignment="1">
      <alignment horizontal="center" vertical="center"/>
    </xf>
    <xf numFmtId="177" fontId="26" fillId="0" borderId="0" xfId="0" applyNumberFormat="1" applyFont="1" applyAlignment="1">
      <alignment horizontal="center" vertical="center"/>
    </xf>
    <xf numFmtId="175" fontId="82" fillId="47" borderId="68" xfId="0" applyNumberFormat="1" applyFont="1" applyFill="1" applyBorder="1" applyAlignment="1">
      <alignment horizontal="center" vertical="center"/>
    </xf>
    <xf numFmtId="175" fontId="26" fillId="47" borderId="68" xfId="0" applyNumberFormat="1" applyFont="1" applyFill="1" applyBorder="1" applyAlignment="1">
      <alignment horizontal="center" vertical="center"/>
    </xf>
    <xf numFmtId="177" fontId="80" fillId="0" borderId="78" xfId="0" applyNumberFormat="1" applyFont="1" applyBorder="1" applyAlignment="1">
      <alignment horizontal="center" vertical="center"/>
    </xf>
    <xf numFmtId="175" fontId="80" fillId="47" borderId="0" xfId="0" applyNumberFormat="1" applyFont="1" applyFill="1" applyAlignment="1">
      <alignment horizontal="center" vertical="center"/>
    </xf>
    <xf numFmtId="175" fontId="25" fillId="47" borderId="0" xfId="0" applyNumberFormat="1" applyFont="1" applyFill="1" applyAlignment="1">
      <alignment horizontal="center" vertical="center"/>
    </xf>
    <xf numFmtId="175" fontId="80" fillId="47" borderId="78" xfId="0" applyNumberFormat="1" applyFont="1" applyFill="1" applyBorder="1" applyAlignment="1">
      <alignment horizontal="center" vertical="center"/>
    </xf>
    <xf numFmtId="175" fontId="25" fillId="47" borderId="78" xfId="0" applyNumberFormat="1" applyFont="1" applyFill="1" applyBorder="1" applyAlignment="1">
      <alignment horizontal="center" vertical="center"/>
    </xf>
    <xf numFmtId="38" fontId="25" fillId="0" borderId="0" xfId="0" quotePrefix="1" applyNumberFormat="1" applyFont="1" applyAlignment="1">
      <alignment horizontal="center" vertical="center"/>
    </xf>
    <xf numFmtId="4" fontId="25" fillId="0" borderId="0" xfId="2" applyNumberFormat="1" applyFont="1" applyFill="1" applyBorder="1" applyAlignment="1">
      <alignment horizontal="right" vertical="center"/>
    </xf>
    <xf numFmtId="4" fontId="25" fillId="17" borderId="0" xfId="2" applyNumberFormat="1" applyFont="1" applyFill="1" applyAlignment="1">
      <alignment vertical="center"/>
    </xf>
    <xf numFmtId="4" fontId="25" fillId="17" borderId="0" xfId="2" applyNumberFormat="1" applyFont="1" applyFill="1" applyAlignment="1">
      <alignment horizontal="right" vertical="center"/>
    </xf>
    <xf numFmtId="4" fontId="25" fillId="17" borderId="0" xfId="2" applyNumberFormat="1" applyFont="1" applyFill="1" applyAlignment="1">
      <alignment horizontal="center" vertical="center"/>
    </xf>
    <xf numFmtId="4" fontId="80" fillId="0" borderId="0" xfId="2" applyNumberFormat="1" applyFont="1" applyFill="1" applyBorder="1" applyAlignment="1">
      <alignment horizontal="right" vertical="center"/>
    </xf>
    <xf numFmtId="175" fontId="27" fillId="0" borderId="82" xfId="0" applyNumberFormat="1" applyFont="1" applyBorder="1" applyAlignment="1">
      <alignment horizontal="center" vertical="center"/>
    </xf>
    <xf numFmtId="0" fontId="34" fillId="6" borderId="0" xfId="0" applyFont="1" applyFill="1" applyAlignment="1">
      <alignment horizontal="center" vertical="center"/>
    </xf>
    <xf numFmtId="164" fontId="11" fillId="0" borderId="0" xfId="0" applyNumberFormat="1" applyFont="1" applyAlignment="1">
      <alignment horizontal="left" vertical="center"/>
    </xf>
    <xf numFmtId="168" fontId="24" fillId="0" borderId="0" xfId="0" applyNumberFormat="1" applyFont="1" applyAlignment="1">
      <alignment horizontal="right" vertical="center"/>
    </xf>
    <xf numFmtId="4" fontId="26" fillId="0" borderId="77" xfId="2" applyNumberFormat="1" applyFont="1" applyFill="1" applyBorder="1" applyAlignment="1">
      <alignment horizontal="right" vertical="center"/>
    </xf>
    <xf numFmtId="4" fontId="42" fillId="0" borderId="77" xfId="2" applyNumberFormat="1" applyFont="1" applyFill="1" applyBorder="1" applyAlignment="1">
      <alignment horizontal="right" vertical="center"/>
    </xf>
    <xf numFmtId="4" fontId="27" fillId="0" borderId="78" xfId="2" applyNumberFormat="1" applyFont="1" applyFill="1" applyBorder="1" applyAlignment="1">
      <alignment horizontal="right" vertical="center"/>
    </xf>
    <xf numFmtId="41" fontId="25" fillId="0" borderId="0" xfId="2" applyFont="1" applyFill="1" applyBorder="1" applyAlignment="1">
      <alignment horizontal="center" vertical="center"/>
    </xf>
    <xf numFmtId="168" fontId="29" fillId="0" borderId="54" xfId="2" applyNumberFormat="1" applyFont="1" applyFill="1" applyBorder="1" applyAlignment="1">
      <alignment horizontal="center" vertical="center"/>
    </xf>
    <xf numFmtId="8" fontId="25" fillId="17" borderId="0" xfId="1" applyNumberFormat="1" applyFont="1" applyFill="1" applyAlignment="1">
      <alignment horizontal="right" vertical="center"/>
    </xf>
    <xf numFmtId="43" fontId="25" fillId="17" borderId="0" xfId="1" applyFont="1" applyFill="1" applyAlignment="1">
      <alignment horizontal="right" vertical="center"/>
    </xf>
    <xf numFmtId="4" fontId="25" fillId="4" borderId="0" xfId="2" applyNumberFormat="1" applyFont="1" applyFill="1" applyBorder="1" applyAlignment="1">
      <alignment horizontal="right" vertical="center"/>
    </xf>
    <xf numFmtId="39" fontId="25" fillId="0" borderId="428" xfId="2" applyNumberFormat="1" applyFont="1" applyFill="1" applyBorder="1" applyAlignment="1">
      <alignment horizontal="right" vertical="center"/>
    </xf>
    <xf numFmtId="39" fontId="25" fillId="0" borderId="429" xfId="2" applyNumberFormat="1" applyFont="1" applyFill="1" applyBorder="1" applyAlignment="1">
      <alignment horizontal="right" vertical="center"/>
    </xf>
    <xf numFmtId="39" fontId="25" fillId="0" borderId="430" xfId="2" applyNumberFormat="1" applyFont="1" applyFill="1" applyBorder="1" applyAlignment="1">
      <alignment horizontal="right" vertical="center"/>
    </xf>
    <xf numFmtId="39" fontId="25" fillId="0" borderId="428" xfId="2" applyNumberFormat="1" applyFont="1" applyFill="1" applyBorder="1" applyAlignment="1">
      <alignment vertical="center"/>
    </xf>
    <xf numFmtId="39" fontId="25" fillId="0" borderId="429" xfId="2" applyNumberFormat="1" applyFont="1" applyFill="1" applyBorder="1" applyAlignment="1">
      <alignment vertical="center"/>
    </xf>
    <xf numFmtId="39" fontId="25" fillId="0" borderId="430" xfId="2" applyNumberFormat="1" applyFont="1" applyFill="1" applyBorder="1" applyAlignment="1">
      <alignment vertical="center"/>
    </xf>
    <xf numFmtId="177" fontId="37" fillId="0" borderId="82" xfId="0" applyNumberFormat="1" applyFont="1" applyBorder="1" applyAlignment="1">
      <alignment horizontal="center" vertical="center"/>
    </xf>
    <xf numFmtId="4" fontId="42" fillId="0" borderId="0" xfId="2" applyNumberFormat="1" applyFont="1" applyFill="1" applyAlignment="1">
      <alignment horizontal="right" vertical="center"/>
    </xf>
    <xf numFmtId="4" fontId="26" fillId="0" borderId="79" xfId="2" applyNumberFormat="1" applyFont="1" applyFill="1" applyBorder="1" applyAlignment="1">
      <alignment horizontal="right" vertical="center"/>
    </xf>
    <xf numFmtId="4" fontId="26" fillId="0" borderId="80" xfId="2" applyNumberFormat="1" applyFont="1" applyFill="1" applyBorder="1" applyAlignment="1">
      <alignment horizontal="right" vertical="center"/>
    </xf>
    <xf numFmtId="175" fontId="26" fillId="0" borderId="81" xfId="0" applyNumberFormat="1" applyFont="1" applyBorder="1" applyAlignment="1">
      <alignment horizontal="center" vertical="center"/>
    </xf>
    <xf numFmtId="164" fontId="26" fillId="7" borderId="133" xfId="15" applyNumberFormat="1" applyFont="1" applyFill="1" applyBorder="1" applyAlignment="1" applyProtection="1">
      <alignment horizontal="center" vertical="center"/>
    </xf>
    <xf numFmtId="164" fontId="26" fillId="7" borderId="134" xfId="15" applyNumberFormat="1" applyFont="1" applyFill="1" applyBorder="1" applyAlignment="1" applyProtection="1">
      <alignment horizontal="center" vertical="center"/>
    </xf>
    <xf numFmtId="164" fontId="26" fillId="7" borderId="135" xfId="15" applyNumberFormat="1" applyFont="1" applyFill="1" applyBorder="1" applyAlignment="1" applyProtection="1">
      <alignment horizontal="center" vertical="center"/>
    </xf>
    <xf numFmtId="185" fontId="57" fillId="23" borderId="0" xfId="16" applyNumberFormat="1" applyFont="1" applyFill="1" applyAlignment="1">
      <alignment horizontal="center" vertical="center"/>
    </xf>
    <xf numFmtId="192" fontId="59" fillId="25" borderId="132" xfId="16" applyNumberFormat="1" applyFont="1" applyFill="1" applyBorder="1" applyAlignment="1">
      <alignment horizontal="center" vertical="center"/>
    </xf>
    <xf numFmtId="192" fontId="59" fillId="25" borderId="171" xfId="16" applyNumberFormat="1" applyFont="1" applyFill="1" applyBorder="1" applyAlignment="1">
      <alignment horizontal="center" vertical="center"/>
    </xf>
    <xf numFmtId="43" fontId="25" fillId="0" borderId="185" xfId="1" applyFont="1" applyFill="1" applyBorder="1" applyAlignment="1" applyProtection="1">
      <alignment horizontal="center" vertical="center"/>
    </xf>
    <xf numFmtId="43" fontId="28" fillId="26" borderId="12" xfId="1" applyFont="1" applyFill="1" applyBorder="1" applyAlignment="1" applyProtection="1">
      <alignment horizontal="center" vertical="center"/>
    </xf>
    <xf numFmtId="43" fontId="28" fillId="26" borderId="55" xfId="1" applyFont="1" applyFill="1" applyBorder="1" applyAlignment="1" applyProtection="1">
      <alignment horizontal="center" vertical="center"/>
    </xf>
    <xf numFmtId="0" fontId="26" fillId="34" borderId="42" xfId="0" applyFont="1" applyFill="1" applyBorder="1" applyAlignment="1">
      <alignment horizontal="center" vertical="center"/>
    </xf>
    <xf numFmtId="0" fontId="26" fillId="34" borderId="43" xfId="0" applyFont="1" applyFill="1" applyBorder="1" applyAlignment="1">
      <alignment horizontal="center" vertical="center"/>
    </xf>
    <xf numFmtId="0" fontId="26" fillId="34" borderId="60" xfId="0" applyFont="1" applyFill="1" applyBorder="1" applyAlignment="1">
      <alignment horizontal="center" vertical="center"/>
    </xf>
    <xf numFmtId="43" fontId="26" fillId="0" borderId="185" xfId="1" applyFont="1" applyFill="1" applyBorder="1" applyAlignment="1" applyProtection="1">
      <alignment horizontal="center" vertical="center"/>
    </xf>
    <xf numFmtId="49" fontId="36" fillId="0" borderId="0" xfId="1" applyNumberFormat="1" applyFont="1" applyFill="1" applyBorder="1" applyAlignment="1" applyProtection="1">
      <alignment horizontal="center" vertical="center"/>
    </xf>
    <xf numFmtId="0" fontId="36" fillId="0" borderId="0" xfId="1" applyNumberFormat="1" applyFont="1" applyFill="1" applyBorder="1" applyAlignment="1" applyProtection="1">
      <alignment horizontal="center" vertical="center"/>
    </xf>
    <xf numFmtId="164" fontId="36" fillId="0" borderId="0" xfId="1" applyNumberFormat="1" applyFont="1" applyFill="1" applyBorder="1" applyAlignment="1" applyProtection="1">
      <alignment horizontal="left" vertical="center"/>
    </xf>
    <xf numFmtId="0" fontId="36" fillId="0" borderId="0" xfId="1" applyNumberFormat="1" applyFont="1" applyFill="1" applyBorder="1" applyAlignment="1" applyProtection="1">
      <alignment horizontal="left" vertical="center"/>
    </xf>
    <xf numFmtId="43" fontId="26" fillId="26" borderId="6" xfId="1" applyFont="1" applyFill="1" applyBorder="1" applyAlignment="1" applyProtection="1">
      <alignment horizontal="center" vertical="center"/>
    </xf>
    <xf numFmtId="43" fontId="26" fillId="26" borderId="232" xfId="1" applyFont="1" applyFill="1" applyBorder="1" applyAlignment="1" applyProtection="1">
      <alignment horizontal="center" vertical="center"/>
    </xf>
    <xf numFmtId="0" fontId="61" fillId="26" borderId="193" xfId="0" applyFont="1" applyFill="1" applyBorder="1" applyAlignment="1">
      <alignment horizontal="center" vertical="center"/>
    </xf>
    <xf numFmtId="0" fontId="61" fillId="26" borderId="224" xfId="0" applyFont="1" applyFill="1" applyBorder="1" applyAlignment="1">
      <alignment horizontal="center" vertical="center"/>
    </xf>
    <xf numFmtId="0" fontId="68" fillId="6" borderId="0" xfId="0" applyFont="1" applyFill="1" applyAlignment="1">
      <alignment horizontal="center" vertical="center"/>
    </xf>
    <xf numFmtId="1" fontId="26" fillId="26" borderId="213" xfId="0" applyNumberFormat="1" applyFont="1" applyFill="1" applyBorder="1" applyAlignment="1">
      <alignment horizontal="center" vertical="center"/>
    </xf>
    <xf numFmtId="1" fontId="26" fillId="26" borderId="214" xfId="0" applyNumberFormat="1" applyFont="1" applyFill="1" applyBorder="1" applyAlignment="1">
      <alignment horizontal="center" vertical="center"/>
    </xf>
    <xf numFmtId="0" fontId="36" fillId="3" borderId="0" xfId="1" applyNumberFormat="1" applyFont="1" applyFill="1" applyBorder="1" applyAlignment="1" applyProtection="1">
      <alignment horizontal="center" vertical="center"/>
    </xf>
    <xf numFmtId="0" fontId="132" fillId="0" borderId="0" xfId="0" applyFont="1" applyAlignment="1">
      <alignment horizontal="center" vertical="center"/>
    </xf>
    <xf numFmtId="0" fontId="132" fillId="19" borderId="0" xfId="0" applyFont="1" applyFill="1" applyAlignment="1">
      <alignment horizontal="center" vertical="center"/>
    </xf>
    <xf numFmtId="0" fontId="34" fillId="0" borderId="0" xfId="1" applyNumberFormat="1" applyFont="1" applyFill="1" applyBorder="1" applyAlignment="1" applyProtection="1">
      <alignment horizontal="center" vertical="center"/>
    </xf>
    <xf numFmtId="0" fontId="34" fillId="16" borderId="0" xfId="1" applyNumberFormat="1" applyFont="1" applyFill="1" applyBorder="1" applyAlignment="1" applyProtection="1">
      <alignment horizontal="center" vertical="center"/>
    </xf>
    <xf numFmtId="49" fontId="36" fillId="3" borderId="0" xfId="1" applyNumberFormat="1" applyFont="1" applyFill="1" applyBorder="1" applyAlignment="1" applyProtection="1">
      <alignment horizontal="center" vertical="center"/>
    </xf>
    <xf numFmtId="0" fontId="36" fillId="0" borderId="0" xfId="0" applyFont="1" applyAlignment="1">
      <alignment horizontal="center" vertical="center"/>
    </xf>
    <xf numFmtId="0" fontId="36" fillId="3" borderId="0" xfId="0" applyFont="1" applyFill="1" applyAlignment="1">
      <alignment horizontal="center" vertical="center"/>
    </xf>
    <xf numFmtId="164" fontId="36" fillId="0" borderId="0" xfId="1" applyNumberFormat="1" applyFont="1" applyFill="1" applyBorder="1" applyAlignment="1" applyProtection="1">
      <alignment horizontal="center" vertical="center"/>
    </xf>
    <xf numFmtId="188" fontId="59" fillId="43" borderId="9" xfId="1" applyNumberFormat="1" applyFont="1" applyFill="1" applyBorder="1" applyAlignment="1">
      <alignment horizontal="center" vertical="center"/>
    </xf>
    <xf numFmtId="188" fontId="59" fillId="43" borderId="10" xfId="1" applyNumberFormat="1" applyFont="1" applyFill="1" applyBorder="1" applyAlignment="1">
      <alignment horizontal="center" vertical="center"/>
    </xf>
    <xf numFmtId="177" fontId="106" fillId="3" borderId="0" xfId="0" applyNumberFormat="1" applyFont="1" applyFill="1" applyAlignment="1">
      <alignment horizontal="left" vertical="center"/>
    </xf>
    <xf numFmtId="49" fontId="59" fillId="0" borderId="3" xfId="0" applyNumberFormat="1" applyFont="1" applyBorder="1" applyAlignment="1">
      <alignment horizontal="center" vertical="center"/>
    </xf>
    <xf numFmtId="49" fontId="59" fillId="41" borderId="4" xfId="0" applyNumberFormat="1" applyFont="1" applyFill="1" applyBorder="1" applyAlignment="1">
      <alignment horizontal="center" vertical="center"/>
    </xf>
    <xf numFmtId="49" fontId="59" fillId="0" borderId="9" xfId="0" applyNumberFormat="1" applyFont="1" applyBorder="1" applyAlignment="1">
      <alignment horizontal="center" vertical="center"/>
    </xf>
    <xf numFmtId="49" fontId="59" fillId="41" borderId="10" xfId="0" applyNumberFormat="1" applyFont="1" applyFill="1" applyBorder="1" applyAlignment="1">
      <alignment horizontal="center" vertical="center"/>
    </xf>
    <xf numFmtId="49" fontId="59" fillId="41" borderId="227" xfId="0" applyNumberFormat="1" applyFont="1" applyFill="1" applyBorder="1" applyAlignment="1">
      <alignment horizontal="center" vertical="center"/>
    </xf>
    <xf numFmtId="49" fontId="59" fillId="41" borderId="33" xfId="0" applyNumberFormat="1" applyFont="1" applyFill="1" applyBorder="1" applyAlignment="1">
      <alignment horizontal="center" vertical="center"/>
    </xf>
    <xf numFmtId="177" fontId="59" fillId="41" borderId="227" xfId="0" applyNumberFormat="1" applyFont="1" applyFill="1" applyBorder="1" applyAlignment="1">
      <alignment horizontal="center" vertical="center"/>
    </xf>
    <xf numFmtId="177" fontId="59" fillId="41" borderId="33" xfId="0" applyNumberFormat="1" applyFont="1" applyFill="1" applyBorder="1" applyAlignment="1">
      <alignment horizontal="center" vertical="center"/>
    </xf>
    <xf numFmtId="177" fontId="99" fillId="41" borderId="228" xfId="0" applyNumberFormat="1" applyFont="1" applyFill="1" applyBorder="1" applyAlignment="1">
      <alignment horizontal="center" vertical="center"/>
    </xf>
    <xf numFmtId="177" fontId="99" fillId="41" borderId="213" xfId="0" applyNumberFormat="1" applyFont="1" applyFill="1" applyBorder="1" applyAlignment="1">
      <alignment horizontal="center" vertical="center"/>
    </xf>
    <xf numFmtId="177" fontId="110" fillId="41" borderId="190" xfId="0" applyNumberFormat="1" applyFont="1" applyFill="1" applyBorder="1" applyAlignment="1">
      <alignment horizontal="center" vertical="top"/>
    </xf>
    <xf numFmtId="177" fontId="110" fillId="41" borderId="188" xfId="0" applyNumberFormat="1" applyFont="1" applyFill="1" applyBorder="1" applyAlignment="1">
      <alignment horizontal="center" vertical="top"/>
    </xf>
    <xf numFmtId="164" fontId="59" fillId="44" borderId="245" xfId="17" applyNumberFormat="1" applyFont="1" applyFill="1" applyBorder="1" applyAlignment="1" applyProtection="1">
      <alignment horizontal="center" vertical="center"/>
    </xf>
    <xf numFmtId="164" fontId="59" fillId="44" borderId="246" xfId="17" applyNumberFormat="1" applyFont="1" applyFill="1" applyBorder="1" applyAlignment="1" applyProtection="1">
      <alignment horizontal="center" vertical="center"/>
    </xf>
    <xf numFmtId="164" fontId="59" fillId="44" borderId="247" xfId="17" applyNumberFormat="1" applyFont="1" applyFill="1" applyBorder="1" applyAlignment="1" applyProtection="1">
      <alignment horizontal="center" vertical="center"/>
    </xf>
    <xf numFmtId="177" fontId="59" fillId="21" borderId="265" xfId="17" applyFont="1" applyFill="1" applyBorder="1" applyAlignment="1" applyProtection="1">
      <alignment horizontal="center" vertical="center" wrapText="1"/>
    </xf>
    <xf numFmtId="177" fontId="59" fillId="21" borderId="266" xfId="17" applyFont="1" applyFill="1" applyBorder="1" applyAlignment="1" applyProtection="1">
      <alignment horizontal="center" vertical="center" wrapText="1"/>
    </xf>
    <xf numFmtId="192" fontId="78" fillId="10" borderId="0" xfId="16" quotePrefix="1" applyNumberFormat="1" applyFont="1" applyFill="1" applyAlignment="1">
      <alignment horizontal="center" vertical="center"/>
    </xf>
    <xf numFmtId="0" fontId="57" fillId="6" borderId="0" xfId="1" applyNumberFormat="1" applyFont="1" applyFill="1" applyBorder="1" applyAlignment="1" applyProtection="1">
      <alignment horizontal="center" vertical="center"/>
    </xf>
    <xf numFmtId="168" fontId="15" fillId="0" borderId="0" xfId="1" applyNumberFormat="1" applyFont="1" applyFill="1" applyBorder="1" applyAlignment="1" applyProtection="1">
      <alignment horizontal="right" vertical="center"/>
    </xf>
    <xf numFmtId="4" fontId="26" fillId="26" borderId="5" xfId="1" applyNumberFormat="1" applyFont="1" applyFill="1" applyBorder="1" applyAlignment="1" applyProtection="1">
      <alignment horizontal="center" vertical="center"/>
    </xf>
    <xf numFmtId="4" fontId="26" fillId="26" borderId="6" xfId="1" applyNumberFormat="1" applyFont="1" applyFill="1" applyBorder="1" applyAlignment="1" applyProtection="1">
      <alignment horizontal="center" vertical="center"/>
    </xf>
    <xf numFmtId="0" fontId="59" fillId="34" borderId="288" xfId="1" applyNumberFormat="1" applyFont="1" applyFill="1" applyBorder="1" applyAlignment="1" applyProtection="1">
      <alignment horizontal="center" vertical="center"/>
    </xf>
    <xf numFmtId="0" fontId="59" fillId="34" borderId="289" xfId="1" applyNumberFormat="1" applyFont="1" applyFill="1" applyBorder="1" applyAlignment="1" applyProtection="1">
      <alignment horizontal="center" vertical="center"/>
    </xf>
    <xf numFmtId="0" fontId="59" fillId="34" borderId="290" xfId="1" applyNumberFormat="1" applyFont="1" applyFill="1" applyBorder="1" applyAlignment="1" applyProtection="1">
      <alignment horizontal="center" vertical="center"/>
    </xf>
    <xf numFmtId="0" fontId="59" fillId="26" borderId="293" xfId="1" applyNumberFormat="1" applyFont="1" applyFill="1" applyBorder="1" applyAlignment="1" applyProtection="1">
      <alignment horizontal="center" vertical="center"/>
    </xf>
    <xf numFmtId="0" fontId="59" fillId="26" borderId="294" xfId="1" applyNumberFormat="1" applyFont="1" applyFill="1" applyBorder="1" applyAlignment="1" applyProtection="1">
      <alignment horizontal="center" vertical="center"/>
    </xf>
    <xf numFmtId="0" fontId="59" fillId="26" borderId="295" xfId="1" applyNumberFormat="1" applyFont="1" applyFill="1" applyBorder="1" applyAlignment="1" applyProtection="1">
      <alignment horizontal="center" vertical="center"/>
    </xf>
    <xf numFmtId="43" fontId="25" fillId="0" borderId="275" xfId="1" applyFont="1" applyFill="1" applyBorder="1" applyAlignment="1" applyProtection="1">
      <alignment horizontal="center" vertical="center"/>
    </xf>
    <xf numFmtId="0" fontId="26" fillId="34" borderId="300" xfId="1" applyNumberFormat="1" applyFont="1" applyFill="1" applyBorder="1" applyAlignment="1" applyProtection="1">
      <alignment horizontal="center" vertical="center"/>
    </xf>
    <xf numFmtId="0" fontId="26" fillId="34" borderId="301" xfId="1" applyNumberFormat="1" applyFont="1" applyFill="1" applyBorder="1" applyAlignment="1" applyProtection="1">
      <alignment horizontal="center" vertical="center"/>
    </xf>
    <xf numFmtId="0" fontId="26" fillId="34" borderId="302" xfId="1" applyNumberFormat="1" applyFont="1" applyFill="1" applyBorder="1" applyAlignment="1" applyProtection="1">
      <alignment horizontal="center" vertical="center"/>
    </xf>
    <xf numFmtId="43" fontId="28" fillId="26" borderId="11" xfId="1" applyFont="1" applyFill="1" applyBorder="1" applyAlignment="1" applyProtection="1">
      <alignment horizontal="center" vertical="center"/>
    </xf>
    <xf numFmtId="164" fontId="26" fillId="0" borderId="0" xfId="1" applyNumberFormat="1" applyFont="1" applyFill="1" applyBorder="1" applyAlignment="1" applyProtection="1">
      <alignment horizontal="left" vertical="center"/>
    </xf>
    <xf numFmtId="49" fontId="26" fillId="26" borderId="5" xfId="1" applyNumberFormat="1" applyFont="1" applyFill="1" applyBorder="1" applyAlignment="1" applyProtection="1">
      <alignment horizontal="center" vertical="center"/>
    </xf>
    <xf numFmtId="49" fontId="28" fillId="26" borderId="11" xfId="1" applyNumberFormat="1" applyFont="1" applyFill="1" applyBorder="1" applyAlignment="1" applyProtection="1">
      <alignment horizontal="center" vertical="center"/>
    </xf>
    <xf numFmtId="49" fontId="26" fillId="26" borderId="293" xfId="1" applyNumberFormat="1" applyFont="1" applyFill="1" applyBorder="1" applyAlignment="1" applyProtection="1">
      <alignment horizontal="center" vertical="center"/>
    </xf>
    <xf numFmtId="49" fontId="26" fillId="26" borderId="294" xfId="1" applyNumberFormat="1" applyFont="1" applyFill="1" applyBorder="1" applyAlignment="1" applyProtection="1">
      <alignment horizontal="center" vertical="center"/>
    </xf>
    <xf numFmtId="0" fontId="68" fillId="6" borderId="0" xfId="1" applyNumberFormat="1" applyFont="1" applyFill="1" applyBorder="1" applyAlignment="1" applyProtection="1">
      <alignment horizontal="center" vertical="center"/>
    </xf>
    <xf numFmtId="38" fontId="59" fillId="9" borderId="412" xfId="0" applyNumberFormat="1" applyFont="1" applyFill="1" applyBorder="1" applyAlignment="1">
      <alignment horizontal="center" vertical="center"/>
    </xf>
    <xf numFmtId="38" fontId="59" fillId="9" borderId="413" xfId="0" applyNumberFormat="1" applyFont="1" applyFill="1" applyBorder="1" applyAlignment="1">
      <alignment horizontal="center" vertical="center"/>
    </xf>
    <xf numFmtId="38" fontId="59" fillId="9" borderId="393" xfId="0" applyNumberFormat="1" applyFont="1" applyFill="1" applyBorder="1" applyAlignment="1">
      <alignment horizontal="center" vertical="center"/>
    </xf>
    <xf numFmtId="171" fontId="77" fillId="9" borderId="143" xfId="0" applyNumberFormat="1" applyFont="1" applyFill="1" applyBorder="1" applyAlignment="1">
      <alignment horizontal="center" vertical="center"/>
    </xf>
    <xf numFmtId="171" fontId="77" fillId="9" borderId="144" xfId="0" applyNumberFormat="1" applyFont="1" applyFill="1" applyBorder="1" applyAlignment="1">
      <alignment horizontal="center" vertical="center"/>
    </xf>
    <xf numFmtId="171" fontId="77" fillId="9" borderId="157" xfId="0" applyNumberFormat="1" applyFont="1" applyFill="1" applyBorder="1" applyAlignment="1">
      <alignment horizontal="center" vertical="center"/>
    </xf>
    <xf numFmtId="204" fontId="25" fillId="0" borderId="0" xfId="1" applyNumberFormat="1" applyFont="1" applyAlignment="1">
      <alignment horizontal="center"/>
    </xf>
    <xf numFmtId="49" fontId="144" fillId="6" borderId="0" xfId="0" quotePrefix="1" applyNumberFormat="1" applyFont="1" applyFill="1" applyAlignment="1">
      <alignment horizontal="center" vertical="center" wrapText="1"/>
    </xf>
    <xf numFmtId="0" fontId="26" fillId="34" borderId="320" xfId="0" applyFont="1" applyFill="1" applyBorder="1" applyAlignment="1">
      <alignment horizontal="center" vertical="center"/>
    </xf>
    <xf numFmtId="0" fontId="26" fillId="34" borderId="289" xfId="0" applyFont="1" applyFill="1" applyBorder="1" applyAlignment="1">
      <alignment horizontal="center" vertical="center"/>
    </xf>
    <xf numFmtId="0" fontId="26" fillId="26" borderId="321" xfId="0" applyFont="1" applyFill="1" applyBorder="1" applyAlignment="1">
      <alignment horizontal="center"/>
    </xf>
    <xf numFmtId="0" fontId="26" fillId="26" borderId="322" xfId="0" applyFont="1" applyFill="1" applyBorder="1" applyAlignment="1">
      <alignment horizontal="center"/>
    </xf>
    <xf numFmtId="0" fontId="26" fillId="34" borderId="288" xfId="0" applyFont="1" applyFill="1" applyBorder="1" applyAlignment="1">
      <alignment horizontal="center" vertical="center"/>
    </xf>
    <xf numFmtId="38" fontId="59" fillId="9" borderId="411" xfId="0" applyNumberFormat="1" applyFont="1" applyFill="1" applyBorder="1" applyAlignment="1">
      <alignment horizontal="center" vertical="center" wrapText="1"/>
    </xf>
    <xf numFmtId="38" fontId="59" fillId="9" borderId="418" xfId="0" applyNumberFormat="1" applyFont="1" applyFill="1" applyBorder="1" applyAlignment="1">
      <alignment horizontal="center" vertical="center"/>
    </xf>
    <xf numFmtId="0" fontId="36" fillId="0" borderId="0" xfId="0" applyFont="1" applyAlignment="1">
      <alignment horizontal="center"/>
    </xf>
    <xf numFmtId="164" fontId="36" fillId="0" borderId="0" xfId="0" applyNumberFormat="1" applyFont="1" applyAlignment="1">
      <alignment horizontal="left"/>
    </xf>
    <xf numFmtId="0" fontId="26" fillId="26" borderId="264" xfId="0" applyFont="1" applyFill="1" applyBorder="1" applyAlignment="1">
      <alignment horizontal="center" vertical="center"/>
    </xf>
    <xf numFmtId="0" fontId="26" fillId="26" borderId="257" xfId="0" applyFont="1" applyFill="1" applyBorder="1" applyAlignment="1">
      <alignment horizontal="center" vertical="center"/>
    </xf>
    <xf numFmtId="0" fontId="26" fillId="26" borderId="310" xfId="0" applyFont="1" applyFill="1" applyBorder="1" applyAlignment="1">
      <alignment horizontal="center" vertical="center"/>
    </xf>
    <xf numFmtId="0" fontId="26" fillId="7" borderId="325" xfId="0" applyFont="1" applyFill="1" applyBorder="1" applyAlignment="1">
      <alignment horizontal="center" vertical="center"/>
    </xf>
    <xf numFmtId="3" fontId="59" fillId="7" borderId="308" xfId="0" applyNumberFormat="1" applyFont="1" applyFill="1" applyBorder="1" applyAlignment="1">
      <alignment horizontal="center" vertical="center"/>
    </xf>
    <xf numFmtId="3" fontId="59" fillId="7" borderId="326" xfId="0" applyNumberFormat="1" applyFont="1" applyFill="1" applyBorder="1" applyAlignment="1">
      <alignment horizontal="center" vertical="center"/>
    </xf>
    <xf numFmtId="0" fontId="28" fillId="7" borderId="327" xfId="0" applyFont="1" applyFill="1" applyBorder="1" applyAlignment="1">
      <alignment horizontal="center" vertical="center"/>
    </xf>
    <xf numFmtId="0" fontId="57" fillId="6" borderId="0" xfId="1" applyNumberFormat="1" applyFont="1" applyFill="1" applyBorder="1" applyAlignment="1" applyProtection="1">
      <alignment horizontal="center"/>
    </xf>
    <xf numFmtId="49" fontId="26" fillId="7" borderId="289" xfId="1" applyNumberFormat="1" applyFont="1" applyFill="1" applyBorder="1" applyAlignment="1" applyProtection="1">
      <alignment horizontal="center" vertical="center"/>
    </xf>
    <xf numFmtId="0" fontId="26" fillId="7" borderId="308" xfId="1" applyNumberFormat="1" applyFont="1" applyFill="1" applyBorder="1" applyAlignment="1" applyProtection="1">
      <alignment horizontal="center" vertical="center"/>
    </xf>
    <xf numFmtId="49" fontId="28" fillId="7" borderId="327" xfId="1" applyNumberFormat="1" applyFont="1" applyFill="1" applyBorder="1" applyAlignment="1" applyProtection="1">
      <alignment horizontal="center" vertical="center"/>
    </xf>
    <xf numFmtId="177" fontId="48" fillId="10" borderId="78" xfId="0" quotePrefix="1" applyNumberFormat="1" applyFont="1" applyFill="1" applyBorder="1" applyAlignment="1">
      <alignment horizontal="center" vertical="center"/>
    </xf>
    <xf numFmtId="177" fontId="48" fillId="10" borderId="78" xfId="0" applyNumberFormat="1" applyFont="1" applyFill="1" applyBorder="1" applyAlignment="1">
      <alignment horizontal="center" vertical="center"/>
    </xf>
    <xf numFmtId="49" fontId="26" fillId="0" borderId="0" xfId="1" applyNumberFormat="1" applyFont="1" applyFill="1" applyBorder="1" applyAlignment="1" applyProtection="1">
      <alignment horizontal="center" vertical="center"/>
    </xf>
    <xf numFmtId="0" fontId="18" fillId="6" borderId="0" xfId="1" applyNumberFormat="1" applyFont="1" applyFill="1" applyBorder="1" applyAlignment="1" applyProtection="1">
      <alignment horizontal="center" vertical="center"/>
    </xf>
    <xf numFmtId="0" fontId="20" fillId="0" borderId="0" xfId="0" applyFont="1" applyAlignment="1">
      <alignment horizontal="center" vertical="center"/>
    </xf>
    <xf numFmtId="168" fontId="26" fillId="7" borderId="338" xfId="1" applyNumberFormat="1" applyFont="1" applyFill="1" applyBorder="1" applyAlignment="1" applyProtection="1">
      <alignment horizontal="center" vertical="center"/>
    </xf>
    <xf numFmtId="168" fontId="26" fillId="7" borderId="213" xfId="1" applyNumberFormat="1" applyFont="1" applyFill="1" applyBorder="1" applyAlignment="1" applyProtection="1">
      <alignment horizontal="center" vertical="center"/>
    </xf>
    <xf numFmtId="49" fontId="28" fillId="7" borderId="7" xfId="1" applyNumberFormat="1" applyFont="1" applyFill="1" applyBorder="1" applyAlignment="1" applyProtection="1">
      <alignment horizontal="center" vertical="center"/>
    </xf>
    <xf numFmtId="49" fontId="28" fillId="7" borderId="8" xfId="1" applyNumberFormat="1" applyFont="1" applyFill="1" applyBorder="1" applyAlignment="1" applyProtection="1">
      <alignment horizontal="center" vertical="center"/>
    </xf>
    <xf numFmtId="49" fontId="28" fillId="7" borderId="309" xfId="1" applyNumberFormat="1" applyFont="1" applyFill="1" applyBorder="1" applyAlignment="1" applyProtection="1">
      <alignment horizontal="center" vertical="center"/>
    </xf>
    <xf numFmtId="0" fontId="26" fillId="65" borderId="290" xfId="0" applyFont="1" applyFill="1" applyBorder="1" applyAlignment="1">
      <alignment horizontal="left" vertical="center"/>
    </xf>
    <xf numFmtId="0" fontId="26" fillId="65" borderId="257" xfId="0" applyFont="1" applyFill="1" applyBorder="1" applyAlignment="1">
      <alignment horizontal="left" vertical="center"/>
    </xf>
    <xf numFmtId="0" fontId="26" fillId="65" borderId="325" xfId="0" applyFont="1" applyFill="1" applyBorder="1" applyAlignment="1">
      <alignment horizontal="left" vertical="center"/>
    </xf>
    <xf numFmtId="168" fontId="26" fillId="7" borderId="17" xfId="1" applyNumberFormat="1" applyFont="1" applyFill="1" applyBorder="1" applyAlignment="1" applyProtection="1">
      <alignment horizontal="center" vertical="center"/>
    </xf>
    <xf numFmtId="168" fontId="26" fillId="7" borderId="368" xfId="1" applyNumberFormat="1" applyFont="1" applyFill="1" applyBorder="1" applyAlignment="1" applyProtection="1">
      <alignment horizontal="center" vertical="center"/>
    </xf>
    <xf numFmtId="17" fontId="26" fillId="7" borderId="17" xfId="1" quotePrefix="1" applyNumberFormat="1" applyFont="1" applyFill="1" applyBorder="1" applyAlignment="1" applyProtection="1">
      <alignment horizontal="center"/>
    </xf>
    <xf numFmtId="203" fontId="26" fillId="7" borderId="289" xfId="0" applyNumberFormat="1" applyFont="1" applyFill="1" applyBorder="1" applyAlignment="1">
      <alignment horizontal="left" vertical="center"/>
    </xf>
    <xf numFmtId="203" fontId="28" fillId="7" borderId="327" xfId="0" applyNumberFormat="1" applyFont="1" applyFill="1" applyBorder="1" applyAlignment="1">
      <alignment horizontal="right" vertical="center"/>
    </xf>
    <xf numFmtId="0" fontId="25" fillId="0" borderId="0" xfId="0" applyFont="1" applyAlignment="1">
      <alignment horizontal="center"/>
    </xf>
    <xf numFmtId="0" fontId="26" fillId="7" borderId="289" xfId="0" applyFont="1" applyFill="1" applyBorder="1" applyAlignment="1">
      <alignment horizontal="center" vertical="center"/>
    </xf>
    <xf numFmtId="0" fontId="0" fillId="0" borderId="0" xfId="0" applyAlignment="1">
      <alignment horizontal="center"/>
    </xf>
    <xf numFmtId="0" fontId="165" fillId="0" borderId="0" xfId="0" applyFont="1" applyAlignment="1">
      <alignment horizontal="center"/>
    </xf>
    <xf numFmtId="0" fontId="166" fillId="0" borderId="0" xfId="0" applyFont="1" applyAlignment="1">
      <alignment horizontal="center"/>
    </xf>
    <xf numFmtId="0" fontId="168" fillId="68" borderId="364" xfId="0" applyFont="1" applyFill="1" applyBorder="1" applyAlignment="1">
      <alignment horizontal="center"/>
    </xf>
    <xf numFmtId="0" fontId="168" fillId="0" borderId="112" xfId="0" applyFont="1" applyBorder="1" applyAlignment="1">
      <alignment horizontal="left"/>
    </xf>
    <xf numFmtId="0" fontId="168" fillId="0" borderId="113" xfId="0" applyFont="1" applyBorder="1" applyAlignment="1">
      <alignment horizontal="left"/>
    </xf>
    <xf numFmtId="0" fontId="165" fillId="0" borderId="0" xfId="0" applyFont="1" applyAlignment="1" applyProtection="1">
      <alignment horizontal="center"/>
      <protection hidden="1"/>
    </xf>
    <xf numFmtId="0" fontId="166" fillId="0" borderId="0" xfId="0" applyFont="1" applyAlignment="1" applyProtection="1">
      <alignment horizontal="center"/>
      <protection hidden="1"/>
    </xf>
    <xf numFmtId="188" fontId="59" fillId="43" borderId="288" xfId="1" applyNumberFormat="1" applyFont="1" applyFill="1" applyBorder="1" applyAlignment="1">
      <alignment horizontal="center" vertical="center"/>
    </xf>
    <xf numFmtId="188" fontId="59" fillId="43" borderId="289" xfId="1" applyNumberFormat="1" applyFont="1" applyFill="1" applyBorder="1" applyAlignment="1">
      <alignment horizontal="center" vertical="center"/>
    </xf>
    <xf numFmtId="49" fontId="59" fillId="0" borderId="288" xfId="0" applyNumberFormat="1" applyFont="1" applyBorder="1" applyAlignment="1">
      <alignment horizontal="center" vertical="center"/>
    </xf>
    <xf numFmtId="49" fontId="59" fillId="41" borderId="289" xfId="0" applyNumberFormat="1" applyFont="1" applyFill="1" applyBorder="1" applyAlignment="1">
      <alignment horizontal="center" vertical="center"/>
    </xf>
    <xf numFmtId="49" fontId="59" fillId="41" borderId="308" xfId="0" applyNumberFormat="1" applyFont="1" applyFill="1" applyBorder="1" applyAlignment="1">
      <alignment horizontal="center" vertical="center"/>
    </xf>
    <xf numFmtId="177" fontId="59" fillId="41" borderId="308" xfId="0" applyNumberFormat="1" applyFont="1" applyFill="1" applyBorder="1" applyAlignment="1">
      <alignment horizontal="center" vertical="center"/>
    </xf>
    <xf numFmtId="177" fontId="110" fillId="41" borderId="369" xfId="0" applyNumberFormat="1" applyFont="1" applyFill="1" applyBorder="1" applyAlignment="1">
      <alignment horizontal="center" vertical="top"/>
    </xf>
    <xf numFmtId="0" fontId="59" fillId="9" borderId="320" xfId="0" applyFont="1" applyFill="1" applyBorder="1" applyAlignment="1">
      <alignment horizontal="center" vertical="center"/>
    </xf>
    <xf numFmtId="0" fontId="59" fillId="9" borderId="373" xfId="0" applyFont="1" applyFill="1" applyBorder="1" applyAlignment="1">
      <alignment horizontal="center" vertical="center"/>
    </xf>
    <xf numFmtId="0" fontId="59" fillId="9" borderId="193" xfId="0" applyFont="1" applyFill="1" applyBorder="1" applyAlignment="1">
      <alignment horizontal="center" vertical="center"/>
    </xf>
    <xf numFmtId="0" fontId="59" fillId="9" borderId="224" xfId="0" applyFont="1" applyFill="1" applyBorder="1" applyAlignment="1">
      <alignment horizontal="center" vertical="center"/>
    </xf>
    <xf numFmtId="0" fontId="11" fillId="3" borderId="0" xfId="0" applyFont="1" applyFill="1" applyAlignment="1">
      <alignment horizontal="center" vertical="center"/>
    </xf>
    <xf numFmtId="0" fontId="11" fillId="0" borderId="0" xfId="1" applyNumberFormat="1" applyFont="1" applyFill="1" applyBorder="1" applyAlignment="1" applyProtection="1">
      <alignment horizontal="center" vertical="center"/>
    </xf>
    <xf numFmtId="177" fontId="82" fillId="0" borderId="441" xfId="0" applyNumberFormat="1" applyFont="1" applyBorder="1" applyAlignment="1">
      <alignment horizontal="center" vertical="center"/>
    </xf>
    <xf numFmtId="177" fontId="82" fillId="0" borderId="442" xfId="0" applyNumberFormat="1" applyFont="1" applyBorder="1" applyAlignment="1">
      <alignment horizontal="center" vertical="center"/>
    </xf>
    <xf numFmtId="177" fontId="82" fillId="0" borderId="443" xfId="0" applyNumberFormat="1" applyFont="1" applyBorder="1" applyAlignment="1">
      <alignment horizontal="center" vertical="center"/>
    </xf>
    <xf numFmtId="177" fontId="34" fillId="6" borderId="0" xfId="0" quotePrefix="1" applyNumberFormat="1" applyFont="1" applyFill="1" applyAlignment="1">
      <alignment horizontal="center" vertical="center"/>
    </xf>
    <xf numFmtId="0" fontId="26" fillId="7" borderId="314" xfId="0" applyFont="1" applyFill="1" applyBorder="1" applyAlignment="1">
      <alignment horizontal="center" vertical="center" wrapText="1"/>
    </xf>
    <xf numFmtId="0" fontId="26" fillId="7" borderId="446" xfId="0" applyFont="1" applyFill="1" applyBorder="1" applyAlignment="1">
      <alignment horizontal="center" vertical="center" wrapText="1"/>
    </xf>
    <xf numFmtId="0" fontId="26" fillId="7" borderId="445" xfId="0" applyFont="1" applyFill="1" applyBorder="1" applyAlignment="1">
      <alignment horizontal="center" vertical="center" wrapText="1"/>
    </xf>
    <xf numFmtId="0" fontId="26" fillId="7" borderId="447" xfId="0" applyFont="1" applyFill="1" applyBorder="1" applyAlignment="1">
      <alignment horizontal="center" vertical="center" wrapText="1"/>
    </xf>
    <xf numFmtId="43" fontId="25" fillId="0" borderId="0" xfId="1" applyFont="1" applyFill="1" applyBorder="1" applyAlignment="1" applyProtection="1">
      <alignment horizontal="center"/>
    </xf>
    <xf numFmtId="0" fontId="36" fillId="7" borderId="389" xfId="0" applyFont="1" applyFill="1" applyBorder="1" applyAlignment="1">
      <alignment horizontal="center" vertical="center"/>
    </xf>
    <xf numFmtId="0" fontId="36" fillId="7" borderId="390" xfId="0" applyFont="1" applyFill="1" applyBorder="1" applyAlignment="1">
      <alignment horizontal="center" vertical="center"/>
    </xf>
    <xf numFmtId="0" fontId="36" fillId="7" borderId="392" xfId="0" applyFont="1" applyFill="1" applyBorder="1" applyAlignment="1">
      <alignment horizontal="center" vertical="center"/>
    </xf>
    <xf numFmtId="0" fontId="36" fillId="7" borderId="289" xfId="0" applyFont="1" applyFill="1" applyBorder="1" applyAlignment="1">
      <alignment horizontal="center" vertical="center"/>
    </xf>
    <xf numFmtId="164" fontId="36" fillId="11" borderId="300" xfId="0" applyNumberFormat="1" applyFont="1" applyFill="1" applyBorder="1" applyAlignment="1">
      <alignment horizontal="center" vertical="center" wrapText="1"/>
    </xf>
    <xf numFmtId="0" fontId="36" fillId="11" borderId="301" xfId="0" applyFont="1" applyFill="1" applyBorder="1" applyAlignment="1">
      <alignment horizontal="center" vertical="center" wrapText="1"/>
    </xf>
    <xf numFmtId="0" fontId="36" fillId="11" borderId="241" xfId="0" applyFont="1" applyFill="1" applyBorder="1" applyAlignment="1">
      <alignment horizontal="center" vertical="center" wrapText="1"/>
    </xf>
    <xf numFmtId="177" fontId="164" fillId="6" borderId="0" xfId="0" quotePrefix="1" applyNumberFormat="1" applyFont="1" applyFill="1" applyAlignment="1">
      <alignment horizontal="right" vertical="center"/>
    </xf>
    <xf numFmtId="164" fontId="36" fillId="0" borderId="0" xfId="0" applyNumberFormat="1" applyFont="1" applyAlignment="1">
      <alignment horizontal="center"/>
    </xf>
    <xf numFmtId="0" fontId="11" fillId="71" borderId="301" xfId="0" applyFont="1" applyFill="1" applyBorder="1" applyAlignment="1">
      <alignment horizontal="center" vertical="center"/>
    </xf>
    <xf numFmtId="0" fontId="11" fillId="71" borderId="386" xfId="0" applyFont="1" applyFill="1" applyBorder="1" applyAlignment="1">
      <alignment horizontal="center" vertical="center"/>
    </xf>
    <xf numFmtId="0" fontId="11" fillId="71" borderId="119" xfId="0" applyFont="1" applyFill="1" applyBorder="1" applyAlignment="1">
      <alignment horizontal="center"/>
    </xf>
    <xf numFmtId="0" fontId="11" fillId="71" borderId="301" xfId="0" applyFont="1" applyFill="1" applyBorder="1" applyAlignment="1">
      <alignment horizontal="center" vertical="center" wrapText="1"/>
    </xf>
    <xf numFmtId="0" fontId="11" fillId="71" borderId="386" xfId="0" applyFont="1" applyFill="1" applyBorder="1" applyAlignment="1">
      <alignment horizontal="center" vertical="center" wrapText="1"/>
    </xf>
  </cellXfs>
  <cellStyles count="148">
    <cellStyle name="Calculation 2 2 2 3 5 2 2 4 2" xfId="26"/>
    <cellStyle name="Calculation 2 2 2 3 5 7" xfId="25"/>
    <cellStyle name="Comma" xfId="1" builtinId="3"/>
    <cellStyle name="Comma [0]" xfId="2" builtinId="6"/>
    <cellStyle name="Comma [0] 2" xfId="29"/>
    <cellStyle name="Comma [0] 2 2" xfId="36"/>
    <cellStyle name="Comma [0] 2 4" xfId="7"/>
    <cellStyle name="Comma [0] 3" xfId="50"/>
    <cellStyle name="Comma [0] 3 2" xfId="47"/>
    <cellStyle name="Comma [0] 3 2 2" xfId="38"/>
    <cellStyle name="Comma [0] 3 2 3" xfId="52"/>
    <cellStyle name="Comma [0] 4" xfId="15"/>
    <cellStyle name="Comma [0] 4 2" xfId="30"/>
    <cellStyle name="Comma [0] 5" xfId="45"/>
    <cellStyle name="Comma [0] 5 2" xfId="40"/>
    <cellStyle name="Comma [0] 5 2 2" xfId="32"/>
    <cellStyle name="Comma [0] 5 2 2 2" xfId="55"/>
    <cellStyle name="Comma [0] 5 2 2 2 2" xfId="46"/>
    <cellStyle name="Comma [0] 6" xfId="37"/>
    <cellStyle name="Comma [0] 7" xfId="48"/>
    <cellStyle name="Comma [0]_Cover LK" xfId="5"/>
    <cellStyle name="Comma 10" xfId="145"/>
    <cellStyle name="Comma 2" xfId="28"/>
    <cellStyle name="Comma 2 2" xfId="8"/>
    <cellStyle name="Comma 2 3" xfId="41"/>
    <cellStyle name="Comma 3" xfId="43"/>
    <cellStyle name="Comma 4" xfId="17"/>
    <cellStyle name="Comma 5" xfId="44"/>
    <cellStyle name="Comma 6" xfId="49"/>
    <cellStyle name="Comma 7" xfId="98"/>
    <cellStyle name="Comma 8" xfId="12"/>
    <cellStyle name="Comma 8 2" xfId="34"/>
    <cellStyle name="Comma 9" xfId="144"/>
    <cellStyle name="Comma_Cover LK" xfId="6"/>
    <cellStyle name="Currency [0]" xfId="19" builtinId="7"/>
    <cellStyle name="Currency [0] 2" xfId="39"/>
    <cellStyle name="Currency 2" xfId="35"/>
    <cellStyle name="Hyperlink" xfId="3" builtinId="8"/>
    <cellStyle name="Koma [0] 2" xfId="51"/>
    <cellStyle name="Koma [0] 2 2" xfId="53"/>
    <cellStyle name="Koma [0] 2 3" xfId="122"/>
    <cellStyle name="Koma [0] 3" xfId="124"/>
    <cellStyle name="Koma [0] 4" xfId="134"/>
    <cellStyle name="Koma 10" xfId="31"/>
    <cellStyle name="Koma 11" xfId="119"/>
    <cellStyle name="Koma 12" xfId="131"/>
    <cellStyle name="Koma 13" xfId="133"/>
    <cellStyle name="Koma 14" xfId="137"/>
    <cellStyle name="Koma 2" xfId="54"/>
    <cellStyle name="Koma 2 2" xfId="56"/>
    <cellStyle name="Koma 2 3" xfId="116"/>
    <cellStyle name="Koma 2 4" xfId="121"/>
    <cellStyle name="Koma 3" xfId="57"/>
    <cellStyle name="Koma 3 2" xfId="58"/>
    <cellStyle name="Koma 3 2 2" xfId="141"/>
    <cellStyle name="Koma 4" xfId="59"/>
    <cellStyle name="Koma 5" xfId="60"/>
    <cellStyle name="Koma 6" xfId="61"/>
    <cellStyle name="Koma 7" xfId="62"/>
    <cellStyle name="Koma 8" xfId="63"/>
    <cellStyle name="Koma 8 2" xfId="64"/>
    <cellStyle name="Koma 8 3" xfId="65"/>
    <cellStyle name="Koma 8 4" xfId="129"/>
    <cellStyle name="Koma 9" xfId="66"/>
    <cellStyle name="Normal" xfId="0" builtinId="0"/>
    <cellStyle name="Normal 10" xfId="67"/>
    <cellStyle name="Normal 10 2" xfId="9"/>
    <cellStyle name="Normal 10 3" xfId="69"/>
    <cellStyle name="Normal 10 4" xfId="70"/>
    <cellStyle name="Normal 11" xfId="71"/>
    <cellStyle name="Normal 12" xfId="72"/>
    <cellStyle name="Normal 13" xfId="73"/>
    <cellStyle name="Normal 14" xfId="74"/>
    <cellStyle name="Normal 15" xfId="75"/>
    <cellStyle name="Normal 16" xfId="76"/>
    <cellStyle name="Normal 17" xfId="16"/>
    <cellStyle name="Normal 17 2" xfId="77"/>
    <cellStyle name="Normal 18" xfId="78"/>
    <cellStyle name="Normal 19" xfId="79"/>
    <cellStyle name="Normal 2" xfId="80"/>
    <cellStyle name="Normal 2 2" xfId="11"/>
    <cellStyle name="Normal 2 2 2" xfId="127"/>
    <cellStyle name="Normal 2 2 3" xfId="81"/>
    <cellStyle name="Normal 2 3" xfId="20"/>
    <cellStyle name="Normal 2 3 2" xfId="126"/>
    <cellStyle name="Normal 2 4 2 4" xfId="23"/>
    <cellStyle name="Normal 20" xfId="82"/>
    <cellStyle name="Normal 21" xfId="13"/>
    <cellStyle name="Normal 21 2" xfId="83"/>
    <cellStyle name="Normal 22" xfId="84"/>
    <cellStyle name="Normal 22 2" xfId="85"/>
    <cellStyle name="Normal 22 3" xfId="86"/>
    <cellStyle name="Normal 22 4" xfId="128"/>
    <cellStyle name="Normal 23" xfId="87"/>
    <cellStyle name="Normal 24" xfId="88"/>
    <cellStyle name="Normal 25" xfId="89"/>
    <cellStyle name="Normal 26" xfId="90"/>
    <cellStyle name="Normal 27" xfId="91"/>
    <cellStyle name="Normal 28" xfId="92"/>
    <cellStyle name="Normal 29" xfId="117"/>
    <cellStyle name="Normal 3" xfId="10"/>
    <cellStyle name="Normal 3 2" xfId="93"/>
    <cellStyle name="Normal 30" xfId="118"/>
    <cellStyle name="Normal 31" xfId="120"/>
    <cellStyle name="Normal 32" xfId="123"/>
    <cellStyle name="Normal 33" xfId="125"/>
    <cellStyle name="Normal 34" xfId="130"/>
    <cellStyle name="Normal 35" xfId="132"/>
    <cellStyle name="Normal 36" xfId="22"/>
    <cellStyle name="Normal 36 2" xfId="135"/>
    <cellStyle name="Normal 36 3" xfId="143"/>
    <cellStyle name="Normal 37" xfId="136"/>
    <cellStyle name="Normal 38" xfId="138"/>
    <cellStyle name="Normal 38 2" xfId="142"/>
    <cellStyle name="Normal 39" xfId="139"/>
    <cellStyle name="Normal 39 2" xfId="68"/>
    <cellStyle name="Normal 4" xfId="94"/>
    <cellStyle name="Normal 4 2" xfId="95"/>
    <cellStyle name="Normal 4 2 2" xfId="96"/>
    <cellStyle name="Normal 4 2 2 2" xfId="97"/>
    <cellStyle name="Normal 4 3" xfId="27"/>
    <cellStyle name="Normal 4 3 2" xfId="115"/>
    <cellStyle name="Normal 4 3 2 3" xfId="21"/>
    <cellStyle name="Normal 40" xfId="140"/>
    <cellStyle name="Normal 40 2" xfId="146"/>
    <cellStyle name="Normal 41" xfId="42"/>
    <cellStyle name="Normal 5" xfId="99"/>
    <cellStyle name="Normal 5 2" xfId="100"/>
    <cellStyle name="Normal 5 2 2" xfId="101"/>
    <cellStyle name="Normal 5 2 2 2" xfId="102"/>
    <cellStyle name="Normal 5 2 2 2 2" xfId="103"/>
    <cellStyle name="Normal 5 2 2 2 2 2" xfId="104"/>
    <cellStyle name="Normal 5 2 2 3" xfId="24"/>
    <cellStyle name="Normal 6" xfId="105"/>
    <cellStyle name="Normal 6 2" xfId="106"/>
    <cellStyle name="Normal 6 2 2" xfId="107"/>
    <cellStyle name="Normal 6 2 2 2" xfId="108"/>
    <cellStyle name="Normal 6 2 2 2 2" xfId="109"/>
    <cellStyle name="Normal 7" xfId="110"/>
    <cellStyle name="Normal 8" xfId="111"/>
    <cellStyle name="Normal 8 2" xfId="112"/>
    <cellStyle name="Normal 9" xfId="113"/>
    <cellStyle name="Normal 9 2" xfId="114"/>
    <cellStyle name="Normal_Cover LK" xfId="4"/>
    <cellStyle name="Normal_Fixed asset" xfId="18"/>
    <cellStyle name="Normal_GRAF-AJ" xfId="14"/>
    <cellStyle name="Percent" xfId="147" builtinId="5"/>
    <cellStyle name="Percent 2" xfId="33"/>
  </cellStyles>
  <dxfs count="0"/>
  <tableStyles count="0" defaultTableStyle="TableStyleMedium2" defaultPivotStyle="PivotStyleLight16"/>
  <colors>
    <mruColors>
      <color rgb="FFCCFFCC"/>
      <color rgb="FF99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63" Type="http://schemas.openxmlformats.org/officeDocument/2006/relationships/externalLink" Target="externalLinks/externalLink30.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externalLink" Target="externalLinks/externalLink31.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externalLink" Target="externalLinks/externalLink29.xml"/><Relationship Id="rId7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externalLink" Target="externalLinks/externalLink3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 Id="rId34" Type="http://schemas.openxmlformats.org/officeDocument/2006/relationships/externalLink" Target="externalLinks/externalLink1.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0181536622705709E-2"/>
          <c:y val="3.679998055804231E-2"/>
          <c:w val="0.75454569378604941"/>
          <c:h val="0.90080070375054999"/>
        </c:manualLayout>
      </c:layout>
      <c:lineChart>
        <c:grouping val="standard"/>
        <c:varyColors val="0"/>
        <c:ser>
          <c:idx val="0"/>
          <c:order val="0"/>
          <c:tx>
            <c:strRef>
              <c:f>Grafik!$A$48</c:f>
              <c:strCache>
                <c:ptCount val="1"/>
                <c:pt idx="0">
                  <c:v>Pendapatan, keuntungan &amp; dukungan lain /</c:v>
                </c:pt>
              </c:strCache>
            </c:strRef>
          </c:tx>
          <c:marker>
            <c:symbol val="triangle"/>
            <c:size val="5"/>
            <c:spPr>
              <a:solidFill>
                <a:srgbClr val="000000"/>
              </a:solidFill>
              <a:ln w="9525" cap="flat" cmpd="sng" algn="ctr">
                <a:solidFill>
                  <a:srgbClr val="000000"/>
                </a:solidFill>
                <a:prstDash val="solid"/>
                <a:round/>
              </a:ln>
            </c:spPr>
          </c:marker>
          <c:cat>
            <c:strRef>
              <c:f>Grafik!$B$47:$O$47</c:f>
              <c:strCache>
                <c:ptCount val="14"/>
                <c:pt idx="1">
                  <c:v>July 2025</c:v>
                </c:pt>
                <c:pt idx="2">
                  <c:v>August 2025</c:v>
                </c:pt>
                <c:pt idx="3">
                  <c:v>September 2025</c:v>
                </c:pt>
                <c:pt idx="4">
                  <c:v>October 2025</c:v>
                </c:pt>
                <c:pt idx="5">
                  <c:v>November 2025</c:v>
                </c:pt>
                <c:pt idx="6">
                  <c:v>December 2025</c:v>
                </c:pt>
                <c:pt idx="7">
                  <c:v>January 2026</c:v>
                </c:pt>
                <c:pt idx="8">
                  <c:v>February 2026</c:v>
                </c:pt>
                <c:pt idx="9">
                  <c:v>March 2026</c:v>
                </c:pt>
                <c:pt idx="10">
                  <c:v>April 2026</c:v>
                </c:pt>
                <c:pt idx="11">
                  <c:v>May 2026</c:v>
                </c:pt>
                <c:pt idx="12">
                  <c:v>June 2026</c:v>
                </c:pt>
                <c:pt idx="13">
                  <c:v>Total</c:v>
                </c:pt>
              </c:strCache>
            </c:strRef>
          </c:cat>
          <c:val>
            <c:numRef>
              <c:f>Grafik!$B$48:$O$48</c:f>
              <c:numCache>
                <c:formatCode>#,##0.00_);[Red]\(#,##0.00\)</c:formatCode>
                <c:ptCount val="14"/>
                <c:pt idx="0" formatCode="General">
                  <c:v>0</c:v>
                </c:pt>
              </c:numCache>
            </c:numRef>
          </c:val>
          <c:smooth val="0"/>
          <c:extLst xmlns:c16r2="http://schemas.microsoft.com/office/drawing/2015/06/chart">
            <c:ext xmlns:c16="http://schemas.microsoft.com/office/drawing/2014/chart" uri="{C3380CC4-5D6E-409C-BE32-E72D297353CC}">
              <c16:uniqueId val="{00000000-DB76-4D09-87D0-A104661A46AD}"/>
            </c:ext>
          </c:extLst>
        </c:ser>
        <c:ser>
          <c:idx val="1"/>
          <c:order val="1"/>
          <c:tx>
            <c:strRef>
              <c:f>Grafik!$A$49</c:f>
              <c:strCache>
                <c:ptCount val="1"/>
                <c:pt idx="0">
                  <c:v>Revenues,  gains &amp; others support</c:v>
                </c:pt>
              </c:strCache>
            </c:strRef>
          </c:tx>
          <c:spPr>
            <a:ln w="12700" cap="rnd" cmpd="sng" algn="ctr">
              <a:solidFill>
                <a:srgbClr val="000000"/>
              </a:solidFill>
              <a:prstDash val="sysDash"/>
              <a:round/>
            </a:ln>
          </c:spPr>
          <c:marker>
            <c:symbol val="triangle"/>
            <c:size val="5"/>
            <c:spPr>
              <a:solidFill>
                <a:srgbClr val="000000"/>
              </a:solidFill>
              <a:ln w="9525" cap="flat" cmpd="sng" algn="ctr">
                <a:solidFill>
                  <a:srgbClr val="000000"/>
                </a:solidFill>
                <a:prstDash val="solid"/>
                <a:round/>
              </a:ln>
            </c:spPr>
          </c:marker>
          <c:cat>
            <c:strRef>
              <c:f>Grafik!$B$47:$O$47</c:f>
              <c:strCache>
                <c:ptCount val="14"/>
                <c:pt idx="1">
                  <c:v>July 2025</c:v>
                </c:pt>
                <c:pt idx="2">
                  <c:v>August 2025</c:v>
                </c:pt>
                <c:pt idx="3">
                  <c:v>September 2025</c:v>
                </c:pt>
                <c:pt idx="4">
                  <c:v>October 2025</c:v>
                </c:pt>
                <c:pt idx="5">
                  <c:v>November 2025</c:v>
                </c:pt>
                <c:pt idx="6">
                  <c:v>December 2025</c:v>
                </c:pt>
                <c:pt idx="7">
                  <c:v>January 2026</c:v>
                </c:pt>
                <c:pt idx="8">
                  <c:v>February 2026</c:v>
                </c:pt>
                <c:pt idx="9">
                  <c:v>March 2026</c:v>
                </c:pt>
                <c:pt idx="10">
                  <c:v>April 2026</c:v>
                </c:pt>
                <c:pt idx="11">
                  <c:v>May 2026</c:v>
                </c:pt>
                <c:pt idx="12">
                  <c:v>June 2026</c:v>
                </c:pt>
                <c:pt idx="13">
                  <c:v>Total</c:v>
                </c:pt>
              </c:strCache>
            </c:strRef>
          </c:cat>
          <c:val>
            <c:numRef>
              <c:f>Grafik!$B$49:$O$49</c:f>
              <c:numCache>
                <c:formatCode>#,##0.00_);[Red]\(#,##0.00\)</c:formatCode>
                <c:ptCount val="14"/>
                <c:pt idx="0" formatCode="General">
                  <c:v>0</c:v>
                </c:pt>
                <c:pt idx="1">
                  <c:v>2944636096</c:v>
                </c:pt>
                <c:pt idx="2">
                  <c:v>1010692073</c:v>
                </c:pt>
                <c:pt idx="3">
                  <c:v>943787100</c:v>
                </c:pt>
                <c:pt idx="4">
                  <c:v>1083368899</c:v>
                </c:pt>
                <c:pt idx="5">
                  <c:v>1097743827</c:v>
                </c:pt>
                <c:pt idx="6">
                  <c:v>812104650</c:v>
                </c:pt>
                <c:pt idx="7">
                  <c:v>1445806630</c:v>
                </c:pt>
                <c:pt idx="8">
                  <c:v>741804514.33000004</c:v>
                </c:pt>
                <c:pt idx="9">
                  <c:v>630681247</c:v>
                </c:pt>
                <c:pt idx="10">
                  <c:v>707461450</c:v>
                </c:pt>
                <c:pt idx="11">
                  <c:v>801827018</c:v>
                </c:pt>
                <c:pt idx="12">
                  <c:v>641150550</c:v>
                </c:pt>
                <c:pt idx="13" formatCode="_(* #,##0.00_);_(* \(#,##0.00\);_(* \-??_);_(@_)">
                  <c:v>12861064054.33</c:v>
                </c:pt>
              </c:numCache>
            </c:numRef>
          </c:val>
          <c:smooth val="0"/>
          <c:extLst xmlns:c16r2="http://schemas.microsoft.com/office/drawing/2015/06/chart">
            <c:ext xmlns:c16="http://schemas.microsoft.com/office/drawing/2014/chart" uri="{C3380CC4-5D6E-409C-BE32-E72D297353CC}">
              <c16:uniqueId val="{00000001-DB76-4D09-87D0-A104661A46AD}"/>
            </c:ext>
          </c:extLst>
        </c:ser>
        <c:ser>
          <c:idx val="2"/>
          <c:order val="2"/>
          <c:tx>
            <c:strRef>
              <c:f>Grafik!$A$50</c:f>
              <c:strCache>
                <c:ptCount val="1"/>
                <c:pt idx="0">
                  <c:v>Beban &amp; kerugian /</c:v>
                </c:pt>
              </c:strCache>
            </c:strRef>
          </c:tx>
          <c:marker>
            <c:symbol val="circle"/>
            <c:size val="6"/>
            <c:spPr>
              <a:solidFill>
                <a:srgbClr val="000000"/>
              </a:solidFill>
              <a:ln w="9525" cap="flat" cmpd="sng" algn="ctr">
                <a:solidFill>
                  <a:srgbClr val="000000"/>
                </a:solidFill>
                <a:prstDash val="solid"/>
                <a:round/>
              </a:ln>
            </c:spPr>
          </c:marker>
          <c:cat>
            <c:strRef>
              <c:f>Grafik!$B$47:$O$47</c:f>
              <c:strCache>
                <c:ptCount val="14"/>
                <c:pt idx="1">
                  <c:v>July 2025</c:v>
                </c:pt>
                <c:pt idx="2">
                  <c:v>August 2025</c:v>
                </c:pt>
                <c:pt idx="3">
                  <c:v>September 2025</c:v>
                </c:pt>
                <c:pt idx="4">
                  <c:v>October 2025</c:v>
                </c:pt>
                <c:pt idx="5">
                  <c:v>November 2025</c:v>
                </c:pt>
                <c:pt idx="6">
                  <c:v>December 2025</c:v>
                </c:pt>
                <c:pt idx="7">
                  <c:v>January 2026</c:v>
                </c:pt>
                <c:pt idx="8">
                  <c:v>February 2026</c:v>
                </c:pt>
                <c:pt idx="9">
                  <c:v>March 2026</c:v>
                </c:pt>
                <c:pt idx="10">
                  <c:v>April 2026</c:v>
                </c:pt>
                <c:pt idx="11">
                  <c:v>May 2026</c:v>
                </c:pt>
                <c:pt idx="12">
                  <c:v>June 2026</c:v>
                </c:pt>
                <c:pt idx="13">
                  <c:v>Total</c:v>
                </c:pt>
              </c:strCache>
            </c:strRef>
          </c:cat>
          <c:val>
            <c:numRef>
              <c:f>Grafik!$B$50:$O$50</c:f>
              <c:numCache>
                <c:formatCode>#,##0.00_);[Red]\(#,##0.00\)</c:formatCode>
                <c:ptCount val="14"/>
                <c:pt idx="0" formatCode="General">
                  <c:v>0</c:v>
                </c:pt>
              </c:numCache>
            </c:numRef>
          </c:val>
          <c:smooth val="0"/>
          <c:extLst xmlns:c16r2="http://schemas.microsoft.com/office/drawing/2015/06/chart">
            <c:ext xmlns:c16="http://schemas.microsoft.com/office/drawing/2014/chart" uri="{C3380CC4-5D6E-409C-BE32-E72D297353CC}">
              <c16:uniqueId val="{00000002-DB76-4D09-87D0-A104661A46AD}"/>
            </c:ext>
          </c:extLst>
        </c:ser>
        <c:ser>
          <c:idx val="3"/>
          <c:order val="3"/>
          <c:tx>
            <c:strRef>
              <c:f>Grafik!$A$51</c:f>
              <c:strCache>
                <c:ptCount val="1"/>
                <c:pt idx="0">
                  <c:v>Expenses &amp; losses</c:v>
                </c:pt>
              </c:strCache>
            </c:strRef>
          </c:tx>
          <c:spPr>
            <a:ln w="12700" cap="rnd" cmpd="sng" algn="ctr">
              <a:solidFill>
                <a:srgbClr val="800000"/>
              </a:solidFill>
              <a:prstDash val="lgDash"/>
              <a:round/>
            </a:ln>
          </c:spPr>
          <c:marker>
            <c:symbol val="diamond"/>
            <c:size val="5"/>
            <c:spPr>
              <a:solidFill>
                <a:srgbClr val="800000"/>
              </a:solidFill>
              <a:ln w="9525" cap="flat" cmpd="sng" algn="ctr">
                <a:solidFill>
                  <a:srgbClr val="800000"/>
                </a:solidFill>
                <a:prstDash val="solid"/>
                <a:round/>
              </a:ln>
            </c:spPr>
          </c:marker>
          <c:cat>
            <c:strRef>
              <c:f>Grafik!$B$47:$O$47</c:f>
              <c:strCache>
                <c:ptCount val="14"/>
                <c:pt idx="1">
                  <c:v>July 2025</c:v>
                </c:pt>
                <c:pt idx="2">
                  <c:v>August 2025</c:v>
                </c:pt>
                <c:pt idx="3">
                  <c:v>September 2025</c:v>
                </c:pt>
                <c:pt idx="4">
                  <c:v>October 2025</c:v>
                </c:pt>
                <c:pt idx="5">
                  <c:v>November 2025</c:v>
                </c:pt>
                <c:pt idx="6">
                  <c:v>December 2025</c:v>
                </c:pt>
                <c:pt idx="7">
                  <c:v>January 2026</c:v>
                </c:pt>
                <c:pt idx="8">
                  <c:v>February 2026</c:v>
                </c:pt>
                <c:pt idx="9">
                  <c:v>March 2026</c:v>
                </c:pt>
                <c:pt idx="10">
                  <c:v>April 2026</c:v>
                </c:pt>
                <c:pt idx="11">
                  <c:v>May 2026</c:v>
                </c:pt>
                <c:pt idx="12">
                  <c:v>June 2026</c:v>
                </c:pt>
                <c:pt idx="13">
                  <c:v>Total</c:v>
                </c:pt>
              </c:strCache>
            </c:strRef>
          </c:cat>
          <c:val>
            <c:numRef>
              <c:f>Grafik!$B$51:$O$51</c:f>
              <c:numCache>
                <c:formatCode>#,##0.00_);[Red]\(#,##0.00\)</c:formatCode>
                <c:ptCount val="14"/>
                <c:pt idx="0" formatCode="General">
                  <c:v>0</c:v>
                </c:pt>
                <c:pt idx="1">
                  <c:v>633915833.21333325</c:v>
                </c:pt>
                <c:pt idx="2">
                  <c:v>975707354.85666668</c:v>
                </c:pt>
                <c:pt idx="3">
                  <c:v>1058613512.4433333</c:v>
                </c:pt>
                <c:pt idx="4">
                  <c:v>1104387970.0133333</c:v>
                </c:pt>
                <c:pt idx="5">
                  <c:v>761237054.51333332</c:v>
                </c:pt>
                <c:pt idx="6">
                  <c:v>712877372.25333333</c:v>
                </c:pt>
                <c:pt idx="7">
                  <c:v>741239147.07333338</c:v>
                </c:pt>
                <c:pt idx="8">
                  <c:v>804521150.62666667</c:v>
                </c:pt>
                <c:pt idx="9">
                  <c:v>958745577.9666667</c:v>
                </c:pt>
                <c:pt idx="10">
                  <c:v>749042153.12666678</c:v>
                </c:pt>
                <c:pt idx="11">
                  <c:v>953712655.12666667</c:v>
                </c:pt>
                <c:pt idx="12">
                  <c:v>669874218.37666678</c:v>
                </c:pt>
                <c:pt idx="13" formatCode="_(* #,##0.00_);_(* \(#,##0.00\);_(* \-??_);_(@_)">
                  <c:v>10123873999.590002</c:v>
                </c:pt>
              </c:numCache>
            </c:numRef>
          </c:val>
          <c:smooth val="0"/>
          <c:extLst xmlns:c16r2="http://schemas.microsoft.com/office/drawing/2015/06/chart">
            <c:ext xmlns:c16="http://schemas.microsoft.com/office/drawing/2014/chart" uri="{C3380CC4-5D6E-409C-BE32-E72D297353CC}">
              <c16:uniqueId val="{00000000-5728-4736-95D3-B28DF0AF1E0B}"/>
            </c:ext>
          </c:extLst>
        </c:ser>
        <c:ser>
          <c:idx val="4"/>
          <c:order val="4"/>
          <c:tx>
            <c:strRef>
              <c:f>Grafik!$A$52</c:f>
              <c:strCache>
                <c:ptCount val="1"/>
                <c:pt idx="0">
                  <c:v>Kenaikan ( penurunan ) /</c:v>
                </c:pt>
              </c:strCache>
            </c:strRef>
          </c:tx>
          <c:cat>
            <c:strRef>
              <c:f>Grafik!$B$47:$O$47</c:f>
              <c:strCache>
                <c:ptCount val="14"/>
                <c:pt idx="1">
                  <c:v>July 2025</c:v>
                </c:pt>
                <c:pt idx="2">
                  <c:v>August 2025</c:v>
                </c:pt>
                <c:pt idx="3">
                  <c:v>September 2025</c:v>
                </c:pt>
                <c:pt idx="4">
                  <c:v>October 2025</c:v>
                </c:pt>
                <c:pt idx="5">
                  <c:v>November 2025</c:v>
                </c:pt>
                <c:pt idx="6">
                  <c:v>December 2025</c:v>
                </c:pt>
                <c:pt idx="7">
                  <c:v>January 2026</c:v>
                </c:pt>
                <c:pt idx="8">
                  <c:v>February 2026</c:v>
                </c:pt>
                <c:pt idx="9">
                  <c:v>March 2026</c:v>
                </c:pt>
                <c:pt idx="10">
                  <c:v>April 2026</c:v>
                </c:pt>
                <c:pt idx="11">
                  <c:v>May 2026</c:v>
                </c:pt>
                <c:pt idx="12">
                  <c:v>June 2026</c:v>
                </c:pt>
                <c:pt idx="13">
                  <c:v>Total</c:v>
                </c:pt>
              </c:strCache>
            </c:strRef>
          </c:cat>
          <c:val>
            <c:numRef>
              <c:f>Grafik!$B$52:$O$52</c:f>
              <c:numCache>
                <c:formatCode>#,##0.00_);[Red]\(#,##0.00\)</c:formatCode>
                <c:ptCount val="14"/>
              </c:numCache>
            </c:numRef>
          </c:val>
          <c:smooth val="0"/>
          <c:extLst xmlns:c16r2="http://schemas.microsoft.com/office/drawing/2015/06/chart">
            <c:ext xmlns:c16="http://schemas.microsoft.com/office/drawing/2014/chart" uri="{C3380CC4-5D6E-409C-BE32-E72D297353CC}">
              <c16:uniqueId val="{00000001-5728-4736-95D3-B28DF0AF1E0B}"/>
            </c:ext>
          </c:extLst>
        </c:ser>
        <c:ser>
          <c:idx val="5"/>
          <c:order val="5"/>
          <c:tx>
            <c:strRef>
              <c:f>Grafik!$A$53</c:f>
              <c:strCache>
                <c:ptCount val="1"/>
                <c:pt idx="0">
                  <c:v>Increase ( decrease )</c:v>
                </c:pt>
              </c:strCache>
            </c:strRef>
          </c:tx>
          <c:spPr>
            <a:ln w="25400" cap="rnd" cmpd="sng" algn="ctr">
              <a:solidFill>
                <a:srgbClr val="000000"/>
              </a:solidFill>
              <a:prstDash val="solid"/>
              <a:round/>
            </a:ln>
          </c:spPr>
          <c:marker>
            <c:symbol val="circle"/>
            <c:size val="6"/>
            <c:spPr>
              <a:solidFill>
                <a:srgbClr val="000000"/>
              </a:solidFill>
              <a:ln w="9525" cap="flat" cmpd="sng" algn="ctr">
                <a:solidFill>
                  <a:srgbClr val="000000"/>
                </a:solidFill>
                <a:prstDash val="solid"/>
                <a:round/>
              </a:ln>
            </c:spPr>
          </c:marker>
          <c:cat>
            <c:strRef>
              <c:f>Grafik!$B$47:$O$47</c:f>
              <c:strCache>
                <c:ptCount val="14"/>
                <c:pt idx="1">
                  <c:v>July 2025</c:v>
                </c:pt>
                <c:pt idx="2">
                  <c:v>August 2025</c:v>
                </c:pt>
                <c:pt idx="3">
                  <c:v>September 2025</c:v>
                </c:pt>
                <c:pt idx="4">
                  <c:v>October 2025</c:v>
                </c:pt>
                <c:pt idx="5">
                  <c:v>November 2025</c:v>
                </c:pt>
                <c:pt idx="6">
                  <c:v>December 2025</c:v>
                </c:pt>
                <c:pt idx="7">
                  <c:v>January 2026</c:v>
                </c:pt>
                <c:pt idx="8">
                  <c:v>February 2026</c:v>
                </c:pt>
                <c:pt idx="9">
                  <c:v>March 2026</c:v>
                </c:pt>
                <c:pt idx="10">
                  <c:v>April 2026</c:v>
                </c:pt>
                <c:pt idx="11">
                  <c:v>May 2026</c:v>
                </c:pt>
                <c:pt idx="12">
                  <c:v>June 2026</c:v>
                </c:pt>
                <c:pt idx="13">
                  <c:v>Total</c:v>
                </c:pt>
              </c:strCache>
            </c:strRef>
          </c:cat>
          <c:val>
            <c:numRef>
              <c:f>Grafik!$B$53:$O$53</c:f>
              <c:numCache>
                <c:formatCode>_(* #,##0.00_);_(* \(#,##0.00\);_(* \-??_);_(@_)</c:formatCode>
                <c:ptCount val="14"/>
                <c:pt idx="0" formatCode="General">
                  <c:v>0</c:v>
                </c:pt>
                <c:pt idx="1">
                  <c:v>2310720262.7866669</c:v>
                </c:pt>
                <c:pt idx="2">
                  <c:v>34984718.143333316</c:v>
                </c:pt>
                <c:pt idx="3">
                  <c:v>-114826412.44333327</c:v>
                </c:pt>
                <c:pt idx="4">
                  <c:v>-21019071.013333321</c:v>
                </c:pt>
                <c:pt idx="5">
                  <c:v>336506772.48666668</c:v>
                </c:pt>
                <c:pt idx="6">
                  <c:v>99227277.74666667</c:v>
                </c:pt>
                <c:pt idx="7">
                  <c:v>704567482.92666662</c:v>
                </c:pt>
                <c:pt idx="8">
                  <c:v>-62716636.296666622</c:v>
                </c:pt>
                <c:pt idx="9">
                  <c:v>-328064330.9666667</c:v>
                </c:pt>
                <c:pt idx="10">
                  <c:v>-41580703.126666784</c:v>
                </c:pt>
                <c:pt idx="11">
                  <c:v>-151885637.12666667</c:v>
                </c:pt>
                <c:pt idx="12">
                  <c:v>-28723668.376666784</c:v>
                </c:pt>
                <c:pt idx="13">
                  <c:v>2737190054.7399979</c:v>
                </c:pt>
              </c:numCache>
            </c:numRef>
          </c:val>
          <c:smooth val="0"/>
          <c:extLst xmlns:c16r2="http://schemas.microsoft.com/office/drawing/2015/06/chart">
            <c:ext xmlns:c16="http://schemas.microsoft.com/office/drawing/2014/chart" uri="{C3380CC4-5D6E-409C-BE32-E72D297353CC}">
              <c16:uniqueId val="{00000002-5728-4736-95D3-B28DF0AF1E0B}"/>
            </c:ext>
          </c:extLst>
        </c:ser>
        <c:dLbls>
          <c:showLegendKey val="0"/>
          <c:showVal val="0"/>
          <c:showCatName val="0"/>
          <c:showSerName val="0"/>
          <c:showPercent val="0"/>
          <c:showBubbleSize val="0"/>
        </c:dLbls>
        <c:marker val="1"/>
        <c:smooth val="0"/>
        <c:axId val="649674656"/>
        <c:axId val="649683360"/>
      </c:lineChart>
      <c:catAx>
        <c:axId val="649674656"/>
        <c:scaling>
          <c:orientation val="minMax"/>
        </c:scaling>
        <c:delete val="0"/>
        <c:axPos val="b"/>
        <c:minorGridlines>
          <c:spPr>
            <a:ln w="3175" cap="flat" cmpd="sng" algn="ctr">
              <a:solidFill>
                <a:srgbClr val="000000"/>
              </a:solidFill>
              <a:prstDash val="solid"/>
              <a:round/>
            </a:ln>
          </c:spPr>
        </c:minorGridlines>
        <c:title>
          <c:tx>
            <c:rich>
              <a:bodyPr rot="0" spcFirstLastPara="0" vertOverflow="ellipsis" vert="horz" wrap="square" anchor="ctr" anchorCtr="1"/>
              <a:lstStyle/>
              <a:p>
                <a:pPr>
                  <a:defRPr lang="en-US" sz="1100" b="0" i="0" u="none" strike="noStrike" kern="1200" baseline="0">
                    <a:solidFill>
                      <a:srgbClr val="000000"/>
                    </a:solidFill>
                    <a:latin typeface="Calibri" panose="020F0502020204030204"/>
                    <a:ea typeface="Calibri" panose="020F0502020204030204"/>
                    <a:cs typeface="Calibri" panose="020F0502020204030204"/>
                  </a:defRPr>
                </a:pPr>
                <a:r>
                  <a:rPr lang="id-ID" sz="800" b="1" i="0" u="none" strike="noStrike" baseline="0">
                    <a:solidFill>
                      <a:srgbClr val="000000"/>
                    </a:solidFill>
                    <a:latin typeface="Times New Roman" panose="02020603050405020304" pitchFamily="12"/>
                    <a:cs typeface="Times New Roman" panose="02020603050405020304" pitchFamily="12"/>
                  </a:rPr>
                  <a:t>Bulan / </a:t>
                </a:r>
                <a:r>
                  <a:rPr lang="id-ID" sz="800" b="1" i="1" u="none" strike="noStrike" baseline="0">
                    <a:solidFill>
                      <a:srgbClr val="000000"/>
                    </a:solidFill>
                    <a:latin typeface="Times New Roman" panose="02020603050405020304" pitchFamily="12"/>
                    <a:cs typeface="Times New Roman" panose="02020603050405020304" pitchFamily="12"/>
                  </a:rPr>
                  <a:t>Month</a:t>
                </a:r>
              </a:p>
            </c:rich>
          </c:tx>
          <c:layout>
            <c:manualLayout>
              <c:xMode val="edge"/>
              <c:yMode val="edge"/>
              <c:x val="0.49558647250611498"/>
              <c:y val="0.97195273438815644"/>
            </c:manualLayout>
          </c:layout>
          <c:overlay val="0"/>
          <c:spPr>
            <a:noFill/>
            <a:ln w="25400">
              <a:noFill/>
            </a:ln>
          </c:spPr>
        </c:title>
        <c:numFmt formatCode="General" sourceLinked="1"/>
        <c:majorTickMark val="out"/>
        <c:minorTickMark val="none"/>
        <c:tickLblPos val="low"/>
        <c:spPr>
          <a:ln w="25400" cap="flat" cmpd="sng" algn="ctr">
            <a:solidFill>
              <a:srgbClr val="000000"/>
            </a:solidFill>
            <a:prstDash val="solid"/>
            <a:round/>
          </a:ln>
        </c:spPr>
        <c:txPr>
          <a:bodyPr rot="0" spcFirstLastPara="0" vertOverflow="ellipsis" vert="horz" wrap="square" anchor="ctr" anchorCtr="1"/>
          <a:lstStyle/>
          <a:p>
            <a:pPr>
              <a:defRPr lang="en-US" sz="800" b="0" i="0" u="none" strike="noStrike" kern="1200" baseline="0">
                <a:solidFill>
                  <a:srgbClr val="000000"/>
                </a:solidFill>
                <a:latin typeface="Times New Roman" panose="02020603050405020304" pitchFamily="12"/>
                <a:ea typeface="Times New Roman" panose="02020603050405020304" pitchFamily="12"/>
                <a:cs typeface="Times New Roman" panose="02020603050405020304" pitchFamily="12"/>
              </a:defRPr>
            </a:pPr>
            <a:endParaRPr lang="en-US"/>
          </a:p>
        </c:txPr>
        <c:crossAx val="649683360"/>
        <c:crossesAt val="0"/>
        <c:auto val="1"/>
        <c:lblAlgn val="ctr"/>
        <c:lblOffset val="100"/>
        <c:tickLblSkip val="1"/>
        <c:noMultiLvlLbl val="0"/>
      </c:catAx>
      <c:valAx>
        <c:axId val="649683360"/>
        <c:scaling>
          <c:orientation val="minMax"/>
          <c:min val="-100000000"/>
        </c:scaling>
        <c:delete val="0"/>
        <c:axPos val="l"/>
        <c:majorGridlines>
          <c:spPr>
            <a:ln w="3175" cap="flat" cmpd="sng" algn="ctr">
              <a:solidFill>
                <a:srgbClr val="000000"/>
              </a:solidFill>
              <a:prstDash val="solid"/>
              <a:round/>
            </a:ln>
          </c:spPr>
        </c:majorGridlines>
        <c:title>
          <c:tx>
            <c:rich>
              <a:bodyPr rot="-5400000" spcFirstLastPara="0" vertOverflow="ellipsis" vert="horz" wrap="square" anchor="ctr" anchorCtr="1"/>
              <a:lstStyle/>
              <a:p>
                <a:pPr>
                  <a:defRPr lang="en-US" sz="1100" b="0" i="0" u="none" strike="noStrike" kern="1200" baseline="0">
                    <a:solidFill>
                      <a:srgbClr val="000000"/>
                    </a:solidFill>
                    <a:latin typeface="Calibri" panose="020F0502020204030204"/>
                    <a:ea typeface="Calibri" panose="020F0502020204030204"/>
                    <a:cs typeface="Calibri" panose="020F0502020204030204"/>
                  </a:defRPr>
                </a:pPr>
                <a:r>
                  <a:rPr lang="id-ID" sz="800" b="1" i="0" u="none" strike="noStrike" baseline="0">
                    <a:solidFill>
                      <a:srgbClr val="000000"/>
                    </a:solidFill>
                    <a:latin typeface="Times New Roman" panose="02020603050405020304" pitchFamily="12"/>
                    <a:cs typeface="Times New Roman" panose="02020603050405020304" pitchFamily="12"/>
                  </a:rPr>
                  <a:t>Dalam Rupiah / </a:t>
                </a:r>
                <a:r>
                  <a:rPr lang="id-ID" sz="800" b="1" i="1" u="none" strike="noStrike" baseline="0">
                    <a:solidFill>
                      <a:srgbClr val="000000"/>
                    </a:solidFill>
                    <a:latin typeface="Times New Roman" panose="02020603050405020304" pitchFamily="12"/>
                    <a:cs typeface="Times New Roman" panose="02020603050405020304" pitchFamily="12"/>
                  </a:rPr>
                  <a:t>In Rupiah (Rp))</a:t>
                </a:r>
              </a:p>
            </c:rich>
          </c:tx>
          <c:layout>
            <c:manualLayout>
              <c:xMode val="edge"/>
              <c:yMode val="edge"/>
              <c:x val="1.00146607887606E-2"/>
              <c:y val="0.35680758733088652"/>
            </c:manualLayout>
          </c:layout>
          <c:overlay val="0"/>
          <c:spPr>
            <a:noFill/>
            <a:ln w="25400">
              <a:noFill/>
            </a:ln>
          </c:spPr>
        </c:title>
        <c:numFmt formatCode="_(* #,##0_);_(* \(#,##0\);_(* \-_);_(@_)" sourceLinked="0"/>
        <c:majorTickMark val="out"/>
        <c:minorTickMark val="none"/>
        <c:tickLblPos val="nextTo"/>
        <c:spPr>
          <a:ln w="25400" cap="flat" cmpd="sng" algn="ctr">
            <a:solidFill>
              <a:srgbClr val="000000"/>
            </a:solidFill>
            <a:prstDash val="solid"/>
            <a:round/>
          </a:ln>
        </c:spPr>
        <c:txPr>
          <a:bodyPr rot="0" spcFirstLastPara="0" vertOverflow="ellipsis" vert="horz" wrap="square" anchor="ctr" anchorCtr="1"/>
          <a:lstStyle/>
          <a:p>
            <a:pPr>
              <a:defRPr lang="en-US" sz="800" b="0" i="0" u="none" strike="noStrike" kern="1200" baseline="0">
                <a:solidFill>
                  <a:srgbClr val="000000"/>
                </a:solidFill>
                <a:latin typeface="Times New Roman" panose="02020603050405020304" pitchFamily="12"/>
                <a:ea typeface="Times New Roman" panose="02020603050405020304" pitchFamily="12"/>
                <a:cs typeface="Times New Roman" panose="02020603050405020304" pitchFamily="12"/>
              </a:defRPr>
            </a:pPr>
            <a:endParaRPr lang="en-US"/>
          </a:p>
        </c:txPr>
        <c:crossAx val="649674656"/>
        <c:crosses val="autoZero"/>
        <c:crossBetween val="midCat"/>
        <c:minorUnit val="5000000"/>
      </c:valAx>
      <c:spPr>
        <a:solidFill>
          <a:srgbClr val="FFFFFF"/>
        </a:solidFill>
        <a:ln w="3175">
          <a:solidFill>
            <a:srgbClr val="000000"/>
          </a:solidFill>
          <a:prstDash val="solid"/>
        </a:ln>
      </c:spPr>
    </c:plotArea>
    <c:legend>
      <c:legendPos val="r"/>
      <c:legendEntry>
        <c:idx val="0"/>
        <c:txPr>
          <a:bodyPr rot="0" spcFirstLastPara="0" vertOverflow="ellipsis" vert="horz" wrap="square" anchor="ctr" anchorCtr="1"/>
          <a:lstStyle/>
          <a:p>
            <a:pPr>
              <a:defRPr lang="en-US" sz="800" b="0" i="0" u="none" strike="noStrike" kern="1200" baseline="0">
                <a:solidFill>
                  <a:srgbClr val="000000"/>
                </a:solidFill>
                <a:latin typeface="Times New Roman" panose="02020603050405020304" pitchFamily="12"/>
                <a:ea typeface="Times New Roman" panose="02020603050405020304" pitchFamily="12"/>
                <a:cs typeface="Times New Roman" panose="02020603050405020304" pitchFamily="12"/>
              </a:defRPr>
            </a:pPr>
            <a:endParaRPr lang="en-US"/>
          </a:p>
        </c:txPr>
      </c:legendEntry>
      <c:legendEntry>
        <c:idx val="1"/>
        <c:txPr>
          <a:bodyPr rot="0" spcFirstLastPara="0" vertOverflow="ellipsis" vert="horz" wrap="square" anchor="ctr" anchorCtr="1"/>
          <a:lstStyle/>
          <a:p>
            <a:pPr>
              <a:defRPr lang="en-US" sz="800" b="0" i="0" u="none" strike="noStrike" kern="1200" baseline="0">
                <a:solidFill>
                  <a:srgbClr val="000000"/>
                </a:solidFill>
                <a:latin typeface="Times New Roman" panose="02020603050405020304" pitchFamily="12"/>
                <a:ea typeface="Times New Roman" panose="02020603050405020304" pitchFamily="12"/>
                <a:cs typeface="Times New Roman" panose="02020603050405020304" pitchFamily="12"/>
              </a:defRPr>
            </a:pPr>
            <a:endParaRPr lang="en-US"/>
          </a:p>
        </c:txPr>
      </c:legendEntry>
      <c:legendEntry>
        <c:idx val="2"/>
        <c:txPr>
          <a:bodyPr rot="0" spcFirstLastPara="0" vertOverflow="ellipsis" vert="horz" wrap="square" anchor="ctr" anchorCtr="1"/>
          <a:lstStyle/>
          <a:p>
            <a:pPr>
              <a:defRPr lang="en-US" sz="800" b="0" i="0" u="none" strike="noStrike" kern="1200" baseline="0">
                <a:solidFill>
                  <a:srgbClr val="000000"/>
                </a:solidFill>
                <a:latin typeface="Times New Roman" panose="02020603050405020304" pitchFamily="12"/>
                <a:ea typeface="Times New Roman" panose="02020603050405020304" pitchFamily="12"/>
                <a:cs typeface="Times New Roman" panose="02020603050405020304" pitchFamily="12"/>
              </a:defRPr>
            </a:pPr>
            <a:endParaRPr lang="en-US"/>
          </a:p>
        </c:txPr>
      </c:legendEntry>
      <c:layout>
        <c:manualLayout>
          <c:xMode val="edge"/>
          <c:yMode val="edge"/>
          <c:x val="0.84416672187821029"/>
          <c:y val="0.58720050268030699"/>
          <c:w val="0.1313892213277042"/>
          <c:h val="0.16299321205538964"/>
        </c:manualLayout>
      </c:layout>
      <c:overlay val="0"/>
      <c:spPr>
        <a:solidFill>
          <a:srgbClr val="FFFFFF"/>
        </a:solidFill>
        <a:ln w="3175">
          <a:solidFill>
            <a:srgbClr val="000000"/>
          </a:solidFill>
          <a:prstDash val="solid"/>
        </a:ln>
      </c:spPr>
      <c:txPr>
        <a:bodyPr rot="0" spcFirstLastPara="0" vertOverflow="ellipsis" vert="horz" wrap="square" anchor="ctr" anchorCtr="1"/>
        <a:lstStyle/>
        <a:p>
          <a:pPr>
            <a:defRPr lang="en-US" sz="475" b="0" i="0" u="none" strike="noStrike" kern="1200" baseline="0">
              <a:solidFill>
                <a:srgbClr val="000000"/>
              </a:solidFill>
              <a:latin typeface="Times New Roman" panose="02020603050405020304" pitchFamily="12"/>
              <a:ea typeface="Times New Roman" panose="02020603050405020304" pitchFamily="12"/>
              <a:cs typeface="Times New Roman" panose="02020603050405020304" pitchFamily="12"/>
            </a:defRPr>
          </a:pPr>
          <a:endParaRPr lang="en-US"/>
        </a:p>
      </c:txPr>
    </c:legend>
    <c:plotVisOnly val="1"/>
    <c:dispBlanksAs val="gap"/>
    <c:showDLblsOverMax val="0"/>
  </c:chart>
  <c:spPr>
    <a:solidFill>
      <a:srgbClr val="FFFFFF"/>
    </a:solidFill>
    <a:ln w="12700" cap="flat" cmpd="sng" algn="ctr">
      <a:solidFill>
        <a:srgbClr val="000000"/>
      </a:solidFill>
      <a:prstDash val="solid"/>
      <a:round/>
    </a:ln>
  </c:spPr>
  <c:txPr>
    <a:bodyPr/>
    <a:lstStyle/>
    <a:p>
      <a:pPr>
        <a:defRPr lang="en-US" sz="1000" b="0" i="0" u="none" strike="noStrike" baseline="0">
          <a:solidFill>
            <a:srgbClr val="000000"/>
          </a:solidFill>
          <a:latin typeface="Arial" panose="020B0604020202020204"/>
          <a:ea typeface="Arial" panose="020B0604020202020204"/>
          <a:cs typeface="Arial" panose="020B0604020202020204"/>
        </a:defRPr>
      </a:pPr>
      <a:endParaRPr lang="en-US"/>
    </a:p>
  </c:txPr>
  <c:printSettings>
    <c:headerFooter/>
    <c:pageMargins b="0.75000000000000044" l="0.7000000000000004" r="0.7000000000000004" t="0.75000000000000044" header="0.30000000000000021" footer="0.30000000000000021"/>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168276</xdr:colOff>
      <xdr:row>35</xdr:row>
      <xdr:rowOff>132292</xdr:rowOff>
    </xdr:from>
    <xdr:to>
      <xdr:col>9</xdr:col>
      <xdr:colOff>477309</xdr:colOff>
      <xdr:row>39</xdr:row>
      <xdr:rowOff>131233</xdr:rowOff>
    </xdr:to>
    <xdr:sp macro="" textlink="">
      <xdr:nvSpPr>
        <xdr:cNvPr id="2" name="Text Box 1">
          <a:extLst>
            <a:ext uri="{FF2B5EF4-FFF2-40B4-BE49-F238E27FC236}">
              <a16:creationId xmlns:a16="http://schemas.microsoft.com/office/drawing/2014/main" xmlns="" id="{00000000-0008-0000-0100-000002000000}"/>
            </a:ext>
          </a:extLst>
        </xdr:cNvPr>
        <xdr:cNvSpPr txBox="1">
          <a:spLocks noChangeArrowheads="1" noChangeShapeType="1"/>
        </xdr:cNvSpPr>
      </xdr:nvSpPr>
      <xdr:spPr>
        <a:xfrm>
          <a:off x="485776" y="9022292"/>
          <a:ext cx="4510616" cy="845608"/>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0">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CCCCCC"/>
                </a:outerShdw>
              </a:effectLst>
            </a14:hiddenEffects>
          </a:ext>
        </a:extLst>
      </xdr:spPr>
      <xdr:txBody>
        <a:bodyPr vertOverflow="clip" wrap="square" lIns="36195" tIns="36195" rIns="36195" bIns="36195" anchor="t" upright="1"/>
        <a:lstStyle/>
        <a:p>
          <a:pPr algn="ctr"/>
          <a:r>
            <a:rPr lang="en-US" sz="1200" b="1">
              <a:effectLst/>
              <a:latin typeface="+mn-lt"/>
              <a:ea typeface="+mn-ea"/>
              <a:cs typeface="+mn-cs"/>
            </a:rPr>
            <a:t>Jl. Raya Situbondo Km.08 Kec. Wonosari - Kab. Bondowoso</a:t>
          </a:r>
          <a:endParaRPr lang="en-US" sz="1200">
            <a:effectLst/>
          </a:endParaRPr>
        </a:p>
        <a:p>
          <a:pPr algn="ctr"/>
          <a:r>
            <a:rPr lang="en-US" sz="1200" b="1">
              <a:effectLst/>
              <a:latin typeface="+mn-lt"/>
              <a:ea typeface="+mn-ea"/>
              <a:cs typeface="+mn-cs"/>
            </a:rPr>
            <a:t>Telp. (0332)5552544 / Website : </a:t>
          </a:r>
          <a:r>
            <a:rPr lang="en-US" sz="1200" b="1" u="sng">
              <a:effectLst/>
              <a:latin typeface="+mn-lt"/>
              <a:ea typeface="+mn-ea"/>
              <a:cs typeface="+mn-cs"/>
            </a:rPr>
            <a:t>www.pesantrenalirsyad6.org</a:t>
          </a:r>
          <a:endParaRPr lang="en-US" sz="1200">
            <a:effectLst/>
          </a:endParaRPr>
        </a:p>
        <a:p>
          <a:pPr algn="ctr"/>
          <a:r>
            <a:rPr lang="en-US" sz="1200" b="1">
              <a:effectLst/>
              <a:latin typeface="+mn-lt"/>
              <a:ea typeface="+mn-ea"/>
              <a:cs typeface="+mn-cs"/>
            </a:rPr>
            <a:t>email : </a:t>
          </a:r>
          <a:r>
            <a:rPr lang="en-US" sz="1200" b="1" u="sng">
              <a:effectLst/>
              <a:latin typeface="+mn-lt"/>
              <a:ea typeface="+mn-ea"/>
              <a:cs typeface="+mn-cs"/>
            </a:rPr>
            <a:t>piat6@pesantrenalirsyad6.org</a:t>
          </a:r>
          <a:endParaRPr lang="en-US" sz="1200">
            <a:effectLst/>
          </a:endParaRPr>
        </a:p>
        <a:p>
          <a:pPr algn="ctr" rtl="0">
            <a:lnSpc>
              <a:spcPts val="1200"/>
            </a:lnSpc>
            <a:defRPr sz="1000"/>
          </a:pPr>
          <a:endParaRPr lang="id-ID" sz="1200" b="0" i="0" u="none" strike="noStrike" baseline="0">
            <a:solidFill>
              <a:srgbClr val="000000"/>
            </a:solidFill>
            <a:latin typeface="Times New Roman" panose="02020603050405020304" pitchFamily="12"/>
            <a:cs typeface="Times New Roman" panose="02020603050405020304" pitchFamily="12"/>
          </a:endParaRPr>
        </a:p>
      </xdr:txBody>
    </xdr:sp>
    <xdr:clientData/>
  </xdr:twoCellAnchor>
  <xdr:twoCellAnchor editAs="oneCell">
    <xdr:from>
      <xdr:col>1</xdr:col>
      <xdr:colOff>52917</xdr:colOff>
      <xdr:row>2</xdr:row>
      <xdr:rowOff>148166</xdr:rowOff>
    </xdr:from>
    <xdr:to>
      <xdr:col>9</xdr:col>
      <xdr:colOff>798767</xdr:colOff>
      <xdr:row>18</xdr:row>
      <xdr:rowOff>174430</xdr:rowOff>
    </xdr:to>
    <xdr:pic>
      <xdr:nvPicPr>
        <xdr:cNvPr id="4" name="Gambar 3">
          <a:extLst>
            <a:ext uri="{FF2B5EF4-FFF2-40B4-BE49-F238E27FC236}">
              <a16:creationId xmlns:a16="http://schemas.microsoft.com/office/drawing/2014/main" xmlns="" id="{00000000-0008-0000-01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0417" y="465666"/>
          <a:ext cx="4947433" cy="324359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47625</xdr:colOff>
      <xdr:row>9</xdr:row>
      <xdr:rowOff>85724</xdr:rowOff>
    </xdr:from>
    <xdr:to>
      <xdr:col>7</xdr:col>
      <xdr:colOff>481013</xdr:colOff>
      <xdr:row>27</xdr:row>
      <xdr:rowOff>161924</xdr:rowOff>
    </xdr:to>
    <xdr:pic>
      <xdr:nvPicPr>
        <xdr:cNvPr id="3" name="Gambar 2">
          <a:extLst>
            <a:ext uri="{FF2B5EF4-FFF2-40B4-BE49-F238E27FC236}">
              <a16:creationId xmlns:a16="http://schemas.microsoft.com/office/drawing/2014/main" xmlns="" id="{D492629C-9C7B-372D-742C-B5ABDA1725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1800224"/>
          <a:ext cx="5614988" cy="37433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33057</xdr:colOff>
      <xdr:row>1</xdr:row>
      <xdr:rowOff>35378</xdr:rowOff>
    </xdr:from>
    <xdr:to>
      <xdr:col>14</xdr:col>
      <xdr:colOff>1014132</xdr:colOff>
      <xdr:row>41</xdr:row>
      <xdr:rowOff>121103</xdr:rowOff>
    </xdr:to>
    <xdr:graphicFrame macro="">
      <xdr:nvGraphicFramePr>
        <xdr:cNvPr id="2" name="Chart 1">
          <a:extLst>
            <a:ext uri="{FF2B5EF4-FFF2-40B4-BE49-F238E27FC236}">
              <a16:creationId xmlns:a16="http://schemas.microsoft.com/office/drawing/2014/main" xmlns=""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44</xdr:col>
      <xdr:colOff>209550</xdr:colOff>
      <xdr:row>322</xdr:row>
      <xdr:rowOff>0</xdr:rowOff>
    </xdr:from>
    <xdr:to>
      <xdr:col>48</xdr:col>
      <xdr:colOff>628650</xdr:colOff>
      <xdr:row>328</xdr:row>
      <xdr:rowOff>0</xdr:rowOff>
    </xdr:to>
    <xdr:sp macro="" textlink="">
      <xdr:nvSpPr>
        <xdr:cNvPr id="2" name="Rectangle 9">
          <a:extLst>
            <a:ext uri="{FF2B5EF4-FFF2-40B4-BE49-F238E27FC236}">
              <a16:creationId xmlns:a16="http://schemas.microsoft.com/office/drawing/2014/main" xmlns="" id="{00000000-0008-0000-0900-000002000000}"/>
            </a:ext>
          </a:extLst>
        </xdr:cNvPr>
        <xdr:cNvSpPr>
          <a:spLocks noChangeArrowheads="1"/>
        </xdr:cNvSpPr>
      </xdr:nvSpPr>
      <xdr:spPr>
        <a:xfrm>
          <a:off x="11163300" y="27308175"/>
          <a:ext cx="6029325" cy="1000125"/>
        </a:xfrm>
        <a:prstGeom prst="rect">
          <a:avLst/>
        </a:prstGeom>
        <a:noFill/>
        <a:ln>
          <a:noFill/>
        </a:ln>
        <a:effectLst/>
      </xdr:spPr>
      <xdr:txBody>
        <a:bodyPr vertOverflow="clip" wrap="square" lIns="27360" tIns="27360" rIns="0" bIns="0" anchor="t"/>
        <a:lstStyle/>
        <a:p>
          <a:pPr algn="just" rtl="0">
            <a:defRPr sz="1000"/>
          </a:pPr>
          <a:r>
            <a:rPr lang="id-ID" sz="1000" b="0" i="0" u="none" strike="noStrike" baseline="0">
              <a:solidFill>
                <a:srgbClr val="FFFFFF"/>
              </a:solidFill>
              <a:latin typeface="Times New Roman" panose="02020603050405020304" pitchFamily="12"/>
              <a:cs typeface="Times New Roman" panose="02020603050405020304" pitchFamily="12"/>
            </a:rPr>
            <a:t>Akun ini  merupakan  biaya sewa rumah untuk kantor sekretariat alumni PIA di Jakarta sebesar Rp. 5,000,000.00 dengan jangka waktu sewa selama 1 tahun sejak 01 Maret 2009 sampai dengan 28 Februari 2010.  Saldo pada 28 Februari 2010 dan  31 Januari 2010  masing-masing sebesar Rp.0,00 dan Rp. Rp.417.400,00. </a:t>
          </a:r>
        </a:p>
      </xdr:txBody>
    </xdr:sp>
    <xdr:clientData/>
  </xdr:twoCellAnchor>
  <xdr:twoCellAnchor>
    <xdr:from>
      <xdr:col>44</xdr:col>
      <xdr:colOff>171450</xdr:colOff>
      <xdr:row>324</xdr:row>
      <xdr:rowOff>104775</xdr:rowOff>
    </xdr:from>
    <xdr:to>
      <xdr:col>48</xdr:col>
      <xdr:colOff>466725</xdr:colOff>
      <xdr:row>338</xdr:row>
      <xdr:rowOff>161925</xdr:rowOff>
    </xdr:to>
    <xdr:sp macro="" textlink="">
      <xdr:nvSpPr>
        <xdr:cNvPr id="3" name="Rectangle 9">
          <a:extLst>
            <a:ext uri="{FF2B5EF4-FFF2-40B4-BE49-F238E27FC236}">
              <a16:creationId xmlns:a16="http://schemas.microsoft.com/office/drawing/2014/main" xmlns="" id="{00000000-0008-0000-0900-000003000000}"/>
            </a:ext>
          </a:extLst>
        </xdr:cNvPr>
        <xdr:cNvSpPr>
          <a:spLocks noChangeArrowheads="1"/>
        </xdr:cNvSpPr>
      </xdr:nvSpPr>
      <xdr:spPr>
        <a:xfrm>
          <a:off x="11125200" y="27612975"/>
          <a:ext cx="5905500" cy="2152650"/>
        </a:xfrm>
        <a:prstGeom prst="rect">
          <a:avLst/>
        </a:prstGeom>
        <a:noFill/>
        <a:ln>
          <a:noFill/>
        </a:ln>
        <a:effectLst/>
      </xdr:spPr>
      <xdr:txBody>
        <a:bodyPr vertOverflow="clip" wrap="square" lIns="27360" tIns="27360" rIns="0" bIns="0" anchor="t"/>
        <a:lstStyle/>
        <a:p>
          <a:pPr algn="just" rtl="0">
            <a:defRPr sz="1000"/>
          </a:pPr>
          <a:r>
            <a:rPr lang="id-ID" sz="1000" b="0" i="1" u="none" strike="noStrike" baseline="0">
              <a:solidFill>
                <a:srgbClr val="FFFFFF"/>
              </a:solidFill>
              <a:latin typeface="Times New Roman" panose="02020603050405020304" pitchFamily="12"/>
              <a:cs typeface="Times New Roman" panose="02020603050405020304" pitchFamily="12"/>
            </a:rPr>
            <a:t>is account represent house rental for secretariat office of Alumni PIA in Jakarta amounted Rp 5,000,000.00 with rent period 1 year since March 01, 2009 till February 28, 2010. The balance as of  February 28, 2010 and  January 31, 2010 amounted to Rp.0,00 and Rp.417.400,00 respectively.</a:t>
          </a:r>
        </a:p>
      </xdr:txBody>
    </xdr:sp>
    <xdr:clientData/>
  </xdr:twoCellAnchor>
  <xdr:twoCellAnchor>
    <xdr:from>
      <xdr:col>49</xdr:col>
      <xdr:colOff>123825</xdr:colOff>
      <xdr:row>248</xdr:row>
      <xdr:rowOff>85725</xdr:rowOff>
    </xdr:from>
    <xdr:to>
      <xdr:col>56</xdr:col>
      <xdr:colOff>447675</xdr:colOff>
      <xdr:row>253</xdr:row>
      <xdr:rowOff>114300</xdr:rowOff>
    </xdr:to>
    <xdr:sp macro="" textlink="">
      <xdr:nvSpPr>
        <xdr:cNvPr id="4" name="Rectangle 9">
          <a:extLst>
            <a:ext uri="{FF2B5EF4-FFF2-40B4-BE49-F238E27FC236}">
              <a16:creationId xmlns:a16="http://schemas.microsoft.com/office/drawing/2014/main" xmlns="" id="{00000000-0008-0000-0900-000004000000}"/>
            </a:ext>
          </a:extLst>
        </xdr:cNvPr>
        <xdr:cNvSpPr>
          <a:spLocks noChangeArrowheads="1"/>
        </xdr:cNvSpPr>
      </xdr:nvSpPr>
      <xdr:spPr>
        <a:xfrm>
          <a:off x="17773650" y="27041475"/>
          <a:ext cx="6581775" cy="266700"/>
        </a:xfrm>
        <a:prstGeom prst="rect">
          <a:avLst/>
        </a:prstGeom>
        <a:noFill/>
        <a:ln>
          <a:noFill/>
        </a:ln>
        <a:effectLst/>
      </xdr:spPr>
      <xdr:txBody>
        <a:bodyPr vertOverflow="clip" wrap="square" lIns="27360" tIns="27360" rIns="0" bIns="0" anchor="t"/>
        <a:lstStyle/>
        <a:p>
          <a:pPr algn="just" rtl="0">
            <a:defRPr sz="1000"/>
          </a:pPr>
          <a:r>
            <a:rPr lang="id-ID" sz="1100" b="0" i="0" u="none" strike="noStrike" baseline="0">
              <a:solidFill>
                <a:srgbClr val="000000"/>
              </a:solidFill>
              <a:latin typeface="Times New Roman" panose="02020603050405020304" pitchFamily="12"/>
              <a:cs typeface="Times New Roman" panose="02020603050405020304" pitchFamily="12"/>
            </a:rPr>
            <a:t>Akun ini  merupakan pajak penghasilan pasal 25 atas usaha pelengkap - wartel pada 30 Juli 2009 dan  31 Mei 2009 masing-masing sebesar Rp. 425,100.00 0.00 dan Rp. 0.00.</a:t>
          </a:r>
        </a:p>
      </xdr:txBody>
    </xdr:sp>
    <xdr:clientData/>
  </xdr:twoCellAnchor>
  <xdr:twoCellAnchor>
    <xdr:from>
      <xdr:col>45</xdr:col>
      <xdr:colOff>142875</xdr:colOff>
      <xdr:row>561</xdr:row>
      <xdr:rowOff>9525</xdr:rowOff>
    </xdr:from>
    <xdr:to>
      <xdr:col>51</xdr:col>
      <xdr:colOff>361950</xdr:colOff>
      <xdr:row>561</xdr:row>
      <xdr:rowOff>114300</xdr:rowOff>
    </xdr:to>
    <xdr:sp macro="" textlink="">
      <xdr:nvSpPr>
        <xdr:cNvPr id="5" name="Rectangle 9">
          <a:extLst>
            <a:ext uri="{FF2B5EF4-FFF2-40B4-BE49-F238E27FC236}">
              <a16:creationId xmlns:a16="http://schemas.microsoft.com/office/drawing/2014/main" xmlns="" id="{00000000-0008-0000-0900-000005000000}"/>
            </a:ext>
          </a:extLst>
        </xdr:cNvPr>
        <xdr:cNvSpPr>
          <a:spLocks noChangeArrowheads="1"/>
        </xdr:cNvSpPr>
      </xdr:nvSpPr>
      <xdr:spPr>
        <a:xfrm>
          <a:off x="12382500" y="45567600"/>
          <a:ext cx="6743700" cy="0"/>
        </a:xfrm>
        <a:prstGeom prst="rect">
          <a:avLst/>
        </a:prstGeom>
        <a:noFill/>
        <a:ln>
          <a:noFill/>
        </a:ln>
        <a:effectLst/>
      </xdr:spPr>
      <xdr:txBody>
        <a:bodyPr vertOverflow="clip" wrap="square" lIns="27360" tIns="27360" rIns="0" bIns="0" anchor="t"/>
        <a:lstStyle/>
        <a:p>
          <a:pPr algn="l" rtl="0">
            <a:defRPr sz="1000"/>
          </a:pPr>
          <a:r>
            <a:rPr lang="en-US" sz="1000" b="0" i="1" u="none" strike="noStrike" baseline="0">
              <a:solidFill>
                <a:srgbClr val="000000"/>
              </a:solidFill>
              <a:latin typeface="Times New Roman" panose="02020603050405020304" pitchFamily="18" charset="0"/>
              <a:cs typeface="Times New Roman" panose="02020603050405020304" pitchFamily="18" charset="0"/>
            </a:rPr>
            <a:t>This account represent income tax on auxiliaryenterprises - telephone cabine as of  April 30, 2011 and of  </a:t>
          </a:r>
          <a:r>
            <a:rPr lang="en-US" sz="1000" b="0" i="1" baseline="0">
              <a:effectLst/>
              <a:latin typeface="Times New Roman" panose="02020603050405020304" pitchFamily="18" charset="0"/>
              <a:ea typeface="+mn-ea"/>
              <a:cs typeface="Times New Roman" panose="02020603050405020304" pitchFamily="18" charset="0"/>
            </a:rPr>
            <a:t>March 31, 2011  </a:t>
          </a:r>
          <a:r>
            <a:rPr lang="en-US" sz="1000" b="0" i="1" u="none" strike="noStrike" baseline="0">
              <a:solidFill>
                <a:srgbClr val="000000"/>
              </a:solidFill>
              <a:latin typeface="Times New Roman" panose="02020603050405020304" pitchFamily="18" charset="0"/>
              <a:cs typeface="Times New Roman" panose="02020603050405020304" pitchFamily="18" charset="0"/>
            </a:rPr>
            <a:t>amounted to Rp 00,00 and Rp.00,00 respectively.</a:t>
          </a:r>
        </a:p>
      </xdr:txBody>
    </xdr:sp>
    <xdr:clientData/>
  </xdr:twoCellAnchor>
  <xdr:twoCellAnchor>
    <xdr:from>
      <xdr:col>50</xdr:col>
      <xdr:colOff>28575</xdr:colOff>
      <xdr:row>602</xdr:row>
      <xdr:rowOff>9525</xdr:rowOff>
    </xdr:from>
    <xdr:to>
      <xdr:col>56</xdr:col>
      <xdr:colOff>504825</xdr:colOff>
      <xdr:row>606</xdr:row>
      <xdr:rowOff>0</xdr:rowOff>
    </xdr:to>
    <xdr:sp macro="" textlink="">
      <xdr:nvSpPr>
        <xdr:cNvPr id="6" name="Rectangle 9">
          <a:extLst>
            <a:ext uri="{FF2B5EF4-FFF2-40B4-BE49-F238E27FC236}">
              <a16:creationId xmlns:a16="http://schemas.microsoft.com/office/drawing/2014/main" xmlns="" id="{00000000-0008-0000-0900-000006000000}"/>
            </a:ext>
          </a:extLst>
        </xdr:cNvPr>
        <xdr:cNvSpPr>
          <a:spLocks noChangeArrowheads="1"/>
        </xdr:cNvSpPr>
      </xdr:nvSpPr>
      <xdr:spPr>
        <a:xfrm>
          <a:off x="17802225" y="48091725"/>
          <a:ext cx="6610350" cy="0"/>
        </a:xfrm>
        <a:prstGeom prst="rect">
          <a:avLst/>
        </a:prstGeom>
        <a:noFill/>
        <a:ln>
          <a:noFill/>
        </a:ln>
        <a:effectLst/>
      </xdr:spPr>
      <xdr:txBody>
        <a:bodyPr vertOverflow="clip" wrap="square" lIns="27360" tIns="27360" rIns="0" bIns="0" anchor="t"/>
        <a:lstStyle/>
        <a:p>
          <a:pPr algn="just" rtl="0">
            <a:defRPr sz="1000"/>
          </a:pPr>
          <a:r>
            <a:rPr lang="id-ID" sz="1100" b="0" i="0" u="none" strike="noStrike" baseline="0">
              <a:solidFill>
                <a:srgbClr val="000000"/>
              </a:solidFill>
              <a:latin typeface="Times New Roman" panose="02020603050405020304" pitchFamily="12"/>
              <a:cs typeface="Times New Roman" panose="02020603050405020304" pitchFamily="12"/>
            </a:rPr>
            <a:t>Akun ini  merupakan pajak penghasilan pasal 25 atas usaha pelengkap - wartel pada 30 Juli 2009 dan  31 Mei 2009 masing-masing sebesar Rp. 425,100.00 0.00 dan Rp. 0.00.</a:t>
          </a:r>
        </a:p>
      </xdr:txBody>
    </xdr:sp>
    <xdr:clientData/>
  </xdr:twoCellAnchor>
  <xdr:twoCellAnchor>
    <xdr:from>
      <xdr:col>43</xdr:col>
      <xdr:colOff>104775</xdr:colOff>
      <xdr:row>602</xdr:row>
      <xdr:rowOff>0</xdr:rowOff>
    </xdr:from>
    <xdr:to>
      <xdr:col>49</xdr:col>
      <xdr:colOff>123825</xdr:colOff>
      <xdr:row>606</xdr:row>
      <xdr:rowOff>0</xdr:rowOff>
    </xdr:to>
    <xdr:sp macro="" textlink="">
      <xdr:nvSpPr>
        <xdr:cNvPr id="7" name="Rectangle 9">
          <a:extLst>
            <a:ext uri="{FF2B5EF4-FFF2-40B4-BE49-F238E27FC236}">
              <a16:creationId xmlns:a16="http://schemas.microsoft.com/office/drawing/2014/main" xmlns="" id="{00000000-0008-0000-0900-000007000000}"/>
            </a:ext>
          </a:extLst>
        </xdr:cNvPr>
        <xdr:cNvSpPr>
          <a:spLocks noChangeArrowheads="1"/>
        </xdr:cNvSpPr>
      </xdr:nvSpPr>
      <xdr:spPr>
        <a:xfrm>
          <a:off x="10953750" y="48091725"/>
          <a:ext cx="6819900" cy="0"/>
        </a:xfrm>
        <a:prstGeom prst="rect">
          <a:avLst/>
        </a:prstGeom>
        <a:noFill/>
        <a:ln>
          <a:noFill/>
        </a:ln>
        <a:effectLst/>
      </xdr:spPr>
      <xdr:txBody>
        <a:bodyPr vertOverflow="clip" wrap="square" lIns="27360" tIns="27360" rIns="0" bIns="0" anchor="t"/>
        <a:lstStyle/>
        <a:p>
          <a:pPr algn="just" rtl="0">
            <a:defRPr sz="1000"/>
          </a:pPr>
          <a:r>
            <a:rPr lang="id-ID" sz="1100" b="0" i="0" u="none" strike="noStrike" baseline="0">
              <a:solidFill>
                <a:srgbClr val="000000"/>
              </a:solidFill>
              <a:latin typeface="Times New Roman" panose="02020603050405020304" pitchFamily="12"/>
              <a:cs typeface="Times New Roman" panose="02020603050405020304" pitchFamily="12"/>
            </a:rPr>
            <a:t>This account represent income tax article 25 on auxiliary                 enterprises - telephone cabine as of July 30, 2009 and June 30, 2009 amounted to Rp 0.00 and Rp 0.00  respectively.</a:t>
          </a:r>
        </a:p>
      </xdr:txBody>
    </xdr:sp>
    <xdr:clientData/>
  </xdr:twoCellAnchor>
  <xdr:twoCellAnchor>
    <xdr:from>
      <xdr:col>13</xdr:col>
      <xdr:colOff>100853</xdr:colOff>
      <xdr:row>874</xdr:row>
      <xdr:rowOff>0</xdr:rowOff>
    </xdr:from>
    <xdr:to>
      <xdr:col>30</xdr:col>
      <xdr:colOff>13607</xdr:colOff>
      <xdr:row>885</xdr:row>
      <xdr:rowOff>0</xdr:rowOff>
    </xdr:to>
    <xdr:sp macro="" textlink="">
      <xdr:nvSpPr>
        <xdr:cNvPr id="8" name="Rectangle 9">
          <a:extLst>
            <a:ext uri="{FF2B5EF4-FFF2-40B4-BE49-F238E27FC236}">
              <a16:creationId xmlns:a16="http://schemas.microsoft.com/office/drawing/2014/main" xmlns="" id="{00000000-0008-0000-0900-000008000000}"/>
            </a:ext>
          </a:extLst>
        </xdr:cNvPr>
        <xdr:cNvSpPr>
          <a:spLocks noChangeArrowheads="1"/>
        </xdr:cNvSpPr>
      </xdr:nvSpPr>
      <xdr:spPr>
        <a:xfrm>
          <a:off x="3254686" y="142374056"/>
          <a:ext cx="4639977" cy="1792111"/>
        </a:xfrm>
        <a:prstGeom prst="rect">
          <a:avLst/>
        </a:prstGeom>
        <a:noFill/>
        <a:ln>
          <a:noFill/>
        </a:ln>
        <a:effectLst/>
      </xdr:spPr>
      <xdr:txBody>
        <a:bodyPr vertOverflow="clip" wrap="square" lIns="27360" tIns="27360" rIns="0" bIns="0" anchor="t"/>
        <a:lstStyle/>
        <a:p>
          <a:pPr algn="l" rtl="0">
            <a:defRPr sz="1000"/>
          </a:pPr>
          <a:endParaRPr lang="id-ID" sz="800" b="0" i="0" u="none" strike="noStrike" baseline="0">
            <a:solidFill>
              <a:sysClr val="windowText" lastClr="000000"/>
            </a:solidFill>
            <a:latin typeface="Times New Roman" panose="02020603050405020304" pitchFamily="12"/>
            <a:cs typeface="Times New Roman" panose="02020603050405020304" pitchFamily="12"/>
          </a:endParaRPr>
        </a:p>
      </xdr:txBody>
    </xdr:sp>
    <xdr:clientData/>
  </xdr:twoCellAnchor>
  <xdr:twoCellAnchor>
    <xdr:from>
      <xdr:col>50</xdr:col>
      <xdr:colOff>28575</xdr:colOff>
      <xdr:row>625</xdr:row>
      <xdr:rowOff>9525</xdr:rowOff>
    </xdr:from>
    <xdr:to>
      <xdr:col>56</xdr:col>
      <xdr:colOff>504825</xdr:colOff>
      <xdr:row>626</xdr:row>
      <xdr:rowOff>0</xdr:rowOff>
    </xdr:to>
    <xdr:sp macro="" textlink="">
      <xdr:nvSpPr>
        <xdr:cNvPr id="9" name="Rectangle 8">
          <a:extLst>
            <a:ext uri="{FF2B5EF4-FFF2-40B4-BE49-F238E27FC236}">
              <a16:creationId xmlns:a16="http://schemas.microsoft.com/office/drawing/2014/main" xmlns="" id="{00000000-0008-0000-0900-000009000000}"/>
            </a:ext>
          </a:extLst>
        </xdr:cNvPr>
        <xdr:cNvSpPr>
          <a:spLocks noChangeArrowheads="1"/>
        </xdr:cNvSpPr>
      </xdr:nvSpPr>
      <xdr:spPr>
        <a:xfrm>
          <a:off x="17802225" y="48720375"/>
          <a:ext cx="6610350" cy="0"/>
        </a:xfrm>
        <a:prstGeom prst="rect">
          <a:avLst/>
        </a:prstGeom>
        <a:noFill/>
        <a:ln>
          <a:noFill/>
        </a:ln>
        <a:effectLst/>
      </xdr:spPr>
      <xdr:txBody>
        <a:bodyPr vertOverflow="clip" wrap="square" lIns="27360" tIns="27360" rIns="0" bIns="0" anchor="t"/>
        <a:lstStyle/>
        <a:p>
          <a:pPr algn="just" rtl="0">
            <a:defRPr sz="1000"/>
          </a:pPr>
          <a:r>
            <a:rPr lang="id-ID" sz="1100" b="0" i="0" u="none" strike="noStrike" baseline="0">
              <a:solidFill>
                <a:srgbClr val="000000"/>
              </a:solidFill>
              <a:latin typeface="Times New Roman" panose="02020603050405020304" pitchFamily="12"/>
              <a:cs typeface="Times New Roman" panose="02020603050405020304" pitchFamily="12"/>
            </a:rPr>
            <a:t>Akun ini  merupakan pajak penghasilan pasal 25 atas usaha pelengkap - wartel pada 30 Juli 2009 dan  31 Mei 2009 masing-masing sebesar Rp. 425,100.00 0.00 dan Rp. 0.00.</a:t>
          </a:r>
        </a:p>
      </xdr:txBody>
    </xdr:sp>
    <xdr:clientData/>
  </xdr:twoCellAnchor>
  <xdr:twoCellAnchor>
    <xdr:from>
      <xdr:col>43</xdr:col>
      <xdr:colOff>104775</xdr:colOff>
      <xdr:row>625</xdr:row>
      <xdr:rowOff>0</xdr:rowOff>
    </xdr:from>
    <xdr:to>
      <xdr:col>49</xdr:col>
      <xdr:colOff>123825</xdr:colOff>
      <xdr:row>626</xdr:row>
      <xdr:rowOff>0</xdr:rowOff>
    </xdr:to>
    <xdr:sp macro="" textlink="">
      <xdr:nvSpPr>
        <xdr:cNvPr id="10" name="Rectangle 9">
          <a:extLst>
            <a:ext uri="{FF2B5EF4-FFF2-40B4-BE49-F238E27FC236}">
              <a16:creationId xmlns:a16="http://schemas.microsoft.com/office/drawing/2014/main" xmlns="" id="{00000000-0008-0000-0900-00000A000000}"/>
            </a:ext>
          </a:extLst>
        </xdr:cNvPr>
        <xdr:cNvSpPr>
          <a:spLocks noChangeArrowheads="1"/>
        </xdr:cNvSpPr>
      </xdr:nvSpPr>
      <xdr:spPr>
        <a:xfrm>
          <a:off x="10953750" y="48720375"/>
          <a:ext cx="6819900" cy="0"/>
        </a:xfrm>
        <a:prstGeom prst="rect">
          <a:avLst/>
        </a:prstGeom>
        <a:noFill/>
        <a:ln>
          <a:noFill/>
        </a:ln>
        <a:effectLst/>
      </xdr:spPr>
      <xdr:txBody>
        <a:bodyPr vertOverflow="clip" wrap="square" lIns="27360" tIns="27360" rIns="0" bIns="0" anchor="t"/>
        <a:lstStyle/>
        <a:p>
          <a:pPr algn="just" rtl="0">
            <a:defRPr sz="1000"/>
          </a:pPr>
          <a:r>
            <a:rPr lang="id-ID" sz="1100" b="0" i="0" u="none" strike="noStrike" baseline="0">
              <a:solidFill>
                <a:srgbClr val="000000"/>
              </a:solidFill>
              <a:latin typeface="Times New Roman" panose="02020603050405020304" pitchFamily="12"/>
              <a:cs typeface="Times New Roman" panose="02020603050405020304" pitchFamily="12"/>
            </a:rPr>
            <a:t>This account represent income tax article 25 on auxiliary                 enterprises - telephone cabine as of July 30, 2009 and June 30, 2009 amounted to Rp 0.00 and Rp 0.00  respectively.</a:t>
          </a:r>
        </a:p>
      </xdr:txBody>
    </xdr:sp>
    <xdr:clientData/>
  </xdr:twoCellAnchor>
  <xdr:twoCellAnchor>
    <xdr:from>
      <xdr:col>44</xdr:col>
      <xdr:colOff>0</xdr:colOff>
      <xdr:row>275</xdr:row>
      <xdr:rowOff>95250</xdr:rowOff>
    </xdr:from>
    <xdr:to>
      <xdr:col>50</xdr:col>
      <xdr:colOff>142875</xdr:colOff>
      <xdr:row>278</xdr:row>
      <xdr:rowOff>123825</xdr:rowOff>
    </xdr:to>
    <xdr:sp macro="" textlink="">
      <xdr:nvSpPr>
        <xdr:cNvPr id="11" name="Rectangle 9">
          <a:extLst>
            <a:ext uri="{FF2B5EF4-FFF2-40B4-BE49-F238E27FC236}">
              <a16:creationId xmlns:a16="http://schemas.microsoft.com/office/drawing/2014/main" xmlns="" id="{00000000-0008-0000-0900-00000B000000}"/>
            </a:ext>
          </a:extLst>
        </xdr:cNvPr>
        <xdr:cNvSpPr>
          <a:spLocks noChangeArrowheads="1"/>
        </xdr:cNvSpPr>
      </xdr:nvSpPr>
      <xdr:spPr>
        <a:xfrm>
          <a:off x="10953750" y="27308175"/>
          <a:ext cx="6962775" cy="0"/>
        </a:xfrm>
        <a:prstGeom prst="rect">
          <a:avLst/>
        </a:prstGeom>
        <a:noFill/>
        <a:ln>
          <a:noFill/>
        </a:ln>
        <a:effectLst/>
      </xdr:spPr>
      <xdr:txBody>
        <a:bodyPr vertOverflow="clip" wrap="square" lIns="27360" tIns="27360" rIns="0" bIns="0" anchor="t"/>
        <a:lstStyle/>
        <a:p>
          <a:pPr algn="just" rtl="0">
            <a:defRPr sz="1000"/>
          </a:pPr>
          <a:r>
            <a:rPr lang="en-US" sz="1000" b="0" i="1" u="none" strike="noStrike" baseline="0">
              <a:solidFill>
                <a:srgbClr val="000000"/>
              </a:solidFill>
              <a:latin typeface="Times New Roman" panose="02020603050405020304" pitchFamily="18" charset="0"/>
              <a:cs typeface="Times New Roman" panose="02020603050405020304" pitchFamily="18" charset="0"/>
            </a:rPr>
            <a:t>This account represent income tax article 25 on auxiliary enterprises -telephone cabine as of  April 30, 2011 and </a:t>
          </a:r>
          <a:r>
            <a:rPr lang="en-US" sz="1000" b="0" i="1" baseline="0">
              <a:effectLst/>
              <a:latin typeface="Times New Roman" panose="02020603050405020304" pitchFamily="18" charset="0"/>
              <a:ea typeface="+mn-ea"/>
              <a:cs typeface="Times New Roman" panose="02020603050405020304" pitchFamily="18" charset="0"/>
            </a:rPr>
            <a:t>March 31</a:t>
          </a:r>
          <a:r>
            <a:rPr lang="en-US" sz="1000" b="0" i="1" u="none" strike="noStrike" baseline="0">
              <a:solidFill>
                <a:srgbClr val="000000"/>
              </a:solidFill>
              <a:latin typeface="Times New Roman" panose="02020603050405020304" pitchFamily="18" charset="0"/>
              <a:cs typeface="Times New Roman" panose="02020603050405020304" pitchFamily="18" charset="0"/>
            </a:rPr>
            <a:t>, 2010  amounted to Rp. 860.768,00 and </a:t>
          </a:r>
          <a:r>
            <a:rPr lang="en-US" sz="1000" b="0" i="1" baseline="0">
              <a:effectLst/>
              <a:latin typeface="Times New Roman" panose="02020603050405020304" pitchFamily="18" charset="0"/>
              <a:ea typeface="+mn-ea"/>
              <a:cs typeface="Times New Roman" panose="02020603050405020304" pitchFamily="18" charset="0"/>
            </a:rPr>
            <a:t>Rp. 860.768,00</a:t>
          </a:r>
          <a:r>
            <a:rPr lang="en-US" sz="1000" b="0" i="1" u="none" strike="noStrike" baseline="0">
              <a:solidFill>
                <a:srgbClr val="000000"/>
              </a:solidFill>
              <a:latin typeface="Times New Roman" panose="02020603050405020304" pitchFamily="18" charset="0"/>
              <a:cs typeface="Times New Roman" panose="02020603050405020304" pitchFamily="18" charset="0"/>
            </a:rPr>
            <a:t> respectively.</a:t>
          </a:r>
        </a:p>
      </xdr:txBody>
    </xdr:sp>
    <xdr:clientData/>
  </xdr:twoCellAnchor>
  <xdr:twoCellAnchor>
    <xdr:from>
      <xdr:col>43</xdr:col>
      <xdr:colOff>104775</xdr:colOff>
      <xdr:row>250</xdr:row>
      <xdr:rowOff>19050</xdr:rowOff>
    </xdr:from>
    <xdr:to>
      <xdr:col>48</xdr:col>
      <xdr:colOff>647700</xdr:colOff>
      <xdr:row>253</xdr:row>
      <xdr:rowOff>47625</xdr:rowOff>
    </xdr:to>
    <xdr:sp macro="" textlink="">
      <xdr:nvSpPr>
        <xdr:cNvPr id="12" name="Rectangle 9">
          <a:extLst>
            <a:ext uri="{FF2B5EF4-FFF2-40B4-BE49-F238E27FC236}">
              <a16:creationId xmlns:a16="http://schemas.microsoft.com/office/drawing/2014/main" xmlns="" id="{00000000-0008-0000-0900-00000C000000}"/>
            </a:ext>
          </a:extLst>
        </xdr:cNvPr>
        <xdr:cNvSpPr>
          <a:spLocks noChangeArrowheads="1"/>
        </xdr:cNvSpPr>
      </xdr:nvSpPr>
      <xdr:spPr>
        <a:xfrm>
          <a:off x="10953750" y="27308175"/>
          <a:ext cx="6257925" cy="0"/>
        </a:xfrm>
        <a:prstGeom prst="rect">
          <a:avLst/>
        </a:prstGeom>
        <a:noFill/>
        <a:ln>
          <a:noFill/>
        </a:ln>
        <a:effectLst/>
      </xdr:spPr>
      <xdr:txBody>
        <a:bodyPr vertOverflow="clip" wrap="square" lIns="27360" tIns="27360" rIns="0" bIns="0" anchor="t"/>
        <a:lstStyle/>
        <a:p>
          <a:pPr algn="just" rtl="0">
            <a:defRPr sz="1000"/>
          </a:pPr>
          <a:r>
            <a:rPr lang="en-US" sz="1000" b="0" i="0" u="none" strike="noStrike" baseline="0">
              <a:solidFill>
                <a:srgbClr val="000000"/>
              </a:solidFill>
              <a:latin typeface="Times New Roman" panose="02020603050405020304" pitchFamily="18" charset="0"/>
              <a:cs typeface="Times New Roman" panose="02020603050405020304" pitchFamily="18" charset="0"/>
            </a:rPr>
            <a:t>Akun ini  merupakan pajak penghasilan pasal 25 atas usaha pelengkap - wartel pada 30 April 2011 dan </a:t>
          </a:r>
          <a:r>
            <a:rPr lang="en-US" sz="1000" b="0" i="0" baseline="0">
              <a:effectLst/>
              <a:latin typeface="Times New Roman" panose="02020603050405020304" pitchFamily="18" charset="0"/>
              <a:ea typeface="+mn-ea"/>
              <a:cs typeface="Times New Roman" panose="02020603050405020304" pitchFamily="18" charset="0"/>
            </a:rPr>
            <a:t>31 Maret 2011 </a:t>
          </a:r>
          <a:r>
            <a:rPr lang="en-US" sz="1000" b="0" i="0" u="none" strike="noStrike" baseline="0">
              <a:solidFill>
                <a:srgbClr val="000000"/>
              </a:solidFill>
              <a:latin typeface="Times New Roman" panose="02020603050405020304" pitchFamily="18" charset="0"/>
              <a:cs typeface="Times New Roman" panose="02020603050405020304" pitchFamily="18" charset="0"/>
            </a:rPr>
            <a:t>masing masing sebesar  Rp. 860.768,00 dan  </a:t>
          </a:r>
          <a:r>
            <a:rPr lang="en-US" sz="1000" b="0" i="0" baseline="0">
              <a:effectLst/>
              <a:latin typeface="Times New Roman" panose="02020603050405020304" pitchFamily="18" charset="0"/>
              <a:ea typeface="+mn-ea"/>
              <a:cs typeface="Times New Roman" panose="02020603050405020304" pitchFamily="18" charset="0"/>
            </a:rPr>
            <a:t>Rp. Rp. 860.768,00</a:t>
          </a:r>
          <a:r>
            <a:rPr lang="en-US" sz="1000" b="0" i="0" u="none" strike="noStrike" baseline="0">
              <a:solidFill>
                <a:srgbClr val="000000"/>
              </a:solidFill>
              <a:latin typeface="Times New Roman" panose="02020603050405020304" pitchFamily="18" charset="0"/>
              <a:cs typeface="Times New Roman" panose="02020603050405020304" pitchFamily="18" charset="0"/>
            </a:rPr>
            <a:t>. </a:t>
          </a:r>
        </a:p>
      </xdr:txBody>
    </xdr:sp>
    <xdr:clientData/>
  </xdr:twoCellAnchor>
  <xdr:twoCellAnchor>
    <xdr:from>
      <xdr:col>3</xdr:col>
      <xdr:colOff>0</xdr:colOff>
      <xdr:row>21</xdr:row>
      <xdr:rowOff>0</xdr:rowOff>
    </xdr:from>
    <xdr:to>
      <xdr:col>21</xdr:col>
      <xdr:colOff>9525</xdr:colOff>
      <xdr:row>32</xdr:row>
      <xdr:rowOff>114298</xdr:rowOff>
    </xdr:to>
    <xdr:sp macro="" textlink="">
      <xdr:nvSpPr>
        <xdr:cNvPr id="13" name="Rectangle 9">
          <a:extLst>
            <a:ext uri="{FF2B5EF4-FFF2-40B4-BE49-F238E27FC236}">
              <a16:creationId xmlns:a16="http://schemas.microsoft.com/office/drawing/2014/main" xmlns="" id="{00000000-0008-0000-0900-00000D000000}"/>
            </a:ext>
          </a:extLst>
        </xdr:cNvPr>
        <xdr:cNvSpPr>
          <a:spLocks noChangeArrowheads="1"/>
        </xdr:cNvSpPr>
      </xdr:nvSpPr>
      <xdr:spPr>
        <a:xfrm>
          <a:off x="581025" y="3648075"/>
          <a:ext cx="4486275" cy="18954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360" tIns="27360" rIns="0" bIns="0" anchor="t" upright="1"/>
        <a:lstStyle/>
        <a:p>
          <a:pPr marL="0" marR="0" lvl="0" indent="0" defTabSz="914400" eaLnBrk="1" fontAlgn="auto" latinLnBrk="0" hangingPunct="1">
            <a:lnSpc>
              <a:spcPct val="100000"/>
            </a:lnSpc>
            <a:spcBef>
              <a:spcPts val="0"/>
            </a:spcBef>
            <a:spcAft>
              <a:spcPts val="0"/>
            </a:spcAft>
            <a:buClrTx/>
            <a:buSzTx/>
            <a:buFontTx/>
            <a:buNone/>
            <a:defRPr/>
          </a:pP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Laporan keuangan disusun</a:t>
          </a:r>
          <a:r>
            <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 </a:t>
          </a: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berdasarkan </a:t>
          </a:r>
          <a:r>
            <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metode </a:t>
          </a: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akrual, </a:t>
          </a:r>
          <a:r>
            <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kecuali laporan arus kas. Pengukurannya  disusun berdasarkan metode harga perolehan,</a:t>
          </a: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 kecuali beberapa</a:t>
          </a:r>
          <a:r>
            <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 </a:t>
          </a: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akun tertentu disusun berdasarkan</a:t>
          </a:r>
          <a:r>
            <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 </a:t>
          </a: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pengukuran lain, sebagaimana diuraikan</a:t>
          </a:r>
          <a:r>
            <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 </a:t>
          </a: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dalam kebijakan akuntansi masing-masing</a:t>
          </a:r>
          <a:r>
            <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 </a:t>
          </a: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akun</a:t>
          </a:r>
          <a:r>
            <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a:t>
          </a:r>
        </a:p>
        <a:p>
          <a:pPr marL="0" marR="0" lvl="0" indent="0" defTabSz="914400" eaLnBrk="1" fontAlgn="auto" latinLnBrk="0" hangingPunct="1">
            <a:lnSpc>
              <a:spcPct val="100000"/>
            </a:lnSpc>
            <a:spcBef>
              <a:spcPts val="0"/>
            </a:spcBef>
            <a:spcAft>
              <a:spcPts val="0"/>
            </a:spcAft>
            <a:buClrTx/>
            <a:buSzTx/>
            <a:buFontTx/>
            <a:buNone/>
            <a:defRPr/>
          </a:pPr>
          <a:endPar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defRPr/>
          </a:pP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Laporan arus kas disajikan</a:t>
          </a:r>
          <a:r>
            <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 </a:t>
          </a: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dengan menggunakan metode langsung, yang</a:t>
          </a:r>
        </a:p>
        <a:p>
          <a:pPr marL="0" marR="0" lvl="0" indent="0" defTabSz="914400" eaLnBrk="1" fontAlgn="auto" latinLnBrk="0" hangingPunct="1">
            <a:lnSpc>
              <a:spcPct val="100000"/>
            </a:lnSpc>
            <a:spcBef>
              <a:spcPts val="0"/>
            </a:spcBef>
            <a:spcAft>
              <a:spcPts val="0"/>
            </a:spcAft>
            <a:buClrTx/>
            <a:buSzTx/>
            <a:buFontTx/>
            <a:buNone/>
            <a:defRPr/>
          </a:pP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menyajikan informasi penerimaan dan</a:t>
          </a:r>
          <a:r>
            <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 </a:t>
          </a: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pengeluaran kas dan setara kas yang</a:t>
          </a:r>
        </a:p>
        <a:p>
          <a:pPr marL="0" marR="0" lvl="0" indent="0" defTabSz="914400" eaLnBrk="1" fontAlgn="auto" latinLnBrk="0" hangingPunct="1">
            <a:lnSpc>
              <a:spcPct val="100000"/>
            </a:lnSpc>
            <a:spcBef>
              <a:spcPts val="0"/>
            </a:spcBef>
            <a:spcAft>
              <a:spcPts val="0"/>
            </a:spcAft>
            <a:buClrTx/>
            <a:buSzTx/>
            <a:buFontTx/>
            <a:buNone/>
            <a:defRPr/>
          </a:pP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diklasifikasikan menjadi aktivitas operasi,</a:t>
          </a:r>
          <a:r>
            <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 </a:t>
          </a: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investasi dan pendanaan.</a:t>
          </a:r>
        </a:p>
        <a:p>
          <a:pPr marL="0" marR="0" lvl="0" indent="0" defTabSz="914400" eaLnBrk="1" fontAlgn="auto" latinLnBrk="0" hangingPunct="1">
            <a:lnSpc>
              <a:spcPct val="100000"/>
            </a:lnSpc>
            <a:spcBef>
              <a:spcPts val="0"/>
            </a:spcBef>
            <a:spcAft>
              <a:spcPts val="0"/>
            </a:spcAft>
            <a:buClrTx/>
            <a:buSzTx/>
            <a:buFontTx/>
            <a:buNone/>
            <a:defRPr/>
          </a:pPr>
          <a:endPar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defRPr/>
          </a:pP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Mata uang pelaporan dan fungsional yang</a:t>
          </a:r>
          <a:r>
            <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 </a:t>
          </a: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digunakan oleh </a:t>
          </a:r>
          <a:r>
            <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lembaga a</a:t>
          </a: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dalah Rupiah.</a:t>
          </a:r>
          <a:endPar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defRPr/>
          </a:pP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Seluruh angka dalam laporan keuangan ini</a:t>
          </a:r>
          <a:r>
            <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 </a:t>
          </a: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disajikan dalam Rupiah </a:t>
          </a:r>
          <a:r>
            <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penuh</a:t>
          </a: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 kecuali dinyatakan</a:t>
          </a: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 </a:t>
          </a: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secara khusus.</a:t>
          </a: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 </a:t>
          </a:r>
          <a:endPar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endParaRPr>
        </a:p>
      </xdr:txBody>
    </xdr:sp>
    <xdr:clientData/>
  </xdr:twoCellAnchor>
  <xdr:twoCellAnchor>
    <xdr:from>
      <xdr:col>25</xdr:col>
      <xdr:colOff>22414</xdr:colOff>
      <xdr:row>21</xdr:row>
      <xdr:rowOff>0</xdr:rowOff>
    </xdr:from>
    <xdr:to>
      <xdr:col>41</xdr:col>
      <xdr:colOff>95250</xdr:colOff>
      <xdr:row>32</xdr:row>
      <xdr:rowOff>142877</xdr:rowOff>
    </xdr:to>
    <xdr:sp macro="" textlink="">
      <xdr:nvSpPr>
        <xdr:cNvPr id="14" name="Rectangle 9">
          <a:extLst>
            <a:ext uri="{FF2B5EF4-FFF2-40B4-BE49-F238E27FC236}">
              <a16:creationId xmlns:a16="http://schemas.microsoft.com/office/drawing/2014/main" xmlns="" id="{00000000-0008-0000-0900-00000E000000}"/>
            </a:ext>
          </a:extLst>
        </xdr:cNvPr>
        <xdr:cNvSpPr>
          <a:spLocks noChangeArrowheads="1"/>
        </xdr:cNvSpPr>
      </xdr:nvSpPr>
      <xdr:spPr>
        <a:xfrm>
          <a:off x="6118414" y="3648075"/>
          <a:ext cx="4625786" cy="19240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360" tIns="27360" rIns="0" bIns="0" anchor="t" upright="1"/>
        <a:lstStyle/>
        <a:p>
          <a:pPr marL="0" marR="0" lvl="0" indent="0" defTabSz="914400" eaLnBrk="1" fontAlgn="auto" latinLnBrk="0" hangingPunct="1">
            <a:lnSpc>
              <a:spcPct val="100000"/>
            </a:lnSpc>
            <a:spcBef>
              <a:spcPts val="0"/>
            </a:spcBef>
            <a:spcAft>
              <a:spcPts val="0"/>
            </a:spcAft>
            <a:buClrTx/>
            <a:buSzTx/>
            <a:buFontTx/>
            <a:buNone/>
            <a:defRPr/>
          </a:pPr>
          <a:r>
            <a:rPr kumimoji="0" lang="id-ID"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The financial</a:t>
          </a:r>
          <a:r>
            <a:rPr kumimoji="0" lang="en-US"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 </a:t>
          </a:r>
          <a:r>
            <a:rPr kumimoji="0" lang="id-ID"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statements, except for the statements of cash flows, are prepared</a:t>
          </a:r>
          <a:r>
            <a:rPr kumimoji="0" lang="en-US"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 </a:t>
          </a:r>
          <a:r>
            <a:rPr kumimoji="0" lang="id-ID"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under the accrual basis of accounting</a:t>
          </a:r>
          <a:r>
            <a:rPr kumimoji="0" lang="en-US"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a:t>
          </a:r>
        </a:p>
        <a:p>
          <a:pPr marL="0" marR="0" lvl="0" indent="0" defTabSz="914400" eaLnBrk="1" fontAlgn="auto" latinLnBrk="0" hangingPunct="1">
            <a:lnSpc>
              <a:spcPct val="100000"/>
            </a:lnSpc>
            <a:spcBef>
              <a:spcPts val="0"/>
            </a:spcBef>
            <a:spcAft>
              <a:spcPts val="0"/>
            </a:spcAft>
            <a:buClrTx/>
            <a:buSzTx/>
            <a:buFontTx/>
            <a:buNone/>
            <a:defRPr/>
          </a:pPr>
          <a:r>
            <a:rPr kumimoji="0" lang="id-ID"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The measurement basis used is the</a:t>
          </a:r>
          <a:r>
            <a:rPr kumimoji="0" lang="en-US"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 </a:t>
          </a:r>
          <a:r>
            <a:rPr kumimoji="0" lang="id-ID"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historical cost, except for certain accounts</a:t>
          </a:r>
          <a:r>
            <a:rPr kumimoji="0" lang="en-US"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 </a:t>
          </a:r>
          <a:r>
            <a:rPr kumimoji="0" lang="id-ID"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which are measured on the bases</a:t>
          </a:r>
          <a:r>
            <a:rPr kumimoji="0" lang="en-US"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 </a:t>
          </a:r>
          <a:r>
            <a:rPr kumimoji="0" lang="id-ID"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described in the related accounting policies</a:t>
          </a:r>
          <a:r>
            <a:rPr kumimoji="0" lang="en-US"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a:t>
          </a:r>
        </a:p>
        <a:p>
          <a:pPr marL="0" marR="0" lvl="0" indent="0" algn="l" defTabSz="914400" rtl="0" eaLnBrk="1" fontAlgn="auto" latinLnBrk="0" hangingPunct="1">
            <a:lnSpc>
              <a:spcPct val="100000"/>
            </a:lnSpc>
            <a:spcBef>
              <a:spcPts val="0"/>
            </a:spcBef>
            <a:spcAft>
              <a:spcPts val="0"/>
            </a:spcAft>
            <a:buClrTx/>
            <a:buSzTx/>
            <a:buFontTx/>
            <a:buNone/>
            <a:defRPr sz="1000"/>
          </a:pPr>
          <a:endParaRPr kumimoji="0" lang="en-US"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defRPr/>
          </a:pPr>
          <a:r>
            <a:rPr kumimoji="0" lang="id-ID"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The statements of cash flows,</a:t>
          </a:r>
          <a:r>
            <a:rPr kumimoji="0" lang="en-US"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 </a:t>
          </a:r>
          <a:r>
            <a:rPr kumimoji="0" lang="id-ID"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which have prepared using the direct method,</a:t>
          </a:r>
          <a:r>
            <a:rPr kumimoji="0" lang="en-US"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 </a:t>
          </a:r>
          <a:r>
            <a:rPr kumimoji="0" lang="id-ID"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presents receipts and disbursements of cash</a:t>
          </a:r>
          <a:r>
            <a:rPr kumimoji="0" lang="en-US"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 </a:t>
          </a:r>
          <a:r>
            <a:rPr kumimoji="0" lang="id-ID"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and cash equivalents classified into operating,</a:t>
          </a:r>
          <a:r>
            <a:rPr kumimoji="0" lang="en-US"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 </a:t>
          </a:r>
          <a:r>
            <a:rPr kumimoji="0" lang="id-ID"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investing and financing activities.</a:t>
          </a:r>
          <a:endParaRPr kumimoji="0" lang="en-US"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defRPr/>
          </a:pPr>
          <a:endParaRPr kumimoji="0" lang="en-US"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defRPr/>
          </a:pPr>
          <a:r>
            <a:rPr kumimoji="0" lang="id-ID"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The functional and reporting currency used by</a:t>
          </a:r>
          <a:r>
            <a:rPr kumimoji="0" lang="en-US"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 </a:t>
          </a:r>
          <a:r>
            <a:rPr kumimoji="0" lang="id-ID"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the </a:t>
          </a:r>
          <a:r>
            <a:rPr kumimoji="0" lang="en-US"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Institution</a:t>
          </a:r>
          <a:r>
            <a:rPr kumimoji="0" lang="id-ID"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 is Rupiah.</a:t>
          </a:r>
          <a:endParaRPr kumimoji="0" lang="en-US"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defRPr/>
          </a:pPr>
          <a:r>
            <a:rPr kumimoji="0" lang="en-US"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All f</a:t>
          </a:r>
          <a:r>
            <a:rPr kumimoji="0" lang="id-ID"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igures in the financial statements are are stated in full amount of</a:t>
          </a:r>
          <a:r>
            <a:rPr kumimoji="0" lang="en-US"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 </a:t>
          </a: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Rupiah</a:t>
          </a:r>
          <a:r>
            <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 u</a:t>
          </a:r>
          <a:r>
            <a:rPr kumimoji="0" lang="id-ID"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nless otherwise stated</a:t>
          </a:r>
          <a:endParaRPr kumimoji="0" lang="en-US"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defRPr/>
          </a:pPr>
          <a:endParaRPr kumimoji="0" lang="en-US"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defRPr/>
          </a:pPr>
          <a:endParaRPr kumimoji="0" lang="id-ID"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defRPr/>
          </a:pPr>
          <a:endPar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endParaRPr>
        </a:p>
      </xdr:txBody>
    </xdr:sp>
    <xdr:clientData/>
  </xdr:twoCellAnchor>
  <xdr:twoCellAnchor>
    <xdr:from>
      <xdr:col>3</xdr:col>
      <xdr:colOff>1</xdr:colOff>
      <xdr:row>34</xdr:row>
      <xdr:rowOff>0</xdr:rowOff>
    </xdr:from>
    <xdr:to>
      <xdr:col>21</xdr:col>
      <xdr:colOff>1</xdr:colOff>
      <xdr:row>38</xdr:row>
      <xdr:rowOff>47625</xdr:rowOff>
    </xdr:to>
    <xdr:sp macro="" textlink="">
      <xdr:nvSpPr>
        <xdr:cNvPr id="15" name="Rectangle 9">
          <a:extLst>
            <a:ext uri="{FF2B5EF4-FFF2-40B4-BE49-F238E27FC236}">
              <a16:creationId xmlns:a16="http://schemas.microsoft.com/office/drawing/2014/main" xmlns="" id="{00000000-0008-0000-0900-00000F000000}"/>
            </a:ext>
          </a:extLst>
        </xdr:cNvPr>
        <xdr:cNvSpPr>
          <a:spLocks noChangeArrowheads="1"/>
        </xdr:cNvSpPr>
      </xdr:nvSpPr>
      <xdr:spPr>
        <a:xfrm>
          <a:off x="581026" y="5762625"/>
          <a:ext cx="447675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360" tIns="27360" rIns="0" bIns="0" anchor="t" upright="1"/>
        <a:lstStyle/>
        <a:p>
          <a:pPr marL="0" marR="0" lvl="0" indent="0" algn="l" defTabSz="914400" eaLnBrk="1" fontAlgn="auto" latinLnBrk="0" hangingPunct="1">
            <a:lnSpc>
              <a:spcPct val="100000"/>
            </a:lnSpc>
            <a:spcBef>
              <a:spcPts val="0"/>
            </a:spcBef>
            <a:spcAft>
              <a:spcPts val="0"/>
            </a:spcAft>
            <a:buClrTx/>
            <a:buSzTx/>
            <a:buFontTx/>
            <a:buNone/>
            <a:defRPr/>
          </a:pP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Kas dan setara kas mencakup kas, simpanan</a:t>
          </a:r>
          <a:r>
            <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 </a:t>
          </a: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yang sewaktu-waktu bisa dicairkan, dan</a:t>
          </a:r>
          <a:r>
            <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 </a:t>
          </a: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investasi jangka pendek likuid lainnya dengan</a:t>
          </a:r>
          <a:r>
            <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 </a:t>
          </a: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jangka waktu jatuh tempo tiga bulan atau</a:t>
          </a:r>
          <a:r>
            <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 </a:t>
          </a: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kurang</a:t>
          </a:r>
          <a:r>
            <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 s</a:t>
          </a: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ejak tanggal penempatannya dan</a:t>
          </a:r>
          <a:r>
            <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 </a:t>
          </a: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yang tidak dijaminkan serta tidak dibatasi</a:t>
          </a:r>
        </a:p>
        <a:p>
          <a:pPr marL="0" marR="0" lvl="0" indent="0" algn="l" defTabSz="914400" eaLnBrk="1" fontAlgn="auto" latinLnBrk="0" hangingPunct="1">
            <a:lnSpc>
              <a:spcPct val="100000"/>
            </a:lnSpc>
            <a:spcBef>
              <a:spcPts val="0"/>
            </a:spcBef>
            <a:spcAft>
              <a:spcPts val="0"/>
            </a:spcAft>
            <a:buClrTx/>
            <a:buSzTx/>
            <a:buFontTx/>
            <a:buNone/>
            <a:defRPr/>
          </a:pP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pencairannya.</a:t>
          </a:r>
        </a:p>
        <a:p>
          <a:pPr marL="0" marR="0" lvl="0" indent="0" defTabSz="914400" eaLnBrk="1" fontAlgn="auto" latinLnBrk="0" hangingPunct="1">
            <a:lnSpc>
              <a:spcPct val="100000"/>
            </a:lnSpc>
            <a:spcBef>
              <a:spcPts val="0"/>
            </a:spcBef>
            <a:spcAft>
              <a:spcPts val="0"/>
            </a:spcAft>
            <a:buClrTx/>
            <a:buSzTx/>
            <a:buFontTx/>
            <a:buNone/>
            <a:defRPr/>
          </a:pPr>
          <a:endPar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defRPr/>
          </a:pPr>
          <a:endPar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defRPr/>
          </a:pPr>
          <a:endPar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defRPr/>
          </a:pPr>
          <a:endPar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endParaRPr>
        </a:p>
      </xdr:txBody>
    </xdr:sp>
    <xdr:clientData/>
  </xdr:twoCellAnchor>
  <xdr:twoCellAnchor>
    <xdr:from>
      <xdr:col>25</xdr:col>
      <xdr:colOff>11208</xdr:colOff>
      <xdr:row>34</xdr:row>
      <xdr:rowOff>0</xdr:rowOff>
    </xdr:from>
    <xdr:to>
      <xdr:col>41</xdr:col>
      <xdr:colOff>95250</xdr:colOff>
      <xdr:row>38</xdr:row>
      <xdr:rowOff>9525</xdr:rowOff>
    </xdr:to>
    <xdr:sp macro="" textlink="">
      <xdr:nvSpPr>
        <xdr:cNvPr id="16" name="Rectangle 9">
          <a:extLst>
            <a:ext uri="{FF2B5EF4-FFF2-40B4-BE49-F238E27FC236}">
              <a16:creationId xmlns:a16="http://schemas.microsoft.com/office/drawing/2014/main" xmlns="" id="{00000000-0008-0000-0900-000010000000}"/>
            </a:ext>
          </a:extLst>
        </xdr:cNvPr>
        <xdr:cNvSpPr>
          <a:spLocks noChangeArrowheads="1"/>
        </xdr:cNvSpPr>
      </xdr:nvSpPr>
      <xdr:spPr>
        <a:xfrm>
          <a:off x="6107208" y="5762625"/>
          <a:ext cx="4636992"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360" tIns="27360" rIns="0" bIns="0" anchor="t" upright="1"/>
        <a:lstStyle/>
        <a:p>
          <a:pPr marL="0" marR="0" lvl="0" indent="0" algn="l" defTabSz="914400" eaLnBrk="1" fontAlgn="auto" latinLnBrk="0" hangingPunct="1">
            <a:lnSpc>
              <a:spcPct val="100000"/>
            </a:lnSpc>
            <a:spcBef>
              <a:spcPts val="0"/>
            </a:spcBef>
            <a:spcAft>
              <a:spcPts val="0"/>
            </a:spcAft>
            <a:buClrTx/>
            <a:buSzTx/>
            <a:buFontTx/>
            <a:buNone/>
            <a:defRPr/>
          </a:pPr>
          <a:r>
            <a:rPr kumimoji="0" lang="id-ID" sz="1000" b="0" i="1"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Cash and cash equivalents include cash on</a:t>
          </a:r>
          <a:r>
            <a:rPr kumimoji="0" lang="en-US" sz="1000" b="0" i="1"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 </a:t>
          </a:r>
          <a:r>
            <a:rPr kumimoji="0" lang="id-ID" sz="1000" b="0" i="1"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hand, deposits held at call with banks and other</a:t>
          </a:r>
          <a:r>
            <a:rPr kumimoji="0" lang="en-US" sz="1000" b="0" i="1"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 </a:t>
          </a:r>
          <a:r>
            <a:rPr kumimoji="0" lang="id-ID" sz="1000" b="0" i="1"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short-term highly liquid investments with</a:t>
          </a:r>
          <a:r>
            <a:rPr kumimoji="0" lang="en-US" sz="1000" b="0" i="1"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 </a:t>
          </a:r>
          <a:r>
            <a:rPr kumimoji="0" lang="id-ID" sz="1000" b="0" i="1"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original maturities of three months or less</a:t>
          </a:r>
          <a:r>
            <a:rPr kumimoji="0" lang="en-US" sz="1000" b="0" i="1"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 </a:t>
          </a:r>
          <a:r>
            <a:rPr kumimoji="0" lang="id-ID"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from the date of placements, and which are</a:t>
          </a:r>
          <a:r>
            <a:rPr kumimoji="0" lang="en-US"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 </a:t>
          </a:r>
          <a:r>
            <a:rPr kumimoji="0" lang="id-ID"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not used as collateral and are not restricted</a:t>
          </a:r>
          <a:endParaRPr kumimoji="0" lang="id-ID" sz="1000" b="0" i="1"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defRPr/>
          </a:pPr>
          <a:endParaRPr kumimoji="0" lang="en-US"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defRPr/>
          </a:pPr>
          <a:endParaRPr kumimoji="0" lang="en-US"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defRPr/>
          </a:pPr>
          <a:endParaRPr kumimoji="0" lang="en-US"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defRPr/>
          </a:pPr>
          <a:endParaRPr kumimoji="0" lang="id-ID"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defRPr/>
          </a:pPr>
          <a:endPar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endParaRPr>
        </a:p>
      </xdr:txBody>
    </xdr:sp>
    <xdr:clientData/>
  </xdr:twoCellAnchor>
  <xdr:twoCellAnchor>
    <xdr:from>
      <xdr:col>3</xdr:col>
      <xdr:colOff>0</xdr:colOff>
      <xdr:row>40</xdr:row>
      <xdr:rowOff>0</xdr:rowOff>
    </xdr:from>
    <xdr:to>
      <xdr:col>21</xdr:col>
      <xdr:colOff>9525</xdr:colOff>
      <xdr:row>46</xdr:row>
      <xdr:rowOff>28575</xdr:rowOff>
    </xdr:to>
    <xdr:sp macro="" textlink="">
      <xdr:nvSpPr>
        <xdr:cNvPr id="17" name="Rectangle 9">
          <a:extLst>
            <a:ext uri="{FF2B5EF4-FFF2-40B4-BE49-F238E27FC236}">
              <a16:creationId xmlns:a16="http://schemas.microsoft.com/office/drawing/2014/main" xmlns="" id="{00000000-0008-0000-0900-000011000000}"/>
            </a:ext>
          </a:extLst>
        </xdr:cNvPr>
        <xdr:cNvSpPr>
          <a:spLocks noChangeArrowheads="1"/>
        </xdr:cNvSpPr>
      </xdr:nvSpPr>
      <xdr:spPr>
        <a:xfrm>
          <a:off x="581025" y="6743700"/>
          <a:ext cx="4486275"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360" tIns="27360" rIns="0" bIns="0" anchor="t" upright="1"/>
        <a:lstStyle/>
        <a:p>
          <a:pPr marL="0" marR="0" lvl="0" indent="0" algn="l" defTabSz="914400" eaLnBrk="1" fontAlgn="auto" latinLnBrk="0" hangingPunct="1">
            <a:lnSpc>
              <a:spcPct val="100000"/>
            </a:lnSpc>
            <a:spcBef>
              <a:spcPts val="0"/>
            </a:spcBef>
            <a:spcAft>
              <a:spcPts val="0"/>
            </a:spcAft>
            <a:buClrTx/>
            <a:buSzTx/>
            <a:buFontTx/>
            <a:buNone/>
            <a:defRPr/>
          </a:pP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Piutang usaha dan lain-lain disajikan dalam</a:t>
          </a:r>
          <a:r>
            <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 </a:t>
          </a: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jumlah neto setelah dikurangi dengan</a:t>
          </a:r>
          <a:r>
            <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 </a:t>
          </a: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penyisihan piutang tidak tertagih, berdasarkan</a:t>
          </a:r>
          <a:r>
            <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 </a:t>
          </a: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peninjauan atas kolektibilitas saldo piutang.</a:t>
          </a:r>
          <a:endPar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endParaRPr>
        </a:p>
        <a:p>
          <a:pPr marL="0" marR="0" lvl="0" indent="0" algn="l" defTabSz="914400" eaLnBrk="1" fontAlgn="auto" latinLnBrk="0" hangingPunct="1">
            <a:lnSpc>
              <a:spcPct val="100000"/>
            </a:lnSpc>
            <a:spcBef>
              <a:spcPts val="0"/>
            </a:spcBef>
            <a:spcAft>
              <a:spcPts val="0"/>
            </a:spcAft>
            <a:buClrTx/>
            <a:buSzTx/>
            <a:buFontTx/>
            <a:buNone/>
            <a:defRPr/>
          </a:pP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Piutang dihapuskan dalam periode dimana</a:t>
          </a:r>
          <a:r>
            <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 </a:t>
          </a: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piutang tersebut dipastikan tidak akan tertagih.</a:t>
          </a:r>
        </a:p>
        <a:p>
          <a:pPr marL="0" marR="0" lvl="0" indent="0" defTabSz="914400" eaLnBrk="1" fontAlgn="auto" latinLnBrk="0" hangingPunct="1">
            <a:lnSpc>
              <a:spcPct val="100000"/>
            </a:lnSpc>
            <a:spcBef>
              <a:spcPts val="0"/>
            </a:spcBef>
            <a:spcAft>
              <a:spcPts val="0"/>
            </a:spcAft>
            <a:buClrTx/>
            <a:buSzTx/>
            <a:buFontTx/>
            <a:buNone/>
            <a:defRPr/>
          </a:pPr>
          <a:endPar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defRPr/>
          </a:pPr>
          <a:endPar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defRPr/>
          </a:pPr>
          <a:endPar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defRPr/>
          </a:pPr>
          <a:endPar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endParaRPr>
        </a:p>
      </xdr:txBody>
    </xdr:sp>
    <xdr:clientData/>
  </xdr:twoCellAnchor>
  <xdr:twoCellAnchor>
    <xdr:from>
      <xdr:col>25</xdr:col>
      <xdr:colOff>22414</xdr:colOff>
      <xdr:row>40</xdr:row>
      <xdr:rowOff>0</xdr:rowOff>
    </xdr:from>
    <xdr:to>
      <xdr:col>41</xdr:col>
      <xdr:colOff>95250</xdr:colOff>
      <xdr:row>44</xdr:row>
      <xdr:rowOff>152400</xdr:rowOff>
    </xdr:to>
    <xdr:sp macro="" textlink="">
      <xdr:nvSpPr>
        <xdr:cNvPr id="18" name="Rectangle 9">
          <a:extLst>
            <a:ext uri="{FF2B5EF4-FFF2-40B4-BE49-F238E27FC236}">
              <a16:creationId xmlns:a16="http://schemas.microsoft.com/office/drawing/2014/main" xmlns="" id="{00000000-0008-0000-0900-000012000000}"/>
            </a:ext>
          </a:extLst>
        </xdr:cNvPr>
        <xdr:cNvSpPr>
          <a:spLocks noChangeArrowheads="1"/>
        </xdr:cNvSpPr>
      </xdr:nvSpPr>
      <xdr:spPr>
        <a:xfrm>
          <a:off x="6118414" y="6743700"/>
          <a:ext cx="4625786"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360" tIns="27360" rIns="0" bIns="0" anchor="t" upright="1"/>
        <a:lstStyle/>
        <a:p>
          <a:pPr algn="l"/>
          <a:r>
            <a:rPr lang="id-ID" sz="1000" b="0" i="1" u="none" strike="noStrike" baseline="0">
              <a:latin typeface="Times New Roman" panose="02020603050405020304" pitchFamily="18" charset="0"/>
              <a:cs typeface="Times New Roman" panose="02020603050405020304" pitchFamily="18" charset="0"/>
            </a:rPr>
            <a:t>Trade and other receivables are recorded net of</a:t>
          </a:r>
          <a:r>
            <a:rPr lang="en-US" sz="1000" b="0" i="1" u="none" strike="noStrike" baseline="0">
              <a:latin typeface="Times New Roman" panose="02020603050405020304" pitchFamily="18" charset="0"/>
              <a:cs typeface="Times New Roman" panose="02020603050405020304" pitchFamily="18" charset="0"/>
            </a:rPr>
            <a:t> </a:t>
          </a:r>
          <a:r>
            <a:rPr lang="id-ID" sz="1000" b="0" i="1" u="none" strike="noStrike" baseline="0">
              <a:latin typeface="Times New Roman" panose="02020603050405020304" pitchFamily="18" charset="0"/>
              <a:cs typeface="Times New Roman" panose="02020603050405020304" pitchFamily="18" charset="0"/>
            </a:rPr>
            <a:t>a provision for doubtful accounts, based on a</a:t>
          </a:r>
          <a:r>
            <a:rPr lang="en-US" sz="1000" b="0" i="1" u="none" strike="noStrike" baseline="0">
              <a:latin typeface="Times New Roman" panose="02020603050405020304" pitchFamily="18" charset="0"/>
              <a:cs typeface="Times New Roman" panose="02020603050405020304" pitchFamily="18" charset="0"/>
            </a:rPr>
            <a:t> </a:t>
          </a:r>
          <a:r>
            <a:rPr lang="id-ID" sz="1000" b="0" i="1" u="none" strike="noStrike" baseline="0">
              <a:latin typeface="Times New Roman" panose="02020603050405020304" pitchFamily="18" charset="0"/>
              <a:cs typeface="Times New Roman" panose="02020603050405020304" pitchFamily="18" charset="0"/>
            </a:rPr>
            <a:t>review of the collectibility of outstanding</a:t>
          </a:r>
          <a:r>
            <a:rPr lang="en-US" sz="1000" b="0" i="1" u="none" strike="noStrike" baseline="0">
              <a:latin typeface="Times New Roman" panose="02020603050405020304" pitchFamily="18" charset="0"/>
              <a:cs typeface="Times New Roman" panose="02020603050405020304" pitchFamily="18" charset="0"/>
            </a:rPr>
            <a:t> </a:t>
          </a:r>
          <a:r>
            <a:rPr lang="id-ID" sz="1000" b="0" i="1" u="none" strike="noStrike" baseline="0">
              <a:latin typeface="Times New Roman" panose="02020603050405020304" pitchFamily="18" charset="0"/>
              <a:cs typeface="Times New Roman" panose="02020603050405020304" pitchFamily="18" charset="0"/>
            </a:rPr>
            <a:t>amounts.</a:t>
          </a:r>
        </a:p>
        <a:p>
          <a:pPr algn="l"/>
          <a:endParaRPr lang="en-US" sz="1000" b="0" i="1" u="none" strike="noStrike" baseline="0">
            <a:latin typeface="Times New Roman" panose="02020603050405020304" pitchFamily="18" charset="0"/>
            <a:cs typeface="Times New Roman" panose="02020603050405020304" pitchFamily="18" charset="0"/>
          </a:endParaRPr>
        </a:p>
        <a:p>
          <a:pPr algn="l"/>
          <a:r>
            <a:rPr lang="id-ID" sz="1000" b="0" i="1" u="none" strike="noStrike" baseline="0">
              <a:latin typeface="Times New Roman" panose="02020603050405020304" pitchFamily="18" charset="0"/>
              <a:cs typeface="Times New Roman" panose="02020603050405020304" pitchFamily="18" charset="0"/>
            </a:rPr>
            <a:t>Accounts are written-off as bad debts during</a:t>
          </a:r>
          <a:r>
            <a:rPr lang="en-US" sz="1000" b="0" i="1" u="none" strike="noStrike" baseline="0">
              <a:latin typeface="Times New Roman" panose="02020603050405020304" pitchFamily="18" charset="0"/>
              <a:cs typeface="Times New Roman" panose="02020603050405020304" pitchFamily="18" charset="0"/>
            </a:rPr>
            <a:t> </a:t>
          </a:r>
          <a:r>
            <a:rPr lang="id-ID" sz="1000" b="0" i="1" u="none" strike="noStrike" baseline="0">
              <a:latin typeface="Times New Roman" panose="02020603050405020304" pitchFamily="18" charset="0"/>
              <a:cs typeface="Times New Roman" panose="02020603050405020304" pitchFamily="18" charset="0"/>
            </a:rPr>
            <a:t>the period in which they are determined to be</a:t>
          </a:r>
          <a:r>
            <a:rPr lang="en-US" sz="1000" b="0" i="1" u="none" strike="noStrike" baseline="0">
              <a:latin typeface="Times New Roman" panose="02020603050405020304" pitchFamily="18" charset="0"/>
              <a:cs typeface="Times New Roman" panose="02020603050405020304" pitchFamily="18" charset="0"/>
            </a:rPr>
            <a:t> </a:t>
          </a:r>
          <a:r>
            <a:rPr lang="id-ID" sz="1000" b="0" i="1" u="none" strike="noStrike" baseline="0">
              <a:latin typeface="Times New Roman" panose="02020603050405020304" pitchFamily="18" charset="0"/>
              <a:cs typeface="Times New Roman" panose="02020603050405020304" pitchFamily="18" charset="0"/>
            </a:rPr>
            <a:t>not collectible</a:t>
          </a:r>
          <a:endParaRPr lang="en-US" sz="1000" b="0" i="1" u="none" strike="noStrike" baseline="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defRPr/>
          </a:pPr>
          <a:endPar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defRPr/>
          </a:pPr>
          <a:endPar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defRPr/>
          </a:pPr>
          <a:endPar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endParaRPr>
        </a:p>
      </xdr:txBody>
    </xdr:sp>
    <xdr:clientData/>
  </xdr:twoCellAnchor>
  <xdr:twoCellAnchor>
    <xdr:from>
      <xdr:col>25</xdr:col>
      <xdr:colOff>2</xdr:colOff>
      <xdr:row>47</xdr:row>
      <xdr:rowOff>0</xdr:rowOff>
    </xdr:from>
    <xdr:to>
      <xdr:col>41</xdr:col>
      <xdr:colOff>95250</xdr:colOff>
      <xdr:row>56</xdr:row>
      <xdr:rowOff>9525</xdr:rowOff>
    </xdr:to>
    <xdr:sp macro="" textlink="">
      <xdr:nvSpPr>
        <xdr:cNvPr id="19" name="Rectangle 9">
          <a:extLst>
            <a:ext uri="{FF2B5EF4-FFF2-40B4-BE49-F238E27FC236}">
              <a16:creationId xmlns:a16="http://schemas.microsoft.com/office/drawing/2014/main" xmlns="" id="{00000000-0008-0000-0900-000013000000}"/>
            </a:ext>
          </a:extLst>
        </xdr:cNvPr>
        <xdr:cNvSpPr>
          <a:spLocks noChangeArrowheads="1"/>
        </xdr:cNvSpPr>
      </xdr:nvSpPr>
      <xdr:spPr>
        <a:xfrm>
          <a:off x="6096002" y="7886700"/>
          <a:ext cx="4648198" cy="146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360" tIns="27360" rIns="0" bIns="0" anchor="t" upright="1"/>
        <a:lstStyle/>
        <a:p>
          <a:pPr marL="0" marR="0" lvl="0" indent="0" algn="l" defTabSz="914400" eaLnBrk="1" fontAlgn="auto" latinLnBrk="0" hangingPunct="1">
            <a:lnSpc>
              <a:spcPct val="100000"/>
            </a:lnSpc>
            <a:spcBef>
              <a:spcPts val="0"/>
            </a:spcBef>
            <a:spcAft>
              <a:spcPts val="0"/>
            </a:spcAft>
            <a:buClrTx/>
            <a:buSzTx/>
            <a:buFontTx/>
            <a:buNone/>
            <a:defRPr/>
          </a:pPr>
          <a:r>
            <a:rPr kumimoji="0" lang="id-ID"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Inventories are stated at the lower of cost or net</a:t>
          </a:r>
          <a:r>
            <a:rPr kumimoji="0" lang="en-US"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  </a:t>
          </a:r>
          <a:r>
            <a:rPr kumimoji="0" lang="id-ID"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realisable value. Costs have been assigned to</a:t>
          </a:r>
          <a:r>
            <a:rPr kumimoji="0" lang="en-US"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 </a:t>
          </a:r>
          <a:r>
            <a:rPr kumimoji="0" lang="id-ID"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inventory quantities on hand at balance sheet</a:t>
          </a:r>
          <a:r>
            <a:rPr kumimoji="0" lang="en-US"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 </a:t>
          </a:r>
          <a:r>
            <a:rPr kumimoji="0" lang="id-ID"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date using the </a:t>
          </a:r>
          <a:r>
            <a:rPr kumimoji="0" lang="en-US"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 </a:t>
          </a:r>
          <a:r>
            <a:rPr kumimoji="0" lang="id-ID"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average method, except for the cost of </a:t>
          </a:r>
          <a:r>
            <a:rPr kumimoji="0" lang="en-US"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auxiliary enterprises </a:t>
          </a:r>
          <a:r>
            <a:rPr kumimoji="0" lang="id-ID"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inventories </a:t>
          </a:r>
          <a:r>
            <a:rPr kumimoji="0" lang="en-US"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 </a:t>
          </a:r>
        </a:p>
        <a:p>
          <a:pPr marL="0" marR="0" lvl="0" indent="0" algn="l" defTabSz="914400" eaLnBrk="1" fontAlgn="auto" latinLnBrk="0" hangingPunct="1">
            <a:lnSpc>
              <a:spcPct val="100000"/>
            </a:lnSpc>
            <a:spcBef>
              <a:spcPts val="0"/>
            </a:spcBef>
            <a:spcAft>
              <a:spcPts val="0"/>
            </a:spcAft>
            <a:buClrTx/>
            <a:buSzTx/>
            <a:buFontTx/>
            <a:buNone/>
            <a:defRPr/>
          </a:pPr>
          <a:r>
            <a:rPr kumimoji="0" lang="en-US"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The inventory does not include consignment goods.</a:t>
          </a:r>
        </a:p>
        <a:p>
          <a:pPr marL="0" marR="0" lvl="0" indent="0" algn="l" defTabSz="914400" eaLnBrk="1" fontAlgn="auto" latinLnBrk="0" hangingPunct="1">
            <a:lnSpc>
              <a:spcPct val="100000"/>
            </a:lnSpc>
            <a:spcBef>
              <a:spcPts val="0"/>
            </a:spcBef>
            <a:spcAft>
              <a:spcPts val="0"/>
            </a:spcAft>
            <a:buClrTx/>
            <a:buSzTx/>
            <a:buFontTx/>
            <a:buNone/>
            <a:defRPr/>
          </a:pPr>
          <a:r>
            <a:rPr kumimoji="0" lang="id-ID"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Net realisable value is the estimate of the</a:t>
          </a:r>
          <a:r>
            <a:rPr kumimoji="0" lang="en-US"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 </a:t>
          </a:r>
          <a:r>
            <a:rPr kumimoji="0" lang="id-ID"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selling price in the ordinary course of business,</a:t>
          </a:r>
          <a:r>
            <a:rPr kumimoji="0" lang="en-US"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 </a:t>
          </a:r>
          <a:r>
            <a:rPr kumimoji="0" lang="id-ID"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less estimated selling expenses.</a:t>
          </a:r>
          <a:endParaRPr kumimoji="0" lang="en-US"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endParaRPr>
        </a:p>
        <a:p>
          <a:pPr marL="0" marR="0" lvl="0" indent="0" algn="l" defTabSz="914400" eaLnBrk="1" fontAlgn="auto" latinLnBrk="0" hangingPunct="1">
            <a:lnSpc>
              <a:spcPct val="100000"/>
            </a:lnSpc>
            <a:spcBef>
              <a:spcPts val="0"/>
            </a:spcBef>
            <a:spcAft>
              <a:spcPts val="0"/>
            </a:spcAft>
            <a:buClrTx/>
            <a:buSzTx/>
            <a:buFontTx/>
            <a:buNone/>
            <a:defRPr/>
          </a:pPr>
          <a:endParaRPr kumimoji="0" lang="id-ID"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endParaRPr>
        </a:p>
        <a:p>
          <a:pPr marL="0" marR="0" lvl="0" indent="0" algn="l" defTabSz="914400" eaLnBrk="1" fontAlgn="auto" latinLnBrk="0" hangingPunct="1">
            <a:lnSpc>
              <a:spcPct val="100000"/>
            </a:lnSpc>
            <a:spcBef>
              <a:spcPts val="0"/>
            </a:spcBef>
            <a:spcAft>
              <a:spcPts val="0"/>
            </a:spcAft>
            <a:buClrTx/>
            <a:buSzTx/>
            <a:buFontTx/>
            <a:buNone/>
            <a:defRPr/>
          </a:pPr>
          <a:r>
            <a:rPr kumimoji="0" lang="id-ID"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Allowance for inventory obsolescence is</a:t>
          </a:r>
          <a:r>
            <a:rPr kumimoji="0" lang="en-US"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 </a:t>
          </a:r>
          <a:r>
            <a:rPr kumimoji="0" lang="id-ID"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provided, if necessary, based on the review of</a:t>
          </a:r>
          <a:r>
            <a:rPr kumimoji="0" lang="en-US"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 </a:t>
          </a:r>
          <a:r>
            <a:rPr kumimoji="0" lang="id-ID"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the physical conditions of the inventories at</a:t>
          </a:r>
          <a:r>
            <a:rPr kumimoji="0" lang="en-US"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 </a:t>
          </a:r>
          <a:r>
            <a:rPr kumimoji="0" lang="id-ID"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the end of the year.</a:t>
          </a:r>
          <a:endParaRPr kumimoji="0" lang="en-US"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endParaRPr>
        </a:p>
        <a:p>
          <a:pPr marL="0" marR="0" lvl="0" indent="0" algn="l" defTabSz="914400" eaLnBrk="1" fontAlgn="auto" latinLnBrk="0" hangingPunct="1">
            <a:lnSpc>
              <a:spcPct val="100000"/>
            </a:lnSpc>
            <a:spcBef>
              <a:spcPts val="0"/>
            </a:spcBef>
            <a:spcAft>
              <a:spcPts val="0"/>
            </a:spcAft>
            <a:buClrTx/>
            <a:buSzTx/>
            <a:buFontTx/>
            <a:buNone/>
            <a:defRPr/>
          </a:pPr>
          <a:endParaRPr kumimoji="0" lang="en-US"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defRPr/>
          </a:pPr>
          <a:endPar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endParaRPr>
        </a:p>
      </xdr:txBody>
    </xdr:sp>
    <xdr:clientData/>
  </xdr:twoCellAnchor>
  <xdr:twoCellAnchor>
    <xdr:from>
      <xdr:col>3</xdr:col>
      <xdr:colOff>1</xdr:colOff>
      <xdr:row>47</xdr:row>
      <xdr:rowOff>0</xdr:rowOff>
    </xdr:from>
    <xdr:to>
      <xdr:col>21</xdr:col>
      <xdr:colOff>1</xdr:colOff>
      <xdr:row>55</xdr:row>
      <xdr:rowOff>152400</xdr:rowOff>
    </xdr:to>
    <xdr:sp macro="" textlink="">
      <xdr:nvSpPr>
        <xdr:cNvPr id="20" name="Rectangle 9">
          <a:extLst>
            <a:ext uri="{FF2B5EF4-FFF2-40B4-BE49-F238E27FC236}">
              <a16:creationId xmlns:a16="http://schemas.microsoft.com/office/drawing/2014/main" xmlns="" id="{00000000-0008-0000-0900-000014000000}"/>
            </a:ext>
          </a:extLst>
        </xdr:cNvPr>
        <xdr:cNvSpPr>
          <a:spLocks noChangeArrowheads="1"/>
        </xdr:cNvSpPr>
      </xdr:nvSpPr>
      <xdr:spPr>
        <a:xfrm>
          <a:off x="581026" y="7886700"/>
          <a:ext cx="4476750" cy="1447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360" tIns="27360" rIns="0" bIns="0" anchor="t" upright="1"/>
        <a:lstStyle/>
        <a:p>
          <a:pPr marL="0" marR="0" lvl="0" indent="0" algn="l" defTabSz="914400" eaLnBrk="1" fontAlgn="auto" latinLnBrk="0" hangingPunct="1">
            <a:lnSpc>
              <a:spcPct val="100000"/>
            </a:lnSpc>
            <a:spcBef>
              <a:spcPts val="0"/>
            </a:spcBef>
            <a:spcAft>
              <a:spcPts val="0"/>
            </a:spcAft>
            <a:buClrTx/>
            <a:buSzTx/>
            <a:buFontTx/>
            <a:buNone/>
            <a:defRPr/>
          </a:pP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Persediaan dinyatakan berdasarkan nilai</a:t>
          </a:r>
          <a:r>
            <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 </a:t>
          </a: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terendah antara harga perolehan atau nilai</a:t>
          </a:r>
        </a:p>
        <a:p>
          <a:pPr marL="0" marR="0" lvl="0" indent="0" algn="l" defTabSz="914400" eaLnBrk="1" fontAlgn="auto" latinLnBrk="0" hangingPunct="1">
            <a:lnSpc>
              <a:spcPct val="100000"/>
            </a:lnSpc>
            <a:spcBef>
              <a:spcPts val="0"/>
            </a:spcBef>
            <a:spcAft>
              <a:spcPts val="0"/>
            </a:spcAft>
            <a:buClrTx/>
            <a:buSzTx/>
            <a:buFontTx/>
            <a:buNone/>
            <a:defRPr/>
          </a:pP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realisasi bersih. Harga perolehan dihitung untuk</a:t>
          </a:r>
          <a:r>
            <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 </a:t>
          </a: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persediaan pada tanggal neraca dengan</a:t>
          </a:r>
        </a:p>
        <a:p>
          <a:pPr marL="0" marR="0" lvl="0" indent="0" algn="l" defTabSz="914400" eaLnBrk="1" fontAlgn="auto" latinLnBrk="0" hangingPunct="1">
            <a:lnSpc>
              <a:spcPct val="100000"/>
            </a:lnSpc>
            <a:spcBef>
              <a:spcPts val="0"/>
            </a:spcBef>
            <a:spcAft>
              <a:spcPts val="0"/>
            </a:spcAft>
            <a:buClrTx/>
            <a:buSzTx/>
            <a:buFontTx/>
            <a:buNone/>
            <a:defRPr/>
          </a:pP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menggunakan metode rata-rata </a:t>
          </a:r>
          <a:r>
            <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 kecuali harga perolehen persediaan usaha pelengkap.</a:t>
          </a:r>
        </a:p>
        <a:p>
          <a:pPr marL="0" marR="0" lvl="0" indent="0" algn="l" defTabSz="914400" eaLnBrk="1" fontAlgn="auto" latinLnBrk="0" hangingPunct="1">
            <a:lnSpc>
              <a:spcPct val="100000"/>
            </a:lnSpc>
            <a:spcBef>
              <a:spcPts val="0"/>
            </a:spcBef>
            <a:spcAft>
              <a:spcPts val="0"/>
            </a:spcAft>
            <a:buClrTx/>
            <a:buSzTx/>
            <a:buFontTx/>
            <a:buNone/>
            <a:defRPr/>
          </a:pPr>
          <a:r>
            <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Persediaan tidak termasuk persediaan konsinyasi.</a:t>
          </a:r>
        </a:p>
        <a:p>
          <a:pPr marL="0" marR="0" lvl="0" indent="0" algn="l" defTabSz="914400" eaLnBrk="1" fontAlgn="auto" latinLnBrk="0" hangingPunct="1">
            <a:lnSpc>
              <a:spcPct val="100000"/>
            </a:lnSpc>
            <a:spcBef>
              <a:spcPts val="0"/>
            </a:spcBef>
            <a:spcAft>
              <a:spcPts val="0"/>
            </a:spcAft>
            <a:buClrTx/>
            <a:buSzTx/>
            <a:buFontTx/>
            <a:buNone/>
            <a:defRPr/>
          </a:pP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Nilai realisasi bersih adalah estimasi harga</a:t>
          </a:r>
          <a:r>
            <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 </a:t>
          </a: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penjualan dalam kegiatan usaha normal</a:t>
          </a:r>
          <a:r>
            <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 </a:t>
          </a: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dikurangi estimasi beban penjualan.</a:t>
          </a:r>
        </a:p>
        <a:p>
          <a:pPr marL="0" marR="0" lvl="0" indent="0" algn="l" defTabSz="914400" eaLnBrk="1" fontAlgn="auto" latinLnBrk="0" hangingPunct="1">
            <a:lnSpc>
              <a:spcPct val="100000"/>
            </a:lnSpc>
            <a:spcBef>
              <a:spcPts val="0"/>
            </a:spcBef>
            <a:spcAft>
              <a:spcPts val="0"/>
            </a:spcAft>
            <a:buClrTx/>
            <a:buSzTx/>
            <a:buFontTx/>
            <a:buNone/>
            <a:defRPr/>
          </a:pPr>
          <a:endPar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endParaRPr>
        </a:p>
        <a:p>
          <a:pPr marL="0" marR="0" lvl="0" indent="0" algn="l" defTabSz="914400" eaLnBrk="1" fontAlgn="auto" latinLnBrk="0" hangingPunct="1">
            <a:lnSpc>
              <a:spcPct val="100000"/>
            </a:lnSpc>
            <a:spcBef>
              <a:spcPts val="0"/>
            </a:spcBef>
            <a:spcAft>
              <a:spcPts val="0"/>
            </a:spcAft>
            <a:buClrTx/>
            <a:buSzTx/>
            <a:buFontTx/>
            <a:buNone/>
            <a:defRPr/>
          </a:pPr>
          <a:r>
            <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Penyisihan untuk persediaan usang,  jika diperlukan, ditentukan berdasarkan hasil</a:t>
          </a:r>
        </a:p>
        <a:p>
          <a:pPr marL="0" marR="0" lvl="0" indent="0" algn="l" defTabSz="914400" eaLnBrk="1" fontAlgn="auto" latinLnBrk="0" hangingPunct="1">
            <a:lnSpc>
              <a:spcPct val="100000"/>
            </a:lnSpc>
            <a:spcBef>
              <a:spcPts val="0"/>
            </a:spcBef>
            <a:spcAft>
              <a:spcPts val="0"/>
            </a:spcAft>
            <a:buClrTx/>
            <a:buSzTx/>
            <a:buFontTx/>
            <a:buNone/>
            <a:defRPr/>
          </a:pPr>
          <a:r>
            <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penelaahan terhadap keadaan fisik persediaan pada akhir tahun.</a:t>
          </a:r>
        </a:p>
        <a:p>
          <a:pPr marL="0" marR="0" lvl="0" indent="0" algn="l" defTabSz="914400" eaLnBrk="1" fontAlgn="auto" latinLnBrk="0" hangingPunct="1">
            <a:lnSpc>
              <a:spcPct val="100000"/>
            </a:lnSpc>
            <a:spcBef>
              <a:spcPts val="0"/>
            </a:spcBef>
            <a:spcAft>
              <a:spcPts val="0"/>
            </a:spcAft>
            <a:buClrTx/>
            <a:buSzTx/>
            <a:buFontTx/>
            <a:buNone/>
            <a:defRPr/>
          </a:pPr>
          <a:endPar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endParaRPr>
        </a:p>
        <a:p>
          <a:pPr marL="0" marR="0" lvl="0" indent="0" algn="l" defTabSz="914400" eaLnBrk="1" fontAlgn="auto" latinLnBrk="0" hangingPunct="1">
            <a:lnSpc>
              <a:spcPct val="100000"/>
            </a:lnSpc>
            <a:spcBef>
              <a:spcPts val="0"/>
            </a:spcBef>
            <a:spcAft>
              <a:spcPts val="0"/>
            </a:spcAft>
            <a:buClrTx/>
            <a:buSzTx/>
            <a:buFontTx/>
            <a:buNone/>
            <a:defRPr/>
          </a:pPr>
          <a:endPar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defRPr/>
          </a:pPr>
          <a:endPar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defRPr/>
          </a:pPr>
          <a:endPar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defRPr/>
          </a:pPr>
          <a:endPar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endParaRPr>
        </a:p>
      </xdr:txBody>
    </xdr:sp>
    <xdr:clientData/>
  </xdr:twoCellAnchor>
  <xdr:twoCellAnchor>
    <xdr:from>
      <xdr:col>2</xdr:col>
      <xdr:colOff>190500</xdr:colOff>
      <xdr:row>58</xdr:row>
      <xdr:rowOff>1</xdr:rowOff>
    </xdr:from>
    <xdr:to>
      <xdr:col>20</xdr:col>
      <xdr:colOff>238124</xdr:colOff>
      <xdr:row>65</xdr:row>
      <xdr:rowOff>95250</xdr:rowOff>
    </xdr:to>
    <xdr:sp macro="" textlink="">
      <xdr:nvSpPr>
        <xdr:cNvPr id="21" name="Rectangle 9">
          <a:extLst>
            <a:ext uri="{FF2B5EF4-FFF2-40B4-BE49-F238E27FC236}">
              <a16:creationId xmlns:a16="http://schemas.microsoft.com/office/drawing/2014/main" xmlns="" id="{00000000-0008-0000-0900-000015000000}"/>
            </a:ext>
          </a:extLst>
        </xdr:cNvPr>
        <xdr:cNvSpPr>
          <a:spLocks noChangeArrowheads="1"/>
        </xdr:cNvSpPr>
      </xdr:nvSpPr>
      <xdr:spPr>
        <a:xfrm>
          <a:off x="581025" y="9677401"/>
          <a:ext cx="4343399" cy="12287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360" tIns="27360" rIns="0" bIns="0" anchor="t" upright="1"/>
        <a:lstStyle/>
        <a:p>
          <a:pPr marL="0" marR="0" lvl="0" indent="0" algn="l" defTabSz="914400" eaLnBrk="1" fontAlgn="auto" latinLnBrk="0" hangingPunct="1">
            <a:lnSpc>
              <a:spcPct val="100000"/>
            </a:lnSpc>
            <a:spcBef>
              <a:spcPts val="0"/>
            </a:spcBef>
            <a:spcAft>
              <a:spcPts val="0"/>
            </a:spcAft>
            <a:buClrTx/>
            <a:buSzTx/>
            <a:buFontTx/>
            <a:buNone/>
            <a:defRPr/>
          </a:pP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A</a:t>
          </a:r>
          <a:r>
            <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set</a:t>
          </a: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 tetap diakui sebesar harga perolehan dikurangi dengan akumulasi penyusutan. </a:t>
          </a:r>
          <a:endPar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endParaRPr>
        </a:p>
        <a:p>
          <a:pPr marL="0" marR="0" lvl="0" indent="0" algn="l" defTabSz="914400" eaLnBrk="1" fontAlgn="auto" latinLnBrk="0" hangingPunct="1">
            <a:lnSpc>
              <a:spcPct val="100000"/>
            </a:lnSpc>
            <a:spcBef>
              <a:spcPts val="0"/>
            </a:spcBef>
            <a:spcAft>
              <a:spcPts val="0"/>
            </a:spcAft>
            <a:buClrTx/>
            <a:buSzTx/>
            <a:buFontTx/>
            <a:buNone/>
            <a:defRPr/>
          </a:pPr>
          <a:r>
            <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Biaya perolehan awal aset tetap meliputi harga perolehan, termasuk bea impor dan pajak pembelian dan biaya-biaya yang dapat diatribusikan secara langsung untuk membawa aset ke lokasi dan kondisi yang diinginkan sesuai dengan tujuan penggunaan yang ditetapkan. </a:t>
          </a:r>
        </a:p>
        <a:p>
          <a:pPr marL="0" marR="0" lvl="0" indent="0" algn="l" defTabSz="914400" eaLnBrk="1" fontAlgn="auto" latinLnBrk="0" hangingPunct="1">
            <a:lnSpc>
              <a:spcPct val="100000"/>
            </a:lnSpc>
            <a:spcBef>
              <a:spcPts val="0"/>
            </a:spcBef>
            <a:spcAft>
              <a:spcPts val="0"/>
            </a:spcAft>
            <a:buClrTx/>
            <a:buSzTx/>
            <a:buFontTx/>
            <a:buNone/>
            <a:defRPr/>
          </a:pP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Semua a</a:t>
          </a:r>
          <a:r>
            <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set</a:t>
          </a: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 tetap</a:t>
          </a:r>
          <a:r>
            <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 disusutkan</a:t>
          </a: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 kecuali tanah</a:t>
          </a:r>
          <a:r>
            <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 Penyusutan dihitung </a:t>
          </a: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dengan </a:t>
          </a:r>
          <a:r>
            <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m</a:t>
          </a: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enggunakan metode garis lurus terhadap harga perolehan selama estimasi masa manfaatnya sebagai berikut: </a:t>
          </a:r>
          <a:r>
            <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 </a:t>
          </a:r>
        </a:p>
        <a:p>
          <a:pPr marL="0" marR="0" lvl="0" indent="0" algn="l" defTabSz="914400" eaLnBrk="1" fontAlgn="auto" latinLnBrk="0" hangingPunct="1">
            <a:lnSpc>
              <a:spcPct val="100000"/>
            </a:lnSpc>
            <a:spcBef>
              <a:spcPts val="0"/>
            </a:spcBef>
            <a:spcAft>
              <a:spcPts val="0"/>
            </a:spcAft>
            <a:buClrTx/>
            <a:buSzTx/>
            <a:buFontTx/>
            <a:buNone/>
            <a:defRPr/>
          </a:pPr>
          <a:endPar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defRPr/>
          </a:pPr>
          <a:endPar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defRPr/>
          </a:pPr>
          <a:endPar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defRPr/>
          </a:pPr>
          <a:endPar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endParaRPr>
        </a:p>
      </xdr:txBody>
    </xdr:sp>
    <xdr:clientData/>
  </xdr:twoCellAnchor>
  <xdr:twoCellAnchor>
    <xdr:from>
      <xdr:col>25</xdr:col>
      <xdr:colOff>11208</xdr:colOff>
      <xdr:row>57</xdr:row>
      <xdr:rowOff>161924</xdr:rowOff>
    </xdr:from>
    <xdr:to>
      <xdr:col>41</xdr:col>
      <xdr:colOff>95250</xdr:colOff>
      <xdr:row>66</xdr:row>
      <xdr:rowOff>0</xdr:rowOff>
    </xdr:to>
    <xdr:sp macro="" textlink="">
      <xdr:nvSpPr>
        <xdr:cNvPr id="22" name="Rectangle 9">
          <a:extLst>
            <a:ext uri="{FF2B5EF4-FFF2-40B4-BE49-F238E27FC236}">
              <a16:creationId xmlns:a16="http://schemas.microsoft.com/office/drawing/2014/main" xmlns="" id="{00000000-0008-0000-0900-000016000000}"/>
            </a:ext>
          </a:extLst>
        </xdr:cNvPr>
        <xdr:cNvSpPr>
          <a:spLocks noChangeArrowheads="1"/>
        </xdr:cNvSpPr>
      </xdr:nvSpPr>
      <xdr:spPr>
        <a:xfrm>
          <a:off x="6107208" y="9667874"/>
          <a:ext cx="4636992" cy="13049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360" tIns="27360" rIns="0" bIns="0" anchor="t" upright="1"/>
        <a:lstStyle/>
        <a:p>
          <a:pPr marL="0" marR="0" lvl="0" indent="0" algn="l" defTabSz="914400" eaLnBrk="1" fontAlgn="auto" latinLnBrk="0" hangingPunct="1">
            <a:lnSpc>
              <a:spcPct val="100000"/>
            </a:lnSpc>
            <a:spcBef>
              <a:spcPts val="0"/>
            </a:spcBef>
            <a:spcAft>
              <a:spcPts val="0"/>
            </a:spcAft>
            <a:buClrTx/>
            <a:buSzTx/>
            <a:buFontTx/>
            <a:buNone/>
            <a:defRPr/>
          </a:pPr>
          <a:r>
            <a:rPr kumimoji="0" lang="id-ID"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Fixed assets are stated at cost less accumulated depreciation. </a:t>
          </a:r>
          <a:r>
            <a:rPr kumimoji="0" lang="en-US"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 </a:t>
          </a:r>
        </a:p>
        <a:p>
          <a:pPr marL="0" marR="0" lvl="0" indent="0" algn="l" defTabSz="914400" eaLnBrk="1" fontAlgn="auto" latinLnBrk="0" hangingPunct="1">
            <a:lnSpc>
              <a:spcPct val="100000"/>
            </a:lnSpc>
            <a:spcBef>
              <a:spcPts val="0"/>
            </a:spcBef>
            <a:spcAft>
              <a:spcPts val="0"/>
            </a:spcAft>
            <a:buClrTx/>
            <a:buSzTx/>
            <a:buFontTx/>
            <a:buNone/>
            <a:defRPr/>
          </a:pPr>
          <a:r>
            <a:rPr kumimoji="0" lang="en-US"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The initial cost of property, plant and equipment consists of its purchase price, including import duties and taxes and any directly attributable costs in bringing the property, plant and equipment to its working condition and location for its intended use .</a:t>
          </a:r>
        </a:p>
        <a:p>
          <a:pPr marL="0" marR="0" lvl="0" indent="0" algn="l" defTabSz="914400" eaLnBrk="1" fontAlgn="auto" latinLnBrk="0" hangingPunct="1">
            <a:lnSpc>
              <a:spcPct val="100000"/>
            </a:lnSpc>
            <a:spcBef>
              <a:spcPts val="0"/>
            </a:spcBef>
            <a:spcAft>
              <a:spcPts val="0"/>
            </a:spcAft>
            <a:buClrTx/>
            <a:buSzTx/>
            <a:buFontTx/>
            <a:buNone/>
            <a:defRPr/>
          </a:pPr>
          <a:r>
            <a:rPr kumimoji="0" lang="en-US"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All fixed assets are depreciated, except land. Depreciation is calculated on  the straight-line method over their estimated useful lives as follows: </a:t>
          </a:r>
        </a:p>
        <a:p>
          <a:pPr marL="0" marR="0" lvl="0" indent="0" algn="l" defTabSz="914400" eaLnBrk="1" fontAlgn="auto" latinLnBrk="0" hangingPunct="1">
            <a:lnSpc>
              <a:spcPct val="100000"/>
            </a:lnSpc>
            <a:spcBef>
              <a:spcPts val="0"/>
            </a:spcBef>
            <a:spcAft>
              <a:spcPts val="0"/>
            </a:spcAft>
            <a:buClrTx/>
            <a:buSzTx/>
            <a:buFontTx/>
            <a:buNone/>
            <a:defRPr/>
          </a:pPr>
          <a:endParaRPr kumimoji="0" lang="en-US"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endParaRPr>
        </a:p>
        <a:p>
          <a:pPr marL="0" marR="0" lvl="0" indent="0" algn="l" defTabSz="914400" eaLnBrk="1" fontAlgn="auto" latinLnBrk="0" hangingPunct="1">
            <a:lnSpc>
              <a:spcPct val="100000"/>
            </a:lnSpc>
            <a:spcBef>
              <a:spcPts val="0"/>
            </a:spcBef>
            <a:spcAft>
              <a:spcPts val="0"/>
            </a:spcAft>
            <a:buClrTx/>
            <a:buSzTx/>
            <a:buFontTx/>
            <a:buNone/>
            <a:defRPr/>
          </a:pPr>
          <a:endParaRPr kumimoji="0" lang="en-US"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endParaRPr>
        </a:p>
        <a:p>
          <a:pPr marL="0" marR="0" lvl="0" indent="0" algn="l" defTabSz="914400" eaLnBrk="1" fontAlgn="auto" latinLnBrk="0" hangingPunct="1">
            <a:lnSpc>
              <a:spcPct val="100000"/>
            </a:lnSpc>
            <a:spcBef>
              <a:spcPts val="0"/>
            </a:spcBef>
            <a:spcAft>
              <a:spcPts val="0"/>
            </a:spcAft>
            <a:buClrTx/>
            <a:buSzTx/>
            <a:buFontTx/>
            <a:buNone/>
            <a:defRPr/>
          </a:pPr>
          <a:endParaRPr kumimoji="0" lang="en-US"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defRPr/>
          </a:pPr>
          <a:endPar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endParaRPr>
        </a:p>
      </xdr:txBody>
    </xdr:sp>
    <xdr:clientData/>
  </xdr:twoCellAnchor>
  <xdr:twoCellAnchor>
    <xdr:from>
      <xdr:col>3</xdr:col>
      <xdr:colOff>0</xdr:colOff>
      <xdr:row>77</xdr:row>
      <xdr:rowOff>89647</xdr:rowOff>
    </xdr:from>
    <xdr:to>
      <xdr:col>21</xdr:col>
      <xdr:colOff>1361</xdr:colOff>
      <xdr:row>96</xdr:row>
      <xdr:rowOff>0</xdr:rowOff>
    </xdr:to>
    <xdr:sp macro="" textlink="">
      <xdr:nvSpPr>
        <xdr:cNvPr id="23" name="Rectangle 9">
          <a:extLst>
            <a:ext uri="{FF2B5EF4-FFF2-40B4-BE49-F238E27FC236}">
              <a16:creationId xmlns:a16="http://schemas.microsoft.com/office/drawing/2014/main" xmlns="" id="{00000000-0008-0000-0900-000017000000}"/>
            </a:ext>
          </a:extLst>
        </xdr:cNvPr>
        <xdr:cNvSpPr>
          <a:spLocks noChangeArrowheads="1"/>
        </xdr:cNvSpPr>
      </xdr:nvSpPr>
      <xdr:spPr>
        <a:xfrm>
          <a:off x="581025" y="12843622"/>
          <a:ext cx="4478111" cy="29869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360" tIns="27360" rIns="0" bIns="0" anchor="t" upright="1"/>
        <a:lstStyle/>
        <a:p>
          <a:pPr marL="0" marR="0" lvl="0" indent="0" algn="l" defTabSz="914400" eaLnBrk="1" fontAlgn="auto" latinLnBrk="0" hangingPunct="1">
            <a:lnSpc>
              <a:spcPct val="100000"/>
            </a:lnSpc>
            <a:spcBef>
              <a:spcPts val="0"/>
            </a:spcBef>
            <a:spcAft>
              <a:spcPts val="0"/>
            </a:spcAft>
            <a:buClrTx/>
            <a:buSzTx/>
            <a:buFontTx/>
            <a:buNone/>
            <a:defRPr/>
          </a:pPr>
          <a:r>
            <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Beban pemeliharaan dan perbaikan dibebankan pada laporan pendapatan, beban dan perubahan aset bersih tidak terikat pada saat terjadinya; pemugaran dan penambahan dalam jumlah signifikan dan yang diperkirakan akan memperpanjang masa manfaat aktiva tetap dikapitalisasi ke akun aset tetap yang bersangkutan dan disusutkan sesuai dengan tarif penyusutan yang berlaku.  </a:t>
          </a:r>
        </a:p>
        <a:p>
          <a:pPr marL="0" marR="0" lvl="0" indent="0" algn="l" defTabSz="914400" eaLnBrk="1" fontAlgn="auto" latinLnBrk="0" hangingPunct="1">
            <a:lnSpc>
              <a:spcPct val="100000"/>
            </a:lnSpc>
            <a:spcBef>
              <a:spcPts val="0"/>
            </a:spcBef>
            <a:spcAft>
              <a:spcPts val="0"/>
            </a:spcAft>
            <a:buClrTx/>
            <a:buSzTx/>
            <a:buFontTx/>
            <a:buNone/>
            <a:defRPr/>
          </a:pPr>
          <a:endPar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endParaRPr>
        </a:p>
        <a:p>
          <a:pPr marL="0" marR="0" lvl="0" indent="0" algn="l" defTabSz="914400" eaLnBrk="1" fontAlgn="auto" latinLnBrk="0" hangingPunct="1">
            <a:lnSpc>
              <a:spcPct val="100000"/>
            </a:lnSpc>
            <a:spcBef>
              <a:spcPts val="0"/>
            </a:spcBef>
            <a:spcAft>
              <a:spcPts val="0"/>
            </a:spcAft>
            <a:buClrTx/>
            <a:buSzTx/>
            <a:buFontTx/>
            <a:buNone/>
            <a:defRPr/>
          </a:pPr>
          <a:r>
            <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A</a:t>
          </a: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set tetap</a:t>
          </a: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 </a:t>
          </a: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yang sudah tidak dipergunakan lagi atau yang</a:t>
          </a: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 </a:t>
          </a: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dijual, nilai tercatat dan akumulasi</a:t>
          </a: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 </a:t>
          </a: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penyusutannya dikeluarkan dari kelompok</a:t>
          </a: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 </a:t>
          </a: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aktiva tetap yang bersangkutan, dan laba atau</a:t>
          </a: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 </a:t>
          </a: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rugi yang terjadi dikreditkan atau dibebankan</a:t>
          </a: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 </a:t>
          </a: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pada operasi tahun berjalan.</a:t>
          </a: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 </a:t>
          </a:r>
          <a:endPar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endParaRPr>
        </a:p>
        <a:p>
          <a:pPr marL="0" marR="0" lvl="0" indent="0" algn="l" defTabSz="914400" eaLnBrk="1" fontAlgn="auto" latinLnBrk="0" hangingPunct="1">
            <a:lnSpc>
              <a:spcPct val="100000"/>
            </a:lnSpc>
            <a:spcBef>
              <a:spcPts val="0"/>
            </a:spcBef>
            <a:spcAft>
              <a:spcPts val="0"/>
            </a:spcAft>
            <a:buClrTx/>
            <a:buSzTx/>
            <a:buFontTx/>
            <a:buNone/>
            <a:defRPr/>
          </a:pPr>
          <a:endPar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endParaRPr>
        </a:p>
        <a:p>
          <a:pPr marL="0" marR="0" lvl="0" indent="0" algn="l" defTabSz="914400" eaLnBrk="1" fontAlgn="auto" latinLnBrk="0" hangingPunct="1">
            <a:lnSpc>
              <a:spcPct val="100000"/>
            </a:lnSpc>
            <a:spcBef>
              <a:spcPts val="0"/>
            </a:spcBef>
            <a:spcAft>
              <a:spcPts val="0"/>
            </a:spcAft>
            <a:buClrTx/>
            <a:buSzTx/>
            <a:buFontTx/>
            <a:buNone/>
            <a:defRPr/>
          </a:pPr>
          <a:r>
            <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Aktiva dalam penyelesaian dinyatakan sebesar biaya perolehan, tidak disusutkan dan disajikan sebagai bagian dari aktiva tetap. Akumulasi biaya perolehan akan direklasifikasi ke masing masing akun aktiva tetap yang bersangkutan pada saat aktiva tersebut selesai dikerjakan dan siap untuk digunakan. Penyusutan mulai dibebankan pada saat aktiva tersebut siap digunakan. </a:t>
          </a:r>
        </a:p>
        <a:p>
          <a:pPr marL="0" marR="0" lvl="0" indent="0" algn="l" defTabSz="914400" eaLnBrk="1" fontAlgn="auto" latinLnBrk="0" hangingPunct="1">
            <a:lnSpc>
              <a:spcPct val="100000"/>
            </a:lnSpc>
            <a:spcBef>
              <a:spcPts val="0"/>
            </a:spcBef>
            <a:spcAft>
              <a:spcPts val="0"/>
            </a:spcAft>
            <a:buClrTx/>
            <a:buSzTx/>
            <a:buFontTx/>
            <a:buNone/>
            <a:defRPr/>
          </a:pPr>
          <a:endPar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endParaRPr>
        </a:p>
        <a:p>
          <a:pPr marL="0" marR="0" lvl="0" indent="0" algn="l" defTabSz="914400" eaLnBrk="1" fontAlgn="auto" latinLnBrk="0" hangingPunct="1">
            <a:lnSpc>
              <a:spcPct val="100000"/>
            </a:lnSpc>
            <a:spcBef>
              <a:spcPts val="0"/>
            </a:spcBef>
            <a:spcAft>
              <a:spcPts val="0"/>
            </a:spcAft>
            <a:buClrTx/>
            <a:buSzTx/>
            <a:buFontTx/>
            <a:buNone/>
            <a:defRPr/>
          </a:pPr>
          <a:r>
            <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Tanah dengan rencana penggunaan di masa mendatang dan aktiva yang tidak digunakan dalam usaha diklasifikasikan sebagai aktiva lain-lain. </a:t>
          </a:r>
        </a:p>
        <a:p>
          <a:pPr marL="0" marR="0" lvl="0" indent="0" algn="l" defTabSz="914400" eaLnBrk="1" fontAlgn="auto" latinLnBrk="0" hangingPunct="1">
            <a:lnSpc>
              <a:spcPct val="100000"/>
            </a:lnSpc>
            <a:spcBef>
              <a:spcPts val="0"/>
            </a:spcBef>
            <a:spcAft>
              <a:spcPts val="0"/>
            </a:spcAft>
            <a:buClrTx/>
            <a:buSzTx/>
            <a:buFontTx/>
            <a:buNone/>
            <a:defRPr/>
          </a:pPr>
          <a:r>
            <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 </a:t>
          </a:r>
        </a:p>
        <a:p>
          <a:pPr marL="0" marR="0" lvl="0" indent="0" algn="l" defTabSz="914400" eaLnBrk="1" fontAlgn="auto" latinLnBrk="0" hangingPunct="1">
            <a:lnSpc>
              <a:spcPct val="100000"/>
            </a:lnSpc>
            <a:spcBef>
              <a:spcPts val="0"/>
            </a:spcBef>
            <a:spcAft>
              <a:spcPts val="0"/>
            </a:spcAft>
            <a:buClrTx/>
            <a:buSzTx/>
            <a:buFontTx/>
            <a:buNone/>
            <a:defRPr/>
          </a:pPr>
          <a:endPar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defRPr/>
          </a:pPr>
          <a:endPar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defRPr/>
          </a:pPr>
          <a:endPar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defRPr/>
          </a:pPr>
          <a:endPar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endParaRPr>
        </a:p>
      </xdr:txBody>
    </xdr:sp>
    <xdr:clientData/>
  </xdr:twoCellAnchor>
  <xdr:twoCellAnchor>
    <xdr:from>
      <xdr:col>25</xdr:col>
      <xdr:colOff>2</xdr:colOff>
      <xdr:row>77</xdr:row>
      <xdr:rowOff>0</xdr:rowOff>
    </xdr:from>
    <xdr:to>
      <xdr:col>42</xdr:col>
      <xdr:colOff>722</xdr:colOff>
      <xdr:row>96</xdr:row>
      <xdr:rowOff>0</xdr:rowOff>
    </xdr:to>
    <xdr:sp macro="" textlink="">
      <xdr:nvSpPr>
        <xdr:cNvPr id="24" name="Rectangle 9">
          <a:extLst>
            <a:ext uri="{FF2B5EF4-FFF2-40B4-BE49-F238E27FC236}">
              <a16:creationId xmlns:a16="http://schemas.microsoft.com/office/drawing/2014/main" xmlns="" id="{00000000-0008-0000-0900-000018000000}"/>
            </a:ext>
          </a:extLst>
        </xdr:cNvPr>
        <xdr:cNvSpPr>
          <a:spLocks noChangeArrowheads="1"/>
        </xdr:cNvSpPr>
      </xdr:nvSpPr>
      <xdr:spPr>
        <a:xfrm>
          <a:off x="6096002" y="12753975"/>
          <a:ext cx="4648920" cy="3076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360" tIns="27360" rIns="0" bIns="0" anchor="t" upright="1"/>
        <a:lstStyle/>
        <a:p>
          <a:pPr marL="0" marR="0" lvl="0" indent="0" algn="l" defTabSz="914400" eaLnBrk="1" fontAlgn="auto" latinLnBrk="0" hangingPunct="1">
            <a:lnSpc>
              <a:spcPct val="100000"/>
            </a:lnSpc>
            <a:spcBef>
              <a:spcPts val="0"/>
            </a:spcBef>
            <a:spcAft>
              <a:spcPts val="0"/>
            </a:spcAft>
            <a:buClrTx/>
            <a:buSzTx/>
            <a:buFontTx/>
            <a:buNone/>
            <a:defRPr/>
          </a:pPr>
          <a:r>
            <a:rPr kumimoji="0" lang="en-US"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The costs of maintenance and repairs are charged to statements of revenues, expenses and changes in unrestricted net assets as incurred; significant renewals and betterments that are expected to prolong the useful lives of the assets are capitalized and depreciated based on applicable depreciation rates.   </a:t>
          </a:r>
        </a:p>
        <a:p>
          <a:pPr marL="0" marR="0" lvl="0" indent="0" algn="l" defTabSz="914400" eaLnBrk="1" fontAlgn="auto" latinLnBrk="0" hangingPunct="1">
            <a:lnSpc>
              <a:spcPct val="100000"/>
            </a:lnSpc>
            <a:spcBef>
              <a:spcPts val="0"/>
            </a:spcBef>
            <a:spcAft>
              <a:spcPts val="0"/>
            </a:spcAft>
            <a:buClrTx/>
            <a:buSzTx/>
            <a:buFontTx/>
            <a:buNone/>
            <a:defRPr/>
          </a:pPr>
          <a:endParaRPr kumimoji="0" lang="en-US"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endParaRPr>
        </a:p>
        <a:p>
          <a:pPr marL="0" marR="0" lvl="0" indent="0" algn="l" defTabSz="914400" eaLnBrk="1" fontAlgn="auto" latinLnBrk="0" hangingPunct="1">
            <a:lnSpc>
              <a:spcPct val="100000"/>
            </a:lnSpc>
            <a:spcBef>
              <a:spcPts val="0"/>
            </a:spcBef>
            <a:spcAft>
              <a:spcPts val="0"/>
            </a:spcAft>
            <a:buClrTx/>
            <a:buSzTx/>
            <a:buFontTx/>
            <a:buNone/>
            <a:defRPr/>
          </a:pPr>
          <a:endParaRPr kumimoji="0" lang="en-US"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endParaRPr>
        </a:p>
        <a:p>
          <a:pPr marL="0" marR="0" lvl="0" indent="0" algn="l" defTabSz="914400" eaLnBrk="1" fontAlgn="auto" latinLnBrk="0" hangingPunct="1">
            <a:lnSpc>
              <a:spcPct val="100000"/>
            </a:lnSpc>
            <a:spcBef>
              <a:spcPts val="0"/>
            </a:spcBef>
            <a:spcAft>
              <a:spcPts val="0"/>
            </a:spcAft>
            <a:buClrTx/>
            <a:buSzTx/>
            <a:buFontTx/>
            <a:buNone/>
            <a:defRPr/>
          </a:pPr>
          <a:r>
            <a:rPr kumimoji="0" lang="en-US"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When assets are retired or otherwise disposed of, their carrying values and the related accumulated depreciation are removed from the accounts and any resulting gains or losses are reflected in the current operations </a:t>
          </a:r>
        </a:p>
        <a:p>
          <a:pPr marL="0" marR="0" lvl="0" indent="0" algn="l" defTabSz="914400" eaLnBrk="1" fontAlgn="auto" latinLnBrk="0" hangingPunct="1">
            <a:lnSpc>
              <a:spcPct val="100000"/>
            </a:lnSpc>
            <a:spcBef>
              <a:spcPts val="0"/>
            </a:spcBef>
            <a:spcAft>
              <a:spcPts val="0"/>
            </a:spcAft>
            <a:buClrTx/>
            <a:buSzTx/>
            <a:buFontTx/>
            <a:buNone/>
            <a:defRPr/>
          </a:pPr>
          <a:endParaRPr kumimoji="0" lang="en-US"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endParaRPr>
        </a:p>
        <a:p>
          <a:pPr marL="0" marR="0" lvl="0" indent="0" algn="l" defTabSz="914400" eaLnBrk="1" fontAlgn="auto" latinLnBrk="0" hangingPunct="1">
            <a:lnSpc>
              <a:spcPct val="100000"/>
            </a:lnSpc>
            <a:spcBef>
              <a:spcPts val="0"/>
            </a:spcBef>
            <a:spcAft>
              <a:spcPts val="0"/>
            </a:spcAft>
            <a:buClrTx/>
            <a:buSzTx/>
            <a:buFontTx/>
            <a:buNone/>
            <a:defRPr/>
          </a:pPr>
          <a:r>
            <a:rPr kumimoji="0" lang="en-US"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Construction in progress is carried at cost, not depreciated and presented as part of property , and equipment. The accumulated costs will be reclassified to the appropriate property and equipment account when construction is substantially completed and the asset is ready for its intended use. Depreciation is charged  from the date when assets are available for use. </a:t>
          </a:r>
        </a:p>
        <a:p>
          <a:pPr marL="0" marR="0" lvl="0" indent="0" algn="l" defTabSz="914400" eaLnBrk="1" fontAlgn="auto" latinLnBrk="0" hangingPunct="1">
            <a:lnSpc>
              <a:spcPct val="100000"/>
            </a:lnSpc>
            <a:spcBef>
              <a:spcPts val="0"/>
            </a:spcBef>
            <a:spcAft>
              <a:spcPts val="0"/>
            </a:spcAft>
            <a:buClrTx/>
            <a:buSzTx/>
            <a:buFontTx/>
            <a:buNone/>
            <a:defRPr/>
          </a:pPr>
          <a:r>
            <a:rPr kumimoji="0" lang="en-US"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 </a:t>
          </a:r>
        </a:p>
        <a:p>
          <a:pPr marL="0" marR="0" lvl="0" indent="0" algn="l" defTabSz="914400" eaLnBrk="1" fontAlgn="auto" latinLnBrk="0" hangingPunct="1">
            <a:lnSpc>
              <a:spcPct val="100000"/>
            </a:lnSpc>
            <a:spcBef>
              <a:spcPts val="0"/>
            </a:spcBef>
            <a:spcAft>
              <a:spcPts val="0"/>
            </a:spcAft>
            <a:buClrTx/>
            <a:buSzTx/>
            <a:buFontTx/>
            <a:buNone/>
            <a:defRPr/>
          </a:pPr>
          <a:r>
            <a:rPr kumimoji="0" lang="en-US"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Land held for future usage and assets not used in operations are classified as other assets.</a:t>
          </a:r>
        </a:p>
        <a:p>
          <a:pPr marL="0" marR="0" lvl="0" indent="0" defTabSz="914400" eaLnBrk="1" fontAlgn="auto" latinLnBrk="0" hangingPunct="1">
            <a:lnSpc>
              <a:spcPct val="100000"/>
            </a:lnSpc>
            <a:spcBef>
              <a:spcPts val="0"/>
            </a:spcBef>
            <a:spcAft>
              <a:spcPts val="0"/>
            </a:spcAft>
            <a:buClrTx/>
            <a:buSzTx/>
            <a:buFontTx/>
            <a:buNone/>
            <a:defRPr/>
          </a:pPr>
          <a:endPar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endParaRPr>
        </a:p>
      </xdr:txBody>
    </xdr:sp>
    <xdr:clientData/>
  </xdr:twoCellAnchor>
  <xdr:twoCellAnchor>
    <xdr:from>
      <xdr:col>3</xdr:col>
      <xdr:colOff>0</xdr:colOff>
      <xdr:row>97</xdr:row>
      <xdr:rowOff>1</xdr:rowOff>
    </xdr:from>
    <xdr:to>
      <xdr:col>20</xdr:col>
      <xdr:colOff>0</xdr:colOff>
      <xdr:row>120</xdr:row>
      <xdr:rowOff>0</xdr:rowOff>
    </xdr:to>
    <xdr:sp macro="" textlink="">
      <xdr:nvSpPr>
        <xdr:cNvPr id="25" name="Rectangle 9">
          <a:extLst>
            <a:ext uri="{FF2B5EF4-FFF2-40B4-BE49-F238E27FC236}">
              <a16:creationId xmlns:a16="http://schemas.microsoft.com/office/drawing/2014/main" xmlns="" id="{00000000-0008-0000-0900-000019000000}"/>
            </a:ext>
          </a:extLst>
        </xdr:cNvPr>
        <xdr:cNvSpPr>
          <a:spLocks noChangeArrowheads="1"/>
        </xdr:cNvSpPr>
      </xdr:nvSpPr>
      <xdr:spPr>
        <a:xfrm>
          <a:off x="581025" y="16002001"/>
          <a:ext cx="4105275" cy="40290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360" tIns="27360" rIns="0" bIns="0" anchor="t" upright="1"/>
        <a:lstStyle/>
        <a:p>
          <a:pPr marL="0" marR="0" lvl="0" indent="0" algn="l" defTabSz="914400" eaLnBrk="1" fontAlgn="auto" latinLnBrk="0" hangingPunct="1">
            <a:lnSpc>
              <a:spcPct val="100000"/>
            </a:lnSpc>
            <a:spcBef>
              <a:spcPts val="0"/>
            </a:spcBef>
            <a:spcAft>
              <a:spcPts val="0"/>
            </a:spcAft>
            <a:buClrTx/>
            <a:buSzTx/>
            <a:buFontTx/>
            <a:buNone/>
            <a:defRPr/>
          </a:pPr>
          <a:r>
            <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Pengakuan sumbangan dari donatur diakui pada saat penerimaan sumbangan dan dipertimbangkan sebagai sumbangan yang tidak terikat kecuali dipergunakan untuk sementara atau terikat secara permanen berdasarkan ketentuan dari donatur atau hukum yang berlaku. </a:t>
          </a:r>
          <a:endPar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endParaRPr>
        </a:p>
        <a:p>
          <a:pPr marL="0" marR="0" lvl="0" indent="0" algn="l" defTabSz="914400" eaLnBrk="1" fontAlgn="auto" latinLnBrk="0" hangingPunct="1">
            <a:lnSpc>
              <a:spcPct val="100000"/>
            </a:lnSpc>
            <a:spcBef>
              <a:spcPts val="0"/>
            </a:spcBef>
            <a:spcAft>
              <a:spcPts val="0"/>
            </a:spcAft>
            <a:buClrTx/>
            <a:buSzTx/>
            <a:buFontTx/>
            <a:buNone/>
            <a:defRPr/>
          </a:pPr>
          <a:endPar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endParaRPr>
        </a:p>
        <a:p>
          <a:pPr marL="0" marR="0" lvl="0" indent="0" algn="l" defTabSz="914400" eaLnBrk="1" fontAlgn="auto" latinLnBrk="0" hangingPunct="1">
            <a:lnSpc>
              <a:spcPct val="100000"/>
            </a:lnSpc>
            <a:spcBef>
              <a:spcPts val="0"/>
            </a:spcBef>
            <a:spcAft>
              <a:spcPts val="0"/>
            </a:spcAft>
            <a:buClrTx/>
            <a:buSzTx/>
            <a:buFontTx/>
            <a:buNone/>
            <a:defRPr/>
          </a:pP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Pendapatan</a:t>
          </a:r>
          <a:r>
            <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 </a:t>
          </a: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dari penjualan dan jasa  diakui pada saat penyerahan barang atau pemberian jasa kepada pelanggan. Pendapatan jasa yang ditagih atau diterima</a:t>
          </a:r>
          <a:r>
            <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 </a:t>
          </a: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di muka, ditangguhkan (disajikan dalam </a:t>
          </a:r>
          <a:r>
            <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titipan lain lain )</a:t>
          </a: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 dan diamortisasi pada saat pemberian jasa kepada pelanggan. </a:t>
          </a:r>
        </a:p>
        <a:p>
          <a:pPr marL="0" marR="0" lvl="0" indent="0" defTabSz="914400" eaLnBrk="1" fontAlgn="auto" latinLnBrk="0" hangingPunct="1">
            <a:lnSpc>
              <a:spcPct val="100000"/>
            </a:lnSpc>
            <a:spcBef>
              <a:spcPts val="0"/>
            </a:spcBef>
            <a:spcAft>
              <a:spcPts val="0"/>
            </a:spcAft>
            <a:buClrTx/>
            <a:buSzTx/>
            <a:buFontTx/>
            <a:buNone/>
            <a:defRPr/>
          </a:pPr>
          <a:endPar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defRPr/>
          </a:pPr>
          <a:r>
            <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P</a:t>
          </a: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endapatan dari penjualan konsinyasi</a:t>
          </a: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 </a:t>
          </a: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dibukukan sebesar jumlah penjualan barang konsinyasi</a:t>
          </a: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 </a:t>
          </a: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kepada pelanggan, sedangkan beban terkait (sebagai</a:t>
          </a: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 </a:t>
          </a: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bagian dari Beban Pokok Penjualan) dibukukan sebesar</a:t>
          </a: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 </a:t>
          </a: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jumlah yang terhutang kepada pemilik (consignor).</a:t>
          </a:r>
          <a:r>
            <a:rPr kumimoji="0" lang="id-ID" sz="1000" b="0" i="0"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 </a:t>
          </a:r>
          <a:endPar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endParaRPr>
        </a:p>
        <a:p>
          <a:pPr marL="0" marR="0" lvl="0" indent="0" algn="l" defTabSz="914400" eaLnBrk="1" fontAlgn="auto" latinLnBrk="0" hangingPunct="1">
            <a:lnSpc>
              <a:spcPct val="100000"/>
            </a:lnSpc>
            <a:spcBef>
              <a:spcPts val="0"/>
            </a:spcBef>
            <a:spcAft>
              <a:spcPts val="0"/>
            </a:spcAft>
            <a:buClrTx/>
            <a:buSzTx/>
            <a:buFontTx/>
            <a:buNone/>
            <a:defRPr/>
          </a:pPr>
          <a:r>
            <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Beban diakui pada saat terjadinya. </a:t>
          </a:r>
        </a:p>
        <a:p>
          <a:pPr marL="0" marR="0" lvl="0" indent="0" algn="l" defTabSz="914400" eaLnBrk="1" fontAlgn="auto" latinLnBrk="0" hangingPunct="1">
            <a:lnSpc>
              <a:spcPct val="100000"/>
            </a:lnSpc>
            <a:spcBef>
              <a:spcPts val="0"/>
            </a:spcBef>
            <a:spcAft>
              <a:spcPts val="0"/>
            </a:spcAft>
            <a:buClrTx/>
            <a:buSzTx/>
            <a:buFontTx/>
            <a:buNone/>
            <a:defRPr/>
          </a:pPr>
          <a:endPar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defRPr/>
          </a:pPr>
          <a:endPar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endParaRPr>
        </a:p>
      </xdr:txBody>
    </xdr:sp>
    <xdr:clientData/>
  </xdr:twoCellAnchor>
  <xdr:twoCellAnchor>
    <xdr:from>
      <xdr:col>25</xdr:col>
      <xdr:colOff>11210</xdr:colOff>
      <xdr:row>97</xdr:row>
      <xdr:rowOff>0</xdr:rowOff>
    </xdr:from>
    <xdr:to>
      <xdr:col>41</xdr:col>
      <xdr:colOff>95250</xdr:colOff>
      <xdr:row>120</xdr:row>
      <xdr:rowOff>0</xdr:rowOff>
    </xdr:to>
    <xdr:sp macro="" textlink="">
      <xdr:nvSpPr>
        <xdr:cNvPr id="26" name="Rectangle 9">
          <a:extLst>
            <a:ext uri="{FF2B5EF4-FFF2-40B4-BE49-F238E27FC236}">
              <a16:creationId xmlns:a16="http://schemas.microsoft.com/office/drawing/2014/main" xmlns="" id="{00000000-0008-0000-0900-00001A000000}"/>
            </a:ext>
          </a:extLst>
        </xdr:cNvPr>
        <xdr:cNvSpPr>
          <a:spLocks noChangeArrowheads="1"/>
        </xdr:cNvSpPr>
      </xdr:nvSpPr>
      <xdr:spPr>
        <a:xfrm>
          <a:off x="6107210" y="16002000"/>
          <a:ext cx="4636990" cy="402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360" tIns="27360" rIns="0" bIns="0" anchor="t" upright="1"/>
        <a:lstStyle/>
        <a:p>
          <a:pPr marL="0" marR="0" lvl="0" indent="0" defTabSz="914400" eaLnBrk="1" fontAlgn="auto" latinLnBrk="0" hangingPunct="1">
            <a:lnSpc>
              <a:spcPct val="100000"/>
            </a:lnSpc>
            <a:spcBef>
              <a:spcPts val="0"/>
            </a:spcBef>
            <a:spcAft>
              <a:spcPts val="0"/>
            </a:spcAft>
            <a:buClrTx/>
            <a:buSzTx/>
            <a:buFontTx/>
            <a:buNone/>
            <a:defRPr/>
          </a:pPr>
          <a:r>
            <a:rPr kumimoji="0" lang="id-ID"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Contribution from donors is recognized upon receipts of contributions, and is considered as unrestricted contributions unless their use is temporarily or permanently restricted by explicit donor stipulations or by law. </a:t>
          </a:r>
          <a:endParaRPr kumimoji="0" lang="en-US"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defRPr/>
          </a:pPr>
          <a:endParaRPr kumimoji="0" lang="en-US"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defRPr/>
          </a:pPr>
          <a:endParaRPr kumimoji="0" lang="en-US"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defRPr/>
          </a:pPr>
          <a:r>
            <a:rPr kumimoji="0" lang="id-ID"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Revenues from sales and services of </a:t>
          </a:r>
          <a:r>
            <a:rPr kumimoji="0" lang="en-US"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 education</a:t>
          </a:r>
          <a:r>
            <a:rPr kumimoji="0" lang="id-ID"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 are recognized when the products or services</a:t>
          </a:r>
          <a:r>
            <a:rPr kumimoji="0" lang="id-ID" sz="1000" b="0" i="1"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 </a:t>
          </a:r>
          <a:r>
            <a:rPr kumimoji="0" lang="id-ID"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are delivered or rendered to the customers. Services</a:t>
          </a:r>
          <a:r>
            <a:rPr kumimoji="0" lang="id-ID" sz="1000" b="0" i="1"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 </a:t>
          </a:r>
          <a:r>
            <a:rPr kumimoji="0" lang="id-ID"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income billed or received in advance are deferred</a:t>
          </a:r>
          <a:r>
            <a:rPr kumimoji="0" lang="id-ID" sz="1000" b="0" i="1"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 </a:t>
          </a:r>
          <a:r>
            <a:rPr kumimoji="0" lang="id-ID"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(presented</a:t>
          </a:r>
          <a:r>
            <a:rPr kumimoji="0" lang="en-US"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 </a:t>
          </a:r>
          <a:r>
            <a:rPr kumimoji="0" lang="id-ID"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under Other </a:t>
          </a:r>
          <a:r>
            <a:rPr kumimoji="0" lang="en-US"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Deposit</a:t>
          </a:r>
          <a:r>
            <a:rPr kumimoji="0" lang="id-ID"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 and amortized</a:t>
          </a:r>
          <a:r>
            <a:rPr kumimoji="0" lang="id-ID" sz="1000" b="0" i="1"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 </a:t>
          </a:r>
          <a:r>
            <a:rPr kumimoji="0" lang="id-ID"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as services are rendered.</a:t>
          </a:r>
          <a:r>
            <a:rPr kumimoji="0" lang="id-ID" sz="1000" b="0" i="1"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 </a:t>
          </a:r>
          <a:endParaRPr kumimoji="0" lang="en-US" sz="1000" b="0" i="1"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defRPr/>
          </a:pPr>
          <a:endParaRPr kumimoji="0" lang="en-US"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defRPr/>
          </a:pPr>
          <a:r>
            <a:rPr kumimoji="0" lang="id-ID"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Revenue consignment sales is recorded at the</a:t>
          </a:r>
          <a:r>
            <a:rPr kumimoji="0" lang="id-ID" sz="1000" b="0" i="1"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 </a:t>
          </a:r>
          <a:r>
            <a:rPr kumimoji="0" lang="id-ID"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amount the consignment goods are sold to customers,</a:t>
          </a:r>
          <a:r>
            <a:rPr kumimoji="0" lang="id-ID" sz="1000" b="0" i="1"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 </a:t>
          </a:r>
          <a:r>
            <a:rPr kumimoji="0" lang="id-ID"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while the related cost (included as part of Cost of Sales)</a:t>
          </a:r>
          <a:r>
            <a:rPr kumimoji="0" lang="id-ID" sz="1000" b="0" i="1"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 </a:t>
          </a:r>
          <a:r>
            <a:rPr kumimoji="0" lang="id-ID"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is recorded at the amount due to consignors.</a:t>
          </a:r>
          <a:r>
            <a:rPr kumimoji="0" lang="id-ID" sz="1000" b="0" i="1"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 </a:t>
          </a:r>
          <a:endParaRPr kumimoji="0" lang="en-US" sz="1000" b="0" i="1"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defRPr/>
          </a:pPr>
          <a:endParaRPr kumimoji="0" lang="en-US"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defRPr/>
          </a:pPr>
          <a:r>
            <a:rPr kumimoji="0" lang="id-ID"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Expenses are recognized when incurred</a:t>
          </a:r>
          <a:r>
            <a:rPr kumimoji="0" lang="id-ID" sz="1000" b="0" i="1" u="none" strike="noStrike" kern="0" cap="none" spc="0" normalizeH="0" baseline="0" noProof="0">
              <a:ln>
                <a:noFill/>
              </a:ln>
              <a:solidFill>
                <a:sysClr val="windowText" lastClr="000000"/>
              </a:solidFill>
              <a:effectLst/>
              <a:uLnTx/>
              <a:uFillTx/>
              <a:latin typeface="Times New Roman" panose="02020603050405020304" pitchFamily="18" charset="0"/>
              <a:cs typeface="Times New Roman" panose="02020603050405020304" pitchFamily="18" charset="0"/>
            </a:rPr>
            <a:t> </a:t>
          </a:r>
          <a:endParaRPr kumimoji="0" lang="en-US" sz="1000" b="0" i="1"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PIAT%206%20BONDOWOSO\new%202\1.%20Lapkeu%20Maksof%20MEI_2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I:\Users\WIN7%2064BIT\AppData\Roaming\Microsoft\Excel\0816\DATA%20KEUANGAN\TP%202015-2016\Financial%20Statement\September%202015\LK-0915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HP/Desktop/1.%20Desktop/FINANCE/FORM%20KEUANGAN%20PIUTANG%20SANTRI%20PIAT6/2.%20AGUSTUS%202025/1.%20Lap.%20Keu_0825/2.%20LK%20PIAT6_0825_Konsol.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Data%20Keuangan\DATA%20KEUANGAN\TP%202023-2024\Financial%20Statement\Agustus%2023\LK%20PIAPI%200823\1.%20LK%20PIAPI%200823Rev.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mhaka/Desktop/FINANCE/FORM%20KEUANGAN%20PIUTANG%20SANTRI%20PIAT6/TP.%202024-2025/12.%20JUNI%202025/1.%20Laporan%20Keuangan_0625/2.%20LK%20PIAT6_0625_Konsol.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ASUS/Desktop/1.%20pindah%20asus/1.%20Desktop/FINANCE/FORM%20KEUANGAN%20PIUTANG%20SANTRI%20PIAT6/TP.%202025-2026/11.%20MEI%202026/1.%20LK_MEI%202026/1.%20LK%20PIAT6_0526_Konsol.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s/mhaka/Desktop/FINANCE/FORM%20KEUANGAN%20PIUTANG%20SANTRI%20PIAT6/1.%20JULI%202025/1.%20Laporan%20Keuangan_0725/2.%20LK%20PIAT6_0725_Konsol.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A:\Data%20Keuangan\DATA%20KEUANGAN\TP%202023-2024\Financial%20Statement\Juli%2023\LK%20PIAPI%200723\1.%20LK%20PIAPI%200723.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I:\Users\WIN7%2064BIT\AppData\Roaming\Microsoft\Excel\0816\DATA%20KEUANGAN\TP%202015-2016\Financial%20Statement\Agustus%202015\LK-0815R.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sers/ASUS/Desktop/1.%20pindah%20asus/1.%20Desktop/FINANCE/FORM%20KEUANGAN%20PIUTANG%20SANTRI%20PIAT6/XP.%20MAKSOF/1.%20Financial%20Report%20Maksof/3.%20LK%20MAKSOF%202025-2026/12.%20JUNI%202026/1.%20Lapkeu%20Maksof_0626.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sers/ASUS/Desktop/1.%20pindah%20asus/1.%20Desktop/FINANCE/FORM%20KEUANGAN%20PIUTANG%20SANTRI%20PIAT6/TP.%202025-2026/12.%20JUNI%202026/5.%20Kontrol%20Piutang%20PIAT6_0626.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A:\Data%20Keuangan\DATA%20KEUANGAN\TP%202023-2024\Financial%20Statement\Agustus%2023\LK-0823Konsol.xlsx"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ecoveredExternalLink3"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A:\Data%20Keuangan\DATA%20KEUANGAN\TP%202020-2021\Financial%20Statement\November%202020\SO_1120.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A:\Data%20Keuangan\DATA%20KEUANGAN\Five%20Star%20Program%20Eko%20Yuli%20S\Pelatihan\Presentasiku\PIAT5%20Bondowoso\PIAT%206\1.%20Lapkeu%20Maksof%20JUNI_24.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A:\Data%20Keuangan\DATA%20KEUANGAN\TP%202023-2024\Financial%20Statement\Agustus%2023\LKBMI_08_23.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A:\Data%20Keuangan\DATA%20KEUANGAN\TP%202023-2024\Financial%20Statement\Juli%2023\LK-0723konsol.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A:\Data%20Keuangan\DATA%20KEUANGAN\TP%202023-2024\Financial%20Statement\Juli%2023\LK%20PIAPI%200723\1.%20LK%20PIAPI%200723REVISI.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I:\Users\WIN7%2064BIT\AppData\Roaming\Microsoft\Excel\0816\DATA%20KEUANGAN\TP%202015-2016\Financial%20Statement\Oktober%202015\LK-1015r.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A:\Data%20Keuangan\DATA%20KEUANGAN\TP%202023-2024\Financial%20Statement\Juli%2023\LK-0723konsolR.xlsx"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RecoveredExternalLink4"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A:\Data%20Keuangan\DATA%20KEUANGAN\TP%202023-2024\Financial%20Statement\Cabang\PIAT%202%20MAJALENGKA\Juli%202023\LK0723KonsolPIAT2.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A:\Data%20Keuangan\DATA%20KEUANGAN\TP%202020-2021\Financial%20Statement\Juni%202021\Laporan%20Usaha%20Juni%20202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Users/ASUS/Desktop/1.%20pindah%20asus/1.%20Desktop/FINANCE/FORM%20KEUANGAN%20PIUTANG%20SANTRI%20PIAT6/5.%20NOVEMBER%202025/1.%20LK_1125/2.%20LK%20PIAT6_1125_Konsol.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Users/ASUS/Desktop/1.%20pindah%20asus/1.%20Desktop/FINANCE/FORM%20KEUANGAN%20PIUTANG%20SANTRI%20PIAT6/1.%20JULI%202025/1.%20Laporan%20Keuangan_0725/2.%20LK%20PIAT6_0725_Konsol.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Users/ASUS/Desktop/1.%20pindah%20asus/1.%20Desktop/FINANCE/FORM%20KEUANGAN%20PIUTANG%20SANTRI%20PIAT6/TP.%202024-2025/12.%20JUNI%202025/1.%20Laporan%20Keuangan_0625/2.%20LK%20PIAT6_0625_Konsol.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Users/HP/Desktop/1.%20Desktop/FINANCE/FORM%20KEUANGAN%20PIUTANG%20SANTRI%20PIAT6/TP.%202024-2025/12.%20JUNI%202025/1.%20Laporan%20Keuangan_0625/2.%20LK%20PIAT6_0625_Konsol.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Users/ASUS/Desktop/1.%20pindah%20asus/1.%20Desktop/FINANCE/FORM%20KEUANGAN%20PIUTANG%20SANTRI%20PIAT6/7.%20JANUARI%202026/4.%20BB%20Bank%20All_0126.%20Kontrol.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Users/ASUS/Desktop/1.%20pindah%20asus/1.%20Desktop/FINANCE/FORM%20KEUANGAN%20PIUTANG%20SANTRI%20PIAT6/7.%20JANUARI%202026/5.%20Kontrol%20Piutang%20PIAT6_0126.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Users/ASUS/Desktop/1.%20pindah%20asus/1.%20Desktop/FINANCE/FORM%20KEUANGAN%20PIUTANG%20SANTRI%20PIAT6/7.%20JANUARI%202026/4.%20Tabungan_0126/1.%20LKH%20TABUNGAN_0125.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Users/ASUS/Desktop/1.%20pindah%20asus/1.%20Desktop/FINANCE/FORM%20KEUANGAN%20PIUTANG%20SANTRI%20PIAT6/7.%20JANUARI%202026/11.%20Titipan%20Pangkal%20TA.26-27_0126.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Users/ASUS/Desktop/1.%20pindah%20asus/1.%20Desktop/FINANCE/FORM%20KEUANGAN%20PIUTANG%20SANTRI%20PIAT6/6.%20DESEMBER%202025/7.%20PSB%202026-2027/1.%20PSB%202026-202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klus Akuntansi"/>
      <sheetName val="COA"/>
      <sheetName val="NASo"/>
      <sheetName val="JK"/>
      <sheetName val="JU"/>
      <sheetName val="Buku Besar"/>
      <sheetName val="Nrc"/>
      <sheetName val="S-Dd"/>
      <sheetName val="PM"/>
      <sheetName val="FIX ASET"/>
      <sheetName val="PIUTANG DAGANG"/>
      <sheetName val="Rin. Piutang Pesantren"/>
      <sheetName val="Rin. Piutang. Sipond"/>
      <sheetName val="PB"/>
    </sheetNames>
    <sheetDataSet>
      <sheetData sheetId="0"/>
      <sheetData sheetId="1"/>
      <sheetData sheetId="2">
        <row r="5">
          <cell r="A5">
            <v>45443</v>
          </cell>
        </row>
        <row r="8">
          <cell r="A8">
            <v>10000</v>
          </cell>
          <cell r="B8" t="str">
            <v>Aset</v>
          </cell>
          <cell r="F8" t="str">
            <v>Asset</v>
          </cell>
        </row>
        <row r="9">
          <cell r="A9">
            <v>11000</v>
          </cell>
          <cell r="B9" t="str">
            <v>Aset Lancar</v>
          </cell>
          <cell r="F9" t="str">
            <v>Current Asset</v>
          </cell>
        </row>
        <row r="10">
          <cell r="A10">
            <v>11100</v>
          </cell>
          <cell r="B10" t="str">
            <v>Kas dan Setera Kas</v>
          </cell>
          <cell r="F10" t="str">
            <v>Cash and cash equivalent</v>
          </cell>
        </row>
        <row r="11">
          <cell r="A11">
            <v>11110</v>
          </cell>
          <cell r="B11" t="str">
            <v>Kas ditangan</v>
          </cell>
          <cell r="C11" t="str">
            <v>R</v>
          </cell>
          <cell r="D11" t="str">
            <v>D</v>
          </cell>
          <cell r="E11">
            <v>99748549.5</v>
          </cell>
          <cell r="F11" t="str">
            <v>Cash on Hand</v>
          </cell>
        </row>
        <row r="12">
          <cell r="A12">
            <v>11120</v>
          </cell>
          <cell r="B12" t="str">
            <v>Kas Kasir</v>
          </cell>
          <cell r="C12" t="str">
            <v>R</v>
          </cell>
          <cell r="D12" t="str">
            <v>D</v>
          </cell>
          <cell r="E12">
            <v>900000</v>
          </cell>
          <cell r="F12" t="str">
            <v>Petty cash</v>
          </cell>
        </row>
        <row r="13">
          <cell r="A13">
            <v>11130</v>
          </cell>
          <cell r="B13" t="str">
            <v>Kas Shopee</v>
          </cell>
          <cell r="C13" t="str">
            <v>R</v>
          </cell>
          <cell r="D13" t="str">
            <v>D</v>
          </cell>
          <cell r="E13">
            <v>71845</v>
          </cell>
          <cell r="F13" t="str">
            <v>Shopee cash</v>
          </cell>
        </row>
        <row r="14">
          <cell r="A14">
            <v>11140</v>
          </cell>
          <cell r="B14" t="str">
            <v>Bank BMI</v>
          </cell>
          <cell r="C14" t="str">
            <v>R</v>
          </cell>
          <cell r="D14" t="str">
            <v>D</v>
          </cell>
          <cell r="E14">
            <v>186194.07999999973</v>
          </cell>
          <cell r="F14" t="str">
            <v>BMI</v>
          </cell>
        </row>
        <row r="15">
          <cell r="A15">
            <v>11190</v>
          </cell>
          <cell r="B15" t="str">
            <v>Fast Pay</v>
          </cell>
          <cell r="C15" t="str">
            <v>R</v>
          </cell>
          <cell r="D15" t="str">
            <v>D</v>
          </cell>
          <cell r="E15">
            <v>237609</v>
          </cell>
          <cell r="F15" t="str">
            <v>fast pay</v>
          </cell>
        </row>
        <row r="16">
          <cell r="A16">
            <v>11200</v>
          </cell>
          <cell r="B16" t="str">
            <v>Short Term Capital Invesment</v>
          </cell>
          <cell r="F16" t="str">
            <v>Short Term Capital Invesment</v>
          </cell>
        </row>
        <row r="17">
          <cell r="A17">
            <v>11210</v>
          </cell>
          <cell r="B17" t="str">
            <v>Saham Biasa</v>
          </cell>
          <cell r="C17" t="str">
            <v>R</v>
          </cell>
          <cell r="D17" t="str">
            <v>D</v>
          </cell>
          <cell r="F17" t="str">
            <v>Common Stock</v>
          </cell>
        </row>
        <row r="18">
          <cell r="A18">
            <v>11290</v>
          </cell>
          <cell r="B18" t="str">
            <v>Lain-lain</v>
          </cell>
          <cell r="C18" t="str">
            <v>R</v>
          </cell>
          <cell r="D18" t="str">
            <v>D</v>
          </cell>
          <cell r="E18">
            <v>0</v>
          </cell>
          <cell r="F18" t="str">
            <v>Others</v>
          </cell>
        </row>
        <row r="19">
          <cell r="A19">
            <v>11300</v>
          </cell>
          <cell r="B19" t="str">
            <v xml:space="preserve">Piutang </v>
          </cell>
          <cell r="E19">
            <v>0</v>
          </cell>
          <cell r="F19" t="str">
            <v>Account Receivable</v>
          </cell>
        </row>
        <row r="20">
          <cell r="A20">
            <v>11310</v>
          </cell>
          <cell r="B20" t="str">
            <v xml:space="preserve">Piutang Dagang </v>
          </cell>
          <cell r="C20" t="str">
            <v>R</v>
          </cell>
          <cell r="D20" t="str">
            <v>D</v>
          </cell>
          <cell r="E20">
            <v>62884900</v>
          </cell>
          <cell r="F20" t="str">
            <v xml:space="preserve">Account Receivable </v>
          </cell>
        </row>
        <row r="21">
          <cell r="A21">
            <v>11320</v>
          </cell>
          <cell r="B21" t="str">
            <v>Piutang Karyawan</v>
          </cell>
          <cell r="C21" t="str">
            <v>R</v>
          </cell>
          <cell r="D21" t="str">
            <v>D</v>
          </cell>
          <cell r="E21">
            <v>0</v>
          </cell>
          <cell r="F21" t="str">
            <v>Employee Receivable</v>
          </cell>
        </row>
        <row r="22">
          <cell r="A22">
            <v>11390</v>
          </cell>
          <cell r="B22" t="str">
            <v>Piutang Lain-lain</v>
          </cell>
          <cell r="C22" t="str">
            <v>R</v>
          </cell>
          <cell r="D22" t="str">
            <v>D</v>
          </cell>
          <cell r="E22">
            <v>0</v>
          </cell>
          <cell r="F22" t="str">
            <v>The Others Account Receivable</v>
          </cell>
        </row>
        <row r="23">
          <cell r="A23">
            <v>11400</v>
          </cell>
          <cell r="B23" t="str">
            <v>Persediaan</v>
          </cell>
          <cell r="E23">
            <v>0</v>
          </cell>
          <cell r="F23" t="str">
            <v>Inventory</v>
          </cell>
        </row>
        <row r="24">
          <cell r="A24">
            <v>11410</v>
          </cell>
          <cell r="B24" t="str">
            <v>Persediaan Barang Dagangan</v>
          </cell>
          <cell r="C24" t="str">
            <v>R</v>
          </cell>
          <cell r="D24" t="str">
            <v>D</v>
          </cell>
          <cell r="E24">
            <v>59321812</v>
          </cell>
          <cell r="F24" t="str">
            <v>Goods Inventory</v>
          </cell>
        </row>
        <row r="25">
          <cell r="A25">
            <v>11420</v>
          </cell>
          <cell r="B25" t="str">
            <v>Persediaan Barang Konsinyasi</v>
          </cell>
          <cell r="C25" t="str">
            <v>R</v>
          </cell>
          <cell r="D25" t="str">
            <v>D</v>
          </cell>
          <cell r="E25">
            <v>0</v>
          </cell>
          <cell r="F25" t="str">
            <v>consignment Inventory</v>
          </cell>
        </row>
        <row r="26">
          <cell r="A26">
            <v>11490</v>
          </cell>
          <cell r="B26" t="str">
            <v>Persediaan lain-lain</v>
          </cell>
          <cell r="C26" t="str">
            <v>R</v>
          </cell>
          <cell r="D26" t="str">
            <v>D</v>
          </cell>
          <cell r="E26">
            <v>0</v>
          </cell>
          <cell r="F26" t="str">
            <v>Other Inventory</v>
          </cell>
        </row>
        <row r="27">
          <cell r="A27">
            <v>11500</v>
          </cell>
          <cell r="B27" t="str">
            <v xml:space="preserve">Uang Muka </v>
          </cell>
          <cell r="E27">
            <v>0</v>
          </cell>
          <cell r="F27" t="str">
            <v>Advances</v>
          </cell>
        </row>
        <row r="28">
          <cell r="A28">
            <v>11510</v>
          </cell>
          <cell r="B28" t="str">
            <v xml:space="preserve">Uang Muka Pembelian </v>
          </cell>
          <cell r="C28" t="str">
            <v>R</v>
          </cell>
          <cell r="D28" t="str">
            <v>D</v>
          </cell>
          <cell r="E28">
            <v>0</v>
          </cell>
          <cell r="F28" t="str">
            <v xml:space="preserve">Advance Payment </v>
          </cell>
        </row>
        <row r="29">
          <cell r="A29">
            <v>11590</v>
          </cell>
          <cell r="B29" t="str">
            <v>Uang Muka Pembelian Lain-lain</v>
          </cell>
          <cell r="C29" t="str">
            <v>R</v>
          </cell>
          <cell r="D29" t="str">
            <v>D</v>
          </cell>
          <cell r="E29">
            <v>0</v>
          </cell>
          <cell r="F29" t="str">
            <v>Advance Payment - Others</v>
          </cell>
        </row>
        <row r="30">
          <cell r="A30">
            <v>11600</v>
          </cell>
          <cell r="B30" t="str">
            <v>Beban dibayar dimuka</v>
          </cell>
          <cell r="E30">
            <v>0</v>
          </cell>
          <cell r="F30" t="str">
            <v>Prepaid Expense</v>
          </cell>
        </row>
        <row r="31">
          <cell r="A31">
            <v>11610</v>
          </cell>
          <cell r="B31" t="str">
            <v>Beban Gaji Dibayar Dimuka</v>
          </cell>
          <cell r="C31" t="str">
            <v>R</v>
          </cell>
          <cell r="D31" t="str">
            <v>D</v>
          </cell>
          <cell r="E31">
            <v>0</v>
          </cell>
          <cell r="F31" t="str">
            <v>Salaries Prepaid Expense</v>
          </cell>
        </row>
        <row r="32">
          <cell r="A32">
            <v>11620</v>
          </cell>
          <cell r="B32" t="str">
            <v>Pajak dibayar dimuka</v>
          </cell>
          <cell r="C32" t="str">
            <v>R</v>
          </cell>
          <cell r="D32" t="str">
            <v>D</v>
          </cell>
          <cell r="E32">
            <v>0</v>
          </cell>
          <cell r="F32" t="str">
            <v>Tax Prepaid Expense</v>
          </cell>
        </row>
        <row r="33">
          <cell r="A33">
            <v>11690</v>
          </cell>
          <cell r="B33" t="str">
            <v>Beban lain-lain dibayar dimuka</v>
          </cell>
          <cell r="C33" t="str">
            <v>R</v>
          </cell>
          <cell r="D33" t="str">
            <v>D</v>
          </cell>
          <cell r="E33">
            <v>0</v>
          </cell>
          <cell r="F33" t="str">
            <v>Others Prepaid Expense</v>
          </cell>
        </row>
        <row r="34">
          <cell r="A34">
            <v>12000</v>
          </cell>
          <cell r="B34" t="str">
            <v>Aset Tak Lancar</v>
          </cell>
          <cell r="E34">
            <v>0</v>
          </cell>
          <cell r="F34" t="str">
            <v>Non Current Asset</v>
          </cell>
        </row>
        <row r="35">
          <cell r="A35">
            <v>12100</v>
          </cell>
          <cell r="B35" t="str">
            <v>Investasi jangka Panjang</v>
          </cell>
          <cell r="E35">
            <v>0</v>
          </cell>
          <cell r="F35" t="str">
            <v>Long Term Capital Invesment</v>
          </cell>
        </row>
        <row r="36">
          <cell r="A36">
            <v>12110</v>
          </cell>
          <cell r="B36" t="str">
            <v>Saham Biasa</v>
          </cell>
          <cell r="C36" t="str">
            <v>R</v>
          </cell>
          <cell r="D36" t="str">
            <v>D</v>
          </cell>
          <cell r="E36">
            <v>0</v>
          </cell>
          <cell r="F36" t="str">
            <v>Common Stock</v>
          </cell>
        </row>
        <row r="37">
          <cell r="A37">
            <v>12120</v>
          </cell>
          <cell r="B37" t="str">
            <v>Surat-surat Berharga</v>
          </cell>
          <cell r="C37" t="str">
            <v>R</v>
          </cell>
          <cell r="D37" t="str">
            <v>D</v>
          </cell>
          <cell r="E37">
            <v>0</v>
          </cell>
          <cell r="F37" t="str">
            <v>Commercial Papers</v>
          </cell>
        </row>
        <row r="38">
          <cell r="A38">
            <v>12200</v>
          </cell>
          <cell r="B38" t="str">
            <v>Harga Perolehan Aset Tetap</v>
          </cell>
          <cell r="E38">
            <v>0</v>
          </cell>
          <cell r="F38" t="str">
            <v>Acquisition Fixed Asset</v>
          </cell>
        </row>
        <row r="39">
          <cell r="A39">
            <v>12210</v>
          </cell>
          <cell r="B39" t="str">
            <v>Akuisisi Tanah</v>
          </cell>
          <cell r="C39" t="str">
            <v>R</v>
          </cell>
          <cell r="D39" t="str">
            <v>D</v>
          </cell>
          <cell r="E39">
            <v>0</v>
          </cell>
          <cell r="F39" t="str">
            <v>Land Acquisition</v>
          </cell>
        </row>
        <row r="40">
          <cell r="A40">
            <v>12220</v>
          </cell>
          <cell r="B40" t="str">
            <v>Akuisisi Bangunan</v>
          </cell>
          <cell r="C40" t="str">
            <v>R</v>
          </cell>
          <cell r="D40" t="str">
            <v>D</v>
          </cell>
          <cell r="E40">
            <v>50000000</v>
          </cell>
          <cell r="F40" t="str">
            <v>Building Acquisition</v>
          </cell>
        </row>
        <row r="41">
          <cell r="A41">
            <v>12230</v>
          </cell>
          <cell r="B41" t="str">
            <v>Akuisisi Infrastruktur</v>
          </cell>
          <cell r="C41" t="str">
            <v>R</v>
          </cell>
          <cell r="D41" t="str">
            <v>D</v>
          </cell>
          <cell r="E41">
            <v>0</v>
          </cell>
          <cell r="F41" t="str">
            <v>Infrastructure Acquisition</v>
          </cell>
        </row>
        <row r="42">
          <cell r="A42">
            <v>12240</v>
          </cell>
          <cell r="B42" t="str">
            <v>Akuisisi Peralatan</v>
          </cell>
          <cell r="C42" t="str">
            <v>R</v>
          </cell>
          <cell r="D42" t="str">
            <v>D</v>
          </cell>
          <cell r="E42">
            <v>41952800</v>
          </cell>
          <cell r="F42" t="str">
            <v>Equipment Acquisition</v>
          </cell>
        </row>
        <row r="43">
          <cell r="A43">
            <v>12250</v>
          </cell>
          <cell r="B43" t="str">
            <v>Akuisisi Furniture</v>
          </cell>
          <cell r="C43" t="str">
            <v>R</v>
          </cell>
          <cell r="D43" t="str">
            <v>D</v>
          </cell>
          <cell r="E43">
            <v>8878604</v>
          </cell>
          <cell r="F43" t="str">
            <v>Furniture and Fixture Acquisition</v>
          </cell>
        </row>
        <row r="44">
          <cell r="A44">
            <v>12260</v>
          </cell>
          <cell r="B44" t="str">
            <v>Akuisisi  Kendaraan</v>
          </cell>
          <cell r="C44" t="str">
            <v>R</v>
          </cell>
          <cell r="D44" t="str">
            <v>D</v>
          </cell>
          <cell r="E44">
            <v>0</v>
          </cell>
          <cell r="F44" t="str">
            <v>Vehicle Acquisition</v>
          </cell>
        </row>
        <row r="45">
          <cell r="A45">
            <v>12290</v>
          </cell>
          <cell r="B45" t="str">
            <v>Lain-lain Aset Tetap</v>
          </cell>
          <cell r="C45" t="str">
            <v>R</v>
          </cell>
          <cell r="D45" t="str">
            <v>D</v>
          </cell>
          <cell r="E45">
            <v>0</v>
          </cell>
          <cell r="F45" t="str">
            <v>Others fixed Asset</v>
          </cell>
        </row>
        <row r="46">
          <cell r="A46">
            <v>12300</v>
          </cell>
          <cell r="B46" t="str">
            <v>Akumulasi Penyusutan Aset Tetap</v>
          </cell>
          <cell r="E46">
            <v>0</v>
          </cell>
          <cell r="F46" t="str">
            <v>Accumulation Depreciation Fixed Asset</v>
          </cell>
        </row>
        <row r="47">
          <cell r="A47">
            <v>12310</v>
          </cell>
          <cell r="B47" t="str">
            <v>Akumulasi Penyusutan Tanah</v>
          </cell>
          <cell r="C47" t="str">
            <v>R</v>
          </cell>
          <cell r="D47" t="str">
            <v>D</v>
          </cell>
          <cell r="E47">
            <v>0</v>
          </cell>
          <cell r="F47" t="str">
            <v>Accumulation Depreciation - Land</v>
          </cell>
        </row>
        <row r="48">
          <cell r="A48">
            <v>12320</v>
          </cell>
          <cell r="B48" t="str">
            <v>Akumulasi Penyusutan Bangunan</v>
          </cell>
          <cell r="C48" t="str">
            <v>R</v>
          </cell>
          <cell r="D48" t="str">
            <v>D</v>
          </cell>
          <cell r="E48">
            <v>-8333331.9966666661</v>
          </cell>
          <cell r="F48" t="str">
            <v>Accumulation Depreciation - Building</v>
          </cell>
        </row>
        <row r="49">
          <cell r="A49">
            <v>12330</v>
          </cell>
          <cell r="B49" t="str">
            <v>Akumulasi Penyusutan Infrastruktur</v>
          </cell>
          <cell r="C49" t="str">
            <v>R</v>
          </cell>
          <cell r="D49" t="str">
            <v>D</v>
          </cell>
          <cell r="E49">
            <v>0</v>
          </cell>
          <cell r="F49" t="str">
            <v>Accumulation Depreciation - Infrastructure</v>
          </cell>
        </row>
        <row r="50">
          <cell r="A50">
            <v>12340</v>
          </cell>
          <cell r="B50" t="str">
            <v>Akumulasi Penyusutan Peralatan</v>
          </cell>
          <cell r="C50" t="str">
            <v>R</v>
          </cell>
          <cell r="D50" t="str">
            <v>D</v>
          </cell>
          <cell r="E50">
            <v>-6021286.9966666661</v>
          </cell>
          <cell r="F50" t="str">
            <v>Accumulation Depreciation - Eqiupment</v>
          </cell>
        </row>
        <row r="51">
          <cell r="A51">
            <v>12350</v>
          </cell>
          <cell r="B51" t="str">
            <v>Akumulasi Penyusutan Mebel dan Perlengkapan</v>
          </cell>
          <cell r="C51" t="str">
            <v>R</v>
          </cell>
          <cell r="D51" t="str">
            <v>D</v>
          </cell>
          <cell r="E51">
            <v>-1450231.1966666663</v>
          </cell>
          <cell r="F51" t="str">
            <v>Accumulation Depreciation - Furniture and Fixture</v>
          </cell>
        </row>
        <row r="52">
          <cell r="A52">
            <v>12360</v>
          </cell>
          <cell r="B52" t="str">
            <v>Akumulasi Penyusutan Kendaraan</v>
          </cell>
          <cell r="C52" t="str">
            <v>R</v>
          </cell>
          <cell r="D52" t="str">
            <v>D</v>
          </cell>
          <cell r="E52">
            <v>0</v>
          </cell>
          <cell r="F52" t="str">
            <v>Accumulation Depreciation - Vehicle</v>
          </cell>
        </row>
        <row r="53">
          <cell r="A53">
            <v>12390</v>
          </cell>
          <cell r="B53" t="str">
            <v>Akumulasi Penyusutan Lain-lain</v>
          </cell>
          <cell r="C53" t="str">
            <v>R</v>
          </cell>
          <cell r="D53" t="str">
            <v>D</v>
          </cell>
          <cell r="E53">
            <v>0</v>
          </cell>
          <cell r="F53" t="str">
            <v>Accumulation Depreciation - Others</v>
          </cell>
        </row>
        <row r="54">
          <cell r="A54">
            <v>12400</v>
          </cell>
          <cell r="B54" t="str">
            <v>Aset Tidak Lancar Lainnya</v>
          </cell>
          <cell r="E54">
            <v>0</v>
          </cell>
          <cell r="F54" t="str">
            <v xml:space="preserve">Others Non Current Asset </v>
          </cell>
        </row>
        <row r="55">
          <cell r="A55">
            <v>12410</v>
          </cell>
          <cell r="B55" t="str">
            <v>Biaya Pra Operasional</v>
          </cell>
          <cell r="C55" t="str">
            <v>R</v>
          </cell>
          <cell r="D55" t="str">
            <v>D</v>
          </cell>
          <cell r="E55">
            <v>0</v>
          </cell>
          <cell r="F55" t="str">
            <v>Pre Operational Expense</v>
          </cell>
        </row>
        <row r="56">
          <cell r="A56">
            <v>20000</v>
          </cell>
          <cell r="B56" t="str">
            <v>Liabilitas</v>
          </cell>
          <cell r="E56">
            <v>0</v>
          </cell>
          <cell r="F56" t="str">
            <v>Liabilities</v>
          </cell>
        </row>
        <row r="57">
          <cell r="A57">
            <v>21000</v>
          </cell>
          <cell r="B57" t="str">
            <v>Liabilitas Lancar</v>
          </cell>
          <cell r="E57">
            <v>0</v>
          </cell>
          <cell r="F57" t="str">
            <v>Current Liabilites</v>
          </cell>
        </row>
        <row r="58">
          <cell r="A58">
            <v>21100</v>
          </cell>
          <cell r="B58" t="str">
            <v>Hutang Bank</v>
          </cell>
          <cell r="F58" t="str">
            <v>Bank Debt</v>
          </cell>
        </row>
        <row r="59">
          <cell r="A59">
            <v>21110</v>
          </cell>
          <cell r="B59" t="str">
            <v>Hutang Bank --</v>
          </cell>
          <cell r="C59" t="str">
            <v>R</v>
          </cell>
          <cell r="D59" t="str">
            <v>K</v>
          </cell>
          <cell r="F59" t="str">
            <v>Bank Debt</v>
          </cell>
        </row>
        <row r="60">
          <cell r="A60">
            <v>21200</v>
          </cell>
          <cell r="B60" t="str">
            <v>Hutang Dagang</v>
          </cell>
          <cell r="E60">
            <v>0</v>
          </cell>
          <cell r="F60" t="str">
            <v>Debt Account</v>
          </cell>
        </row>
        <row r="61">
          <cell r="A61">
            <v>21210</v>
          </cell>
          <cell r="B61" t="str">
            <v>Hutang Dagang</v>
          </cell>
          <cell r="C61" t="str">
            <v>R</v>
          </cell>
          <cell r="D61" t="str">
            <v>K</v>
          </cell>
          <cell r="E61">
            <v>0</v>
          </cell>
          <cell r="F61" t="str">
            <v>Debt Account</v>
          </cell>
        </row>
        <row r="62">
          <cell r="A62">
            <v>21290</v>
          </cell>
          <cell r="B62" t="str">
            <v>Hutang Lain-lain</v>
          </cell>
          <cell r="C62" t="str">
            <v>R</v>
          </cell>
          <cell r="D62" t="str">
            <v>K</v>
          </cell>
          <cell r="E62">
            <v>0</v>
          </cell>
          <cell r="F62" t="str">
            <v>Other Debt Account</v>
          </cell>
        </row>
        <row r="63">
          <cell r="A63">
            <v>21300</v>
          </cell>
          <cell r="B63" t="str">
            <v>Hutang Gaji</v>
          </cell>
          <cell r="E63">
            <v>0</v>
          </cell>
          <cell r="F63" t="str">
            <v>Salaries Debt</v>
          </cell>
        </row>
        <row r="64">
          <cell r="A64">
            <v>21310</v>
          </cell>
          <cell r="B64" t="str">
            <v>Hutang Gaji Karyawan</v>
          </cell>
          <cell r="C64" t="str">
            <v>R</v>
          </cell>
          <cell r="D64" t="str">
            <v>K</v>
          </cell>
          <cell r="E64">
            <v>0</v>
          </cell>
          <cell r="F64" t="str">
            <v>Employees Salary Debt</v>
          </cell>
        </row>
        <row r="65">
          <cell r="A65">
            <v>21500</v>
          </cell>
          <cell r="B65" t="str">
            <v>Titipan Bunga Bank</v>
          </cell>
          <cell r="E65">
            <v>0</v>
          </cell>
          <cell r="F65" t="str">
            <v>Interest Bank Deposit</v>
          </cell>
        </row>
        <row r="66">
          <cell r="A66">
            <v>21510</v>
          </cell>
          <cell r="B66" t="str">
            <v xml:space="preserve">Bunga Bank </v>
          </cell>
          <cell r="C66" t="str">
            <v>R</v>
          </cell>
          <cell r="D66" t="str">
            <v>K</v>
          </cell>
          <cell r="E66">
            <v>0</v>
          </cell>
          <cell r="F66" t="str">
            <v>Interest Bank</v>
          </cell>
        </row>
        <row r="67">
          <cell r="A67">
            <v>21600</v>
          </cell>
          <cell r="B67" t="str">
            <v>Hutang PajaK</v>
          </cell>
          <cell r="E67">
            <v>0</v>
          </cell>
          <cell r="F67" t="str">
            <v>Tax Debt</v>
          </cell>
        </row>
        <row r="68">
          <cell r="A68">
            <v>21610</v>
          </cell>
          <cell r="B68" t="str">
            <v>Hutang Pajak</v>
          </cell>
          <cell r="C68" t="str">
            <v>R</v>
          </cell>
          <cell r="D68" t="str">
            <v>K</v>
          </cell>
          <cell r="E68">
            <v>0</v>
          </cell>
          <cell r="F68" t="str">
            <v>Tax Debt</v>
          </cell>
        </row>
        <row r="69">
          <cell r="A69">
            <v>21700</v>
          </cell>
          <cell r="B69" t="str">
            <v>Pendapatan diterima dimuka</v>
          </cell>
          <cell r="E69">
            <v>0</v>
          </cell>
          <cell r="F69" t="str">
            <v>Unearned Revenue</v>
          </cell>
        </row>
        <row r="70">
          <cell r="A70">
            <v>21710</v>
          </cell>
          <cell r="B70" t="str">
            <v xml:space="preserve">Pendapatan diterima dimuka </v>
          </cell>
          <cell r="C70" t="str">
            <v>R</v>
          </cell>
          <cell r="D70" t="str">
            <v>K</v>
          </cell>
          <cell r="E70">
            <v>0</v>
          </cell>
          <cell r="F70" t="str">
            <v xml:space="preserve">Unearned Revenue </v>
          </cell>
        </row>
        <row r="71">
          <cell r="A71">
            <v>21900</v>
          </cell>
          <cell r="B71" t="str">
            <v>Biaya yang masih harus dibayar</v>
          </cell>
          <cell r="E71">
            <v>0</v>
          </cell>
          <cell r="F71" t="str">
            <v>Accure Expense</v>
          </cell>
        </row>
        <row r="72">
          <cell r="A72">
            <v>21910</v>
          </cell>
          <cell r="B72" t="str">
            <v>Beban yang masih harus dibayar - Gaji</v>
          </cell>
          <cell r="C72" t="str">
            <v>R</v>
          </cell>
          <cell r="D72" t="str">
            <v>K</v>
          </cell>
          <cell r="E72">
            <v>0</v>
          </cell>
          <cell r="F72" t="str">
            <v>Accrue Expense - Salaries</v>
          </cell>
        </row>
        <row r="73">
          <cell r="A73">
            <v>21920</v>
          </cell>
          <cell r="B73" t="str">
            <v>Beban yang masih harus dibayar - Listrik</v>
          </cell>
          <cell r="C73" t="str">
            <v>R</v>
          </cell>
          <cell r="D73" t="str">
            <v>K</v>
          </cell>
          <cell r="E73">
            <v>0</v>
          </cell>
          <cell r="F73" t="str">
            <v>Accrue Expense - Electricity</v>
          </cell>
        </row>
        <row r="74">
          <cell r="A74">
            <v>21930</v>
          </cell>
          <cell r="B74" t="str">
            <v>Beban yang masih harus dibayar - Telepon</v>
          </cell>
          <cell r="C74" t="str">
            <v>R</v>
          </cell>
          <cell r="D74" t="str">
            <v>K</v>
          </cell>
          <cell r="F74" t="str">
            <v>Accrue Expense - Telephone</v>
          </cell>
        </row>
        <row r="75">
          <cell r="A75">
            <v>21990</v>
          </cell>
          <cell r="B75" t="str">
            <v>Beban yang masih harus dibayar - Lain-lain</v>
          </cell>
          <cell r="C75" t="str">
            <v>R</v>
          </cell>
          <cell r="D75" t="str">
            <v>K</v>
          </cell>
          <cell r="E75">
            <v>0</v>
          </cell>
          <cell r="F75" t="str">
            <v>Accrue Expense - Other</v>
          </cell>
        </row>
        <row r="76">
          <cell r="A76">
            <v>22000</v>
          </cell>
          <cell r="B76" t="str">
            <v>Liabiitas Tak Lancar</v>
          </cell>
          <cell r="E76">
            <v>0</v>
          </cell>
          <cell r="F76" t="str">
            <v>Non Current Liabilities</v>
          </cell>
        </row>
        <row r="77">
          <cell r="A77">
            <v>22100</v>
          </cell>
          <cell r="B77" t="str">
            <v>Hutang Jangka Panjang</v>
          </cell>
          <cell r="E77">
            <v>0</v>
          </cell>
          <cell r="F77" t="str">
            <v>Long Term Debt</v>
          </cell>
        </row>
        <row r="78">
          <cell r="A78">
            <v>22110</v>
          </cell>
          <cell r="B78" t="str">
            <v>Hutang Bank</v>
          </cell>
          <cell r="C78" t="str">
            <v>R</v>
          </cell>
          <cell r="D78" t="str">
            <v>K</v>
          </cell>
          <cell r="E78">
            <v>0</v>
          </cell>
          <cell r="F78" t="str">
            <v>Debt Bank</v>
          </cell>
        </row>
        <row r="79">
          <cell r="A79">
            <v>22120</v>
          </cell>
          <cell r="B79" t="str">
            <v>Pinjaman operasi jangka panjang</v>
          </cell>
          <cell r="C79" t="str">
            <v>R</v>
          </cell>
          <cell r="D79" t="str">
            <v>K</v>
          </cell>
          <cell r="E79">
            <v>0</v>
          </cell>
          <cell r="F79" t="str">
            <v>Long Term Operational Loan</v>
          </cell>
        </row>
        <row r="80">
          <cell r="A80">
            <v>30000</v>
          </cell>
          <cell r="B80" t="str">
            <v xml:space="preserve">Modal </v>
          </cell>
          <cell r="E80">
            <v>0</v>
          </cell>
          <cell r="F80" t="str">
            <v xml:space="preserve">Equity </v>
          </cell>
        </row>
        <row r="81">
          <cell r="A81">
            <v>31000</v>
          </cell>
          <cell r="B81" t="str">
            <v>Modal Yayasan Pengurus/Pembina</v>
          </cell>
          <cell r="E81">
            <v>0</v>
          </cell>
          <cell r="F81" t="str">
            <v>Modal Yayasan Pengurus/Pembina</v>
          </cell>
        </row>
        <row r="82">
          <cell r="A82">
            <v>31100</v>
          </cell>
          <cell r="B82" t="str">
            <v>Setoran Modal Awal dari Pengurus/Pembina</v>
          </cell>
          <cell r="C82" t="str">
            <v>R</v>
          </cell>
          <cell r="D82" t="str">
            <v>K</v>
          </cell>
          <cell r="E82">
            <v>197268042</v>
          </cell>
          <cell r="F82" t="str">
            <v>Setoran Modal Awal dari Pengurus/Pembina</v>
          </cell>
        </row>
        <row r="83">
          <cell r="A83">
            <v>31200</v>
          </cell>
          <cell r="B83" t="str">
            <v>Setoran Modal Tambahan dari Pengurus/Pembina</v>
          </cell>
          <cell r="C83" t="str">
            <v>R</v>
          </cell>
          <cell r="D83" t="str">
            <v>K</v>
          </cell>
          <cell r="E83">
            <v>0</v>
          </cell>
          <cell r="F83" t="str">
            <v>Setoran Modal Tambahan dari Pengurus/Pembina</v>
          </cell>
        </row>
        <row r="84">
          <cell r="A84">
            <v>32000</v>
          </cell>
          <cell r="B84" t="str">
            <v>Laba Ditahan</v>
          </cell>
          <cell r="E84">
            <v>0</v>
          </cell>
          <cell r="F84" t="str">
            <v>Unrestricted net Asset</v>
          </cell>
        </row>
        <row r="85">
          <cell r="A85">
            <v>32100</v>
          </cell>
          <cell r="B85" t="str">
            <v>Laba (Rugi) Tahun Berjalan</v>
          </cell>
          <cell r="C85" t="str">
            <v>R</v>
          </cell>
          <cell r="D85" t="str">
            <v>K</v>
          </cell>
          <cell r="E85">
            <v>18286605.600000001</v>
          </cell>
          <cell r="F85" t="str">
            <v>Laba (Rugi) for Year</v>
          </cell>
        </row>
        <row r="86">
          <cell r="A86">
            <v>32200</v>
          </cell>
          <cell r="B86" t="str">
            <v>Laba (Rugi) ditahan</v>
          </cell>
          <cell r="C86" t="str">
            <v>R</v>
          </cell>
          <cell r="D86" t="str">
            <v>K</v>
          </cell>
          <cell r="E86">
            <v>92822815.790000021</v>
          </cell>
          <cell r="F86" t="str">
            <v>Retained Earning</v>
          </cell>
        </row>
        <row r="87">
          <cell r="A87">
            <v>40000</v>
          </cell>
          <cell r="B87" t="str">
            <v xml:space="preserve">Pendapatan </v>
          </cell>
          <cell r="F87" t="str">
            <v>Income</v>
          </cell>
        </row>
        <row r="88">
          <cell r="A88">
            <v>41000</v>
          </cell>
          <cell r="B88" t="str">
            <v>Penjualan Barang Dagangan</v>
          </cell>
          <cell r="F88" t="str">
            <v xml:space="preserve">Goods Revenue </v>
          </cell>
        </row>
        <row r="89">
          <cell r="A89">
            <v>41100</v>
          </cell>
          <cell r="B89" t="str">
            <v>Penjualan Barang Dagangan</v>
          </cell>
          <cell r="C89" t="str">
            <v>N</v>
          </cell>
          <cell r="D89" t="str">
            <v>K</v>
          </cell>
          <cell r="F89" t="str">
            <v xml:space="preserve">Goods Revenue </v>
          </cell>
        </row>
        <row r="90">
          <cell r="A90">
            <v>41200</v>
          </cell>
          <cell r="B90" t="str">
            <v>Penjualan Barang Konsinyasi</v>
          </cell>
          <cell r="C90" t="str">
            <v>N</v>
          </cell>
          <cell r="D90" t="str">
            <v>K</v>
          </cell>
          <cell r="F90" t="str">
            <v xml:space="preserve">Goods Revenue </v>
          </cell>
        </row>
        <row r="91">
          <cell r="A91">
            <v>41210</v>
          </cell>
          <cell r="B91" t="str">
            <v>Penjualan Barang PPOB &amp; Shopee Pay</v>
          </cell>
          <cell r="C91" t="str">
            <v>N</v>
          </cell>
          <cell r="D91" t="str">
            <v>K</v>
          </cell>
          <cell r="F91" t="str">
            <v xml:space="preserve">Goods Revenue </v>
          </cell>
        </row>
        <row r="92">
          <cell r="A92">
            <v>41220</v>
          </cell>
          <cell r="B92" t="str">
            <v>Penjualan Potong Laundry &amp; Potong Rambut</v>
          </cell>
          <cell r="C92" t="str">
            <v>N</v>
          </cell>
          <cell r="D92" t="str">
            <v>K</v>
          </cell>
          <cell r="F92" t="str">
            <v xml:space="preserve">Goods Revenue </v>
          </cell>
        </row>
        <row r="93">
          <cell r="A93">
            <v>41300</v>
          </cell>
          <cell r="B93" t="str">
            <v xml:space="preserve">Pendapatan </v>
          </cell>
          <cell r="C93" t="str">
            <v>N</v>
          </cell>
          <cell r="D93" t="str">
            <v>K</v>
          </cell>
          <cell r="F93" t="str">
            <v>Others Revenue</v>
          </cell>
        </row>
        <row r="94">
          <cell r="A94">
            <v>47000</v>
          </cell>
          <cell r="B94" t="str">
            <v>Pendapatan Lain-lain</v>
          </cell>
          <cell r="F94" t="str">
            <v>Other Income</v>
          </cell>
        </row>
        <row r="95">
          <cell r="A95">
            <v>47100</v>
          </cell>
          <cell r="B95" t="str">
            <v>Penjualan Aktiva Tetap</v>
          </cell>
          <cell r="C95" t="str">
            <v>N</v>
          </cell>
          <cell r="D95" t="str">
            <v>K</v>
          </cell>
          <cell r="F95" t="str">
            <v>Penjualan Aktiva Tetap</v>
          </cell>
        </row>
        <row r="96">
          <cell r="A96">
            <v>47200</v>
          </cell>
          <cell r="B96" t="str">
            <v>Gain of Fixed asset Sale</v>
          </cell>
          <cell r="C96" t="str">
            <v>N</v>
          </cell>
          <cell r="D96" t="str">
            <v>K</v>
          </cell>
          <cell r="F96" t="str">
            <v>Gain of Fixed asset Sale</v>
          </cell>
        </row>
        <row r="97">
          <cell r="A97">
            <v>47300</v>
          </cell>
          <cell r="B97" t="str">
            <v>Penerimaan Piutang yg dihapus</v>
          </cell>
          <cell r="C97" t="str">
            <v>N</v>
          </cell>
          <cell r="D97" t="str">
            <v>K</v>
          </cell>
          <cell r="F97" t="str">
            <v>Penerimaan Piutang yg dihapus</v>
          </cell>
        </row>
        <row r="98">
          <cell r="A98">
            <v>47400</v>
          </cell>
          <cell r="B98" t="str">
            <v>Excess of cash Received</v>
          </cell>
          <cell r="C98" t="str">
            <v>N</v>
          </cell>
          <cell r="D98" t="str">
            <v>K</v>
          </cell>
          <cell r="F98" t="str">
            <v>Excess of cash Received</v>
          </cell>
        </row>
        <row r="99">
          <cell r="A99">
            <v>47500</v>
          </cell>
          <cell r="B99" t="str">
            <v>Pembulatan lebih</v>
          </cell>
          <cell r="C99" t="str">
            <v>N</v>
          </cell>
          <cell r="D99" t="str">
            <v>K</v>
          </cell>
          <cell r="F99" t="str">
            <v>Pembulatan lebih</v>
          </cell>
        </row>
        <row r="100">
          <cell r="A100">
            <v>47600</v>
          </cell>
          <cell r="B100" t="str">
            <v>Selisih lebih</v>
          </cell>
          <cell r="C100" t="str">
            <v>N</v>
          </cell>
          <cell r="D100" t="str">
            <v>K</v>
          </cell>
          <cell r="F100" t="str">
            <v>Selisih lebih</v>
          </cell>
        </row>
        <row r="101">
          <cell r="A101">
            <v>47900</v>
          </cell>
          <cell r="B101" t="str">
            <v>Penggantian Fasilitas</v>
          </cell>
          <cell r="C101" t="str">
            <v>N</v>
          </cell>
          <cell r="D101" t="str">
            <v>K</v>
          </cell>
          <cell r="F101" t="str">
            <v>Penggantian Fasilitas</v>
          </cell>
        </row>
        <row r="102">
          <cell r="A102">
            <v>50000</v>
          </cell>
          <cell r="B102" t="str">
            <v>Beban</v>
          </cell>
          <cell r="F102" t="str">
            <v>Expense</v>
          </cell>
        </row>
        <row r="103">
          <cell r="A103">
            <v>51000</v>
          </cell>
          <cell r="B103" t="str">
            <v>Harga Pokok Penjualan</v>
          </cell>
          <cell r="F103" t="str">
            <v>Cost of Goods Sold</v>
          </cell>
        </row>
        <row r="104">
          <cell r="A104">
            <v>51100</v>
          </cell>
          <cell r="B104" t="str">
            <v>HPP - Persediaan Awal</v>
          </cell>
          <cell r="C104" t="str">
            <v>N</v>
          </cell>
          <cell r="D104" t="str">
            <v>D</v>
          </cell>
          <cell r="F104" t="str">
            <v>COGS - Begening balance inventory</v>
          </cell>
        </row>
        <row r="105">
          <cell r="A105">
            <v>51210</v>
          </cell>
          <cell r="B105" t="str">
            <v>Pembelian Barang Dagangan</v>
          </cell>
          <cell r="C105" t="str">
            <v>N</v>
          </cell>
          <cell r="D105" t="str">
            <v>D</v>
          </cell>
          <cell r="F105" t="str">
            <v xml:space="preserve">Purchase goods </v>
          </cell>
        </row>
        <row r="106">
          <cell r="A106">
            <v>51220</v>
          </cell>
          <cell r="B106" t="str">
            <v>Pembelian Barang PPOB &amp;Shopepay</v>
          </cell>
          <cell r="C106" t="str">
            <v>N</v>
          </cell>
          <cell r="D106" t="str">
            <v>D</v>
          </cell>
          <cell r="F106" t="str">
            <v>Consignment Purchase</v>
          </cell>
        </row>
        <row r="107">
          <cell r="A107">
            <v>51230</v>
          </cell>
          <cell r="B107" t="str">
            <v>Pembelian Jasa pangkas Rambut &amp; Laundry</v>
          </cell>
          <cell r="C107" t="str">
            <v>N</v>
          </cell>
          <cell r="D107" t="str">
            <v>D</v>
          </cell>
        </row>
        <row r="108">
          <cell r="A108">
            <v>51300</v>
          </cell>
          <cell r="B108" t="str">
            <v>Pembelian Barang Konsinyasi</v>
          </cell>
          <cell r="C108" t="str">
            <v>N</v>
          </cell>
          <cell r="D108" t="str">
            <v>D</v>
          </cell>
          <cell r="F108" t="str">
            <v>Freight expense</v>
          </cell>
        </row>
        <row r="109">
          <cell r="A109">
            <v>51400</v>
          </cell>
          <cell r="B109" t="str">
            <v>Potongan Pembelian</v>
          </cell>
          <cell r="C109" t="str">
            <v>N</v>
          </cell>
          <cell r="D109" t="str">
            <v>D</v>
          </cell>
          <cell r="F109" t="str">
            <v>Purchase discount</v>
          </cell>
        </row>
        <row r="110">
          <cell r="A110">
            <v>51500</v>
          </cell>
          <cell r="B110" t="str">
            <v>HPP - Persediaan Akhir</v>
          </cell>
          <cell r="C110" t="str">
            <v>N</v>
          </cell>
          <cell r="D110" t="str">
            <v>D</v>
          </cell>
          <cell r="F110" t="str">
            <v>COGS - ending balance inventory</v>
          </cell>
        </row>
        <row r="111">
          <cell r="A111">
            <v>51000</v>
          </cell>
          <cell r="B111" t="str">
            <v>Beban Administrasi dan Umum</v>
          </cell>
          <cell r="F111" t="str">
            <v>Operational Expense</v>
          </cell>
        </row>
        <row r="112">
          <cell r="A112">
            <v>52100</v>
          </cell>
          <cell r="B112" t="str">
            <v>Beban Gaji</v>
          </cell>
          <cell r="F112" t="str">
            <v>Wage Expense</v>
          </cell>
        </row>
        <row r="113">
          <cell r="A113">
            <v>52110</v>
          </cell>
          <cell r="B113" t="str">
            <v>Beban Gaji Karyawan</v>
          </cell>
          <cell r="C113" t="str">
            <v>N</v>
          </cell>
          <cell r="D113" t="str">
            <v>D</v>
          </cell>
          <cell r="F113" t="str">
            <v>Employee Wage Expense</v>
          </cell>
        </row>
        <row r="114">
          <cell r="A114">
            <v>52200</v>
          </cell>
          <cell r="B114" t="str">
            <v>Beban Administrasi</v>
          </cell>
          <cell r="F114" t="str">
            <v>Administrastion Expense</v>
          </cell>
        </row>
        <row r="115">
          <cell r="A115">
            <v>52210</v>
          </cell>
          <cell r="B115" t="str">
            <v>Beban Alat Tulis Kantor</v>
          </cell>
          <cell r="C115" t="str">
            <v>N</v>
          </cell>
          <cell r="D115" t="str">
            <v>D</v>
          </cell>
          <cell r="F115" t="str">
            <v>Stationary Expense</v>
          </cell>
        </row>
        <row r="116">
          <cell r="A116">
            <v>52220</v>
          </cell>
          <cell r="B116" t="str">
            <v>Beban cetak</v>
          </cell>
          <cell r="C116" t="str">
            <v>N</v>
          </cell>
          <cell r="D116" t="str">
            <v>D</v>
          </cell>
          <cell r="F116" t="str">
            <v>Printing Expense</v>
          </cell>
        </row>
        <row r="117">
          <cell r="A117">
            <v>52230</v>
          </cell>
          <cell r="B117" t="str">
            <v>Beban Perlengkapan Kantor</v>
          </cell>
          <cell r="C117" t="str">
            <v>N</v>
          </cell>
          <cell r="D117" t="str">
            <v>D</v>
          </cell>
        </row>
        <row r="118">
          <cell r="A118">
            <v>52300</v>
          </cell>
          <cell r="B118" t="str">
            <v>Beban Umum</v>
          </cell>
          <cell r="F118" t="str">
            <v>General Expense</v>
          </cell>
        </row>
        <row r="119">
          <cell r="A119">
            <v>52310</v>
          </cell>
          <cell r="B119" t="str">
            <v>Beban Transport dan akomodasi</v>
          </cell>
          <cell r="C119" t="str">
            <v>N</v>
          </cell>
          <cell r="D119" t="str">
            <v>D</v>
          </cell>
          <cell r="F119" t="str">
            <v>Transport and accomodation Expense</v>
          </cell>
        </row>
        <row r="120">
          <cell r="A120">
            <v>52311</v>
          </cell>
          <cell r="B120" t="str">
            <v>Beban Umum (Enam Mart, Food, Laundry)</v>
          </cell>
          <cell r="C120" t="str">
            <v>N</v>
          </cell>
          <cell r="D120" t="str">
            <v>D</v>
          </cell>
        </row>
        <row r="121">
          <cell r="A121">
            <v>52320</v>
          </cell>
          <cell r="B121" t="str">
            <v>Beban Listrik</v>
          </cell>
          <cell r="C121" t="str">
            <v>N</v>
          </cell>
          <cell r="D121" t="str">
            <v>D</v>
          </cell>
          <cell r="F121" t="str">
            <v>Electricity Expense</v>
          </cell>
        </row>
        <row r="122">
          <cell r="A122">
            <v>52330</v>
          </cell>
          <cell r="B122" t="str">
            <v>Beban Telepon, Pulsa &amp; Internet</v>
          </cell>
          <cell r="C122" t="str">
            <v>N</v>
          </cell>
          <cell r="D122" t="str">
            <v>D</v>
          </cell>
          <cell r="F122" t="str">
            <v>Telephone Expense</v>
          </cell>
        </row>
        <row r="123">
          <cell r="A123">
            <v>52340</v>
          </cell>
          <cell r="B123" t="str">
            <v>Beban Perbaikan dan pemeliharaan</v>
          </cell>
          <cell r="C123" t="str">
            <v>N</v>
          </cell>
          <cell r="D123" t="str">
            <v>D</v>
          </cell>
          <cell r="F123" t="str">
            <v>Repairs and Maitenance Cost</v>
          </cell>
        </row>
        <row r="124">
          <cell r="A124">
            <v>52350</v>
          </cell>
          <cell r="B124" t="str">
            <v>Beban Adm Bank</v>
          </cell>
          <cell r="C124" t="str">
            <v>N</v>
          </cell>
          <cell r="D124" t="str">
            <v>D</v>
          </cell>
          <cell r="F124" t="str">
            <v>Administrastion Bank Expense</v>
          </cell>
        </row>
        <row r="125">
          <cell r="A125">
            <v>52360</v>
          </cell>
          <cell r="B125" t="str">
            <v>Beban Pajak Bank</v>
          </cell>
          <cell r="C125" t="str">
            <v>N</v>
          </cell>
          <cell r="D125" t="str">
            <v>D</v>
          </cell>
        </row>
        <row r="126">
          <cell r="A126">
            <v>52370</v>
          </cell>
          <cell r="B126" t="str">
            <v>Beban Donasi</v>
          </cell>
          <cell r="C126" t="str">
            <v>N</v>
          </cell>
          <cell r="D126" t="str">
            <v>D</v>
          </cell>
          <cell r="F126" t="str">
            <v>CSR</v>
          </cell>
        </row>
        <row r="127">
          <cell r="A127">
            <v>52390</v>
          </cell>
          <cell r="B127" t="str">
            <v>Beban lain-lain</v>
          </cell>
          <cell r="C127" t="str">
            <v>N</v>
          </cell>
          <cell r="D127" t="str">
            <v>D</v>
          </cell>
          <cell r="F127" t="str">
            <v>Other Expense</v>
          </cell>
        </row>
        <row r="128">
          <cell r="A128">
            <v>52700</v>
          </cell>
          <cell r="B128" t="str">
            <v>Biaya Penyusutan</v>
          </cell>
          <cell r="F128" t="str">
            <v>Depreciation Cost</v>
          </cell>
        </row>
        <row r="129">
          <cell r="A129">
            <v>52710</v>
          </cell>
          <cell r="B129" t="str">
            <v>Biaya Penyusutan Bangunan</v>
          </cell>
          <cell r="C129" t="str">
            <v>N</v>
          </cell>
          <cell r="D129" t="str">
            <v>D</v>
          </cell>
          <cell r="F129" t="str">
            <v>Building Depreciation Expense</v>
          </cell>
        </row>
        <row r="130">
          <cell r="A130">
            <v>52720</v>
          </cell>
          <cell r="B130" t="str">
            <v>Biaya Penyusutan Infrastruktur</v>
          </cell>
          <cell r="C130" t="str">
            <v>N</v>
          </cell>
          <cell r="D130" t="str">
            <v>D</v>
          </cell>
          <cell r="F130" t="str">
            <v>Infrastructure Depreciation Expense</v>
          </cell>
        </row>
        <row r="131">
          <cell r="A131">
            <v>52730</v>
          </cell>
          <cell r="B131" t="str">
            <v xml:space="preserve">Biaya Penyusutan Peralatan </v>
          </cell>
          <cell r="C131" t="str">
            <v>N</v>
          </cell>
          <cell r="D131" t="str">
            <v>D</v>
          </cell>
          <cell r="F131" t="str">
            <v>Equipment Depreciation Expense</v>
          </cell>
        </row>
        <row r="132">
          <cell r="A132">
            <v>52740</v>
          </cell>
          <cell r="B132" t="str">
            <v>Biaya Penyusutan Mebel dan Perlengkapan</v>
          </cell>
          <cell r="C132" t="str">
            <v>N</v>
          </cell>
          <cell r="D132" t="str">
            <v>D</v>
          </cell>
          <cell r="F132" t="str">
            <v>Furniture and Fixture Depreciation Expense</v>
          </cell>
        </row>
        <row r="133">
          <cell r="A133">
            <v>52750</v>
          </cell>
          <cell r="B133" t="str">
            <v>Biaya Penyusutan Kendaraan</v>
          </cell>
          <cell r="C133" t="str">
            <v>N</v>
          </cell>
          <cell r="D133" t="str">
            <v>D</v>
          </cell>
          <cell r="F133" t="str">
            <v>Vehicle Depreciation Expense</v>
          </cell>
        </row>
        <row r="134">
          <cell r="A134">
            <v>52760</v>
          </cell>
          <cell r="B134" t="str">
            <v>Biaya Penyusutan FA Lain-lain</v>
          </cell>
          <cell r="C134" t="str">
            <v>N</v>
          </cell>
          <cell r="D134" t="str">
            <v>D</v>
          </cell>
          <cell r="F134" t="str">
            <v>Other Fixed Asset Depreciation Expense</v>
          </cell>
        </row>
        <row r="135">
          <cell r="A135">
            <v>60000</v>
          </cell>
          <cell r="B135" t="str">
            <v>Ikhtisar Laba / (Rugi)</v>
          </cell>
        </row>
      </sheetData>
      <sheetData sheetId="3"/>
      <sheetData sheetId="4"/>
      <sheetData sheetId="5">
        <row r="7">
          <cell r="A7">
            <v>10000</v>
          </cell>
          <cell r="B7" t="str">
            <v>Aset</v>
          </cell>
          <cell r="E7" t="str">
            <v/>
          </cell>
          <cell r="F7" t="str">
            <v/>
          </cell>
          <cell r="G7">
            <v>0</v>
          </cell>
          <cell r="H7">
            <v>0</v>
          </cell>
          <cell r="I7" t="str">
            <v/>
          </cell>
          <cell r="J7" t="str">
            <v/>
          </cell>
        </row>
        <row r="8">
          <cell r="A8">
            <v>11000</v>
          </cell>
          <cell r="B8" t="str">
            <v>Aset Lancar</v>
          </cell>
          <cell r="E8" t="str">
            <v/>
          </cell>
          <cell r="F8" t="str">
            <v/>
          </cell>
          <cell r="G8">
            <v>0</v>
          </cell>
          <cell r="H8">
            <v>0</v>
          </cell>
          <cell r="I8" t="str">
            <v/>
          </cell>
          <cell r="J8" t="str">
            <v/>
          </cell>
        </row>
        <row r="9">
          <cell r="A9">
            <v>11100</v>
          </cell>
          <cell r="B9" t="str">
            <v>Kas dan Setera Kas</v>
          </cell>
          <cell r="E9" t="str">
            <v/>
          </cell>
          <cell r="F9" t="str">
            <v/>
          </cell>
          <cell r="G9">
            <v>0</v>
          </cell>
          <cell r="H9">
            <v>0</v>
          </cell>
          <cell r="I9" t="str">
            <v/>
          </cell>
          <cell r="J9" t="str">
            <v/>
          </cell>
        </row>
        <row r="10">
          <cell r="A10">
            <v>11110</v>
          </cell>
          <cell r="B10" t="str">
            <v>Kas ditangan</v>
          </cell>
          <cell r="C10" t="str">
            <v>R</v>
          </cell>
          <cell r="D10" t="str">
            <v>D</v>
          </cell>
          <cell r="E10">
            <v>99748549.5</v>
          </cell>
          <cell r="F10">
            <v>0</v>
          </cell>
          <cell r="G10">
            <v>50169000</v>
          </cell>
          <cell r="H10">
            <v>86213100</v>
          </cell>
          <cell r="I10">
            <v>63704449.5</v>
          </cell>
          <cell r="J10">
            <v>0</v>
          </cell>
        </row>
        <row r="11">
          <cell r="A11">
            <v>11120</v>
          </cell>
          <cell r="B11" t="str">
            <v>Kas Kecil</v>
          </cell>
          <cell r="C11" t="str">
            <v>R</v>
          </cell>
          <cell r="D11" t="str">
            <v>D</v>
          </cell>
          <cell r="E11">
            <v>900000</v>
          </cell>
          <cell r="F11">
            <v>0</v>
          </cell>
          <cell r="G11">
            <v>0</v>
          </cell>
          <cell r="H11">
            <v>0</v>
          </cell>
          <cell r="I11">
            <v>900000</v>
          </cell>
          <cell r="J11">
            <v>0</v>
          </cell>
        </row>
        <row r="12">
          <cell r="A12">
            <v>11130</v>
          </cell>
          <cell r="B12" t="str">
            <v>Kas Shopee</v>
          </cell>
          <cell r="C12" t="str">
            <v>R</v>
          </cell>
          <cell r="D12" t="str">
            <v>D</v>
          </cell>
          <cell r="E12">
            <v>71845</v>
          </cell>
          <cell r="F12">
            <v>0</v>
          </cell>
          <cell r="G12">
            <v>0</v>
          </cell>
          <cell r="H12">
            <v>0</v>
          </cell>
          <cell r="I12">
            <v>71845</v>
          </cell>
          <cell r="J12">
            <v>0</v>
          </cell>
        </row>
        <row r="13">
          <cell r="A13">
            <v>11140</v>
          </cell>
          <cell r="B13" t="str">
            <v>Bank BMI</v>
          </cell>
          <cell r="C13" t="str">
            <v>R</v>
          </cell>
          <cell r="D13" t="str">
            <v>D</v>
          </cell>
          <cell r="E13">
            <v>186194.07999999973</v>
          </cell>
          <cell r="F13">
            <v>0</v>
          </cell>
          <cell r="G13">
            <v>0</v>
          </cell>
          <cell r="H13">
            <v>0</v>
          </cell>
          <cell r="I13">
            <v>186194.07999999973</v>
          </cell>
          <cell r="J13">
            <v>0</v>
          </cell>
        </row>
        <row r="14">
          <cell r="A14">
            <v>11190</v>
          </cell>
          <cell r="B14" t="str">
            <v>Past Pay</v>
          </cell>
          <cell r="C14" t="str">
            <v>R</v>
          </cell>
          <cell r="D14" t="str">
            <v>D</v>
          </cell>
          <cell r="E14">
            <v>237609</v>
          </cell>
          <cell r="F14">
            <v>0</v>
          </cell>
          <cell r="G14">
            <v>8010000</v>
          </cell>
          <cell r="H14">
            <v>8221500</v>
          </cell>
          <cell r="I14">
            <v>26109</v>
          </cell>
          <cell r="J14">
            <v>0</v>
          </cell>
        </row>
        <row r="15">
          <cell r="A15">
            <v>11200</v>
          </cell>
          <cell r="B15" t="str">
            <v>Short Term Capital Invesment</v>
          </cell>
          <cell r="E15">
            <v>0</v>
          </cell>
          <cell r="F15">
            <v>0</v>
          </cell>
          <cell r="G15">
            <v>0</v>
          </cell>
          <cell r="H15">
            <v>0</v>
          </cell>
          <cell r="I15">
            <v>0</v>
          </cell>
          <cell r="J15">
            <v>0</v>
          </cell>
        </row>
        <row r="16">
          <cell r="A16">
            <v>11210</v>
          </cell>
          <cell r="B16" t="str">
            <v>Saham Biasa</v>
          </cell>
          <cell r="C16" t="str">
            <v>R</v>
          </cell>
          <cell r="D16" t="str">
            <v>D</v>
          </cell>
          <cell r="E16">
            <v>0</v>
          </cell>
          <cell r="F16">
            <v>0</v>
          </cell>
          <cell r="G16">
            <v>0</v>
          </cell>
          <cell r="H16">
            <v>0</v>
          </cell>
          <cell r="I16">
            <v>0</v>
          </cell>
          <cell r="J16">
            <v>0</v>
          </cell>
        </row>
        <row r="17">
          <cell r="A17">
            <v>11290</v>
          </cell>
          <cell r="B17" t="str">
            <v>Lain-lain</v>
          </cell>
          <cell r="C17" t="str">
            <v>R</v>
          </cell>
          <cell r="D17" t="str">
            <v>D</v>
          </cell>
          <cell r="E17">
            <v>0</v>
          </cell>
          <cell r="F17">
            <v>0</v>
          </cell>
          <cell r="G17">
            <v>0</v>
          </cell>
          <cell r="H17">
            <v>0</v>
          </cell>
          <cell r="I17">
            <v>0</v>
          </cell>
          <cell r="J17">
            <v>0</v>
          </cell>
        </row>
        <row r="18">
          <cell r="A18">
            <v>11300</v>
          </cell>
          <cell r="B18" t="str">
            <v xml:space="preserve">Piutang </v>
          </cell>
          <cell r="E18">
            <v>0</v>
          </cell>
          <cell r="F18">
            <v>0</v>
          </cell>
          <cell r="G18">
            <v>0</v>
          </cell>
          <cell r="H18">
            <v>0</v>
          </cell>
          <cell r="I18">
            <v>0</v>
          </cell>
          <cell r="J18">
            <v>0</v>
          </cell>
        </row>
        <row r="19">
          <cell r="A19">
            <v>11310</v>
          </cell>
          <cell r="B19" t="str">
            <v xml:space="preserve">Piutang Dagang </v>
          </cell>
          <cell r="C19" t="str">
            <v>R</v>
          </cell>
          <cell r="D19" t="str">
            <v>D</v>
          </cell>
          <cell r="E19">
            <v>62884900</v>
          </cell>
          <cell r="F19">
            <v>0</v>
          </cell>
          <cell r="G19">
            <v>105242500</v>
          </cell>
          <cell r="H19">
            <v>42322400</v>
          </cell>
          <cell r="I19">
            <v>125805000</v>
          </cell>
          <cell r="J19">
            <v>0</v>
          </cell>
        </row>
        <row r="20">
          <cell r="A20">
            <v>11320</v>
          </cell>
          <cell r="B20" t="str">
            <v>Piutang Karyawan</v>
          </cell>
          <cell r="C20" t="str">
            <v>R</v>
          </cell>
          <cell r="D20" t="str">
            <v>D</v>
          </cell>
          <cell r="E20">
            <v>0</v>
          </cell>
          <cell r="F20">
            <v>0</v>
          </cell>
          <cell r="G20">
            <v>0</v>
          </cell>
          <cell r="H20">
            <v>0</v>
          </cell>
          <cell r="I20">
            <v>0</v>
          </cell>
          <cell r="J20">
            <v>0</v>
          </cell>
        </row>
        <row r="21">
          <cell r="A21">
            <v>11390</v>
          </cell>
          <cell r="B21" t="str">
            <v>Piutang Lain-lain</v>
          </cell>
          <cell r="C21" t="str">
            <v>R</v>
          </cell>
          <cell r="D21" t="str">
            <v>D</v>
          </cell>
          <cell r="E21">
            <v>0</v>
          </cell>
          <cell r="F21">
            <v>0</v>
          </cell>
          <cell r="G21">
            <v>0</v>
          </cell>
          <cell r="H21">
            <v>0</v>
          </cell>
          <cell r="I21">
            <v>0</v>
          </cell>
          <cell r="J21">
            <v>0</v>
          </cell>
        </row>
        <row r="22">
          <cell r="A22">
            <v>11400</v>
          </cell>
          <cell r="B22" t="str">
            <v>Persediaan</v>
          </cell>
          <cell r="E22">
            <v>0</v>
          </cell>
          <cell r="F22">
            <v>0</v>
          </cell>
          <cell r="G22">
            <v>0</v>
          </cell>
          <cell r="H22">
            <v>0</v>
          </cell>
          <cell r="I22">
            <v>0</v>
          </cell>
          <cell r="J22">
            <v>0</v>
          </cell>
        </row>
        <row r="23">
          <cell r="A23">
            <v>11410</v>
          </cell>
          <cell r="B23" t="str">
            <v>Persediaan Barang Dagangan</v>
          </cell>
          <cell r="C23" t="str">
            <v>R</v>
          </cell>
          <cell r="D23" t="str">
            <v>D</v>
          </cell>
          <cell r="E23">
            <v>59321812</v>
          </cell>
          <cell r="F23">
            <v>0</v>
          </cell>
          <cell r="G23">
            <v>70043583</v>
          </cell>
          <cell r="H23">
            <v>59321812</v>
          </cell>
          <cell r="I23">
            <v>70043583</v>
          </cell>
          <cell r="J23">
            <v>0</v>
          </cell>
        </row>
        <row r="24">
          <cell r="A24">
            <v>11420</v>
          </cell>
          <cell r="B24" t="str">
            <v>Persediaan Barang Konsinyasi</v>
          </cell>
          <cell r="C24" t="str">
            <v>R</v>
          </cell>
          <cell r="D24" t="str">
            <v>D</v>
          </cell>
          <cell r="E24">
            <v>0</v>
          </cell>
          <cell r="F24">
            <v>0</v>
          </cell>
          <cell r="G24">
            <v>0</v>
          </cell>
          <cell r="H24">
            <v>0</v>
          </cell>
          <cell r="I24">
            <v>0</v>
          </cell>
          <cell r="J24">
            <v>0</v>
          </cell>
        </row>
        <row r="25">
          <cell r="A25">
            <v>11490</v>
          </cell>
          <cell r="B25" t="str">
            <v>Persediaan lain-lain</v>
          </cell>
          <cell r="C25" t="str">
            <v>R</v>
          </cell>
          <cell r="D25" t="str">
            <v>D</v>
          </cell>
          <cell r="E25">
            <v>0</v>
          </cell>
          <cell r="F25">
            <v>0</v>
          </cell>
          <cell r="G25">
            <v>0</v>
          </cell>
          <cell r="H25">
            <v>0</v>
          </cell>
          <cell r="I25">
            <v>0</v>
          </cell>
          <cell r="J25">
            <v>0</v>
          </cell>
        </row>
        <row r="26">
          <cell r="A26">
            <v>11500</v>
          </cell>
          <cell r="B26" t="str">
            <v xml:space="preserve">Uang Muka </v>
          </cell>
          <cell r="E26">
            <v>0</v>
          </cell>
          <cell r="F26">
            <v>0</v>
          </cell>
          <cell r="G26">
            <v>0</v>
          </cell>
          <cell r="H26">
            <v>0</v>
          </cell>
          <cell r="I26">
            <v>0</v>
          </cell>
          <cell r="J26">
            <v>0</v>
          </cell>
        </row>
        <row r="27">
          <cell r="A27">
            <v>11510</v>
          </cell>
          <cell r="B27" t="str">
            <v xml:space="preserve">Uang Muka Pembelian </v>
          </cell>
          <cell r="C27" t="str">
            <v>R</v>
          </cell>
          <cell r="D27" t="str">
            <v>D</v>
          </cell>
          <cell r="E27">
            <v>0</v>
          </cell>
          <cell r="F27">
            <v>0</v>
          </cell>
          <cell r="G27">
            <v>0</v>
          </cell>
          <cell r="H27">
            <v>0</v>
          </cell>
          <cell r="I27">
            <v>0</v>
          </cell>
          <cell r="J27">
            <v>0</v>
          </cell>
        </row>
        <row r="28">
          <cell r="A28">
            <v>11590</v>
          </cell>
          <cell r="B28" t="str">
            <v>Uang Muka Pembelian Lain-lain</v>
          </cell>
          <cell r="C28" t="str">
            <v>R</v>
          </cell>
          <cell r="D28" t="str">
            <v>D</v>
          </cell>
          <cell r="E28">
            <v>0</v>
          </cell>
          <cell r="F28">
            <v>0</v>
          </cell>
          <cell r="G28">
            <v>0</v>
          </cell>
          <cell r="H28">
            <v>0</v>
          </cell>
          <cell r="I28">
            <v>0</v>
          </cell>
          <cell r="J28">
            <v>0</v>
          </cell>
        </row>
        <row r="29">
          <cell r="A29">
            <v>11600</v>
          </cell>
          <cell r="B29" t="str">
            <v>Beban dibayar dimuka</v>
          </cell>
          <cell r="E29">
            <v>0</v>
          </cell>
          <cell r="F29">
            <v>0</v>
          </cell>
          <cell r="G29">
            <v>0</v>
          </cell>
          <cell r="H29">
            <v>0</v>
          </cell>
          <cell r="I29">
            <v>0</v>
          </cell>
          <cell r="J29">
            <v>0</v>
          </cell>
        </row>
        <row r="30">
          <cell r="A30">
            <v>11610</v>
          </cell>
          <cell r="B30" t="str">
            <v>Beban Gaji Dibayar Dimuka</v>
          </cell>
          <cell r="C30" t="str">
            <v>R</v>
          </cell>
          <cell r="D30" t="str">
            <v>D</v>
          </cell>
          <cell r="E30">
            <v>0</v>
          </cell>
          <cell r="F30">
            <v>0</v>
          </cell>
          <cell r="G30">
            <v>0</v>
          </cell>
          <cell r="H30">
            <v>0</v>
          </cell>
          <cell r="I30">
            <v>0</v>
          </cell>
          <cell r="J30">
            <v>0</v>
          </cell>
        </row>
        <row r="31">
          <cell r="A31">
            <v>11620</v>
          </cell>
          <cell r="B31" t="str">
            <v>Pajak dibayar dimuka</v>
          </cell>
          <cell r="C31" t="str">
            <v>R</v>
          </cell>
          <cell r="D31" t="str">
            <v>D</v>
          </cell>
          <cell r="E31">
            <v>0</v>
          </cell>
          <cell r="F31">
            <v>0</v>
          </cell>
          <cell r="G31">
            <v>0</v>
          </cell>
          <cell r="H31">
            <v>0</v>
          </cell>
          <cell r="I31">
            <v>0</v>
          </cell>
          <cell r="J31">
            <v>0</v>
          </cell>
        </row>
        <row r="32">
          <cell r="A32">
            <v>11690</v>
          </cell>
          <cell r="B32" t="str">
            <v>Beban lain-lain dibayar dimuka</v>
          </cell>
          <cell r="C32" t="str">
            <v>R</v>
          </cell>
          <cell r="D32" t="str">
            <v>D</v>
          </cell>
          <cell r="E32">
            <v>0</v>
          </cell>
          <cell r="F32">
            <v>0</v>
          </cell>
          <cell r="G32">
            <v>0</v>
          </cell>
          <cell r="H32">
            <v>0</v>
          </cell>
          <cell r="I32">
            <v>0</v>
          </cell>
          <cell r="J32">
            <v>0</v>
          </cell>
        </row>
        <row r="33">
          <cell r="A33">
            <v>12000</v>
          </cell>
          <cell r="B33" t="str">
            <v>Aset Tak Lancar</v>
          </cell>
          <cell r="E33">
            <v>0</v>
          </cell>
          <cell r="F33">
            <v>0</v>
          </cell>
          <cell r="G33">
            <v>0</v>
          </cell>
          <cell r="H33">
            <v>0</v>
          </cell>
          <cell r="I33">
            <v>0</v>
          </cell>
          <cell r="J33">
            <v>0</v>
          </cell>
        </row>
        <row r="34">
          <cell r="A34">
            <v>12100</v>
          </cell>
          <cell r="B34" t="str">
            <v>Investasi jangka Panjang</v>
          </cell>
          <cell r="E34">
            <v>0</v>
          </cell>
          <cell r="F34">
            <v>0</v>
          </cell>
          <cell r="G34">
            <v>0</v>
          </cell>
          <cell r="H34">
            <v>0</v>
          </cell>
          <cell r="I34">
            <v>0</v>
          </cell>
          <cell r="J34">
            <v>0</v>
          </cell>
        </row>
        <row r="35">
          <cell r="A35">
            <v>12110</v>
          </cell>
          <cell r="B35" t="str">
            <v>Saham Biasa</v>
          </cell>
          <cell r="C35" t="str">
            <v>R</v>
          </cell>
          <cell r="D35" t="str">
            <v>D</v>
          </cell>
          <cell r="E35">
            <v>0</v>
          </cell>
          <cell r="F35">
            <v>0</v>
          </cell>
          <cell r="G35">
            <v>0</v>
          </cell>
          <cell r="H35">
            <v>0</v>
          </cell>
          <cell r="I35">
            <v>0</v>
          </cell>
          <cell r="J35">
            <v>0</v>
          </cell>
        </row>
        <row r="36">
          <cell r="A36">
            <v>12120</v>
          </cell>
          <cell r="B36" t="str">
            <v>Surat-surat Berharga</v>
          </cell>
          <cell r="C36" t="str">
            <v>R</v>
          </cell>
          <cell r="D36" t="str">
            <v>D</v>
          </cell>
          <cell r="E36">
            <v>0</v>
          </cell>
          <cell r="F36">
            <v>0</v>
          </cell>
          <cell r="G36">
            <v>0</v>
          </cell>
          <cell r="H36">
            <v>0</v>
          </cell>
          <cell r="I36">
            <v>0</v>
          </cell>
          <cell r="J36">
            <v>0</v>
          </cell>
        </row>
        <row r="37">
          <cell r="A37">
            <v>12200</v>
          </cell>
          <cell r="B37" t="str">
            <v>Harga Perolehan Aset Tetap</v>
          </cell>
          <cell r="E37">
            <v>0</v>
          </cell>
          <cell r="F37">
            <v>0</v>
          </cell>
          <cell r="G37">
            <v>0</v>
          </cell>
          <cell r="H37">
            <v>0</v>
          </cell>
          <cell r="I37">
            <v>0</v>
          </cell>
          <cell r="J37">
            <v>0</v>
          </cell>
        </row>
        <row r="38">
          <cell r="A38">
            <v>12210</v>
          </cell>
          <cell r="B38" t="str">
            <v>HP Tanah</v>
          </cell>
          <cell r="C38" t="str">
            <v>R</v>
          </cell>
          <cell r="D38" t="str">
            <v>D</v>
          </cell>
          <cell r="E38">
            <v>0</v>
          </cell>
          <cell r="F38">
            <v>0</v>
          </cell>
          <cell r="G38">
            <v>0</v>
          </cell>
          <cell r="H38">
            <v>0</v>
          </cell>
          <cell r="I38">
            <v>0</v>
          </cell>
          <cell r="J38">
            <v>0</v>
          </cell>
        </row>
        <row r="39">
          <cell r="A39">
            <v>12220</v>
          </cell>
          <cell r="B39" t="str">
            <v>HP Bangunan</v>
          </cell>
          <cell r="C39" t="str">
            <v>R</v>
          </cell>
          <cell r="D39" t="str">
            <v>D</v>
          </cell>
          <cell r="E39">
            <v>50000000</v>
          </cell>
          <cell r="F39">
            <v>0</v>
          </cell>
          <cell r="G39">
            <v>0</v>
          </cell>
          <cell r="H39">
            <v>0</v>
          </cell>
          <cell r="I39">
            <v>50000000</v>
          </cell>
          <cell r="J39">
            <v>0</v>
          </cell>
        </row>
        <row r="40">
          <cell r="A40">
            <v>12230</v>
          </cell>
          <cell r="B40" t="str">
            <v>HP Infrastruktur</v>
          </cell>
          <cell r="C40" t="str">
            <v>R</v>
          </cell>
          <cell r="D40" t="str">
            <v>D</v>
          </cell>
          <cell r="E40">
            <v>0</v>
          </cell>
          <cell r="F40">
            <v>0</v>
          </cell>
          <cell r="G40">
            <v>0</v>
          </cell>
          <cell r="H40">
            <v>0</v>
          </cell>
          <cell r="I40">
            <v>0</v>
          </cell>
          <cell r="J40">
            <v>0</v>
          </cell>
        </row>
        <row r="41">
          <cell r="A41">
            <v>12240</v>
          </cell>
          <cell r="B41" t="str">
            <v>HP Peralatan</v>
          </cell>
          <cell r="C41" t="str">
            <v>R</v>
          </cell>
          <cell r="D41" t="str">
            <v>D</v>
          </cell>
          <cell r="E41">
            <v>41952800</v>
          </cell>
          <cell r="F41">
            <v>0</v>
          </cell>
          <cell r="G41">
            <v>450000</v>
          </cell>
          <cell r="H41">
            <v>0</v>
          </cell>
          <cell r="I41">
            <v>42402800</v>
          </cell>
          <cell r="J41">
            <v>0</v>
          </cell>
        </row>
        <row r="42">
          <cell r="A42">
            <v>12250</v>
          </cell>
          <cell r="B42" t="str">
            <v>HP Mebel dan Perlengkapan</v>
          </cell>
          <cell r="C42" t="str">
            <v>R</v>
          </cell>
          <cell r="D42" t="str">
            <v>D</v>
          </cell>
          <cell r="E42">
            <v>8878604</v>
          </cell>
          <cell r="F42">
            <v>0</v>
          </cell>
          <cell r="G42">
            <v>0</v>
          </cell>
          <cell r="H42">
            <v>0</v>
          </cell>
          <cell r="I42">
            <v>8878604</v>
          </cell>
          <cell r="J42">
            <v>0</v>
          </cell>
        </row>
        <row r="43">
          <cell r="A43">
            <v>12260</v>
          </cell>
          <cell r="B43" t="str">
            <v>HP Kendaraan</v>
          </cell>
          <cell r="C43" t="str">
            <v>R</v>
          </cell>
          <cell r="D43" t="str">
            <v>D</v>
          </cell>
          <cell r="E43">
            <v>0</v>
          </cell>
          <cell r="F43">
            <v>0</v>
          </cell>
          <cell r="G43">
            <v>0</v>
          </cell>
          <cell r="H43">
            <v>0</v>
          </cell>
          <cell r="I43">
            <v>0</v>
          </cell>
          <cell r="J43">
            <v>0</v>
          </cell>
        </row>
        <row r="44">
          <cell r="A44">
            <v>12290</v>
          </cell>
          <cell r="B44" t="str">
            <v>Lain-lain Aset Tetap</v>
          </cell>
          <cell r="C44" t="str">
            <v>R</v>
          </cell>
          <cell r="D44" t="str">
            <v>D</v>
          </cell>
          <cell r="E44">
            <v>0</v>
          </cell>
          <cell r="F44">
            <v>0</v>
          </cell>
          <cell r="G44">
            <v>0</v>
          </cell>
          <cell r="H44">
            <v>0</v>
          </cell>
          <cell r="I44">
            <v>0</v>
          </cell>
          <cell r="J44">
            <v>0</v>
          </cell>
        </row>
        <row r="45">
          <cell r="A45">
            <v>12300</v>
          </cell>
          <cell r="B45" t="str">
            <v>Akumulasi Penyusutan Aset Tetap</v>
          </cell>
          <cell r="E45">
            <v>0</v>
          </cell>
          <cell r="F45">
            <v>0</v>
          </cell>
          <cell r="G45">
            <v>0</v>
          </cell>
          <cell r="H45">
            <v>0</v>
          </cell>
          <cell r="I45">
            <v>0</v>
          </cell>
          <cell r="J45">
            <v>0</v>
          </cell>
        </row>
        <row r="46">
          <cell r="A46">
            <v>12310</v>
          </cell>
          <cell r="B46" t="str">
            <v>Akumulasi Penyusutan Tanah</v>
          </cell>
          <cell r="C46" t="str">
            <v>R</v>
          </cell>
          <cell r="D46" t="str">
            <v>D</v>
          </cell>
          <cell r="E46">
            <v>0</v>
          </cell>
          <cell r="F46">
            <v>0</v>
          </cell>
          <cell r="G46">
            <v>0</v>
          </cell>
          <cell r="H46">
            <v>0</v>
          </cell>
          <cell r="I46">
            <v>0</v>
          </cell>
          <cell r="J46">
            <v>0</v>
          </cell>
        </row>
        <row r="47">
          <cell r="A47">
            <v>12320</v>
          </cell>
          <cell r="B47" t="str">
            <v>Akumulasi Penyusutan Bangunan</v>
          </cell>
          <cell r="C47" t="str">
            <v>R</v>
          </cell>
          <cell r="D47" t="str">
            <v>D</v>
          </cell>
          <cell r="E47">
            <v>-8333331.9966666661</v>
          </cell>
          <cell r="F47">
            <v>0</v>
          </cell>
          <cell r="G47">
            <v>0</v>
          </cell>
          <cell r="H47">
            <v>833333.33333333337</v>
          </cell>
          <cell r="I47">
            <v>-9166665.3300000001</v>
          </cell>
          <cell r="J47">
            <v>0</v>
          </cell>
        </row>
        <row r="48">
          <cell r="A48">
            <v>12330</v>
          </cell>
          <cell r="B48" t="str">
            <v>Akumulasi Penyusutan Infrastruktur</v>
          </cell>
          <cell r="C48" t="str">
            <v>R</v>
          </cell>
          <cell r="D48" t="str">
            <v>D</v>
          </cell>
          <cell r="E48">
            <v>0</v>
          </cell>
          <cell r="F48">
            <v>0</v>
          </cell>
          <cell r="G48">
            <v>0</v>
          </cell>
          <cell r="H48">
            <v>0</v>
          </cell>
          <cell r="I48">
            <v>0</v>
          </cell>
          <cell r="J48">
            <v>0</v>
          </cell>
        </row>
        <row r="49">
          <cell r="A49">
            <v>12340</v>
          </cell>
          <cell r="B49" t="str">
            <v>Akumulasi Penyusutan Peralatan</v>
          </cell>
          <cell r="C49" t="str">
            <v>R</v>
          </cell>
          <cell r="D49" t="str">
            <v>D</v>
          </cell>
          <cell r="E49">
            <v>-6021286.9966666661</v>
          </cell>
          <cell r="F49">
            <v>0</v>
          </cell>
          <cell r="G49">
            <v>0</v>
          </cell>
          <cell r="H49">
            <v>718218.33333333337</v>
          </cell>
          <cell r="I49">
            <v>-6739505.3299999991</v>
          </cell>
          <cell r="J49">
            <v>0</v>
          </cell>
        </row>
        <row r="50">
          <cell r="A50">
            <v>12350</v>
          </cell>
          <cell r="B50" t="str">
            <v>Akumulasi Penyusutan Mebel dan Perlengkapan</v>
          </cell>
          <cell r="C50" t="str">
            <v>R</v>
          </cell>
          <cell r="D50" t="str">
            <v>D</v>
          </cell>
          <cell r="E50">
            <v>-1450231.1966666663</v>
          </cell>
          <cell r="F50">
            <v>0</v>
          </cell>
          <cell r="G50">
            <v>0</v>
          </cell>
          <cell r="H50">
            <v>147976.73333333334</v>
          </cell>
          <cell r="I50">
            <v>-1598207.9299999997</v>
          </cell>
          <cell r="J50">
            <v>0</v>
          </cell>
        </row>
        <row r="51">
          <cell r="A51">
            <v>12360</v>
          </cell>
          <cell r="B51" t="str">
            <v>Akumulasi Penyusutan Kendaraan</v>
          </cell>
          <cell r="C51" t="str">
            <v>R</v>
          </cell>
          <cell r="D51" t="str">
            <v>D</v>
          </cell>
          <cell r="E51">
            <v>0</v>
          </cell>
          <cell r="F51">
            <v>0</v>
          </cell>
          <cell r="G51">
            <v>0</v>
          </cell>
          <cell r="H51">
            <v>0</v>
          </cell>
          <cell r="I51">
            <v>0</v>
          </cell>
          <cell r="J51">
            <v>0</v>
          </cell>
        </row>
        <row r="52">
          <cell r="A52">
            <v>12390</v>
          </cell>
          <cell r="B52" t="str">
            <v>Akumulasi Penyusutan Lain-lain</v>
          </cell>
          <cell r="C52" t="str">
            <v>R</v>
          </cell>
          <cell r="D52" t="str">
            <v>D</v>
          </cell>
          <cell r="E52">
            <v>0</v>
          </cell>
          <cell r="F52">
            <v>0</v>
          </cell>
          <cell r="G52">
            <v>0</v>
          </cell>
          <cell r="H52">
            <v>0</v>
          </cell>
          <cell r="I52">
            <v>0</v>
          </cell>
          <cell r="J52">
            <v>0</v>
          </cell>
        </row>
        <row r="53">
          <cell r="A53">
            <v>12400</v>
          </cell>
          <cell r="B53" t="str">
            <v>Aset Tidak Lancar Lainnya</v>
          </cell>
          <cell r="E53">
            <v>0</v>
          </cell>
          <cell r="F53">
            <v>0</v>
          </cell>
          <cell r="G53">
            <v>0</v>
          </cell>
          <cell r="H53">
            <v>0</v>
          </cell>
          <cell r="I53">
            <v>0</v>
          </cell>
          <cell r="J53">
            <v>0</v>
          </cell>
        </row>
        <row r="54">
          <cell r="A54">
            <v>12410</v>
          </cell>
          <cell r="B54" t="str">
            <v>Biaya Pra Operasional</v>
          </cell>
          <cell r="C54" t="str">
            <v>R</v>
          </cell>
          <cell r="D54" t="str">
            <v>D</v>
          </cell>
          <cell r="E54">
            <v>0</v>
          </cell>
          <cell r="F54">
            <v>0</v>
          </cell>
          <cell r="G54">
            <v>0</v>
          </cell>
          <cell r="H54">
            <v>0</v>
          </cell>
          <cell r="I54">
            <v>0</v>
          </cell>
          <cell r="J54">
            <v>0</v>
          </cell>
        </row>
        <row r="55">
          <cell r="A55">
            <v>20000</v>
          </cell>
          <cell r="B55" t="str">
            <v>Liabilitas</v>
          </cell>
          <cell r="E55">
            <v>0</v>
          </cell>
          <cell r="F55">
            <v>0</v>
          </cell>
          <cell r="G55">
            <v>0</v>
          </cell>
          <cell r="H55">
            <v>0</v>
          </cell>
          <cell r="I55">
            <v>0</v>
          </cell>
          <cell r="J55">
            <v>0</v>
          </cell>
        </row>
        <row r="56">
          <cell r="A56">
            <v>21000</v>
          </cell>
          <cell r="B56" t="str">
            <v>Liabilitas Lancar</v>
          </cell>
          <cell r="E56">
            <v>0</v>
          </cell>
          <cell r="F56">
            <v>0</v>
          </cell>
          <cell r="G56">
            <v>0</v>
          </cell>
          <cell r="H56">
            <v>0</v>
          </cell>
          <cell r="I56">
            <v>0</v>
          </cell>
          <cell r="J56">
            <v>0</v>
          </cell>
        </row>
        <row r="57">
          <cell r="A57">
            <v>21100</v>
          </cell>
          <cell r="B57" t="str">
            <v>Hutang Bank</v>
          </cell>
          <cell r="E57">
            <v>0</v>
          </cell>
          <cell r="F57">
            <v>0</v>
          </cell>
          <cell r="G57">
            <v>0</v>
          </cell>
          <cell r="H57">
            <v>0</v>
          </cell>
          <cell r="I57">
            <v>0</v>
          </cell>
          <cell r="J57">
            <v>0</v>
          </cell>
        </row>
        <row r="58">
          <cell r="A58">
            <v>21110</v>
          </cell>
          <cell r="B58" t="str">
            <v>Hutang Bank --</v>
          </cell>
          <cell r="C58" t="str">
            <v>R</v>
          </cell>
          <cell r="D58" t="str">
            <v>K</v>
          </cell>
          <cell r="E58">
            <v>0</v>
          </cell>
          <cell r="F58">
            <v>0</v>
          </cell>
          <cell r="G58">
            <v>0</v>
          </cell>
          <cell r="H58">
            <v>0</v>
          </cell>
          <cell r="I58">
            <v>0</v>
          </cell>
          <cell r="J58">
            <v>0</v>
          </cell>
        </row>
        <row r="59">
          <cell r="A59">
            <v>21200</v>
          </cell>
          <cell r="B59" t="str">
            <v>Hutang Dagang</v>
          </cell>
          <cell r="E59">
            <v>0</v>
          </cell>
          <cell r="F59">
            <v>0</v>
          </cell>
          <cell r="G59">
            <v>0</v>
          </cell>
          <cell r="H59">
            <v>0</v>
          </cell>
          <cell r="I59">
            <v>0</v>
          </cell>
          <cell r="J59">
            <v>0</v>
          </cell>
        </row>
        <row r="60">
          <cell r="A60">
            <v>21210</v>
          </cell>
          <cell r="B60" t="str">
            <v>Hutang Dagang</v>
          </cell>
          <cell r="C60" t="str">
            <v>R</v>
          </cell>
          <cell r="D60" t="str">
            <v>K</v>
          </cell>
          <cell r="E60">
            <v>0</v>
          </cell>
          <cell r="F60">
            <v>0</v>
          </cell>
          <cell r="G60">
            <v>0</v>
          </cell>
          <cell r="H60">
            <v>0</v>
          </cell>
          <cell r="I60">
            <v>0</v>
          </cell>
          <cell r="J60">
            <v>0</v>
          </cell>
        </row>
        <row r="61">
          <cell r="A61">
            <v>21290</v>
          </cell>
          <cell r="B61" t="str">
            <v>Hutang Lain-lain</v>
          </cell>
          <cell r="C61" t="str">
            <v>R</v>
          </cell>
          <cell r="D61" t="str">
            <v>K</v>
          </cell>
          <cell r="E61">
            <v>0</v>
          </cell>
          <cell r="F61">
            <v>0</v>
          </cell>
          <cell r="G61">
            <v>0</v>
          </cell>
          <cell r="H61">
            <v>0</v>
          </cell>
          <cell r="I61">
            <v>0</v>
          </cell>
          <cell r="J61">
            <v>0</v>
          </cell>
        </row>
        <row r="62">
          <cell r="A62">
            <v>21300</v>
          </cell>
          <cell r="B62" t="str">
            <v>Hutang Gaji</v>
          </cell>
          <cell r="E62">
            <v>0</v>
          </cell>
          <cell r="F62">
            <v>0</v>
          </cell>
          <cell r="G62">
            <v>0</v>
          </cell>
          <cell r="H62">
            <v>0</v>
          </cell>
          <cell r="I62">
            <v>0</v>
          </cell>
          <cell r="J62">
            <v>0</v>
          </cell>
        </row>
        <row r="63">
          <cell r="A63">
            <v>21310</v>
          </cell>
          <cell r="B63" t="str">
            <v>Hutang Gaji Karyawan</v>
          </cell>
          <cell r="C63" t="str">
            <v>R</v>
          </cell>
          <cell r="D63" t="str">
            <v>K</v>
          </cell>
          <cell r="E63">
            <v>0</v>
          </cell>
          <cell r="F63">
            <v>0</v>
          </cell>
          <cell r="G63">
            <v>0</v>
          </cell>
          <cell r="H63">
            <v>0</v>
          </cell>
          <cell r="I63">
            <v>0</v>
          </cell>
          <cell r="J63">
            <v>0</v>
          </cell>
        </row>
        <row r="64">
          <cell r="A64">
            <v>21500</v>
          </cell>
          <cell r="B64" t="str">
            <v>Titipan Bunga Bank</v>
          </cell>
          <cell r="E64">
            <v>0</v>
          </cell>
          <cell r="F64">
            <v>0</v>
          </cell>
          <cell r="G64">
            <v>0</v>
          </cell>
          <cell r="H64">
            <v>0</v>
          </cell>
          <cell r="I64">
            <v>0</v>
          </cell>
          <cell r="J64">
            <v>0</v>
          </cell>
        </row>
        <row r="65">
          <cell r="A65">
            <v>21510</v>
          </cell>
          <cell r="B65" t="str">
            <v xml:space="preserve">Bunga Bank </v>
          </cell>
          <cell r="C65" t="str">
            <v>R</v>
          </cell>
          <cell r="D65" t="str">
            <v>K</v>
          </cell>
          <cell r="E65">
            <v>0</v>
          </cell>
          <cell r="F65">
            <v>0</v>
          </cell>
          <cell r="G65">
            <v>0</v>
          </cell>
          <cell r="H65">
            <v>0</v>
          </cell>
          <cell r="I65">
            <v>0</v>
          </cell>
          <cell r="J65">
            <v>0</v>
          </cell>
        </row>
        <row r="66">
          <cell r="A66">
            <v>21600</v>
          </cell>
          <cell r="B66" t="str">
            <v>Hutang PajaK</v>
          </cell>
          <cell r="E66">
            <v>0</v>
          </cell>
          <cell r="F66">
            <v>0</v>
          </cell>
          <cell r="G66">
            <v>0</v>
          </cell>
          <cell r="H66">
            <v>0</v>
          </cell>
          <cell r="I66">
            <v>0</v>
          </cell>
          <cell r="J66">
            <v>0</v>
          </cell>
        </row>
        <row r="67">
          <cell r="A67">
            <v>21610</v>
          </cell>
          <cell r="B67" t="str">
            <v>Hutang Pajak</v>
          </cell>
          <cell r="C67" t="str">
            <v>R</v>
          </cell>
          <cell r="D67" t="str">
            <v>K</v>
          </cell>
          <cell r="E67">
            <v>0</v>
          </cell>
          <cell r="F67">
            <v>0</v>
          </cell>
          <cell r="G67">
            <v>0</v>
          </cell>
          <cell r="H67">
            <v>0</v>
          </cell>
          <cell r="I67">
            <v>0</v>
          </cell>
          <cell r="J67">
            <v>0</v>
          </cell>
        </row>
        <row r="68">
          <cell r="A68">
            <v>21700</v>
          </cell>
          <cell r="B68" t="str">
            <v>Pendapatan diterima dimuka</v>
          </cell>
          <cell r="E68">
            <v>0</v>
          </cell>
          <cell r="F68">
            <v>0</v>
          </cell>
          <cell r="G68">
            <v>0</v>
          </cell>
          <cell r="H68">
            <v>0</v>
          </cell>
          <cell r="I68">
            <v>0</v>
          </cell>
          <cell r="J68">
            <v>0</v>
          </cell>
        </row>
        <row r="69">
          <cell r="A69">
            <v>21710</v>
          </cell>
          <cell r="B69" t="str">
            <v xml:space="preserve">Pendapatan diterima dimuka </v>
          </cell>
          <cell r="C69" t="str">
            <v>R</v>
          </cell>
          <cell r="D69" t="str">
            <v>K</v>
          </cell>
          <cell r="E69">
            <v>0</v>
          </cell>
          <cell r="F69">
            <v>0</v>
          </cell>
          <cell r="G69">
            <v>0</v>
          </cell>
          <cell r="H69">
            <v>0</v>
          </cell>
          <cell r="I69">
            <v>0</v>
          </cell>
          <cell r="J69">
            <v>0</v>
          </cell>
        </row>
        <row r="70">
          <cell r="A70">
            <v>21900</v>
          </cell>
          <cell r="B70" t="str">
            <v>Biaya yang masih harus dibayar</v>
          </cell>
          <cell r="E70">
            <v>0</v>
          </cell>
          <cell r="F70">
            <v>0</v>
          </cell>
          <cell r="G70">
            <v>0</v>
          </cell>
          <cell r="H70">
            <v>0</v>
          </cell>
          <cell r="I70">
            <v>0</v>
          </cell>
          <cell r="J70">
            <v>0</v>
          </cell>
        </row>
        <row r="71">
          <cell r="A71">
            <v>21910</v>
          </cell>
          <cell r="B71" t="str">
            <v>Beban yang masih harus dibayar - Gaji</v>
          </cell>
          <cell r="C71" t="str">
            <v>R</v>
          </cell>
          <cell r="D71" t="str">
            <v>K</v>
          </cell>
          <cell r="E71">
            <v>0</v>
          </cell>
          <cell r="F71">
            <v>0</v>
          </cell>
          <cell r="G71">
            <v>0</v>
          </cell>
          <cell r="H71">
            <v>0</v>
          </cell>
          <cell r="I71">
            <v>0</v>
          </cell>
          <cell r="J71">
            <v>0</v>
          </cell>
        </row>
        <row r="72">
          <cell r="A72">
            <v>21920</v>
          </cell>
          <cell r="B72" t="str">
            <v>Beban yang masih harus dibayar - Listrik</v>
          </cell>
          <cell r="C72" t="str">
            <v>R</v>
          </cell>
          <cell r="D72" t="str">
            <v>K</v>
          </cell>
          <cell r="E72">
            <v>0</v>
          </cell>
          <cell r="F72">
            <v>0</v>
          </cell>
          <cell r="G72">
            <v>0</v>
          </cell>
          <cell r="H72">
            <v>0</v>
          </cell>
          <cell r="I72">
            <v>0</v>
          </cell>
          <cell r="J72">
            <v>0</v>
          </cell>
        </row>
        <row r="73">
          <cell r="A73">
            <v>21930</v>
          </cell>
          <cell r="B73" t="str">
            <v>Beban yang masih harus dibayar - Telepon</v>
          </cell>
          <cell r="C73" t="str">
            <v>R</v>
          </cell>
          <cell r="D73" t="str">
            <v>K</v>
          </cell>
          <cell r="E73">
            <v>0</v>
          </cell>
          <cell r="F73">
            <v>0</v>
          </cell>
          <cell r="G73">
            <v>0</v>
          </cell>
          <cell r="H73">
            <v>0</v>
          </cell>
          <cell r="I73">
            <v>0</v>
          </cell>
          <cell r="J73">
            <v>0</v>
          </cell>
        </row>
        <row r="74">
          <cell r="A74">
            <v>21990</v>
          </cell>
          <cell r="B74" t="str">
            <v>Beban yang masih harus dibayar - Lain-lain</v>
          </cell>
          <cell r="C74" t="str">
            <v>R</v>
          </cell>
          <cell r="D74" t="str">
            <v>K</v>
          </cell>
          <cell r="E74">
            <v>0</v>
          </cell>
          <cell r="F74">
            <v>0</v>
          </cell>
          <cell r="G74">
            <v>0</v>
          </cell>
          <cell r="H74">
            <v>0</v>
          </cell>
          <cell r="I74">
            <v>0</v>
          </cell>
          <cell r="J74">
            <v>0</v>
          </cell>
        </row>
        <row r="75">
          <cell r="A75">
            <v>22000</v>
          </cell>
          <cell r="B75" t="str">
            <v>Liabiitas Tak Lancar</v>
          </cell>
          <cell r="E75">
            <v>0</v>
          </cell>
          <cell r="F75">
            <v>0</v>
          </cell>
          <cell r="G75">
            <v>0</v>
          </cell>
          <cell r="H75">
            <v>0</v>
          </cell>
          <cell r="I75">
            <v>0</v>
          </cell>
          <cell r="J75">
            <v>0</v>
          </cell>
        </row>
        <row r="76">
          <cell r="A76">
            <v>22100</v>
          </cell>
          <cell r="B76" t="str">
            <v>Hutang Jangka Panjang</v>
          </cell>
          <cell r="E76">
            <v>0</v>
          </cell>
          <cell r="F76">
            <v>0</v>
          </cell>
          <cell r="G76">
            <v>0</v>
          </cell>
          <cell r="H76">
            <v>0</v>
          </cell>
          <cell r="I76">
            <v>0</v>
          </cell>
          <cell r="J76">
            <v>0</v>
          </cell>
        </row>
        <row r="77">
          <cell r="A77">
            <v>22110</v>
          </cell>
          <cell r="B77" t="str">
            <v>Hutang Bank</v>
          </cell>
          <cell r="C77" t="str">
            <v>R</v>
          </cell>
          <cell r="D77" t="str">
            <v>K</v>
          </cell>
          <cell r="E77">
            <v>0</v>
          </cell>
          <cell r="F77">
            <v>0</v>
          </cell>
          <cell r="G77">
            <v>0</v>
          </cell>
          <cell r="H77">
            <v>0</v>
          </cell>
          <cell r="I77">
            <v>0</v>
          </cell>
          <cell r="J77">
            <v>0</v>
          </cell>
        </row>
        <row r="78">
          <cell r="A78">
            <v>22120</v>
          </cell>
          <cell r="B78" t="str">
            <v>Pinjaman operasi jangka panjang</v>
          </cell>
          <cell r="C78" t="str">
            <v>R</v>
          </cell>
          <cell r="D78" t="str">
            <v>K</v>
          </cell>
          <cell r="E78">
            <v>0</v>
          </cell>
          <cell r="F78">
            <v>0</v>
          </cell>
          <cell r="G78">
            <v>0</v>
          </cell>
          <cell r="H78">
            <v>0</v>
          </cell>
          <cell r="I78">
            <v>0</v>
          </cell>
          <cell r="J78">
            <v>0</v>
          </cell>
        </row>
        <row r="79">
          <cell r="A79">
            <v>30000</v>
          </cell>
          <cell r="B79" t="str">
            <v xml:space="preserve">Modal </v>
          </cell>
          <cell r="E79">
            <v>0</v>
          </cell>
          <cell r="F79">
            <v>0</v>
          </cell>
          <cell r="G79">
            <v>0</v>
          </cell>
          <cell r="H79">
            <v>0</v>
          </cell>
          <cell r="I79">
            <v>0</v>
          </cell>
          <cell r="J79">
            <v>0</v>
          </cell>
        </row>
        <row r="80">
          <cell r="A80">
            <v>31000</v>
          </cell>
          <cell r="B80" t="str">
            <v>Modal Yayasan Pengurus/Pembina</v>
          </cell>
          <cell r="E80">
            <v>0</v>
          </cell>
          <cell r="F80">
            <v>0</v>
          </cell>
          <cell r="G80">
            <v>0</v>
          </cell>
          <cell r="H80">
            <v>0</v>
          </cell>
          <cell r="I80">
            <v>0</v>
          </cell>
          <cell r="J80">
            <v>0</v>
          </cell>
        </row>
        <row r="81">
          <cell r="A81">
            <v>31100</v>
          </cell>
          <cell r="B81" t="str">
            <v>Setoran Modal Awal dari Pengurus/Pembina</v>
          </cell>
          <cell r="C81" t="str">
            <v>R</v>
          </cell>
          <cell r="D81" t="str">
            <v>K</v>
          </cell>
          <cell r="E81">
            <v>0</v>
          </cell>
          <cell r="F81">
            <v>197268042</v>
          </cell>
          <cell r="G81">
            <v>0</v>
          </cell>
          <cell r="H81">
            <v>0</v>
          </cell>
          <cell r="I81">
            <v>0</v>
          </cell>
          <cell r="J81">
            <v>197268042</v>
          </cell>
        </row>
        <row r="82">
          <cell r="A82">
            <v>31200</v>
          </cell>
          <cell r="B82" t="str">
            <v>Setoran Modal Tambahan dari Pengurus/Pembina</v>
          </cell>
          <cell r="C82" t="str">
            <v>R</v>
          </cell>
          <cell r="D82" t="str">
            <v>K</v>
          </cell>
          <cell r="E82">
            <v>0</v>
          </cell>
          <cell r="F82">
            <v>0</v>
          </cell>
          <cell r="G82">
            <v>0</v>
          </cell>
          <cell r="H82">
            <v>0</v>
          </cell>
          <cell r="I82">
            <v>0</v>
          </cell>
          <cell r="J82">
            <v>0</v>
          </cell>
        </row>
        <row r="83">
          <cell r="A83">
            <v>32000</v>
          </cell>
          <cell r="B83" t="str">
            <v>Laba Ditahan</v>
          </cell>
          <cell r="E83">
            <v>0</v>
          </cell>
          <cell r="F83">
            <v>0</v>
          </cell>
          <cell r="G83">
            <v>0</v>
          </cell>
          <cell r="H83">
            <v>0</v>
          </cell>
          <cell r="I83">
            <v>0</v>
          </cell>
          <cell r="J83">
            <v>0</v>
          </cell>
        </row>
        <row r="84">
          <cell r="A84">
            <v>32100</v>
          </cell>
          <cell r="B84" t="str">
            <v>Laba (Rugi) Tahun Berjalan</v>
          </cell>
          <cell r="C84" t="str">
            <v>R</v>
          </cell>
          <cell r="D84" t="str">
            <v>K</v>
          </cell>
          <cell r="E84">
            <v>0</v>
          </cell>
          <cell r="F84">
            <v>18286605.600000001</v>
          </cell>
          <cell r="G84">
            <v>0</v>
          </cell>
          <cell r="H84">
            <v>0</v>
          </cell>
          <cell r="I84">
            <v>0</v>
          </cell>
          <cell r="J84">
            <v>18286605.600000001</v>
          </cell>
        </row>
        <row r="85">
          <cell r="A85">
            <v>32200</v>
          </cell>
          <cell r="B85" t="str">
            <v>Laba (Rugi) ditahan</v>
          </cell>
          <cell r="C85" t="str">
            <v>R</v>
          </cell>
          <cell r="D85" t="str">
            <v>K</v>
          </cell>
          <cell r="E85">
            <v>0</v>
          </cell>
          <cell r="F85">
            <v>92822815.790000021</v>
          </cell>
          <cell r="G85">
            <v>0</v>
          </cell>
          <cell r="H85">
            <v>0</v>
          </cell>
          <cell r="I85">
            <v>0</v>
          </cell>
          <cell r="J85">
            <v>92822815.790000021</v>
          </cell>
        </row>
        <row r="86">
          <cell r="A86">
            <v>40000</v>
          </cell>
          <cell r="B86" t="str">
            <v xml:space="preserve">Pendapatan </v>
          </cell>
          <cell r="E86">
            <v>0</v>
          </cell>
          <cell r="F86">
            <v>0</v>
          </cell>
          <cell r="G86">
            <v>0</v>
          </cell>
          <cell r="H86">
            <v>0</v>
          </cell>
          <cell r="I86">
            <v>0</v>
          </cell>
          <cell r="J86">
            <v>0</v>
          </cell>
        </row>
        <row r="87">
          <cell r="A87">
            <v>41000</v>
          </cell>
          <cell r="B87" t="str">
            <v>Penjualan Barang Dagangan</v>
          </cell>
          <cell r="E87">
            <v>0</v>
          </cell>
          <cell r="F87">
            <v>0</v>
          </cell>
          <cell r="G87">
            <v>0</v>
          </cell>
          <cell r="H87">
            <v>0</v>
          </cell>
          <cell r="I87">
            <v>0</v>
          </cell>
          <cell r="J87">
            <v>0</v>
          </cell>
        </row>
        <row r="88">
          <cell r="A88">
            <v>41100</v>
          </cell>
          <cell r="B88" t="str">
            <v>Penjualan Barang Dagangan</v>
          </cell>
          <cell r="C88" t="str">
            <v>N</v>
          </cell>
          <cell r="D88" t="str">
            <v>K</v>
          </cell>
          <cell r="E88">
            <v>0</v>
          </cell>
          <cell r="F88">
            <v>0</v>
          </cell>
          <cell r="G88">
            <v>0</v>
          </cell>
          <cell r="H88">
            <v>105911200</v>
          </cell>
          <cell r="I88">
            <v>0</v>
          </cell>
          <cell r="J88">
            <v>105911200</v>
          </cell>
        </row>
        <row r="89">
          <cell r="A89">
            <v>41200</v>
          </cell>
          <cell r="B89" t="str">
            <v>Penjualan Barang Konsinyasi</v>
          </cell>
          <cell r="C89" t="str">
            <v>N</v>
          </cell>
          <cell r="D89" t="str">
            <v>K</v>
          </cell>
          <cell r="E89">
            <v>0</v>
          </cell>
          <cell r="F89">
            <v>0</v>
          </cell>
          <cell r="G89">
            <v>0</v>
          </cell>
          <cell r="H89">
            <v>0</v>
          </cell>
          <cell r="I89">
            <v>0</v>
          </cell>
          <cell r="J89">
            <v>0</v>
          </cell>
        </row>
        <row r="90">
          <cell r="A90">
            <v>41210</v>
          </cell>
          <cell r="B90" t="str">
            <v>Penjualan Barang Kedai</v>
          </cell>
          <cell r="C90" t="str">
            <v>N</v>
          </cell>
          <cell r="D90" t="str">
            <v>K</v>
          </cell>
          <cell r="E90">
            <v>0</v>
          </cell>
          <cell r="F90">
            <v>0</v>
          </cell>
          <cell r="G90">
            <v>0</v>
          </cell>
          <cell r="H90">
            <v>7187900</v>
          </cell>
          <cell r="I90">
            <v>0</v>
          </cell>
          <cell r="J90">
            <v>7187900</v>
          </cell>
        </row>
        <row r="91">
          <cell r="A91">
            <v>41220</v>
          </cell>
          <cell r="B91" t="str">
            <v>Penjualan Kantin Basah</v>
          </cell>
          <cell r="C91" t="str">
            <v>N</v>
          </cell>
          <cell r="D91" t="str">
            <v>K</v>
          </cell>
          <cell r="E91">
            <v>0</v>
          </cell>
          <cell r="F91">
            <v>0</v>
          </cell>
          <cell r="G91">
            <v>0</v>
          </cell>
          <cell r="H91">
            <v>0</v>
          </cell>
          <cell r="I91">
            <v>0</v>
          </cell>
          <cell r="J91">
            <v>0</v>
          </cell>
        </row>
        <row r="92">
          <cell r="A92">
            <v>41300</v>
          </cell>
          <cell r="B92" t="str">
            <v>Pendapatan Cukur Santri</v>
          </cell>
          <cell r="C92" t="str">
            <v>N</v>
          </cell>
          <cell r="D92" t="str">
            <v>K</v>
          </cell>
          <cell r="E92">
            <v>0</v>
          </cell>
          <cell r="F92">
            <v>0</v>
          </cell>
          <cell r="G92">
            <v>0</v>
          </cell>
          <cell r="H92">
            <v>0</v>
          </cell>
          <cell r="I92">
            <v>0</v>
          </cell>
          <cell r="J92">
            <v>0</v>
          </cell>
        </row>
        <row r="93">
          <cell r="A93">
            <v>47000</v>
          </cell>
          <cell r="B93" t="str">
            <v>Pendapatan Lain-lain</v>
          </cell>
          <cell r="C93" t="str">
            <v>N</v>
          </cell>
          <cell r="D93" t="str">
            <v>K</v>
          </cell>
          <cell r="E93">
            <v>0</v>
          </cell>
          <cell r="F93">
            <v>0</v>
          </cell>
          <cell r="G93">
            <v>0</v>
          </cell>
          <cell r="H93">
            <v>0</v>
          </cell>
          <cell r="I93">
            <v>0</v>
          </cell>
          <cell r="J93">
            <v>0</v>
          </cell>
        </row>
        <row r="94">
          <cell r="A94">
            <v>47100</v>
          </cell>
          <cell r="B94" t="str">
            <v>Penjualan Aktiva Tetap</v>
          </cell>
          <cell r="C94" t="str">
            <v>N</v>
          </cell>
          <cell r="D94" t="str">
            <v>K</v>
          </cell>
          <cell r="E94">
            <v>0</v>
          </cell>
          <cell r="F94">
            <v>0</v>
          </cell>
          <cell r="G94">
            <v>0</v>
          </cell>
          <cell r="H94">
            <v>0</v>
          </cell>
          <cell r="I94">
            <v>0</v>
          </cell>
          <cell r="J94">
            <v>0</v>
          </cell>
        </row>
        <row r="95">
          <cell r="A95">
            <v>47200</v>
          </cell>
          <cell r="B95" t="str">
            <v>Gain of Fixed asset Sale</v>
          </cell>
          <cell r="C95" t="str">
            <v>N</v>
          </cell>
          <cell r="D95" t="str">
            <v>K</v>
          </cell>
          <cell r="E95">
            <v>0</v>
          </cell>
          <cell r="F95">
            <v>0</v>
          </cell>
          <cell r="G95">
            <v>0</v>
          </cell>
          <cell r="H95">
            <v>0</v>
          </cell>
          <cell r="I95">
            <v>0</v>
          </cell>
          <cell r="J95">
            <v>0</v>
          </cell>
        </row>
        <row r="96">
          <cell r="A96">
            <v>47300</v>
          </cell>
          <cell r="B96" t="str">
            <v>Penerimaan Piutang yg dihapus</v>
          </cell>
          <cell r="C96" t="str">
            <v>N</v>
          </cell>
          <cell r="D96" t="str">
            <v>K</v>
          </cell>
          <cell r="E96">
            <v>0</v>
          </cell>
          <cell r="F96">
            <v>0</v>
          </cell>
          <cell r="G96">
            <v>0</v>
          </cell>
          <cell r="H96">
            <v>0</v>
          </cell>
          <cell r="I96">
            <v>0</v>
          </cell>
          <cell r="J96">
            <v>0</v>
          </cell>
        </row>
        <row r="97">
          <cell r="A97">
            <v>47400</v>
          </cell>
          <cell r="B97" t="str">
            <v>Excess of cash Received</v>
          </cell>
          <cell r="C97" t="str">
            <v>N</v>
          </cell>
          <cell r="D97" t="str">
            <v>K</v>
          </cell>
          <cell r="E97">
            <v>0</v>
          </cell>
          <cell r="F97">
            <v>0</v>
          </cell>
          <cell r="G97">
            <v>0</v>
          </cell>
          <cell r="H97">
            <v>0</v>
          </cell>
          <cell r="I97">
            <v>0</v>
          </cell>
          <cell r="J97">
            <v>0</v>
          </cell>
        </row>
        <row r="98">
          <cell r="A98">
            <v>47500</v>
          </cell>
          <cell r="B98" t="str">
            <v>Pembulatan lebih</v>
          </cell>
          <cell r="C98" t="str">
            <v>N</v>
          </cell>
          <cell r="D98" t="str">
            <v>K</v>
          </cell>
          <cell r="E98">
            <v>0</v>
          </cell>
          <cell r="F98">
            <v>0</v>
          </cell>
          <cell r="G98">
            <v>0</v>
          </cell>
          <cell r="H98">
            <v>0</v>
          </cell>
          <cell r="I98">
            <v>0</v>
          </cell>
          <cell r="J98">
            <v>0</v>
          </cell>
        </row>
        <row r="99">
          <cell r="A99">
            <v>47600</v>
          </cell>
          <cell r="B99" t="str">
            <v>Selisih lebih</v>
          </cell>
          <cell r="C99" t="str">
            <v>N</v>
          </cell>
          <cell r="D99" t="str">
            <v>K</v>
          </cell>
          <cell r="E99">
            <v>0</v>
          </cell>
          <cell r="F99">
            <v>0</v>
          </cell>
          <cell r="G99">
            <v>0</v>
          </cell>
          <cell r="H99">
            <v>0</v>
          </cell>
          <cell r="I99">
            <v>0</v>
          </cell>
          <cell r="J99">
            <v>0</v>
          </cell>
        </row>
        <row r="100">
          <cell r="A100">
            <v>47900</v>
          </cell>
          <cell r="B100" t="str">
            <v>Penggantian Fasilitas</v>
          </cell>
          <cell r="C100" t="str">
            <v>N</v>
          </cell>
          <cell r="D100" t="str">
            <v>K</v>
          </cell>
          <cell r="E100">
            <v>0</v>
          </cell>
          <cell r="F100">
            <v>0</v>
          </cell>
          <cell r="G100">
            <v>0</v>
          </cell>
          <cell r="H100">
            <v>0</v>
          </cell>
          <cell r="I100">
            <v>0</v>
          </cell>
          <cell r="J100">
            <v>0</v>
          </cell>
        </row>
        <row r="101">
          <cell r="A101">
            <v>50000</v>
          </cell>
          <cell r="B101" t="str">
            <v>Beban</v>
          </cell>
          <cell r="E101">
            <v>0</v>
          </cell>
          <cell r="F101">
            <v>0</v>
          </cell>
          <cell r="G101">
            <v>0</v>
          </cell>
          <cell r="H101">
            <v>0</v>
          </cell>
          <cell r="I101">
            <v>0</v>
          </cell>
          <cell r="J101">
            <v>0</v>
          </cell>
        </row>
        <row r="102">
          <cell r="A102">
            <v>51000</v>
          </cell>
          <cell r="B102" t="str">
            <v>Harga Pokok Penjualan</v>
          </cell>
          <cell r="E102">
            <v>0</v>
          </cell>
          <cell r="F102">
            <v>0</v>
          </cell>
          <cell r="G102">
            <v>0</v>
          </cell>
          <cell r="H102">
            <v>0</v>
          </cell>
          <cell r="I102">
            <v>0</v>
          </cell>
          <cell r="J102">
            <v>0</v>
          </cell>
        </row>
        <row r="103">
          <cell r="A103">
            <v>51100</v>
          </cell>
          <cell r="B103" t="str">
            <v>HPP - Persediaan Awal</v>
          </cell>
          <cell r="C103" t="str">
            <v>N</v>
          </cell>
          <cell r="D103" t="str">
            <v>D</v>
          </cell>
          <cell r="E103">
            <v>0</v>
          </cell>
          <cell r="F103">
            <v>0</v>
          </cell>
          <cell r="G103">
            <v>59321812</v>
          </cell>
          <cell r="H103">
            <v>0</v>
          </cell>
          <cell r="I103">
            <v>59321812</v>
          </cell>
          <cell r="J103">
            <v>0</v>
          </cell>
        </row>
        <row r="104">
          <cell r="A104">
            <v>51210</v>
          </cell>
          <cell r="B104" t="str">
            <v>Pembelian Barang Dagangan</v>
          </cell>
          <cell r="C104" t="str">
            <v>N</v>
          </cell>
          <cell r="D104" t="str">
            <v>D</v>
          </cell>
          <cell r="E104">
            <v>0</v>
          </cell>
          <cell r="F104">
            <v>0</v>
          </cell>
          <cell r="G104">
            <v>75943800</v>
          </cell>
          <cell r="H104">
            <v>0</v>
          </cell>
          <cell r="I104">
            <v>75943800</v>
          </cell>
          <cell r="J104">
            <v>0</v>
          </cell>
        </row>
        <row r="105">
          <cell r="A105">
            <v>51220</v>
          </cell>
          <cell r="B105" t="str">
            <v>Pembelian Barang Konsinyasi</v>
          </cell>
          <cell r="C105" t="str">
            <v>N</v>
          </cell>
          <cell r="D105" t="str">
            <v>D</v>
          </cell>
          <cell r="E105">
            <v>0</v>
          </cell>
          <cell r="F105">
            <v>0</v>
          </cell>
          <cell r="G105">
            <v>6667475</v>
          </cell>
          <cell r="H105">
            <v>0</v>
          </cell>
          <cell r="I105">
            <v>6667475</v>
          </cell>
          <cell r="J105">
            <v>0</v>
          </cell>
        </row>
        <row r="106">
          <cell r="A106">
            <v>51230</v>
          </cell>
          <cell r="B106" t="str">
            <v>Pembelian Bahan Baku Kantin Basah</v>
          </cell>
          <cell r="C106" t="str">
            <v>N</v>
          </cell>
          <cell r="D106" t="str">
            <v>D</v>
          </cell>
          <cell r="E106">
            <v>0</v>
          </cell>
          <cell r="F106">
            <v>0</v>
          </cell>
          <cell r="G106">
            <v>0</v>
          </cell>
          <cell r="H106">
            <v>0</v>
          </cell>
          <cell r="I106">
            <v>0</v>
          </cell>
          <cell r="J106">
            <v>0</v>
          </cell>
        </row>
        <row r="107">
          <cell r="A107">
            <v>51300</v>
          </cell>
          <cell r="B107" t="str">
            <v>Biaya angkut Pembelian Barang</v>
          </cell>
          <cell r="C107" t="str">
            <v>N</v>
          </cell>
          <cell r="D107" t="str">
            <v>D</v>
          </cell>
          <cell r="E107">
            <v>0</v>
          </cell>
          <cell r="F107">
            <v>0</v>
          </cell>
          <cell r="G107">
            <v>0</v>
          </cell>
          <cell r="H107">
            <v>0</v>
          </cell>
          <cell r="I107">
            <v>0</v>
          </cell>
          <cell r="J107">
            <v>0</v>
          </cell>
        </row>
        <row r="108">
          <cell r="A108">
            <v>51400</v>
          </cell>
          <cell r="B108" t="str">
            <v>Potongan Pembelian</v>
          </cell>
          <cell r="C108" t="str">
            <v>N</v>
          </cell>
          <cell r="D108" t="str">
            <v>D</v>
          </cell>
          <cell r="E108">
            <v>0</v>
          </cell>
          <cell r="F108">
            <v>0</v>
          </cell>
          <cell r="G108">
            <v>0</v>
          </cell>
          <cell r="H108">
            <v>0</v>
          </cell>
          <cell r="I108">
            <v>0</v>
          </cell>
          <cell r="J108">
            <v>0</v>
          </cell>
        </row>
        <row r="109">
          <cell r="A109">
            <v>51500</v>
          </cell>
          <cell r="B109" t="str">
            <v>HPP - Persediaan Akhir</v>
          </cell>
          <cell r="C109" t="str">
            <v>N</v>
          </cell>
          <cell r="D109" t="str">
            <v>D</v>
          </cell>
          <cell r="E109">
            <v>0</v>
          </cell>
          <cell r="F109">
            <v>0</v>
          </cell>
          <cell r="G109">
            <v>0</v>
          </cell>
          <cell r="H109">
            <v>70043583</v>
          </cell>
          <cell r="I109">
            <v>-70043583</v>
          </cell>
          <cell r="J109">
            <v>0</v>
          </cell>
        </row>
        <row r="110">
          <cell r="A110">
            <v>51000</v>
          </cell>
          <cell r="B110" t="str">
            <v>Beban Administrasi dan Umum</v>
          </cell>
          <cell r="E110">
            <v>0</v>
          </cell>
          <cell r="F110">
            <v>0</v>
          </cell>
          <cell r="G110">
            <v>0</v>
          </cell>
          <cell r="H110">
            <v>0</v>
          </cell>
          <cell r="I110">
            <v>0</v>
          </cell>
          <cell r="J110">
            <v>0</v>
          </cell>
        </row>
        <row r="111">
          <cell r="A111">
            <v>52100</v>
          </cell>
          <cell r="B111" t="str">
            <v>Beban Gaji</v>
          </cell>
          <cell r="E111">
            <v>0</v>
          </cell>
          <cell r="F111">
            <v>0</v>
          </cell>
          <cell r="G111">
            <v>0</v>
          </cell>
          <cell r="H111">
            <v>0</v>
          </cell>
          <cell r="I111">
            <v>0</v>
          </cell>
          <cell r="J111">
            <v>0</v>
          </cell>
        </row>
        <row r="112">
          <cell r="A112">
            <v>52110</v>
          </cell>
          <cell r="B112" t="str">
            <v>Beban Gaji Karyawan</v>
          </cell>
          <cell r="C112" t="str">
            <v>N</v>
          </cell>
          <cell r="D112" t="str">
            <v>D</v>
          </cell>
          <cell r="E112">
            <v>0</v>
          </cell>
          <cell r="F112">
            <v>0</v>
          </cell>
          <cell r="G112">
            <v>0</v>
          </cell>
          <cell r="H112">
            <v>0</v>
          </cell>
          <cell r="I112">
            <v>0</v>
          </cell>
          <cell r="J112">
            <v>0</v>
          </cell>
        </row>
        <row r="113">
          <cell r="A113">
            <v>52200</v>
          </cell>
          <cell r="B113" t="str">
            <v>Beban Administrasi</v>
          </cell>
          <cell r="E113">
            <v>0</v>
          </cell>
          <cell r="F113">
            <v>0</v>
          </cell>
          <cell r="G113">
            <v>0</v>
          </cell>
          <cell r="H113">
            <v>0</v>
          </cell>
          <cell r="I113">
            <v>0</v>
          </cell>
          <cell r="J113">
            <v>0</v>
          </cell>
        </row>
        <row r="114">
          <cell r="A114">
            <v>52210</v>
          </cell>
          <cell r="B114" t="str">
            <v>Beban Alat Tulis Kantor</v>
          </cell>
          <cell r="C114" t="str">
            <v>N</v>
          </cell>
          <cell r="D114" t="str">
            <v>D</v>
          </cell>
          <cell r="E114">
            <v>0</v>
          </cell>
          <cell r="F114">
            <v>0</v>
          </cell>
          <cell r="G114">
            <v>0</v>
          </cell>
          <cell r="H114">
            <v>0</v>
          </cell>
          <cell r="I114">
            <v>0</v>
          </cell>
          <cell r="J114">
            <v>0</v>
          </cell>
        </row>
        <row r="115">
          <cell r="A115">
            <v>52220</v>
          </cell>
          <cell r="B115" t="str">
            <v>Beban cetak</v>
          </cell>
          <cell r="C115" t="str">
            <v>N</v>
          </cell>
          <cell r="D115" t="str">
            <v>D</v>
          </cell>
          <cell r="E115">
            <v>0</v>
          </cell>
          <cell r="F115">
            <v>0</v>
          </cell>
          <cell r="G115">
            <v>0</v>
          </cell>
          <cell r="H115">
            <v>0</v>
          </cell>
          <cell r="I115">
            <v>0</v>
          </cell>
          <cell r="J115">
            <v>0</v>
          </cell>
        </row>
        <row r="116">
          <cell r="A116">
            <v>52230</v>
          </cell>
          <cell r="B116" t="str">
            <v>Beban Perlengkapan Kantor</v>
          </cell>
          <cell r="C116" t="str">
            <v>N</v>
          </cell>
          <cell r="D116" t="str">
            <v>D</v>
          </cell>
          <cell r="E116">
            <v>0</v>
          </cell>
          <cell r="F116">
            <v>0</v>
          </cell>
          <cell r="G116">
            <v>43000</v>
          </cell>
          <cell r="H116">
            <v>0</v>
          </cell>
          <cell r="I116">
            <v>43000</v>
          </cell>
          <cell r="J116">
            <v>0</v>
          </cell>
        </row>
        <row r="117">
          <cell r="A117">
            <v>52300</v>
          </cell>
          <cell r="B117" t="str">
            <v>Beban Umum</v>
          </cell>
          <cell r="E117">
            <v>0</v>
          </cell>
          <cell r="F117">
            <v>0</v>
          </cell>
          <cell r="G117">
            <v>0</v>
          </cell>
          <cell r="H117">
            <v>0</v>
          </cell>
          <cell r="I117">
            <v>0</v>
          </cell>
          <cell r="J117">
            <v>0</v>
          </cell>
        </row>
        <row r="118">
          <cell r="A118">
            <v>52310</v>
          </cell>
          <cell r="B118" t="str">
            <v>Beban Transport dan akomodasi</v>
          </cell>
          <cell r="C118" t="str">
            <v>N</v>
          </cell>
          <cell r="D118" t="str">
            <v>D</v>
          </cell>
          <cell r="E118">
            <v>0</v>
          </cell>
          <cell r="F118">
            <v>0</v>
          </cell>
          <cell r="G118">
            <v>3200</v>
          </cell>
          <cell r="H118">
            <v>0</v>
          </cell>
          <cell r="I118">
            <v>3200</v>
          </cell>
          <cell r="J118">
            <v>0</v>
          </cell>
        </row>
        <row r="119">
          <cell r="A119">
            <v>52311</v>
          </cell>
          <cell r="B119" t="str">
            <v>Beban Konsumsi</v>
          </cell>
          <cell r="C119" t="str">
            <v>N</v>
          </cell>
          <cell r="D119" t="str">
            <v>D</v>
          </cell>
          <cell r="E119">
            <v>0</v>
          </cell>
          <cell r="F119">
            <v>0</v>
          </cell>
          <cell r="G119">
            <v>1769100</v>
          </cell>
          <cell r="H119">
            <v>0</v>
          </cell>
          <cell r="I119">
            <v>1769100</v>
          </cell>
          <cell r="J119">
            <v>0</v>
          </cell>
        </row>
        <row r="120">
          <cell r="A120">
            <v>52320</v>
          </cell>
          <cell r="B120" t="str">
            <v>Beban Listrik</v>
          </cell>
          <cell r="C120" t="str">
            <v>N</v>
          </cell>
          <cell r="D120" t="str">
            <v>D</v>
          </cell>
          <cell r="E120">
            <v>0</v>
          </cell>
          <cell r="F120">
            <v>0</v>
          </cell>
          <cell r="G120">
            <v>1509000</v>
          </cell>
          <cell r="H120">
            <v>0</v>
          </cell>
          <cell r="I120">
            <v>1509000</v>
          </cell>
          <cell r="J120">
            <v>0</v>
          </cell>
        </row>
        <row r="121">
          <cell r="A121">
            <v>52330</v>
          </cell>
          <cell r="B121" t="str">
            <v>Beban Telepon, Pulsa &amp; Internet</v>
          </cell>
          <cell r="C121" t="str">
            <v>N</v>
          </cell>
          <cell r="D121" t="str">
            <v>D</v>
          </cell>
          <cell r="E121">
            <v>0</v>
          </cell>
          <cell r="F121">
            <v>0</v>
          </cell>
          <cell r="G121">
            <v>45025</v>
          </cell>
          <cell r="H121">
            <v>0</v>
          </cell>
          <cell r="I121">
            <v>45025</v>
          </cell>
          <cell r="J121">
            <v>0</v>
          </cell>
        </row>
        <row r="122">
          <cell r="A122">
            <v>52340</v>
          </cell>
          <cell r="B122" t="str">
            <v>Beban Perbaikan dan pemeliharaan</v>
          </cell>
          <cell r="C122" t="str">
            <v>N</v>
          </cell>
          <cell r="D122" t="str">
            <v>D</v>
          </cell>
          <cell r="E122">
            <v>0</v>
          </cell>
          <cell r="F122">
            <v>0</v>
          </cell>
          <cell r="G122">
            <v>0</v>
          </cell>
          <cell r="H122">
            <v>0</v>
          </cell>
          <cell r="I122">
            <v>0</v>
          </cell>
          <cell r="J122">
            <v>0</v>
          </cell>
        </row>
        <row r="123">
          <cell r="A123">
            <v>52350</v>
          </cell>
          <cell r="B123" t="str">
            <v>Beban Adm Bank</v>
          </cell>
          <cell r="C123" t="str">
            <v>N</v>
          </cell>
          <cell r="D123" t="str">
            <v>D</v>
          </cell>
          <cell r="E123">
            <v>0</v>
          </cell>
          <cell r="F123">
            <v>0</v>
          </cell>
          <cell r="G123">
            <v>4000</v>
          </cell>
          <cell r="H123">
            <v>0</v>
          </cell>
          <cell r="I123">
            <v>4000</v>
          </cell>
          <cell r="J123">
            <v>0</v>
          </cell>
        </row>
        <row r="124">
          <cell r="A124">
            <v>52360</v>
          </cell>
          <cell r="B124" t="str">
            <v>Beban Pajak Bank</v>
          </cell>
          <cell r="C124" t="str">
            <v>N</v>
          </cell>
          <cell r="D124" t="str">
            <v>D</v>
          </cell>
          <cell r="E124">
            <v>0</v>
          </cell>
          <cell r="F124">
            <v>0</v>
          </cell>
          <cell r="G124">
            <v>0</v>
          </cell>
          <cell r="H124">
            <v>0</v>
          </cell>
          <cell r="I124">
            <v>0</v>
          </cell>
          <cell r="J124">
            <v>0</v>
          </cell>
        </row>
        <row r="125">
          <cell r="A125">
            <v>52370</v>
          </cell>
          <cell r="B125" t="str">
            <v>Beban Donasi</v>
          </cell>
          <cell r="C125" t="str">
            <v>N</v>
          </cell>
          <cell r="D125" t="str">
            <v>D</v>
          </cell>
          <cell r="E125">
            <v>0</v>
          </cell>
          <cell r="F125">
            <v>0</v>
          </cell>
          <cell r="G125">
            <v>0</v>
          </cell>
          <cell r="H125">
            <v>0</v>
          </cell>
          <cell r="I125">
            <v>0</v>
          </cell>
          <cell r="J125">
            <v>0</v>
          </cell>
        </row>
        <row r="126">
          <cell r="A126">
            <v>52390</v>
          </cell>
          <cell r="B126" t="str">
            <v>Beban lain-lain</v>
          </cell>
          <cell r="C126" t="str">
            <v>N</v>
          </cell>
          <cell r="D126" t="str">
            <v>D</v>
          </cell>
          <cell r="E126">
            <v>0</v>
          </cell>
          <cell r="F126">
            <v>0</v>
          </cell>
          <cell r="G126">
            <v>0</v>
          </cell>
          <cell r="H126">
            <v>0</v>
          </cell>
          <cell r="I126">
            <v>0</v>
          </cell>
          <cell r="J126">
            <v>0</v>
          </cell>
        </row>
        <row r="127">
          <cell r="A127">
            <v>52700</v>
          </cell>
          <cell r="B127" t="str">
            <v>Biaya Penyusutan</v>
          </cell>
          <cell r="E127">
            <v>0</v>
          </cell>
          <cell r="F127">
            <v>0</v>
          </cell>
          <cell r="G127">
            <v>0</v>
          </cell>
          <cell r="H127">
            <v>0</v>
          </cell>
          <cell r="I127">
            <v>0</v>
          </cell>
          <cell r="J127">
            <v>0</v>
          </cell>
        </row>
        <row r="128">
          <cell r="A128">
            <v>52710</v>
          </cell>
          <cell r="B128" t="str">
            <v>Biaya Penyusutan Bangunan</v>
          </cell>
          <cell r="C128" t="str">
            <v>N</v>
          </cell>
          <cell r="D128" t="str">
            <v>D</v>
          </cell>
          <cell r="E128">
            <v>0</v>
          </cell>
          <cell r="F128">
            <v>0</v>
          </cell>
          <cell r="G128">
            <v>833333.33333333337</v>
          </cell>
          <cell r="H128">
            <v>0</v>
          </cell>
          <cell r="I128">
            <v>833333.33333333337</v>
          </cell>
          <cell r="J128">
            <v>0</v>
          </cell>
        </row>
        <row r="129">
          <cell r="A129">
            <v>52720</v>
          </cell>
          <cell r="B129" t="str">
            <v>Biaya Penyusutan Infrastruktur</v>
          </cell>
          <cell r="C129" t="str">
            <v>N</v>
          </cell>
          <cell r="D129" t="str">
            <v>D</v>
          </cell>
          <cell r="E129">
            <v>0</v>
          </cell>
          <cell r="F129">
            <v>0</v>
          </cell>
          <cell r="G129">
            <v>0</v>
          </cell>
          <cell r="H129">
            <v>0</v>
          </cell>
          <cell r="I129">
            <v>0</v>
          </cell>
          <cell r="J129">
            <v>0</v>
          </cell>
        </row>
        <row r="130">
          <cell r="A130">
            <v>52730</v>
          </cell>
          <cell r="B130" t="str">
            <v xml:space="preserve">Biaya Penyusutan Peralatan </v>
          </cell>
          <cell r="C130" t="str">
            <v>N</v>
          </cell>
          <cell r="D130" t="str">
            <v>D</v>
          </cell>
          <cell r="E130">
            <v>0</v>
          </cell>
          <cell r="F130">
            <v>0</v>
          </cell>
          <cell r="G130">
            <v>718218.33333333337</v>
          </cell>
          <cell r="H130">
            <v>0</v>
          </cell>
          <cell r="I130">
            <v>718218.33333333337</v>
          </cell>
          <cell r="J130">
            <v>0</v>
          </cell>
        </row>
        <row r="131">
          <cell r="A131">
            <v>52740</v>
          </cell>
          <cell r="B131" t="str">
            <v>Biaya Penyusutan Mebel dan Perlengkapan</v>
          </cell>
          <cell r="C131" t="str">
            <v>N</v>
          </cell>
          <cell r="D131" t="str">
            <v>D</v>
          </cell>
          <cell r="E131">
            <v>0</v>
          </cell>
          <cell r="F131">
            <v>0</v>
          </cell>
          <cell r="G131">
            <v>147976.73333333334</v>
          </cell>
          <cell r="H131">
            <v>0</v>
          </cell>
          <cell r="I131">
            <v>147976.73333333334</v>
          </cell>
          <cell r="J131">
            <v>0</v>
          </cell>
        </row>
        <row r="132">
          <cell r="A132">
            <v>52750</v>
          </cell>
          <cell r="B132" t="str">
            <v>Biaya Penyusutan Kendaraan</v>
          </cell>
          <cell r="C132" t="str">
            <v>N</v>
          </cell>
          <cell r="D132" t="str">
            <v>D</v>
          </cell>
          <cell r="E132">
            <v>0</v>
          </cell>
          <cell r="F132">
            <v>0</v>
          </cell>
          <cell r="G132">
            <v>0</v>
          </cell>
          <cell r="H132">
            <v>0</v>
          </cell>
          <cell r="I132">
            <v>0</v>
          </cell>
          <cell r="J132">
            <v>0</v>
          </cell>
        </row>
        <row r="133">
          <cell r="A133">
            <v>52760</v>
          </cell>
          <cell r="B133" t="str">
            <v>Biaya Penyusutan FA Lain-lain</v>
          </cell>
          <cell r="C133" t="str">
            <v>N</v>
          </cell>
          <cell r="D133" t="str">
            <v>D</v>
          </cell>
          <cell r="E133">
            <v>0</v>
          </cell>
          <cell r="F133">
            <v>0</v>
          </cell>
          <cell r="G133">
            <v>0</v>
          </cell>
          <cell r="H133">
            <v>0</v>
          </cell>
          <cell r="I133">
            <v>0</v>
          </cell>
          <cell r="J133">
            <v>0</v>
          </cell>
        </row>
        <row r="134">
          <cell r="A134">
            <v>60000</v>
          </cell>
          <cell r="B134" t="str">
            <v>Ikhtisar Laba / (Rugi)</v>
          </cell>
          <cell r="E134">
            <v>0</v>
          </cell>
          <cell r="F134">
            <v>0</v>
          </cell>
          <cell r="G134">
            <v>0</v>
          </cell>
          <cell r="H134">
            <v>0</v>
          </cell>
          <cell r="I134">
            <v>0</v>
          </cell>
          <cell r="J134">
            <v>0</v>
          </cell>
        </row>
      </sheetData>
      <sheetData sheetId="6">
        <row r="5">
          <cell r="C5">
            <v>45443</v>
          </cell>
        </row>
      </sheetData>
      <sheetData sheetId="7">
        <row r="50">
          <cell r="E50">
            <v>36136742.600000001</v>
          </cell>
        </row>
      </sheetData>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
      <sheetName val="Cover dp"/>
      <sheetName val="Cover blkg"/>
      <sheetName val="Catatan review"/>
      <sheetName val="GL"/>
      <sheetName val="RL"/>
      <sheetName val="KT"/>
      <sheetName val="TC"/>
      <sheetName val="Graphic"/>
      <sheetName val="NRC"/>
      <sheetName val="LR "/>
      <sheetName val="PAB"/>
      <sheetName val="Ak "/>
      <sheetName val="Clk."/>
      <sheetName val="1"/>
      <sheetName val="2"/>
      <sheetName val="3"/>
      <sheetName val="4"/>
      <sheetName val="5"/>
      <sheetName val="6"/>
      <sheetName val="7"/>
      <sheetName val="8"/>
      <sheetName val="9"/>
      <sheetName val="10"/>
      <sheetName val="11"/>
      <sheetName val="11b"/>
      <sheetName val="12"/>
      <sheetName val="13"/>
      <sheetName val="14"/>
      <sheetName val="15"/>
      <sheetName val="16"/>
      <sheetName val="17"/>
      <sheetName val="18"/>
      <sheetName val="19X"/>
      <sheetName val="19"/>
      <sheetName val="20"/>
      <sheetName val="30"/>
      <sheetName val="Sheet2"/>
      <sheetName val="Bunga"/>
      <sheetName val="Bunga (2)"/>
      <sheetName val="200"/>
      <sheetName val="Sheet3"/>
      <sheetName val="Analisis"/>
      <sheetName val="Jurnal adj"/>
      <sheetName val="Compatibility Report"/>
      <sheetName val="Sheet5"/>
      <sheetName val="Sheet4"/>
      <sheetName val="Sheet6"/>
      <sheetName val="Sheet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82">
          <cell r="J82">
            <v>4793058953</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
      <sheetName val="Cover Dp"/>
      <sheetName val="Cover Blkg"/>
      <sheetName val="TC"/>
      <sheetName val="Grafik"/>
      <sheetName val="NRC"/>
      <sheetName val="LR"/>
      <sheetName val="PAB"/>
      <sheetName val="AK"/>
      <sheetName val="CLK"/>
      <sheetName val="1"/>
      <sheetName val="2"/>
      <sheetName val="3"/>
      <sheetName val="4"/>
      <sheetName val="5"/>
      <sheetName val="6"/>
      <sheetName val="7"/>
      <sheetName val="8"/>
      <sheetName val="9"/>
      <sheetName val="10"/>
      <sheetName val="11"/>
      <sheetName val="12"/>
      <sheetName val="13"/>
      <sheetName val="14"/>
      <sheetName val="16"/>
      <sheetName val="20"/>
      <sheetName val="21"/>
      <sheetName val="BS"/>
      <sheetName val="RL"/>
      <sheetName val="GL"/>
      <sheetName val="CR"/>
      <sheetName val="CD"/>
      <sheetName val="JM"/>
    </sheetNames>
    <sheetDataSet>
      <sheetData sheetId="0"/>
      <sheetData sheetId="1"/>
      <sheetData sheetId="2"/>
      <sheetData sheetId="3"/>
      <sheetData sheetId="4"/>
      <sheetData sheetId="5">
        <row r="18">
          <cell r="E18">
            <v>1014166450</v>
          </cell>
        </row>
        <row r="25">
          <cell r="E25">
            <v>3030110410.8038096</v>
          </cell>
        </row>
        <row r="34">
          <cell r="E34">
            <v>18772844698.107952</v>
          </cell>
        </row>
        <row r="36">
          <cell r="E36">
            <v>21802955108.911762</v>
          </cell>
        </row>
        <row r="49">
          <cell r="E49">
            <v>462655588</v>
          </cell>
        </row>
        <row r="55">
          <cell r="E55">
            <v>695612933.33333337</v>
          </cell>
        </row>
        <row r="65">
          <cell r="E65">
            <v>421560343.17999947</v>
          </cell>
        </row>
        <row r="68">
          <cell r="E68">
            <v>14579642089.349995</v>
          </cell>
        </row>
        <row r="72">
          <cell r="E72">
            <v>6527700087</v>
          </cell>
        </row>
      </sheetData>
      <sheetData sheetId="6">
        <row r="85">
          <cell r="K85">
            <v>14579642088.569992</v>
          </cell>
        </row>
      </sheetData>
      <sheetData sheetId="7"/>
      <sheetData sheetId="8">
        <row r="57">
          <cell r="G57">
            <v>1706420715.5799999</v>
          </cell>
        </row>
      </sheetData>
      <sheetData sheetId="9"/>
      <sheetData sheetId="10"/>
      <sheetData sheetId="11"/>
      <sheetData sheetId="12"/>
      <sheetData sheetId="13"/>
      <sheetData sheetId="14"/>
      <sheetData sheetId="15"/>
      <sheetData sheetId="16"/>
      <sheetData sheetId="17"/>
      <sheetData sheetId="18">
        <row r="68">
          <cell r="D68">
            <v>699321373</v>
          </cell>
        </row>
      </sheetData>
      <sheetData sheetId="19">
        <row r="103">
          <cell r="D103">
            <v>975707354.85666668</v>
          </cell>
        </row>
      </sheetData>
      <sheetData sheetId="20">
        <row r="153">
          <cell r="V153">
            <v>1609623188.0700002</v>
          </cell>
        </row>
      </sheetData>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C (2)"/>
      <sheetName val="Lay out"/>
      <sheetName val="Cover dp"/>
      <sheetName val="Cover blkg"/>
      <sheetName val="MYOB"/>
      <sheetName val="GL"/>
      <sheetName val="Balance sheet 2"/>
      <sheetName val="LR"/>
      <sheetName val="IN"/>
      <sheetName val="Grafik"/>
      <sheetName val="Nrc"/>
      <sheetName val="RL"/>
      <sheetName val="PAB"/>
      <sheetName val="AK"/>
      <sheetName val="CLK"/>
      <sheetName val="1"/>
      <sheetName val="2"/>
      <sheetName val="3"/>
      <sheetName val="4"/>
      <sheetName val="5"/>
      <sheetName val="6"/>
      <sheetName val="7"/>
      <sheetName val="8"/>
      <sheetName val="9"/>
      <sheetName val="10"/>
      <sheetName val="11"/>
      <sheetName val="Blank page"/>
      <sheetName val="CR"/>
      <sheetName val="CD"/>
      <sheetName val="Jm"/>
      <sheetName val="Control MYOB CLK"/>
      <sheetName val="Titipan Buku &amp; Seragam"/>
      <sheetName val="BB PSB "/>
      <sheetName val="Titipan Pangkal 2-3121 "/>
      <sheetName val="SOP"/>
      <sheetName val="Sheet2"/>
      <sheetName val="Sheet1"/>
      <sheetName val="Uang saku Juli 202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19">
          <cell r="C19" t="str">
            <v>Laporan keuangan August 2023</v>
          </cell>
          <cell r="M19" t="e">
            <v>#N/A</v>
          </cell>
        </row>
        <row r="31">
          <cell r="K31" t="e">
            <v>#N/A</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row r="15">
          <cell r="E15">
            <v>846183871</v>
          </cell>
        </row>
        <row r="41">
          <cell r="E41">
            <v>0</v>
          </cell>
        </row>
        <row r="42">
          <cell r="E42">
            <v>0</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
      <sheetName val="Cover Dp"/>
      <sheetName val="Cover Blkg"/>
      <sheetName val="TC"/>
      <sheetName val="Grafik"/>
      <sheetName val="NRC"/>
      <sheetName val="LR"/>
      <sheetName val="PAB"/>
      <sheetName val="AK"/>
      <sheetName val="CLK"/>
      <sheetName val="1"/>
      <sheetName val="2"/>
      <sheetName val="3"/>
      <sheetName val="4"/>
      <sheetName val="5"/>
      <sheetName val="6"/>
      <sheetName val="7"/>
      <sheetName val="8"/>
      <sheetName val="9"/>
      <sheetName val="10"/>
      <sheetName val="11"/>
      <sheetName val="12"/>
      <sheetName val="13"/>
      <sheetName val="14"/>
      <sheetName val="16"/>
      <sheetName val="20"/>
      <sheetName val="21"/>
      <sheetName val="BS"/>
      <sheetName val="RL"/>
      <sheetName val="GL"/>
      <sheetName val="CR"/>
      <sheetName val="CD"/>
      <sheetName val="JM"/>
    </sheetNames>
    <sheetDataSet>
      <sheetData sheetId="0"/>
      <sheetData sheetId="1"/>
      <sheetData sheetId="2"/>
      <sheetData sheetId="3"/>
      <sheetData sheetId="4"/>
      <sheetData sheetId="5"/>
      <sheetData sheetId="6">
        <row r="85">
          <cell r="E85">
            <v>12233937107.639992</v>
          </cell>
        </row>
      </sheetData>
      <sheetData sheetId="7"/>
      <sheetData sheetId="8"/>
      <sheetData sheetId="9">
        <row r="761">
          <cell r="AC761">
            <v>222900500</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
      <sheetName val="Cover Dp"/>
      <sheetName val="Cover Blkg"/>
      <sheetName val="TC"/>
      <sheetName val="Grafik"/>
      <sheetName val="NRC"/>
      <sheetName val="LR"/>
      <sheetName val="PAB"/>
      <sheetName val="AK"/>
      <sheetName val="CLK"/>
      <sheetName val="1"/>
      <sheetName val="2"/>
      <sheetName val="3"/>
      <sheetName val="4"/>
      <sheetName val="5"/>
      <sheetName val="6"/>
      <sheetName val="7"/>
      <sheetName val="8"/>
      <sheetName val="9"/>
      <sheetName val="10"/>
      <sheetName val="11"/>
      <sheetName val="12"/>
      <sheetName val="13"/>
      <sheetName val="14"/>
      <sheetName val="16"/>
      <sheetName val="20"/>
      <sheetName val="21"/>
      <sheetName val="BS"/>
      <sheetName val="RL"/>
      <sheetName val="GL"/>
      <sheetName val="CR"/>
      <sheetName val="CD"/>
      <sheetName val="JM"/>
    </sheetNames>
    <sheetDataSet>
      <sheetData sheetId="0" refreshError="1"/>
      <sheetData sheetId="1" refreshError="1"/>
      <sheetData sheetId="2" refreshError="1"/>
      <sheetData sheetId="3" refreshError="1"/>
      <sheetData sheetId="4" refreshError="1"/>
      <sheetData sheetId="5" refreshError="1"/>
      <sheetData sheetId="6">
        <row r="85">
          <cell r="K85">
            <v>14999862336.756659</v>
          </cell>
        </row>
      </sheetData>
      <sheetData sheetId="7" refreshError="1"/>
      <sheetData sheetId="8">
        <row r="57">
          <cell r="G57">
            <v>3005116568.5799999</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68">
          <cell r="D68">
            <v>678707218</v>
          </cell>
          <cell r="I68">
            <v>9221160960.3299999</v>
          </cell>
        </row>
      </sheetData>
      <sheetData sheetId="19">
        <row r="103">
          <cell r="D103">
            <v>953712655.12666667</v>
          </cell>
          <cell r="H103">
            <v>9453988275.2133331</v>
          </cell>
        </row>
      </sheetData>
      <sheetData sheetId="20">
        <row r="153">
          <cell r="V153">
            <v>9453988275.2133331</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
      <sheetName val="Cover Dp"/>
      <sheetName val="Cover Blkg"/>
      <sheetName val="TC"/>
      <sheetName val="Grafik"/>
      <sheetName val="NRC"/>
      <sheetName val="LR"/>
      <sheetName val="PAB"/>
      <sheetName val="AK"/>
      <sheetName val="CLK"/>
      <sheetName val="1"/>
      <sheetName val="2"/>
      <sheetName val="3"/>
      <sheetName val="4"/>
      <sheetName val="5"/>
      <sheetName val="6"/>
      <sheetName val="7"/>
      <sheetName val="8"/>
      <sheetName val="9"/>
      <sheetName val="10"/>
      <sheetName val="11"/>
      <sheetName val="12"/>
      <sheetName val="13"/>
      <sheetName val="14"/>
      <sheetName val="16"/>
      <sheetName val="20"/>
      <sheetName val="21"/>
      <sheetName val="BS"/>
      <sheetName val="RL"/>
      <sheetName val="GL"/>
      <sheetName val="CR"/>
      <sheetName val="CD"/>
      <sheetName val="JM"/>
    </sheetNames>
    <sheetDataSet>
      <sheetData sheetId="0"/>
      <sheetData sheetId="1"/>
      <sheetData sheetId="2"/>
      <sheetData sheetId="3"/>
      <sheetData sheetId="4"/>
      <sheetData sheetId="5">
        <row r="18">
          <cell r="E18">
            <v>964629050</v>
          </cell>
        </row>
      </sheetData>
      <sheetData sheetId="6">
        <row r="78">
          <cell r="E78">
            <v>2310720262.7866669</v>
          </cell>
        </row>
      </sheetData>
      <sheetData sheetId="7"/>
      <sheetData sheetId="8">
        <row r="57">
          <cell r="G57">
            <v>1742646749.5799999</v>
          </cell>
        </row>
      </sheetData>
      <sheetData sheetId="9">
        <row r="765">
          <cell r="AC765">
            <v>0</v>
          </cell>
        </row>
      </sheetData>
      <sheetData sheetId="10"/>
      <sheetData sheetId="11"/>
      <sheetData sheetId="12"/>
      <sheetData sheetId="13"/>
      <sheetData sheetId="14"/>
      <sheetData sheetId="15"/>
      <sheetData sheetId="16"/>
      <sheetData sheetId="17"/>
      <sheetData sheetId="18">
        <row r="68">
          <cell r="D68">
            <v>2445434496</v>
          </cell>
        </row>
      </sheetData>
      <sheetData sheetId="19">
        <row r="103">
          <cell r="D103">
            <v>633915833.21333337</v>
          </cell>
        </row>
      </sheetData>
      <sheetData sheetId="20">
        <row r="153">
          <cell r="V153">
            <v>633915833.21333337</v>
          </cell>
        </row>
      </sheetData>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C (2)"/>
      <sheetName val="Lay out"/>
      <sheetName val="Cover dp"/>
      <sheetName val="Cover blkg"/>
      <sheetName val="MYOB"/>
      <sheetName val="GL"/>
      <sheetName val="Balance sheet 2"/>
      <sheetName val="LR"/>
      <sheetName val="IN"/>
      <sheetName val="Grafik"/>
      <sheetName val="Nrc"/>
      <sheetName val="RL"/>
      <sheetName val="PAB"/>
      <sheetName val="AK"/>
      <sheetName val="CLK"/>
      <sheetName val="1"/>
      <sheetName val="2"/>
      <sheetName val="3"/>
      <sheetName val="4"/>
      <sheetName val="5"/>
      <sheetName val="6"/>
      <sheetName val="7"/>
      <sheetName val="8"/>
      <sheetName val="9"/>
      <sheetName val="10"/>
      <sheetName val="11"/>
      <sheetName val="Blank page"/>
      <sheetName val="CR"/>
      <sheetName val="CD"/>
      <sheetName val="Jm"/>
      <sheetName val="Control MYOB CLK"/>
      <sheetName val="Titipan Buku &amp; Seragam"/>
      <sheetName val="BB PSB "/>
      <sheetName val="Titipan Pangkal 2-3121 "/>
      <sheetName val="SOP"/>
      <sheetName val="Sheet2"/>
      <sheetName val="Sheet1"/>
      <sheetName val="Uang saku Juli 2023"/>
    </sheetNames>
    <sheetDataSet>
      <sheetData sheetId="0"/>
      <sheetData sheetId="1"/>
      <sheetData sheetId="2"/>
      <sheetData sheetId="3"/>
      <sheetData sheetId="4"/>
      <sheetData sheetId="5">
        <row r="879">
          <cell r="G879">
            <v>0</v>
          </cell>
        </row>
      </sheetData>
      <sheetData sheetId="6"/>
      <sheetData sheetId="7"/>
      <sheetData sheetId="8">
        <row r="3">
          <cell r="E3" t="str">
            <v>2023</v>
          </cell>
        </row>
        <row r="19">
          <cell r="C19" t="str">
            <v>Laporan keuangan July 2023</v>
          </cell>
          <cell r="M19" t="e">
            <v>#N/A</v>
          </cell>
        </row>
        <row r="23">
          <cell r="G23" t="str">
            <v>31 July 2023 /</v>
          </cell>
          <cell r="I23" t="e">
            <v>#N/A</v>
          </cell>
          <cell r="M23" t="e">
            <v>#N/A</v>
          </cell>
        </row>
        <row r="26">
          <cell r="G26" t="str">
            <v>30 June 2023 /</v>
          </cell>
          <cell r="I26" t="e">
            <v>#N/A</v>
          </cell>
          <cell r="M26" t="e">
            <v>#N/A</v>
          </cell>
        </row>
      </sheetData>
      <sheetData sheetId="9"/>
      <sheetData sheetId="10">
        <row r="6">
          <cell r="B6" t="str">
            <v>(Dengan perbandingan informasi keuangan 30 June 2023 )</v>
          </cell>
        </row>
      </sheetData>
      <sheetData sheetId="11">
        <row r="6">
          <cell r="O6" t="e">
            <v>#N/A</v>
          </cell>
        </row>
        <row r="8">
          <cell r="O8" t="e">
            <v>#N/A</v>
          </cell>
        </row>
      </sheetData>
      <sheetData sheetId="12"/>
      <sheetData sheetId="13"/>
      <sheetData sheetId="14"/>
      <sheetData sheetId="15">
        <row r="166">
          <cell r="J166">
            <v>0</v>
          </cell>
        </row>
      </sheetData>
      <sheetData sheetId="16"/>
      <sheetData sheetId="17"/>
      <sheetData sheetId="18">
        <row r="409">
          <cell r="T409">
            <v>0</v>
          </cell>
        </row>
        <row r="592">
          <cell r="T592">
            <v>0</v>
          </cell>
        </row>
      </sheetData>
      <sheetData sheetId="19"/>
      <sheetData sheetId="20">
        <row r="206">
          <cell r="G206">
            <v>28340639175.707901</v>
          </cell>
        </row>
      </sheetData>
      <sheetData sheetId="21"/>
      <sheetData sheetId="22"/>
      <sheetData sheetId="23"/>
      <sheetData sheetId="24"/>
      <sheetData sheetId="25"/>
      <sheetData sheetId="26"/>
      <sheetData sheetId="27">
        <row r="1">
          <cell r="N1">
            <v>57351290</v>
          </cell>
        </row>
        <row r="2">
          <cell r="N2">
            <v>215130000</v>
          </cell>
        </row>
      </sheetData>
      <sheetData sheetId="28">
        <row r="1">
          <cell r="N1">
            <v>124052605</v>
          </cell>
        </row>
        <row r="2">
          <cell r="N2">
            <v>25931842</v>
          </cell>
        </row>
        <row r="3">
          <cell r="N3">
            <v>145748000</v>
          </cell>
        </row>
      </sheetData>
      <sheetData sheetId="29">
        <row r="45">
          <cell r="G45">
            <v>0</v>
          </cell>
        </row>
        <row r="52">
          <cell r="G52">
            <v>18707790</v>
          </cell>
        </row>
        <row r="53">
          <cell r="H53">
            <v>166740500</v>
          </cell>
        </row>
      </sheetData>
      <sheetData sheetId="30"/>
      <sheetData sheetId="31"/>
      <sheetData sheetId="32"/>
      <sheetData sheetId="33"/>
      <sheetData sheetId="34"/>
      <sheetData sheetId="35"/>
      <sheetData sheetId="36"/>
      <sheetData sheetId="3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
      <sheetName val="Cover dp"/>
      <sheetName val="Cover blkg"/>
      <sheetName val="Catatan review"/>
      <sheetName val="GL"/>
      <sheetName val="RL"/>
      <sheetName val="KT"/>
      <sheetName val="TC"/>
      <sheetName val="Graphic"/>
      <sheetName val="NRC"/>
      <sheetName val="LR "/>
      <sheetName val="PAB"/>
      <sheetName val="Ak "/>
      <sheetName val="Clk."/>
      <sheetName val="12"/>
      <sheetName val="13"/>
      <sheetName val="1"/>
      <sheetName val="2"/>
      <sheetName val="3"/>
      <sheetName val="4"/>
      <sheetName val="5"/>
      <sheetName val="6"/>
      <sheetName val="7"/>
      <sheetName val="8"/>
      <sheetName val="9"/>
      <sheetName val="10"/>
      <sheetName val="11"/>
      <sheetName val="11b"/>
      <sheetName val="14"/>
      <sheetName val="15"/>
      <sheetName val="16"/>
      <sheetName val="17"/>
      <sheetName val="18"/>
      <sheetName val="19X"/>
      <sheetName val="19"/>
      <sheetName val="20"/>
      <sheetName val="30"/>
      <sheetName val="Sheet2"/>
      <sheetName val="Bunga"/>
      <sheetName val="Bunga (2)"/>
      <sheetName val="200"/>
      <sheetName val="Sheet3"/>
      <sheetName val="Analisis"/>
      <sheetName val="Jurnal koreksi"/>
      <sheetName val="Compatibility Report"/>
      <sheetName val="Sheet5"/>
      <sheetName val="Sheet4"/>
      <sheetName val="Sheet6"/>
      <sheetName val="Sheet7"/>
    </sheetNames>
    <sheetDataSet>
      <sheetData sheetId="0" refreshError="1">
        <row r="3">
          <cell r="E3" t="str">
            <v>2015</v>
          </cell>
          <cell r="K3">
            <v>42247</v>
          </cell>
        </row>
        <row r="16">
          <cell r="J16">
            <v>42247</v>
          </cell>
        </row>
        <row r="18">
          <cell r="I18" t="e">
            <v>#N/A</v>
          </cell>
        </row>
        <row r="19">
          <cell r="J19">
            <v>42216</v>
          </cell>
        </row>
        <row r="28">
          <cell r="J28" t="e">
            <v>#N/A</v>
          </cell>
        </row>
      </sheetData>
      <sheetData sheetId="1" refreshError="1"/>
      <sheetData sheetId="2" refreshError="1"/>
      <sheetData sheetId="3" refreshError="1"/>
      <sheetData sheetId="4" refreshError="1">
        <row r="11">
          <cell r="B11" t="str">
            <v>1-1110</v>
          </cell>
          <cell r="C11" t="str">
            <v>Education Cash</v>
          </cell>
          <cell r="D11">
            <v>0</v>
          </cell>
          <cell r="E11">
            <v>0</v>
          </cell>
          <cell r="F11">
            <v>0</v>
          </cell>
          <cell r="G11">
            <v>0</v>
          </cell>
          <cell r="H11">
            <v>0</v>
          </cell>
          <cell r="I11">
            <v>0</v>
          </cell>
          <cell r="J11">
            <v>0</v>
          </cell>
        </row>
        <row r="12">
          <cell r="B12" t="str">
            <v>1-1111</v>
          </cell>
          <cell r="C12" t="str">
            <v>Education Cash</v>
          </cell>
          <cell r="D12">
            <v>316054400</v>
          </cell>
          <cell r="E12">
            <v>0</v>
          </cell>
          <cell r="F12">
            <v>3166169000</v>
          </cell>
          <cell r="G12">
            <v>3248156900</v>
          </cell>
          <cell r="H12" t="str">
            <v>81,987,900.00cr</v>
          </cell>
          <cell r="I12">
            <v>234066500</v>
          </cell>
          <cell r="J12">
            <v>0</v>
          </cell>
        </row>
        <row r="13">
          <cell r="B13" t="str">
            <v>1-1112</v>
          </cell>
          <cell r="C13" t="str">
            <v>Student Saving Cash</v>
          </cell>
          <cell r="D13">
            <v>454910000</v>
          </cell>
          <cell r="E13">
            <v>0</v>
          </cell>
          <cell r="F13">
            <v>431840800</v>
          </cell>
          <cell r="G13">
            <v>229698200</v>
          </cell>
          <cell r="H13">
            <v>202142600</v>
          </cell>
          <cell r="I13">
            <v>657052600</v>
          </cell>
          <cell r="J13">
            <v>0</v>
          </cell>
        </row>
        <row r="14">
          <cell r="B14" t="str">
            <v>1-1113</v>
          </cell>
          <cell r="C14" t="str">
            <v>Patty Cash - BOS ITQ</v>
          </cell>
          <cell r="D14">
            <v>115799</v>
          </cell>
          <cell r="E14">
            <v>0</v>
          </cell>
          <cell r="F14">
            <v>0</v>
          </cell>
          <cell r="G14">
            <v>0</v>
          </cell>
          <cell r="H14">
            <v>0</v>
          </cell>
          <cell r="I14">
            <v>115799</v>
          </cell>
          <cell r="J14">
            <v>0</v>
          </cell>
        </row>
        <row r="15">
          <cell r="B15" t="str">
            <v>1-1114</v>
          </cell>
          <cell r="C15" t="str">
            <v>Patty Cash - BOS MTW</v>
          </cell>
          <cell r="D15">
            <v>74904991</v>
          </cell>
          <cell r="E15">
            <v>0</v>
          </cell>
          <cell r="F15">
            <v>0</v>
          </cell>
          <cell r="G15">
            <v>48472302</v>
          </cell>
          <cell r="H15" t="str">
            <v>48,472,302.00cr</v>
          </cell>
          <cell r="I15">
            <v>26432689</v>
          </cell>
          <cell r="J15">
            <v>0</v>
          </cell>
        </row>
        <row r="16">
          <cell r="B16" t="str">
            <v>1-1115</v>
          </cell>
          <cell r="C16" t="str">
            <v>Petty Cash - BOS IM</v>
          </cell>
          <cell r="D16">
            <v>76511103</v>
          </cell>
          <cell r="E16">
            <v>0</v>
          </cell>
          <cell r="F16">
            <v>0</v>
          </cell>
          <cell r="G16">
            <v>0</v>
          </cell>
          <cell r="H16">
            <v>0</v>
          </cell>
          <cell r="I16">
            <v>76511103</v>
          </cell>
          <cell r="J16">
            <v>0</v>
          </cell>
        </row>
        <row r="17">
          <cell r="B17" t="str">
            <v>1-1116</v>
          </cell>
          <cell r="C17" t="str">
            <v>Undeposited Funds</v>
          </cell>
          <cell r="D17">
            <v>0</v>
          </cell>
          <cell r="E17">
            <v>0</v>
          </cell>
          <cell r="F17">
            <v>0</v>
          </cell>
          <cell r="G17">
            <v>0</v>
          </cell>
          <cell r="H17">
            <v>0</v>
          </cell>
          <cell r="I17">
            <v>0</v>
          </cell>
          <cell r="J17">
            <v>0</v>
          </cell>
        </row>
        <row r="18">
          <cell r="B18" t="str">
            <v>1-1117</v>
          </cell>
          <cell r="C18" t="str">
            <v>Electronic Clearing Account</v>
          </cell>
          <cell r="D18">
            <v>0</v>
          </cell>
          <cell r="E18">
            <v>0</v>
          </cell>
          <cell r="F18">
            <v>0</v>
          </cell>
          <cell r="G18">
            <v>0</v>
          </cell>
          <cell r="H18">
            <v>0</v>
          </cell>
          <cell r="I18">
            <v>0</v>
          </cell>
          <cell r="J18">
            <v>0</v>
          </cell>
        </row>
        <row r="19">
          <cell r="B19" t="str">
            <v>1-1118</v>
          </cell>
          <cell r="C19" t="str">
            <v>Petty Cash Sumbangan SDITQ</v>
          </cell>
          <cell r="D19">
            <v>10530900</v>
          </cell>
          <cell r="E19">
            <v>0</v>
          </cell>
          <cell r="F19">
            <v>15000000</v>
          </cell>
          <cell r="G19">
            <v>17123900</v>
          </cell>
          <cell r="H19" t="str">
            <v>2,123,900.00cr</v>
          </cell>
          <cell r="I19">
            <v>8407000</v>
          </cell>
          <cell r="J19">
            <v>0</v>
          </cell>
        </row>
        <row r="20">
          <cell r="B20" t="str">
            <v>1-1119</v>
          </cell>
          <cell r="C20" t="str">
            <v>Petty Cash Other</v>
          </cell>
          <cell r="D20">
            <v>0</v>
          </cell>
          <cell r="E20">
            <v>0</v>
          </cell>
          <cell r="F20">
            <v>0</v>
          </cell>
          <cell r="G20">
            <v>0</v>
          </cell>
          <cell r="H20">
            <v>0</v>
          </cell>
          <cell r="I20">
            <v>0</v>
          </cell>
          <cell r="J20">
            <v>0</v>
          </cell>
        </row>
        <row r="21">
          <cell r="B21" t="str">
            <v>1-1120</v>
          </cell>
          <cell r="C21" t="str">
            <v>Bank Education</v>
          </cell>
          <cell r="D21">
            <v>0</v>
          </cell>
          <cell r="E21">
            <v>0</v>
          </cell>
          <cell r="F21">
            <v>0</v>
          </cell>
          <cell r="G21">
            <v>0</v>
          </cell>
          <cell r="H21">
            <v>0</v>
          </cell>
          <cell r="I21">
            <v>0</v>
          </cell>
          <cell r="J21">
            <v>0</v>
          </cell>
        </row>
        <row r="22">
          <cell r="B22" t="str">
            <v>1-1121</v>
          </cell>
          <cell r="C22" t="str">
            <v>Bank Central Asia (BCA)</v>
          </cell>
          <cell r="D22">
            <v>1225319011.99</v>
          </cell>
          <cell r="E22">
            <v>0</v>
          </cell>
          <cell r="F22">
            <v>1918069261.4300001</v>
          </cell>
          <cell r="G22">
            <v>996378838</v>
          </cell>
          <cell r="H22">
            <v>921690423.42999995</v>
          </cell>
          <cell r="I22">
            <v>2147009435.4200001</v>
          </cell>
          <cell r="J22">
            <v>0</v>
          </cell>
        </row>
        <row r="23">
          <cell r="B23" t="str">
            <v>1-1122</v>
          </cell>
          <cell r="C23" t="str">
            <v>Bank Tabungan Negara (BTN) -</v>
          </cell>
          <cell r="D23">
            <v>312431660.69999999</v>
          </cell>
          <cell r="E23">
            <v>0</v>
          </cell>
          <cell r="F23">
            <v>1298418359.8099999</v>
          </cell>
          <cell r="G23">
            <v>1410517166.9300001</v>
          </cell>
          <cell r="H23" t="str">
            <v>112,098,807.12cr</v>
          </cell>
          <cell r="I23">
            <v>200332853.58000001</v>
          </cell>
          <cell r="J23">
            <v>0</v>
          </cell>
        </row>
        <row r="24">
          <cell r="B24" t="str">
            <v>1-1123</v>
          </cell>
          <cell r="C24" t="str">
            <v>Bank Cimb Niaga</v>
          </cell>
          <cell r="D24">
            <v>124173162.86</v>
          </cell>
          <cell r="E24">
            <v>0</v>
          </cell>
          <cell r="F24">
            <v>198180933.28999999</v>
          </cell>
          <cell r="G24">
            <v>240166740.65000001</v>
          </cell>
          <cell r="H24" t="str">
            <v>41,985,807.36cr</v>
          </cell>
          <cell r="I24">
            <v>82187355.5</v>
          </cell>
          <cell r="J24">
            <v>0</v>
          </cell>
        </row>
        <row r="25">
          <cell r="B25" t="str">
            <v>1-1124</v>
          </cell>
          <cell r="C25" t="str">
            <v>BRI - BOS SDITQ</v>
          </cell>
          <cell r="D25">
            <v>71895</v>
          </cell>
          <cell r="E25">
            <v>0</v>
          </cell>
          <cell r="F25">
            <v>0</v>
          </cell>
          <cell r="G25">
            <v>0</v>
          </cell>
          <cell r="H25">
            <v>0</v>
          </cell>
          <cell r="I25">
            <v>71895</v>
          </cell>
          <cell r="J25">
            <v>0</v>
          </cell>
        </row>
        <row r="26">
          <cell r="B26" t="str">
            <v>1-1125</v>
          </cell>
          <cell r="C26" t="str">
            <v>BRI - BOS MTS/MTW</v>
          </cell>
          <cell r="D26">
            <v>683018.55</v>
          </cell>
          <cell r="E26">
            <v>0</v>
          </cell>
          <cell r="F26">
            <v>0</v>
          </cell>
          <cell r="G26">
            <v>0</v>
          </cell>
          <cell r="H26">
            <v>0</v>
          </cell>
          <cell r="I26">
            <v>683018.55</v>
          </cell>
          <cell r="J26">
            <v>0</v>
          </cell>
        </row>
        <row r="27">
          <cell r="B27" t="str">
            <v>1-1126</v>
          </cell>
          <cell r="C27" t="str">
            <v>BRI - BOM MA/IM</v>
          </cell>
          <cell r="D27">
            <v>204030824</v>
          </cell>
          <cell r="E27">
            <v>0</v>
          </cell>
          <cell r="F27">
            <v>0</v>
          </cell>
          <cell r="G27">
            <v>0</v>
          </cell>
          <cell r="H27">
            <v>0</v>
          </cell>
          <cell r="I27">
            <v>204030824</v>
          </cell>
          <cell r="J27">
            <v>0</v>
          </cell>
        </row>
        <row r="28">
          <cell r="B28" t="str">
            <v>1-1127</v>
          </cell>
          <cell r="C28" t="str">
            <v>Bank BPD Jateng SDITQ</v>
          </cell>
          <cell r="D28">
            <v>33136678</v>
          </cell>
          <cell r="E28">
            <v>0</v>
          </cell>
          <cell r="F28">
            <v>97600</v>
          </cell>
          <cell r="G28">
            <v>15027020</v>
          </cell>
          <cell r="H28" t="str">
            <v>14,929,420.00cr</v>
          </cell>
          <cell r="I28">
            <v>18207258</v>
          </cell>
          <cell r="J28">
            <v>0</v>
          </cell>
        </row>
        <row r="29">
          <cell r="B29" t="str">
            <v>1-1128</v>
          </cell>
          <cell r="C29" t="str">
            <v>Bank Central Asia II (BCA II)</v>
          </cell>
          <cell r="D29">
            <v>1455480000</v>
          </cell>
          <cell r="E29">
            <v>0</v>
          </cell>
          <cell r="F29">
            <v>48750000</v>
          </cell>
          <cell r="G29">
            <v>120030000</v>
          </cell>
          <cell r="H29" t="str">
            <v>71,280,000.00cr</v>
          </cell>
          <cell r="I29">
            <v>1384200000</v>
          </cell>
          <cell r="J29">
            <v>0</v>
          </cell>
        </row>
        <row r="30">
          <cell r="B30" t="str">
            <v>1-1129</v>
          </cell>
          <cell r="C30" t="str">
            <v>BPD Jateng - MA /IM</v>
          </cell>
          <cell r="D30">
            <v>295703</v>
          </cell>
          <cell r="E30">
            <v>0</v>
          </cell>
          <cell r="F30">
            <v>0</v>
          </cell>
          <cell r="G30">
            <v>0</v>
          </cell>
          <cell r="H30">
            <v>0</v>
          </cell>
          <cell r="I30">
            <v>295703</v>
          </cell>
          <cell r="J30">
            <v>0</v>
          </cell>
        </row>
        <row r="31">
          <cell r="B31" t="str">
            <v>1-1131</v>
          </cell>
          <cell r="C31" t="str">
            <v>Bank Negara Indonesia</v>
          </cell>
          <cell r="D31">
            <v>638238</v>
          </cell>
          <cell r="E31">
            <v>0</v>
          </cell>
          <cell r="F31">
            <v>0</v>
          </cell>
          <cell r="G31">
            <v>0</v>
          </cell>
          <cell r="H31">
            <v>0</v>
          </cell>
          <cell r="I31">
            <v>638238</v>
          </cell>
          <cell r="J31">
            <v>0</v>
          </cell>
        </row>
        <row r="32">
          <cell r="B32" t="str">
            <v>1-1132</v>
          </cell>
          <cell r="C32" t="str">
            <v>BRI SITQ Bantuan Santri Miskin</v>
          </cell>
          <cell r="D32">
            <v>100000</v>
          </cell>
          <cell r="E32">
            <v>0</v>
          </cell>
          <cell r="F32">
            <v>0</v>
          </cell>
          <cell r="G32">
            <v>0</v>
          </cell>
          <cell r="H32">
            <v>0</v>
          </cell>
          <cell r="I32">
            <v>100000</v>
          </cell>
          <cell r="J32">
            <v>0</v>
          </cell>
        </row>
        <row r="33">
          <cell r="B33" t="str">
            <v>1-1190</v>
          </cell>
          <cell r="C33" t="str">
            <v>Other Cash &amp; Cash Education Eq</v>
          </cell>
          <cell r="D33">
            <v>0</v>
          </cell>
          <cell r="E33">
            <v>0</v>
          </cell>
          <cell r="F33">
            <v>0</v>
          </cell>
          <cell r="G33">
            <v>0</v>
          </cell>
          <cell r="H33">
            <v>0</v>
          </cell>
          <cell r="I33">
            <v>0</v>
          </cell>
          <cell r="J33">
            <v>0</v>
          </cell>
        </row>
        <row r="34">
          <cell r="B34" t="str">
            <v>1-1191</v>
          </cell>
          <cell r="C34" t="str">
            <v>Post date Check</v>
          </cell>
          <cell r="D34">
            <v>0</v>
          </cell>
          <cell r="E34">
            <v>0</v>
          </cell>
          <cell r="F34">
            <v>0</v>
          </cell>
          <cell r="G34">
            <v>0</v>
          </cell>
          <cell r="H34">
            <v>0</v>
          </cell>
          <cell r="I34">
            <v>0</v>
          </cell>
          <cell r="J34">
            <v>0</v>
          </cell>
        </row>
        <row r="35">
          <cell r="B35" t="str">
            <v>1-1341</v>
          </cell>
          <cell r="C35" t="str">
            <v>Tax Receivable - PPN M</v>
          </cell>
          <cell r="D35">
            <v>0</v>
          </cell>
          <cell r="E35">
            <v>0</v>
          </cell>
          <cell r="F35">
            <v>0</v>
          </cell>
          <cell r="G35">
            <v>0</v>
          </cell>
          <cell r="H35">
            <v>0</v>
          </cell>
          <cell r="I35">
            <v>0</v>
          </cell>
          <cell r="J35">
            <v>0</v>
          </cell>
        </row>
        <row r="36">
          <cell r="B36" t="str">
            <v>1-1960</v>
          </cell>
          <cell r="C36" t="str">
            <v>Voluntary Withholding Credits</v>
          </cell>
          <cell r="D36">
            <v>0</v>
          </cell>
          <cell r="E36">
            <v>0</v>
          </cell>
          <cell r="F36">
            <v>0</v>
          </cell>
          <cell r="G36">
            <v>0</v>
          </cell>
          <cell r="H36">
            <v>0</v>
          </cell>
          <cell r="I36">
            <v>0</v>
          </cell>
          <cell r="J36">
            <v>0</v>
          </cell>
        </row>
        <row r="37">
          <cell r="B37" t="str">
            <v>1-1970</v>
          </cell>
          <cell r="C37" t="str">
            <v>ABN Withholding Credits</v>
          </cell>
          <cell r="D37">
            <v>0</v>
          </cell>
          <cell r="E37">
            <v>0</v>
          </cell>
          <cell r="F37">
            <v>0</v>
          </cell>
          <cell r="G37">
            <v>0</v>
          </cell>
          <cell r="H37">
            <v>0</v>
          </cell>
          <cell r="I37">
            <v>0</v>
          </cell>
          <cell r="J37">
            <v>0</v>
          </cell>
        </row>
        <row r="38">
          <cell r="B38" t="str">
            <v>1-2110</v>
          </cell>
          <cell r="C38" t="str">
            <v>Investasi Saham</v>
          </cell>
          <cell r="D38">
            <v>0</v>
          </cell>
          <cell r="E38">
            <v>0</v>
          </cell>
          <cell r="F38">
            <v>0</v>
          </cell>
          <cell r="G38">
            <v>0</v>
          </cell>
          <cell r="H38">
            <v>0</v>
          </cell>
          <cell r="I38">
            <v>0</v>
          </cell>
          <cell r="J38">
            <v>0</v>
          </cell>
        </row>
        <row r="39">
          <cell r="B39" t="str">
            <v>1-2111</v>
          </cell>
          <cell r="C39" t="str">
            <v>Saham PT X - Jangka pendek</v>
          </cell>
          <cell r="D39">
            <v>0</v>
          </cell>
          <cell r="E39">
            <v>0</v>
          </cell>
          <cell r="F39">
            <v>0</v>
          </cell>
          <cell r="G39">
            <v>0</v>
          </cell>
          <cell r="H39">
            <v>0</v>
          </cell>
          <cell r="I39">
            <v>0</v>
          </cell>
          <cell r="J39">
            <v>0</v>
          </cell>
        </row>
        <row r="40">
          <cell r="B40" t="str">
            <v>1-2211</v>
          </cell>
          <cell r="C40" t="str">
            <v>Saham PT X - Jangka pendek</v>
          </cell>
          <cell r="D40">
            <v>0</v>
          </cell>
          <cell r="E40">
            <v>0</v>
          </cell>
          <cell r="F40">
            <v>0</v>
          </cell>
          <cell r="G40">
            <v>0</v>
          </cell>
          <cell r="H40">
            <v>0</v>
          </cell>
          <cell r="I40">
            <v>0</v>
          </cell>
          <cell r="J40">
            <v>0</v>
          </cell>
        </row>
        <row r="41">
          <cell r="B41" t="str">
            <v>1-2220</v>
          </cell>
          <cell r="C41" t="str">
            <v>Investasi Sertifikat Pinjaman</v>
          </cell>
          <cell r="D41">
            <v>0</v>
          </cell>
          <cell r="E41">
            <v>0</v>
          </cell>
          <cell r="F41">
            <v>0</v>
          </cell>
          <cell r="G41">
            <v>0</v>
          </cell>
          <cell r="H41">
            <v>0</v>
          </cell>
          <cell r="I41">
            <v>0</v>
          </cell>
          <cell r="J41">
            <v>0</v>
          </cell>
        </row>
        <row r="42">
          <cell r="B42" t="str">
            <v>1-2230</v>
          </cell>
          <cell r="C42" t="str">
            <v>Surat-surat Berharga u/ Jamina</v>
          </cell>
          <cell r="D42">
            <v>0</v>
          </cell>
          <cell r="E42">
            <v>0</v>
          </cell>
          <cell r="F42">
            <v>0</v>
          </cell>
          <cell r="G42">
            <v>0</v>
          </cell>
          <cell r="H42">
            <v>0</v>
          </cell>
          <cell r="I42">
            <v>0</v>
          </cell>
          <cell r="J42">
            <v>0</v>
          </cell>
        </row>
        <row r="43">
          <cell r="B43" t="str">
            <v>1-3110</v>
          </cell>
          <cell r="C43" t="str">
            <v>Student A/R Tuition &amp; Fees</v>
          </cell>
          <cell r="D43">
            <v>0</v>
          </cell>
          <cell r="E43">
            <v>0</v>
          </cell>
          <cell r="F43">
            <v>0</v>
          </cell>
          <cell r="G43">
            <v>0</v>
          </cell>
          <cell r="H43">
            <v>0</v>
          </cell>
          <cell r="I43">
            <v>0</v>
          </cell>
          <cell r="J43">
            <v>0</v>
          </cell>
        </row>
        <row r="44">
          <cell r="B44" t="str">
            <v>1-3111</v>
          </cell>
          <cell r="C44" t="str">
            <v>Student A/R - SDITQ</v>
          </cell>
          <cell r="D44">
            <v>107164900</v>
          </cell>
          <cell r="E44">
            <v>0</v>
          </cell>
          <cell r="F44">
            <v>113705000</v>
          </cell>
          <cell r="G44">
            <v>131145000</v>
          </cell>
          <cell r="H44" t="str">
            <v>17,440,000.00cr</v>
          </cell>
          <cell r="I44">
            <v>89724900</v>
          </cell>
          <cell r="J44">
            <v>0</v>
          </cell>
        </row>
        <row r="45">
          <cell r="B45" t="str">
            <v>1-3112</v>
          </cell>
          <cell r="C45" t="str">
            <v>Student A/R - MTS</v>
          </cell>
          <cell r="D45">
            <v>808738000</v>
          </cell>
          <cell r="E45">
            <v>0</v>
          </cell>
          <cell r="F45">
            <v>823445000</v>
          </cell>
          <cell r="G45">
            <v>1009175000</v>
          </cell>
          <cell r="H45" t="str">
            <v>185,730,000.00cr</v>
          </cell>
          <cell r="I45">
            <v>623008000</v>
          </cell>
          <cell r="J45">
            <v>0</v>
          </cell>
        </row>
        <row r="46">
          <cell r="B46" t="str">
            <v>1-3113</v>
          </cell>
          <cell r="C46" t="str">
            <v>Student A/R - MA</v>
          </cell>
          <cell r="D46">
            <v>1363797000</v>
          </cell>
          <cell r="E46">
            <v>0</v>
          </cell>
          <cell r="F46">
            <v>854615400</v>
          </cell>
          <cell r="G46">
            <v>1228515400</v>
          </cell>
          <cell r="H46" t="str">
            <v>373,900,000.00cr</v>
          </cell>
          <cell r="I46">
            <v>989897000</v>
          </cell>
          <cell r="J46">
            <v>0</v>
          </cell>
        </row>
        <row r="47">
          <cell r="B47" t="str">
            <v>1-3114</v>
          </cell>
          <cell r="C47" t="str">
            <v>Student A/R - ILA</v>
          </cell>
          <cell r="D47">
            <v>40200000</v>
          </cell>
          <cell r="E47">
            <v>0</v>
          </cell>
          <cell r="F47">
            <v>92000000</v>
          </cell>
          <cell r="G47">
            <v>87000000</v>
          </cell>
          <cell r="H47">
            <v>5000000</v>
          </cell>
          <cell r="I47">
            <v>45200000</v>
          </cell>
          <cell r="J47">
            <v>0</v>
          </cell>
        </row>
        <row r="48">
          <cell r="B48" t="str">
            <v>1-3120</v>
          </cell>
          <cell r="C48" t="str">
            <v>A/R Private Sponsor T &amp; F 1</v>
          </cell>
          <cell r="D48">
            <v>0</v>
          </cell>
          <cell r="E48">
            <v>0</v>
          </cell>
          <cell r="F48">
            <v>0</v>
          </cell>
          <cell r="G48">
            <v>0</v>
          </cell>
          <cell r="H48">
            <v>0</v>
          </cell>
          <cell r="I48">
            <v>0</v>
          </cell>
          <cell r="J48">
            <v>0</v>
          </cell>
        </row>
        <row r="49">
          <cell r="B49" t="str">
            <v>1-3121</v>
          </cell>
          <cell r="C49" t="str">
            <v>Sponsor A/R - Cholid Bawazer</v>
          </cell>
          <cell r="D49">
            <v>1000000</v>
          </cell>
          <cell r="E49">
            <v>0</v>
          </cell>
          <cell r="F49">
            <v>18500000</v>
          </cell>
          <cell r="G49">
            <v>18500000</v>
          </cell>
          <cell r="H49">
            <v>0</v>
          </cell>
          <cell r="I49">
            <v>1000000</v>
          </cell>
          <cell r="J49">
            <v>0</v>
          </cell>
        </row>
        <row r="50">
          <cell r="B50" t="str">
            <v>1-3122</v>
          </cell>
          <cell r="C50" t="str">
            <v>Sponsor A/R - Ali Harhara</v>
          </cell>
          <cell r="D50">
            <v>9600000</v>
          </cell>
          <cell r="E50">
            <v>0</v>
          </cell>
          <cell r="F50">
            <v>0</v>
          </cell>
          <cell r="G50">
            <v>0</v>
          </cell>
          <cell r="H50">
            <v>0</v>
          </cell>
          <cell r="I50">
            <v>9600000</v>
          </cell>
          <cell r="J50">
            <v>0</v>
          </cell>
        </row>
        <row r="51">
          <cell r="B51" t="str">
            <v>1-3123</v>
          </cell>
          <cell r="C51" t="str">
            <v>Sponsor A/R - Muh. Harhara</v>
          </cell>
          <cell r="D51">
            <v>3800000</v>
          </cell>
          <cell r="E51">
            <v>0</v>
          </cell>
          <cell r="F51">
            <v>2000000</v>
          </cell>
          <cell r="G51">
            <v>0</v>
          </cell>
          <cell r="H51">
            <v>2000000</v>
          </cell>
          <cell r="I51">
            <v>5800000</v>
          </cell>
          <cell r="J51">
            <v>0</v>
          </cell>
        </row>
        <row r="52">
          <cell r="B52" t="str">
            <v>1-3124</v>
          </cell>
          <cell r="C52" t="str">
            <v>Sponsor A/R - Abdullah Hizam</v>
          </cell>
          <cell r="D52">
            <v>4800000</v>
          </cell>
          <cell r="E52">
            <v>0</v>
          </cell>
          <cell r="F52">
            <v>0</v>
          </cell>
          <cell r="G52">
            <v>0</v>
          </cell>
          <cell r="H52">
            <v>0</v>
          </cell>
          <cell r="I52">
            <v>4800000</v>
          </cell>
          <cell r="J52">
            <v>0</v>
          </cell>
        </row>
        <row r="53">
          <cell r="B53" t="str">
            <v>1-3125</v>
          </cell>
          <cell r="C53" t="str">
            <v>Piutang Estimasi Bk&amp;Srg 13/14</v>
          </cell>
          <cell r="D53">
            <v>0</v>
          </cell>
          <cell r="E53">
            <v>0</v>
          </cell>
          <cell r="F53">
            <v>0</v>
          </cell>
          <cell r="G53">
            <v>0</v>
          </cell>
          <cell r="H53">
            <v>0</v>
          </cell>
          <cell r="I53">
            <v>0</v>
          </cell>
          <cell r="J53">
            <v>0</v>
          </cell>
        </row>
        <row r="54">
          <cell r="B54" t="str">
            <v>1-3126</v>
          </cell>
          <cell r="C54" t="str">
            <v>Sponsor A/R - Agus Salim</v>
          </cell>
          <cell r="D54">
            <v>19235000</v>
          </cell>
          <cell r="E54">
            <v>0</v>
          </cell>
          <cell r="F54">
            <v>0</v>
          </cell>
          <cell r="G54">
            <v>0</v>
          </cell>
          <cell r="H54">
            <v>0</v>
          </cell>
          <cell r="I54">
            <v>19235000</v>
          </cell>
          <cell r="J54">
            <v>0</v>
          </cell>
        </row>
        <row r="55">
          <cell r="B55" t="str">
            <v>1-3130</v>
          </cell>
          <cell r="C55" t="str">
            <v>A/R Private Sponsor T &amp; F 2</v>
          </cell>
          <cell r="D55">
            <v>0</v>
          </cell>
          <cell r="E55">
            <v>0</v>
          </cell>
          <cell r="F55">
            <v>0</v>
          </cell>
          <cell r="G55">
            <v>0</v>
          </cell>
          <cell r="H55">
            <v>0</v>
          </cell>
          <cell r="I55">
            <v>0</v>
          </cell>
          <cell r="J55">
            <v>0</v>
          </cell>
        </row>
        <row r="56">
          <cell r="B56" t="str">
            <v>1-3140</v>
          </cell>
          <cell r="C56" t="str">
            <v>A/R Intitution Sponsor T &amp; F 1</v>
          </cell>
          <cell r="D56">
            <v>0</v>
          </cell>
          <cell r="E56">
            <v>0</v>
          </cell>
          <cell r="F56">
            <v>0</v>
          </cell>
          <cell r="G56">
            <v>0</v>
          </cell>
          <cell r="H56">
            <v>0</v>
          </cell>
          <cell r="I56">
            <v>0</v>
          </cell>
          <cell r="J56">
            <v>0</v>
          </cell>
        </row>
        <row r="57">
          <cell r="B57" t="str">
            <v>1-3141</v>
          </cell>
          <cell r="C57" t="str">
            <v>A/R Sponsor - PC Banyuwangi</v>
          </cell>
          <cell r="D57">
            <v>6000000</v>
          </cell>
          <cell r="E57">
            <v>0</v>
          </cell>
          <cell r="F57">
            <v>0</v>
          </cell>
          <cell r="G57">
            <v>0</v>
          </cell>
          <cell r="H57">
            <v>0</v>
          </cell>
          <cell r="I57">
            <v>6000000</v>
          </cell>
          <cell r="J57">
            <v>0</v>
          </cell>
        </row>
        <row r="58">
          <cell r="B58" t="str">
            <v>1-3142</v>
          </cell>
          <cell r="C58" t="str">
            <v>A/R Sponsor - PP Al Irsyad</v>
          </cell>
          <cell r="D58">
            <v>18300000</v>
          </cell>
          <cell r="E58">
            <v>0</v>
          </cell>
          <cell r="F58">
            <v>0</v>
          </cell>
          <cell r="G58">
            <v>0</v>
          </cell>
          <cell r="H58">
            <v>0</v>
          </cell>
          <cell r="I58">
            <v>18300000</v>
          </cell>
          <cell r="J58">
            <v>0</v>
          </cell>
        </row>
        <row r="59">
          <cell r="B59" t="str">
            <v>1-3143</v>
          </cell>
          <cell r="C59" t="str">
            <v>A/R Sponsor - Qatar Charity</v>
          </cell>
          <cell r="D59">
            <v>0</v>
          </cell>
          <cell r="E59">
            <v>0</v>
          </cell>
          <cell r="F59">
            <v>0</v>
          </cell>
          <cell r="G59">
            <v>0</v>
          </cell>
          <cell r="H59">
            <v>0</v>
          </cell>
          <cell r="I59">
            <v>0</v>
          </cell>
          <cell r="J59">
            <v>0</v>
          </cell>
        </row>
        <row r="60">
          <cell r="B60" t="str">
            <v>1-3144</v>
          </cell>
          <cell r="C60" t="str">
            <v>A/R Sponsor Pembangunan Masjid</v>
          </cell>
          <cell r="D60">
            <v>0</v>
          </cell>
          <cell r="E60">
            <v>0</v>
          </cell>
          <cell r="F60">
            <v>0</v>
          </cell>
          <cell r="G60">
            <v>0</v>
          </cell>
          <cell r="H60">
            <v>0</v>
          </cell>
          <cell r="I60">
            <v>0</v>
          </cell>
          <cell r="J60">
            <v>0</v>
          </cell>
        </row>
        <row r="61">
          <cell r="B61" t="str">
            <v>1-3150</v>
          </cell>
          <cell r="C61" t="str">
            <v>A/R Intitution Sponsor T &amp; F 2</v>
          </cell>
          <cell r="D61">
            <v>0</v>
          </cell>
          <cell r="E61">
            <v>0</v>
          </cell>
          <cell r="F61">
            <v>0</v>
          </cell>
          <cell r="G61">
            <v>0</v>
          </cell>
          <cell r="H61">
            <v>0</v>
          </cell>
          <cell r="I61">
            <v>0</v>
          </cell>
          <cell r="J61">
            <v>0</v>
          </cell>
        </row>
        <row r="62">
          <cell r="B62" t="str">
            <v>1-3160</v>
          </cell>
          <cell r="C62" t="str">
            <v>A/R Ex.Students Tuition &amp; Fees</v>
          </cell>
          <cell r="D62">
            <v>0</v>
          </cell>
          <cell r="E62">
            <v>0</v>
          </cell>
          <cell r="F62">
            <v>0</v>
          </cell>
          <cell r="G62">
            <v>0</v>
          </cell>
          <cell r="H62">
            <v>0</v>
          </cell>
          <cell r="I62">
            <v>0</v>
          </cell>
          <cell r="J62">
            <v>0</v>
          </cell>
        </row>
        <row r="63">
          <cell r="B63" t="str">
            <v>1-3161</v>
          </cell>
          <cell r="C63" t="str">
            <v>A/R Ex. Student Tuition &amp; Fees</v>
          </cell>
          <cell r="D63">
            <v>289684930</v>
          </cell>
          <cell r="E63">
            <v>0</v>
          </cell>
          <cell r="F63">
            <v>0</v>
          </cell>
          <cell r="G63">
            <v>0</v>
          </cell>
          <cell r="H63">
            <v>0</v>
          </cell>
          <cell r="I63">
            <v>289684930</v>
          </cell>
          <cell r="J63">
            <v>0</v>
          </cell>
        </row>
        <row r="64">
          <cell r="B64" t="str">
            <v>1-3170</v>
          </cell>
          <cell r="C64" t="str">
            <v>Doubtful A/R Tuition &amp; Fees</v>
          </cell>
          <cell r="D64">
            <v>0</v>
          </cell>
          <cell r="E64">
            <v>0</v>
          </cell>
          <cell r="F64">
            <v>0</v>
          </cell>
          <cell r="G64">
            <v>0</v>
          </cell>
          <cell r="H64">
            <v>0</v>
          </cell>
          <cell r="I64">
            <v>0</v>
          </cell>
          <cell r="J64">
            <v>0</v>
          </cell>
        </row>
        <row r="65">
          <cell r="B65" t="str">
            <v>1-3171</v>
          </cell>
          <cell r="C65" t="str">
            <v>Doubtful Student A/R</v>
          </cell>
          <cell r="D65">
            <v>4100000</v>
          </cell>
          <cell r="E65">
            <v>0</v>
          </cell>
          <cell r="F65">
            <v>0</v>
          </cell>
          <cell r="G65">
            <v>0</v>
          </cell>
          <cell r="H65">
            <v>0</v>
          </cell>
          <cell r="I65">
            <v>4100000</v>
          </cell>
          <cell r="J65">
            <v>0</v>
          </cell>
        </row>
        <row r="66">
          <cell r="B66" t="str">
            <v>1-3172</v>
          </cell>
          <cell r="C66" t="str">
            <v>Doubtful Sponsor A/R</v>
          </cell>
          <cell r="D66">
            <v>56325000</v>
          </cell>
          <cell r="E66">
            <v>0</v>
          </cell>
          <cell r="F66">
            <v>0</v>
          </cell>
          <cell r="G66">
            <v>0</v>
          </cell>
          <cell r="H66">
            <v>0</v>
          </cell>
          <cell r="I66">
            <v>56325000</v>
          </cell>
          <cell r="J66">
            <v>0</v>
          </cell>
        </row>
        <row r="67">
          <cell r="B67" t="str">
            <v>1-3173</v>
          </cell>
          <cell r="C67" t="str">
            <v>Doubtful Intitution Sposor A/R</v>
          </cell>
          <cell r="D67">
            <v>0</v>
          </cell>
          <cell r="E67">
            <v>0</v>
          </cell>
          <cell r="F67">
            <v>0</v>
          </cell>
          <cell r="G67">
            <v>0</v>
          </cell>
          <cell r="H67">
            <v>0</v>
          </cell>
          <cell r="I67">
            <v>0</v>
          </cell>
          <cell r="J67">
            <v>0</v>
          </cell>
        </row>
        <row r="68">
          <cell r="B68" t="str">
            <v>1-3180</v>
          </cell>
          <cell r="C68" t="str">
            <v>Allowance For Doubtful Account</v>
          </cell>
          <cell r="D68">
            <v>0</v>
          </cell>
          <cell r="E68">
            <v>0</v>
          </cell>
          <cell r="F68">
            <v>0</v>
          </cell>
          <cell r="G68">
            <v>0</v>
          </cell>
          <cell r="H68">
            <v>0</v>
          </cell>
          <cell r="I68">
            <v>0</v>
          </cell>
          <cell r="J68">
            <v>0</v>
          </cell>
        </row>
        <row r="69">
          <cell r="B69" t="str">
            <v>1-3181</v>
          </cell>
          <cell r="C69" t="str">
            <v>AFDA Students</v>
          </cell>
          <cell r="D69" t="str">
            <v>196,885,930.00cr</v>
          </cell>
          <cell r="E69">
            <v>0</v>
          </cell>
          <cell r="F69">
            <v>0</v>
          </cell>
          <cell r="G69">
            <v>0</v>
          </cell>
          <cell r="H69">
            <v>0</v>
          </cell>
          <cell r="I69" t="str">
            <v>196,885,930.00cr</v>
          </cell>
          <cell r="J69">
            <v>0</v>
          </cell>
        </row>
        <row r="70">
          <cell r="B70" t="str">
            <v>1-3182</v>
          </cell>
          <cell r="C70" t="str">
            <v>AFDA Prievate Sponsor</v>
          </cell>
          <cell r="D70" t="str">
            <v>42,125,000.00cr</v>
          </cell>
          <cell r="E70">
            <v>0</v>
          </cell>
          <cell r="F70">
            <v>0</v>
          </cell>
          <cell r="G70">
            <v>0</v>
          </cell>
          <cell r="H70">
            <v>0</v>
          </cell>
          <cell r="I70" t="str">
            <v>42,125,000.00cr</v>
          </cell>
          <cell r="J70">
            <v>0</v>
          </cell>
        </row>
        <row r="71">
          <cell r="B71" t="str">
            <v>1-3183</v>
          </cell>
          <cell r="C71" t="str">
            <v>AFDA Intitution Sponsor</v>
          </cell>
          <cell r="D71">
            <v>0</v>
          </cell>
          <cell r="E71">
            <v>0</v>
          </cell>
          <cell r="F71">
            <v>0</v>
          </cell>
          <cell r="G71">
            <v>0</v>
          </cell>
          <cell r="H71">
            <v>0</v>
          </cell>
          <cell r="I71">
            <v>0</v>
          </cell>
          <cell r="J71">
            <v>0</v>
          </cell>
        </row>
        <row r="72">
          <cell r="B72" t="str">
            <v>1-3210</v>
          </cell>
          <cell r="C72" t="str">
            <v>Donasi,hibah&amp;kontrak PEMERINTA</v>
          </cell>
          <cell r="D72">
            <v>0</v>
          </cell>
          <cell r="E72">
            <v>0</v>
          </cell>
          <cell r="F72">
            <v>0</v>
          </cell>
          <cell r="G72">
            <v>0</v>
          </cell>
          <cell r="H72">
            <v>0</v>
          </cell>
          <cell r="I72">
            <v>0</v>
          </cell>
          <cell r="J72">
            <v>0</v>
          </cell>
        </row>
        <row r="73">
          <cell r="B73" t="str">
            <v>1-3211</v>
          </cell>
          <cell r="C73" t="str">
            <v>Piutang kontrak BOS-Diknas SDI</v>
          </cell>
          <cell r="D73">
            <v>0</v>
          </cell>
          <cell r="E73">
            <v>0</v>
          </cell>
          <cell r="F73">
            <v>0</v>
          </cell>
          <cell r="G73">
            <v>0</v>
          </cell>
          <cell r="H73">
            <v>0</v>
          </cell>
          <cell r="I73">
            <v>0</v>
          </cell>
          <cell r="J73">
            <v>0</v>
          </cell>
        </row>
        <row r="74">
          <cell r="B74" t="str">
            <v>1-3212</v>
          </cell>
          <cell r="C74" t="str">
            <v>Piutang Bantuan BOS- Depag MTS</v>
          </cell>
          <cell r="D74">
            <v>0</v>
          </cell>
          <cell r="E74">
            <v>0</v>
          </cell>
          <cell r="F74">
            <v>0</v>
          </cell>
          <cell r="G74">
            <v>0</v>
          </cell>
          <cell r="H74">
            <v>0</v>
          </cell>
          <cell r="I74">
            <v>0</v>
          </cell>
          <cell r="J74">
            <v>0</v>
          </cell>
        </row>
        <row r="75">
          <cell r="B75" t="str">
            <v>1-3213</v>
          </cell>
          <cell r="C75" t="str">
            <v>Piutang Bantuan BOM - MA</v>
          </cell>
          <cell r="D75">
            <v>0</v>
          </cell>
          <cell r="E75">
            <v>0</v>
          </cell>
          <cell r="F75">
            <v>0</v>
          </cell>
          <cell r="G75">
            <v>0</v>
          </cell>
          <cell r="H75">
            <v>0</v>
          </cell>
          <cell r="I75">
            <v>0</v>
          </cell>
          <cell r="J75">
            <v>0</v>
          </cell>
        </row>
        <row r="76">
          <cell r="B76" t="str">
            <v>1-3220</v>
          </cell>
          <cell r="C76" t="str">
            <v>Donasi,hibah&amp;kontrak LEMAS</v>
          </cell>
          <cell r="D76">
            <v>0</v>
          </cell>
          <cell r="E76">
            <v>0</v>
          </cell>
          <cell r="F76">
            <v>0</v>
          </cell>
          <cell r="G76">
            <v>0</v>
          </cell>
          <cell r="H76">
            <v>0</v>
          </cell>
          <cell r="I76">
            <v>0</v>
          </cell>
          <cell r="J76">
            <v>0</v>
          </cell>
        </row>
        <row r="77">
          <cell r="B77" t="str">
            <v>1-3221</v>
          </cell>
          <cell r="C77" t="str">
            <v>Piutang Bantuan-Pembgn.Masjid</v>
          </cell>
          <cell r="D77">
            <v>0</v>
          </cell>
          <cell r="E77">
            <v>0</v>
          </cell>
          <cell r="F77">
            <v>0</v>
          </cell>
          <cell r="G77">
            <v>0</v>
          </cell>
          <cell r="H77">
            <v>0</v>
          </cell>
          <cell r="I77">
            <v>0</v>
          </cell>
          <cell r="J77">
            <v>0</v>
          </cell>
        </row>
        <row r="78">
          <cell r="B78" t="str">
            <v>1-3222</v>
          </cell>
          <cell r="C78" t="str">
            <v>Piutang Bantuan-Bpk. Cholid B</v>
          </cell>
          <cell r="D78">
            <v>0</v>
          </cell>
          <cell r="E78">
            <v>0</v>
          </cell>
          <cell r="F78">
            <v>0</v>
          </cell>
          <cell r="G78">
            <v>0</v>
          </cell>
          <cell r="H78">
            <v>0</v>
          </cell>
          <cell r="I78">
            <v>0</v>
          </cell>
          <cell r="J78">
            <v>0</v>
          </cell>
        </row>
        <row r="79">
          <cell r="B79" t="str">
            <v>1-3223</v>
          </cell>
          <cell r="C79" t="str">
            <v>Piutang Bantuan PT Zahir Accou</v>
          </cell>
          <cell r="D79">
            <v>0</v>
          </cell>
          <cell r="E79">
            <v>0</v>
          </cell>
          <cell r="F79">
            <v>0</v>
          </cell>
          <cell r="G79">
            <v>0</v>
          </cell>
          <cell r="H79">
            <v>0</v>
          </cell>
          <cell r="I79">
            <v>0</v>
          </cell>
          <cell r="J79">
            <v>0</v>
          </cell>
        </row>
        <row r="80">
          <cell r="B80" t="str">
            <v>1-3230</v>
          </cell>
          <cell r="C80" t="str">
            <v>Donasi,Hibah &amp; kontrak Pribadi</v>
          </cell>
          <cell r="D80">
            <v>0</v>
          </cell>
          <cell r="E80">
            <v>0</v>
          </cell>
          <cell r="F80">
            <v>0</v>
          </cell>
          <cell r="G80">
            <v>0</v>
          </cell>
          <cell r="H80">
            <v>0</v>
          </cell>
          <cell r="I80">
            <v>0</v>
          </cell>
          <cell r="J80">
            <v>0</v>
          </cell>
        </row>
        <row r="81">
          <cell r="B81" t="str">
            <v>1-3231</v>
          </cell>
          <cell r="C81" t="str">
            <v>A/R Contribution - Cholid B</v>
          </cell>
          <cell r="D81">
            <v>0</v>
          </cell>
          <cell r="E81">
            <v>0</v>
          </cell>
          <cell r="F81">
            <v>0</v>
          </cell>
          <cell r="G81">
            <v>0</v>
          </cell>
          <cell r="H81">
            <v>0</v>
          </cell>
          <cell r="I81">
            <v>0</v>
          </cell>
          <cell r="J81">
            <v>0</v>
          </cell>
        </row>
        <row r="82">
          <cell r="B82" t="str">
            <v>1-3232</v>
          </cell>
          <cell r="C82" t="str">
            <v>A/R Contribution - Muh Harhara</v>
          </cell>
          <cell r="D82">
            <v>0</v>
          </cell>
          <cell r="E82">
            <v>0</v>
          </cell>
          <cell r="F82">
            <v>0</v>
          </cell>
          <cell r="G82">
            <v>0</v>
          </cell>
          <cell r="H82">
            <v>0</v>
          </cell>
          <cell r="I82">
            <v>0</v>
          </cell>
          <cell r="J82">
            <v>0</v>
          </cell>
        </row>
        <row r="83">
          <cell r="B83" t="str">
            <v>1-3240</v>
          </cell>
          <cell r="C83" t="str">
            <v>Promise Contribution Goverment</v>
          </cell>
          <cell r="D83">
            <v>0</v>
          </cell>
          <cell r="E83">
            <v>0</v>
          </cell>
          <cell r="F83">
            <v>0</v>
          </cell>
          <cell r="G83">
            <v>0</v>
          </cell>
          <cell r="H83">
            <v>0</v>
          </cell>
          <cell r="I83">
            <v>0</v>
          </cell>
          <cell r="J83">
            <v>0</v>
          </cell>
        </row>
        <row r="84">
          <cell r="B84" t="str">
            <v>1-3250</v>
          </cell>
          <cell r="C84" t="str">
            <v>Promise Contribution Intitutio</v>
          </cell>
          <cell r="D84">
            <v>0</v>
          </cell>
          <cell r="E84">
            <v>0</v>
          </cell>
          <cell r="F84">
            <v>0</v>
          </cell>
          <cell r="G84">
            <v>0</v>
          </cell>
          <cell r="H84">
            <v>0</v>
          </cell>
          <cell r="I84">
            <v>0</v>
          </cell>
          <cell r="J84">
            <v>0</v>
          </cell>
        </row>
        <row r="85">
          <cell r="B85" t="str">
            <v>1-3251</v>
          </cell>
          <cell r="C85" t="str">
            <v>A/R Promises Sponsor Usamah B</v>
          </cell>
          <cell r="D85">
            <v>0</v>
          </cell>
          <cell r="E85">
            <v>0</v>
          </cell>
          <cell r="F85">
            <v>0</v>
          </cell>
          <cell r="G85">
            <v>0</v>
          </cell>
          <cell r="H85">
            <v>0</v>
          </cell>
          <cell r="I85">
            <v>0</v>
          </cell>
          <cell r="J85">
            <v>0</v>
          </cell>
        </row>
        <row r="86">
          <cell r="B86" t="str">
            <v>1-3260</v>
          </cell>
          <cell r="C86" t="str">
            <v>PROMISE CONTRIBUTION PRIVATE</v>
          </cell>
          <cell r="D86">
            <v>0</v>
          </cell>
          <cell r="E86">
            <v>0</v>
          </cell>
          <cell r="F86">
            <v>0</v>
          </cell>
          <cell r="G86">
            <v>0</v>
          </cell>
          <cell r="H86">
            <v>0</v>
          </cell>
          <cell r="I86">
            <v>0</v>
          </cell>
          <cell r="J86">
            <v>0</v>
          </cell>
        </row>
        <row r="87">
          <cell r="B87" t="str">
            <v>1-3269</v>
          </cell>
          <cell r="C87" t="str">
            <v>Others</v>
          </cell>
          <cell r="D87">
            <v>0</v>
          </cell>
          <cell r="E87">
            <v>0</v>
          </cell>
          <cell r="F87">
            <v>0</v>
          </cell>
          <cell r="G87">
            <v>0</v>
          </cell>
          <cell r="H87">
            <v>0</v>
          </cell>
          <cell r="I87">
            <v>0</v>
          </cell>
          <cell r="J87">
            <v>0</v>
          </cell>
        </row>
        <row r="88">
          <cell r="B88" t="str">
            <v>1-3280</v>
          </cell>
          <cell r="C88" t="str">
            <v>Piutang Bantuan Tak tertagih</v>
          </cell>
          <cell r="D88">
            <v>0</v>
          </cell>
          <cell r="E88">
            <v>0</v>
          </cell>
          <cell r="F88">
            <v>0</v>
          </cell>
          <cell r="G88">
            <v>0</v>
          </cell>
          <cell r="H88">
            <v>0</v>
          </cell>
          <cell r="I88">
            <v>0</v>
          </cell>
          <cell r="J88">
            <v>0</v>
          </cell>
        </row>
        <row r="89">
          <cell r="B89" t="str">
            <v>1-3281</v>
          </cell>
          <cell r="C89" t="str">
            <v>Piutang DH&amp;K tak tertagih PEME</v>
          </cell>
          <cell r="D89">
            <v>0</v>
          </cell>
          <cell r="E89">
            <v>0</v>
          </cell>
          <cell r="F89">
            <v>0</v>
          </cell>
          <cell r="G89">
            <v>0</v>
          </cell>
          <cell r="H89">
            <v>0</v>
          </cell>
          <cell r="I89">
            <v>0</v>
          </cell>
          <cell r="J89">
            <v>0</v>
          </cell>
        </row>
        <row r="90">
          <cell r="B90" t="str">
            <v>1-3282</v>
          </cell>
          <cell r="C90" t="str">
            <v>Piutang DH&amp;K tak tertagih LEMA</v>
          </cell>
          <cell r="D90">
            <v>0</v>
          </cell>
          <cell r="E90">
            <v>0</v>
          </cell>
          <cell r="F90">
            <v>0</v>
          </cell>
          <cell r="G90">
            <v>0</v>
          </cell>
          <cell r="H90">
            <v>0</v>
          </cell>
          <cell r="I90">
            <v>0</v>
          </cell>
          <cell r="J90">
            <v>0</v>
          </cell>
        </row>
        <row r="91">
          <cell r="B91" t="str">
            <v>1-3283</v>
          </cell>
          <cell r="C91" t="str">
            <v>Piutang DH&amp;K tak tertagih PRIB</v>
          </cell>
          <cell r="D91">
            <v>0</v>
          </cell>
          <cell r="E91">
            <v>0</v>
          </cell>
          <cell r="F91">
            <v>0</v>
          </cell>
          <cell r="G91">
            <v>0</v>
          </cell>
          <cell r="H91">
            <v>0</v>
          </cell>
          <cell r="I91">
            <v>0</v>
          </cell>
          <cell r="J91">
            <v>0</v>
          </cell>
        </row>
        <row r="92">
          <cell r="B92" t="str">
            <v>1-3284</v>
          </cell>
          <cell r="C92" t="str">
            <v>Piutang JB tak tertagih-PEME</v>
          </cell>
          <cell r="D92">
            <v>0</v>
          </cell>
          <cell r="E92">
            <v>0</v>
          </cell>
          <cell r="F92">
            <v>0</v>
          </cell>
          <cell r="G92">
            <v>0</v>
          </cell>
          <cell r="H92">
            <v>0</v>
          </cell>
          <cell r="I92">
            <v>0</v>
          </cell>
          <cell r="J92">
            <v>0</v>
          </cell>
        </row>
        <row r="93">
          <cell r="B93" t="str">
            <v>1-3285</v>
          </cell>
          <cell r="C93" t="str">
            <v>Piutang JB tak tertagih-LEMAS</v>
          </cell>
          <cell r="D93">
            <v>0</v>
          </cell>
          <cell r="E93">
            <v>0</v>
          </cell>
          <cell r="F93">
            <v>0</v>
          </cell>
          <cell r="G93">
            <v>0</v>
          </cell>
          <cell r="H93">
            <v>0</v>
          </cell>
          <cell r="I93">
            <v>0</v>
          </cell>
          <cell r="J93">
            <v>0</v>
          </cell>
        </row>
        <row r="94">
          <cell r="B94" t="str">
            <v>1-3286</v>
          </cell>
          <cell r="C94" t="str">
            <v>Piutang JB tak tertagih-PRIB</v>
          </cell>
          <cell r="D94">
            <v>0</v>
          </cell>
          <cell r="E94">
            <v>0</v>
          </cell>
          <cell r="F94">
            <v>0</v>
          </cell>
          <cell r="G94">
            <v>0</v>
          </cell>
          <cell r="H94">
            <v>0</v>
          </cell>
          <cell r="I94">
            <v>0</v>
          </cell>
          <cell r="J94">
            <v>0</v>
          </cell>
        </row>
        <row r="95">
          <cell r="B95" t="str">
            <v>1-3290</v>
          </cell>
          <cell r="C95" t="str">
            <v>Cadangan Kerugian Piutang Bant</v>
          </cell>
          <cell r="D95">
            <v>0</v>
          </cell>
          <cell r="E95">
            <v>0</v>
          </cell>
          <cell r="F95">
            <v>0</v>
          </cell>
          <cell r="G95">
            <v>0</v>
          </cell>
          <cell r="H95">
            <v>0</v>
          </cell>
          <cell r="I95">
            <v>0</v>
          </cell>
          <cell r="J95">
            <v>0</v>
          </cell>
        </row>
        <row r="96">
          <cell r="B96" t="str">
            <v>1-3291</v>
          </cell>
          <cell r="C96" t="str">
            <v>Cadangan KP DH&amp;K - Pemerintah</v>
          </cell>
          <cell r="D96">
            <v>0</v>
          </cell>
          <cell r="E96">
            <v>0</v>
          </cell>
          <cell r="F96">
            <v>0</v>
          </cell>
          <cell r="G96">
            <v>0</v>
          </cell>
          <cell r="H96">
            <v>0</v>
          </cell>
          <cell r="I96">
            <v>0</v>
          </cell>
          <cell r="J96">
            <v>0</v>
          </cell>
        </row>
        <row r="97">
          <cell r="B97" t="str">
            <v>1-3292</v>
          </cell>
          <cell r="C97" t="str">
            <v>Cadangan KP DH&amp;K - LEMAS</v>
          </cell>
          <cell r="D97">
            <v>0</v>
          </cell>
          <cell r="E97">
            <v>0</v>
          </cell>
          <cell r="F97">
            <v>0</v>
          </cell>
          <cell r="G97">
            <v>0</v>
          </cell>
          <cell r="H97">
            <v>0</v>
          </cell>
          <cell r="I97">
            <v>0</v>
          </cell>
          <cell r="J97">
            <v>0</v>
          </cell>
        </row>
        <row r="98">
          <cell r="B98" t="str">
            <v>1-3293</v>
          </cell>
          <cell r="C98" t="str">
            <v>Cadangan KP DH&amp;K - Pribadi</v>
          </cell>
          <cell r="D98">
            <v>0</v>
          </cell>
          <cell r="E98">
            <v>0</v>
          </cell>
          <cell r="F98">
            <v>0</v>
          </cell>
          <cell r="G98">
            <v>0</v>
          </cell>
          <cell r="H98">
            <v>0</v>
          </cell>
          <cell r="I98">
            <v>0</v>
          </cell>
          <cell r="J98">
            <v>0</v>
          </cell>
        </row>
        <row r="99">
          <cell r="B99" t="str">
            <v>1-3294</v>
          </cell>
          <cell r="C99" t="str">
            <v>Cadangan KP JB - Pemerintah</v>
          </cell>
          <cell r="D99">
            <v>0</v>
          </cell>
          <cell r="E99">
            <v>0</v>
          </cell>
          <cell r="F99">
            <v>0</v>
          </cell>
          <cell r="G99">
            <v>0</v>
          </cell>
          <cell r="H99">
            <v>0</v>
          </cell>
          <cell r="I99">
            <v>0</v>
          </cell>
          <cell r="J99">
            <v>0</v>
          </cell>
        </row>
        <row r="100">
          <cell r="B100" t="str">
            <v>1-3295</v>
          </cell>
          <cell r="C100" t="str">
            <v>Cadangan KP JB - Lembaga Masya</v>
          </cell>
          <cell r="D100">
            <v>0</v>
          </cell>
          <cell r="E100">
            <v>0</v>
          </cell>
          <cell r="F100">
            <v>0</v>
          </cell>
          <cell r="G100">
            <v>0</v>
          </cell>
          <cell r="H100">
            <v>0</v>
          </cell>
          <cell r="I100">
            <v>0</v>
          </cell>
          <cell r="J100">
            <v>0</v>
          </cell>
        </row>
        <row r="101">
          <cell r="B101" t="str">
            <v>1-3296</v>
          </cell>
          <cell r="C101" t="str">
            <v>Cadangan KP JB  - Pribadi</v>
          </cell>
          <cell r="D101">
            <v>0</v>
          </cell>
          <cell r="E101">
            <v>0</v>
          </cell>
          <cell r="F101">
            <v>0</v>
          </cell>
          <cell r="G101">
            <v>0</v>
          </cell>
          <cell r="H101">
            <v>0</v>
          </cell>
          <cell r="I101">
            <v>0</v>
          </cell>
          <cell r="J101">
            <v>0</v>
          </cell>
        </row>
        <row r="102">
          <cell r="B102" t="str">
            <v>1-3310</v>
          </cell>
          <cell r="C102" t="str">
            <v>Other Receivable Employee</v>
          </cell>
          <cell r="D102">
            <v>0</v>
          </cell>
          <cell r="E102">
            <v>0</v>
          </cell>
          <cell r="F102">
            <v>0</v>
          </cell>
          <cell r="G102">
            <v>0</v>
          </cell>
          <cell r="H102">
            <v>0</v>
          </cell>
          <cell r="I102">
            <v>0</v>
          </cell>
          <cell r="J102">
            <v>0</v>
          </cell>
        </row>
        <row r="103">
          <cell r="B103" t="str">
            <v>1-3311</v>
          </cell>
          <cell r="C103" t="str">
            <v>O/R Employee Loan</v>
          </cell>
          <cell r="D103">
            <v>143155750</v>
          </cell>
          <cell r="E103">
            <v>0</v>
          </cell>
          <cell r="F103">
            <v>27072660</v>
          </cell>
          <cell r="G103">
            <v>31165010</v>
          </cell>
          <cell r="H103" t="str">
            <v>4,092,350.00cr</v>
          </cell>
          <cell r="I103">
            <v>139063400</v>
          </cell>
          <cell r="J103">
            <v>0</v>
          </cell>
        </row>
        <row r="104">
          <cell r="B104" t="str">
            <v>1-3312</v>
          </cell>
          <cell r="C104" t="str">
            <v>O/R Employee Sell &amp; Service</v>
          </cell>
          <cell r="D104">
            <v>0</v>
          </cell>
          <cell r="E104">
            <v>0</v>
          </cell>
          <cell r="F104">
            <v>0</v>
          </cell>
          <cell r="G104">
            <v>0</v>
          </cell>
          <cell r="H104">
            <v>0</v>
          </cell>
          <cell r="I104">
            <v>0</v>
          </cell>
          <cell r="J104">
            <v>0</v>
          </cell>
        </row>
        <row r="105">
          <cell r="B105" t="str">
            <v>1-3313</v>
          </cell>
          <cell r="C105" t="str">
            <v>O/R Employee Fine</v>
          </cell>
          <cell r="D105">
            <v>0</v>
          </cell>
          <cell r="E105">
            <v>0</v>
          </cell>
          <cell r="F105">
            <v>0</v>
          </cell>
          <cell r="G105">
            <v>0</v>
          </cell>
          <cell r="H105">
            <v>0</v>
          </cell>
          <cell r="I105">
            <v>0</v>
          </cell>
          <cell r="J105">
            <v>0</v>
          </cell>
        </row>
        <row r="106">
          <cell r="B106" t="str">
            <v>1-3319</v>
          </cell>
          <cell r="C106" t="str">
            <v>O/R Employee Others</v>
          </cell>
          <cell r="D106">
            <v>188000</v>
          </cell>
          <cell r="E106">
            <v>0</v>
          </cell>
          <cell r="F106">
            <v>0</v>
          </cell>
          <cell r="G106">
            <v>0</v>
          </cell>
          <cell r="H106">
            <v>0</v>
          </cell>
          <cell r="I106">
            <v>188000</v>
          </cell>
          <cell r="J106">
            <v>0</v>
          </cell>
        </row>
        <row r="107">
          <cell r="B107" t="str">
            <v>1-3320</v>
          </cell>
          <cell r="C107" t="str">
            <v>Other Recivable Student</v>
          </cell>
          <cell r="D107">
            <v>0</v>
          </cell>
          <cell r="E107">
            <v>0</v>
          </cell>
          <cell r="F107">
            <v>0</v>
          </cell>
          <cell r="G107">
            <v>0</v>
          </cell>
          <cell r="H107">
            <v>0</v>
          </cell>
          <cell r="I107">
            <v>0</v>
          </cell>
          <cell r="J107">
            <v>0</v>
          </cell>
        </row>
        <row r="108">
          <cell r="B108" t="str">
            <v>1-3321</v>
          </cell>
          <cell r="C108" t="str">
            <v>O/R Student Loan</v>
          </cell>
          <cell r="D108">
            <v>900000</v>
          </cell>
          <cell r="E108">
            <v>0</v>
          </cell>
          <cell r="F108">
            <v>1000</v>
          </cell>
          <cell r="G108">
            <v>500000</v>
          </cell>
          <cell r="H108" t="str">
            <v>499,000.00cr</v>
          </cell>
          <cell r="I108">
            <v>401000</v>
          </cell>
          <cell r="J108">
            <v>0</v>
          </cell>
        </row>
        <row r="109">
          <cell r="B109" t="str">
            <v>1-3322</v>
          </cell>
          <cell r="C109" t="str">
            <v>O/R Student Sell &amp; Service</v>
          </cell>
          <cell r="D109">
            <v>0</v>
          </cell>
          <cell r="E109">
            <v>0</v>
          </cell>
          <cell r="F109">
            <v>0</v>
          </cell>
          <cell r="G109">
            <v>0</v>
          </cell>
          <cell r="H109">
            <v>0</v>
          </cell>
          <cell r="I109">
            <v>0</v>
          </cell>
          <cell r="J109">
            <v>0</v>
          </cell>
        </row>
        <row r="110">
          <cell r="B110" t="str">
            <v>1-3323</v>
          </cell>
          <cell r="C110" t="str">
            <v>O/R Student Fine</v>
          </cell>
          <cell r="D110">
            <v>0</v>
          </cell>
          <cell r="E110">
            <v>0</v>
          </cell>
          <cell r="F110">
            <v>0</v>
          </cell>
          <cell r="G110">
            <v>0</v>
          </cell>
          <cell r="H110">
            <v>0</v>
          </cell>
          <cell r="I110">
            <v>0</v>
          </cell>
          <cell r="J110">
            <v>0</v>
          </cell>
        </row>
        <row r="111">
          <cell r="B111" t="str">
            <v>1-3329</v>
          </cell>
          <cell r="C111" t="str">
            <v>O/R Students Other</v>
          </cell>
          <cell r="D111">
            <v>1750000</v>
          </cell>
          <cell r="E111">
            <v>0</v>
          </cell>
          <cell r="F111">
            <v>0</v>
          </cell>
          <cell r="G111">
            <v>0</v>
          </cell>
          <cell r="H111">
            <v>0</v>
          </cell>
          <cell r="I111">
            <v>1750000</v>
          </cell>
          <cell r="J111">
            <v>0</v>
          </cell>
        </row>
        <row r="112">
          <cell r="B112" t="str">
            <v>1-3330</v>
          </cell>
          <cell r="C112" t="str">
            <v>Other Receivable Third Part</v>
          </cell>
          <cell r="D112">
            <v>0</v>
          </cell>
          <cell r="E112">
            <v>0</v>
          </cell>
          <cell r="F112">
            <v>0</v>
          </cell>
          <cell r="G112">
            <v>0</v>
          </cell>
          <cell r="H112">
            <v>0</v>
          </cell>
          <cell r="I112">
            <v>0</v>
          </cell>
          <cell r="J112">
            <v>0</v>
          </cell>
        </row>
        <row r="113">
          <cell r="B113" t="str">
            <v>1-3331</v>
          </cell>
          <cell r="C113" t="str">
            <v>O/R Third Part Loan</v>
          </cell>
          <cell r="D113">
            <v>3319000</v>
          </cell>
          <cell r="E113">
            <v>0</v>
          </cell>
          <cell r="F113">
            <v>0</v>
          </cell>
          <cell r="G113">
            <v>0</v>
          </cell>
          <cell r="H113">
            <v>0</v>
          </cell>
          <cell r="I113">
            <v>3319000</v>
          </cell>
          <cell r="J113">
            <v>0</v>
          </cell>
        </row>
        <row r="114">
          <cell r="B114" t="str">
            <v>1-3332</v>
          </cell>
          <cell r="C114" t="str">
            <v>O/R Third Part Sell &amp; Service</v>
          </cell>
          <cell r="D114">
            <v>0</v>
          </cell>
          <cell r="E114">
            <v>0</v>
          </cell>
          <cell r="F114">
            <v>0</v>
          </cell>
          <cell r="G114">
            <v>0</v>
          </cell>
          <cell r="H114">
            <v>0</v>
          </cell>
          <cell r="I114">
            <v>0</v>
          </cell>
          <cell r="J114">
            <v>0</v>
          </cell>
        </row>
        <row r="115">
          <cell r="B115" t="str">
            <v>1-3333</v>
          </cell>
          <cell r="C115" t="str">
            <v>O/R Third Part Fine</v>
          </cell>
          <cell r="D115">
            <v>0</v>
          </cell>
          <cell r="E115">
            <v>0</v>
          </cell>
          <cell r="F115">
            <v>0</v>
          </cell>
          <cell r="G115">
            <v>0</v>
          </cell>
          <cell r="H115">
            <v>0</v>
          </cell>
          <cell r="I115">
            <v>0</v>
          </cell>
          <cell r="J115">
            <v>0</v>
          </cell>
        </row>
        <row r="116">
          <cell r="B116" t="str">
            <v>1-3339</v>
          </cell>
          <cell r="C116" t="str">
            <v>O/R Third Part Other</v>
          </cell>
          <cell r="D116">
            <v>372950196</v>
          </cell>
          <cell r="E116">
            <v>0</v>
          </cell>
          <cell r="F116">
            <v>97780000</v>
          </cell>
          <cell r="G116">
            <v>5000000</v>
          </cell>
          <cell r="H116">
            <v>92780000</v>
          </cell>
          <cell r="I116">
            <v>465730196</v>
          </cell>
          <cell r="J116">
            <v>0</v>
          </cell>
        </row>
        <row r="117">
          <cell r="B117" t="str">
            <v>1-3340</v>
          </cell>
          <cell r="C117" t="str">
            <v>Other Receivable Claim Expense</v>
          </cell>
          <cell r="D117">
            <v>0</v>
          </cell>
          <cell r="E117">
            <v>0</v>
          </cell>
          <cell r="F117">
            <v>0</v>
          </cell>
          <cell r="G117">
            <v>0</v>
          </cell>
          <cell r="H117">
            <v>0</v>
          </cell>
          <cell r="I117">
            <v>0</v>
          </cell>
          <cell r="J117">
            <v>0</v>
          </cell>
        </row>
        <row r="118">
          <cell r="B118" t="str">
            <v>1-3341</v>
          </cell>
          <cell r="C118" t="str">
            <v>O/R Claim Expense BOS SDITQ</v>
          </cell>
          <cell r="D118">
            <v>0</v>
          </cell>
          <cell r="E118">
            <v>0</v>
          </cell>
          <cell r="F118">
            <v>0</v>
          </cell>
          <cell r="G118">
            <v>0</v>
          </cell>
          <cell r="H118">
            <v>0</v>
          </cell>
          <cell r="I118">
            <v>0</v>
          </cell>
          <cell r="J118">
            <v>0</v>
          </cell>
        </row>
        <row r="119">
          <cell r="B119" t="str">
            <v>1-3342</v>
          </cell>
          <cell r="C119" t="str">
            <v>O/R Claim Expense BOS MTS</v>
          </cell>
          <cell r="D119">
            <v>0</v>
          </cell>
          <cell r="E119">
            <v>0</v>
          </cell>
          <cell r="F119">
            <v>0</v>
          </cell>
          <cell r="G119">
            <v>0</v>
          </cell>
          <cell r="H119">
            <v>0</v>
          </cell>
          <cell r="I119">
            <v>0</v>
          </cell>
          <cell r="J119">
            <v>0</v>
          </cell>
        </row>
        <row r="120">
          <cell r="B120" t="str">
            <v>1-3343</v>
          </cell>
          <cell r="C120" t="str">
            <v>O/R Claim Expense BOM IM</v>
          </cell>
          <cell r="D120">
            <v>0</v>
          </cell>
          <cell r="E120">
            <v>0</v>
          </cell>
          <cell r="F120">
            <v>0</v>
          </cell>
          <cell r="G120">
            <v>0</v>
          </cell>
          <cell r="H120">
            <v>0</v>
          </cell>
          <cell r="I120">
            <v>0</v>
          </cell>
          <cell r="J120">
            <v>0</v>
          </cell>
        </row>
        <row r="121">
          <cell r="B121" t="str">
            <v>1-3344</v>
          </cell>
          <cell r="C121" t="str">
            <v>O/R Claim Expense Auxiliary E</v>
          </cell>
          <cell r="D121">
            <v>0</v>
          </cell>
          <cell r="E121">
            <v>0</v>
          </cell>
          <cell r="F121">
            <v>0</v>
          </cell>
          <cell r="G121">
            <v>0</v>
          </cell>
          <cell r="H121">
            <v>0</v>
          </cell>
          <cell r="I121">
            <v>0</v>
          </cell>
          <cell r="J121">
            <v>0</v>
          </cell>
        </row>
        <row r="122">
          <cell r="B122" t="str">
            <v>1-3349</v>
          </cell>
          <cell r="C122" t="str">
            <v>O/R Claim Expense - Other</v>
          </cell>
          <cell r="D122">
            <v>0</v>
          </cell>
          <cell r="E122">
            <v>0</v>
          </cell>
          <cell r="F122">
            <v>0</v>
          </cell>
          <cell r="G122">
            <v>0</v>
          </cell>
          <cell r="H122">
            <v>0</v>
          </cell>
          <cell r="I122">
            <v>0</v>
          </cell>
          <cell r="J122">
            <v>0</v>
          </cell>
        </row>
        <row r="123">
          <cell r="B123" t="str">
            <v>1-3350</v>
          </cell>
          <cell r="C123" t="str">
            <v>Other Receivable Interfund</v>
          </cell>
          <cell r="D123">
            <v>0</v>
          </cell>
          <cell r="E123">
            <v>0</v>
          </cell>
          <cell r="F123">
            <v>0</v>
          </cell>
          <cell r="G123">
            <v>0</v>
          </cell>
          <cell r="H123">
            <v>0</v>
          </cell>
          <cell r="I123">
            <v>0</v>
          </cell>
          <cell r="J123">
            <v>0</v>
          </cell>
        </row>
        <row r="124">
          <cell r="B124" t="str">
            <v>1-3351</v>
          </cell>
          <cell r="C124" t="str">
            <v>O/R Auxiliary Enterprises Fund</v>
          </cell>
          <cell r="D124">
            <v>205317478.58000001</v>
          </cell>
          <cell r="E124">
            <v>0</v>
          </cell>
          <cell r="F124">
            <v>19852190.25</v>
          </cell>
          <cell r="G124">
            <v>0</v>
          </cell>
          <cell r="H124">
            <v>19852190.25</v>
          </cell>
          <cell r="I124">
            <v>225169668.83000001</v>
          </cell>
          <cell r="J124">
            <v>0</v>
          </cell>
        </row>
        <row r="125">
          <cell r="B125" t="str">
            <v>1-3360</v>
          </cell>
          <cell r="C125" t="str">
            <v>OR Invesment Income</v>
          </cell>
          <cell r="D125">
            <v>0</v>
          </cell>
          <cell r="E125">
            <v>0</v>
          </cell>
          <cell r="F125">
            <v>0</v>
          </cell>
          <cell r="G125">
            <v>0</v>
          </cell>
          <cell r="H125">
            <v>0</v>
          </cell>
          <cell r="I125">
            <v>0</v>
          </cell>
          <cell r="J125">
            <v>0</v>
          </cell>
        </row>
        <row r="126">
          <cell r="B126" t="str">
            <v>1-3361</v>
          </cell>
          <cell r="C126" t="str">
            <v>O/R - Profit Sharing</v>
          </cell>
          <cell r="D126">
            <v>30141123</v>
          </cell>
          <cell r="E126">
            <v>0</v>
          </cell>
          <cell r="F126">
            <v>0</v>
          </cell>
          <cell r="G126">
            <v>0</v>
          </cell>
          <cell r="H126">
            <v>0</v>
          </cell>
          <cell r="I126">
            <v>30141123</v>
          </cell>
          <cell r="J126">
            <v>0</v>
          </cell>
        </row>
        <row r="127">
          <cell r="B127" t="str">
            <v>1-3362</v>
          </cell>
          <cell r="C127" t="str">
            <v>O/R - Interfund PIA Putri</v>
          </cell>
          <cell r="D127">
            <v>3500000</v>
          </cell>
          <cell r="E127">
            <v>0</v>
          </cell>
          <cell r="F127">
            <v>0</v>
          </cell>
          <cell r="G127">
            <v>0</v>
          </cell>
          <cell r="H127">
            <v>0</v>
          </cell>
          <cell r="I127">
            <v>3500000</v>
          </cell>
          <cell r="J127">
            <v>0</v>
          </cell>
        </row>
        <row r="128">
          <cell r="B128" t="str">
            <v>1-3370</v>
          </cell>
          <cell r="C128" t="str">
            <v>Lain-lain</v>
          </cell>
          <cell r="D128">
            <v>0</v>
          </cell>
          <cell r="E128">
            <v>0</v>
          </cell>
          <cell r="F128">
            <v>0</v>
          </cell>
          <cell r="G128">
            <v>0</v>
          </cell>
          <cell r="H128">
            <v>0</v>
          </cell>
          <cell r="I128">
            <v>0</v>
          </cell>
          <cell r="J128">
            <v>0</v>
          </cell>
        </row>
        <row r="129">
          <cell r="B129" t="str">
            <v>1-3379</v>
          </cell>
          <cell r="C129" t="str">
            <v>others</v>
          </cell>
          <cell r="D129">
            <v>2000000</v>
          </cell>
          <cell r="E129">
            <v>0</v>
          </cell>
          <cell r="F129">
            <v>0</v>
          </cell>
          <cell r="G129">
            <v>0</v>
          </cell>
          <cell r="H129">
            <v>0</v>
          </cell>
          <cell r="I129">
            <v>2000000</v>
          </cell>
          <cell r="J129">
            <v>0</v>
          </cell>
        </row>
        <row r="130">
          <cell r="B130" t="str">
            <v>1-3380</v>
          </cell>
          <cell r="C130" t="str">
            <v>Doubtful Account Other Receiva</v>
          </cell>
          <cell r="D130">
            <v>0</v>
          </cell>
          <cell r="E130">
            <v>0</v>
          </cell>
          <cell r="F130">
            <v>0</v>
          </cell>
          <cell r="G130">
            <v>0</v>
          </cell>
          <cell r="H130">
            <v>0</v>
          </cell>
          <cell r="I130">
            <v>0</v>
          </cell>
          <cell r="J130">
            <v>0</v>
          </cell>
        </row>
        <row r="131">
          <cell r="B131" t="str">
            <v>1-3381</v>
          </cell>
          <cell r="C131" t="str">
            <v>Doubtful Account O/R Employee</v>
          </cell>
          <cell r="D131">
            <v>0</v>
          </cell>
          <cell r="E131">
            <v>0</v>
          </cell>
          <cell r="F131">
            <v>0</v>
          </cell>
          <cell r="G131">
            <v>0</v>
          </cell>
          <cell r="H131">
            <v>0</v>
          </cell>
          <cell r="I131">
            <v>0</v>
          </cell>
          <cell r="J131">
            <v>0</v>
          </cell>
        </row>
        <row r="132">
          <cell r="B132" t="str">
            <v>1-3382</v>
          </cell>
          <cell r="C132" t="str">
            <v>Doubtful Account O/R Student</v>
          </cell>
          <cell r="D132">
            <v>0</v>
          </cell>
          <cell r="E132">
            <v>0</v>
          </cell>
          <cell r="F132">
            <v>0</v>
          </cell>
          <cell r="G132">
            <v>0</v>
          </cell>
          <cell r="H132">
            <v>0</v>
          </cell>
          <cell r="I132">
            <v>0</v>
          </cell>
          <cell r="J132">
            <v>0</v>
          </cell>
        </row>
        <row r="133">
          <cell r="B133" t="str">
            <v>1-3383</v>
          </cell>
          <cell r="C133" t="str">
            <v>Doubtful Account O/R Third Par</v>
          </cell>
          <cell r="D133">
            <v>0</v>
          </cell>
          <cell r="E133">
            <v>0</v>
          </cell>
          <cell r="F133">
            <v>0</v>
          </cell>
          <cell r="G133">
            <v>0</v>
          </cell>
          <cell r="H133">
            <v>0</v>
          </cell>
          <cell r="I133">
            <v>0</v>
          </cell>
          <cell r="J133">
            <v>0</v>
          </cell>
        </row>
        <row r="134">
          <cell r="B134" t="str">
            <v>1-3384</v>
          </cell>
          <cell r="C134" t="str">
            <v>Doubtful Account O/R Claim Exp</v>
          </cell>
          <cell r="D134">
            <v>0</v>
          </cell>
          <cell r="E134">
            <v>0</v>
          </cell>
          <cell r="F134">
            <v>0</v>
          </cell>
          <cell r="G134">
            <v>0</v>
          </cell>
          <cell r="H134">
            <v>0</v>
          </cell>
          <cell r="I134">
            <v>0</v>
          </cell>
          <cell r="J134">
            <v>0</v>
          </cell>
        </row>
        <row r="135">
          <cell r="B135" t="str">
            <v>1-3385</v>
          </cell>
          <cell r="C135" t="str">
            <v>Doubtful Account O/R Invesment</v>
          </cell>
          <cell r="D135">
            <v>0</v>
          </cell>
          <cell r="E135">
            <v>0</v>
          </cell>
          <cell r="F135">
            <v>0</v>
          </cell>
          <cell r="G135">
            <v>0</v>
          </cell>
          <cell r="H135">
            <v>0</v>
          </cell>
          <cell r="I135">
            <v>0</v>
          </cell>
          <cell r="J135">
            <v>0</v>
          </cell>
        </row>
        <row r="136">
          <cell r="B136" t="str">
            <v>1-3389</v>
          </cell>
          <cell r="C136" t="str">
            <v>Doubtful Account O/R Other</v>
          </cell>
          <cell r="D136">
            <v>0</v>
          </cell>
          <cell r="E136">
            <v>0</v>
          </cell>
          <cell r="F136">
            <v>0</v>
          </cell>
          <cell r="G136">
            <v>0</v>
          </cell>
          <cell r="H136">
            <v>0</v>
          </cell>
          <cell r="I136">
            <v>0</v>
          </cell>
          <cell r="J136">
            <v>0</v>
          </cell>
        </row>
        <row r="137">
          <cell r="B137" t="str">
            <v>1-3390</v>
          </cell>
          <cell r="C137" t="str">
            <v>Cadangan Kerugian Other Receiv</v>
          </cell>
          <cell r="D137">
            <v>0</v>
          </cell>
          <cell r="E137">
            <v>0</v>
          </cell>
          <cell r="F137">
            <v>0</v>
          </cell>
          <cell r="G137">
            <v>0</v>
          </cell>
          <cell r="H137">
            <v>0</v>
          </cell>
          <cell r="I137">
            <v>0</v>
          </cell>
          <cell r="J137">
            <v>0</v>
          </cell>
        </row>
        <row r="138">
          <cell r="B138" t="str">
            <v>1-3391</v>
          </cell>
          <cell r="C138" t="str">
            <v>Provision Of DA O/R Employee</v>
          </cell>
          <cell r="D138">
            <v>0</v>
          </cell>
          <cell r="E138">
            <v>0</v>
          </cell>
          <cell r="F138">
            <v>0</v>
          </cell>
          <cell r="G138">
            <v>0</v>
          </cell>
          <cell r="H138">
            <v>0</v>
          </cell>
          <cell r="I138">
            <v>0</v>
          </cell>
          <cell r="J138">
            <v>0</v>
          </cell>
        </row>
        <row r="139">
          <cell r="B139" t="str">
            <v>1-3392</v>
          </cell>
          <cell r="C139" t="str">
            <v>Provision Of DA O/R Student</v>
          </cell>
          <cell r="D139">
            <v>0</v>
          </cell>
          <cell r="E139">
            <v>0</v>
          </cell>
          <cell r="F139">
            <v>0</v>
          </cell>
          <cell r="G139">
            <v>0</v>
          </cell>
          <cell r="H139">
            <v>0</v>
          </cell>
          <cell r="I139">
            <v>0</v>
          </cell>
          <cell r="J139">
            <v>0</v>
          </cell>
        </row>
        <row r="140">
          <cell r="B140" t="str">
            <v>1-3393</v>
          </cell>
          <cell r="C140" t="str">
            <v>Provision Of DA O/R Third part</v>
          </cell>
          <cell r="D140">
            <v>0</v>
          </cell>
          <cell r="E140">
            <v>0</v>
          </cell>
          <cell r="F140">
            <v>0</v>
          </cell>
          <cell r="G140">
            <v>0</v>
          </cell>
          <cell r="H140">
            <v>0</v>
          </cell>
          <cell r="I140">
            <v>0</v>
          </cell>
          <cell r="J140">
            <v>0</v>
          </cell>
        </row>
        <row r="141">
          <cell r="B141" t="str">
            <v>1-3394</v>
          </cell>
          <cell r="C141" t="str">
            <v>Provision Of DA O/R Claim Expe</v>
          </cell>
          <cell r="D141">
            <v>0</v>
          </cell>
          <cell r="E141">
            <v>0</v>
          </cell>
          <cell r="F141">
            <v>0</v>
          </cell>
          <cell r="G141">
            <v>0</v>
          </cell>
          <cell r="H141">
            <v>0</v>
          </cell>
          <cell r="I141">
            <v>0</v>
          </cell>
          <cell r="J141">
            <v>0</v>
          </cell>
        </row>
        <row r="142">
          <cell r="B142" t="str">
            <v>1-3395</v>
          </cell>
          <cell r="C142" t="str">
            <v>Provision Of DA O/R Invesment</v>
          </cell>
          <cell r="D142">
            <v>0</v>
          </cell>
          <cell r="E142">
            <v>0</v>
          </cell>
          <cell r="F142">
            <v>0</v>
          </cell>
          <cell r="G142">
            <v>0</v>
          </cell>
          <cell r="H142">
            <v>0</v>
          </cell>
          <cell r="I142">
            <v>0</v>
          </cell>
          <cell r="J142">
            <v>0</v>
          </cell>
        </row>
        <row r="143">
          <cell r="B143" t="str">
            <v>1-3399</v>
          </cell>
          <cell r="C143" t="str">
            <v>Provision Of DA O/R Other</v>
          </cell>
          <cell r="D143">
            <v>0</v>
          </cell>
          <cell r="E143">
            <v>0</v>
          </cell>
          <cell r="F143">
            <v>0</v>
          </cell>
          <cell r="G143">
            <v>0</v>
          </cell>
          <cell r="H143">
            <v>0</v>
          </cell>
          <cell r="I143">
            <v>0</v>
          </cell>
          <cell r="J143">
            <v>0</v>
          </cell>
        </row>
        <row r="144">
          <cell r="B144" t="str">
            <v>1-3410</v>
          </cell>
          <cell r="C144" t="str">
            <v>Tax Receivable Tuition &amp; Fees</v>
          </cell>
          <cell r="D144">
            <v>0</v>
          </cell>
          <cell r="E144">
            <v>0</v>
          </cell>
          <cell r="F144">
            <v>0</v>
          </cell>
          <cell r="G144">
            <v>0</v>
          </cell>
          <cell r="H144">
            <v>0</v>
          </cell>
          <cell r="I144">
            <v>0</v>
          </cell>
          <cell r="J144">
            <v>0</v>
          </cell>
        </row>
        <row r="145">
          <cell r="B145" t="str">
            <v>1-3411</v>
          </cell>
          <cell r="C145" t="str">
            <v>Tax Receivable - PPN M</v>
          </cell>
          <cell r="D145">
            <v>0</v>
          </cell>
          <cell r="E145">
            <v>0</v>
          </cell>
          <cell r="F145">
            <v>0</v>
          </cell>
          <cell r="G145">
            <v>0</v>
          </cell>
          <cell r="H145">
            <v>0</v>
          </cell>
          <cell r="I145">
            <v>0</v>
          </cell>
          <cell r="J145">
            <v>0</v>
          </cell>
        </row>
        <row r="146">
          <cell r="B146" t="str">
            <v>1-3412</v>
          </cell>
          <cell r="C146" t="str">
            <v>Tax Receivable - PPh Pasal 21</v>
          </cell>
          <cell r="D146">
            <v>0</v>
          </cell>
          <cell r="E146">
            <v>0</v>
          </cell>
          <cell r="F146">
            <v>0</v>
          </cell>
          <cell r="G146">
            <v>0</v>
          </cell>
          <cell r="H146">
            <v>0</v>
          </cell>
          <cell r="I146">
            <v>0</v>
          </cell>
          <cell r="J146">
            <v>0</v>
          </cell>
        </row>
        <row r="147">
          <cell r="B147" t="str">
            <v>1-3413</v>
          </cell>
          <cell r="C147" t="str">
            <v>Tax Receivable - PPh Pasal 23</v>
          </cell>
          <cell r="D147">
            <v>0</v>
          </cell>
          <cell r="E147">
            <v>0</v>
          </cell>
          <cell r="F147">
            <v>0</v>
          </cell>
          <cell r="G147">
            <v>0</v>
          </cell>
          <cell r="H147">
            <v>0</v>
          </cell>
          <cell r="I147">
            <v>0</v>
          </cell>
          <cell r="J147">
            <v>0</v>
          </cell>
        </row>
        <row r="148">
          <cell r="B148" t="str">
            <v>1-3414</v>
          </cell>
          <cell r="C148" t="str">
            <v>Tax Receivable - PPh Pasal 24</v>
          </cell>
          <cell r="D148">
            <v>0</v>
          </cell>
          <cell r="E148">
            <v>0</v>
          </cell>
          <cell r="F148">
            <v>0</v>
          </cell>
          <cell r="G148">
            <v>0</v>
          </cell>
          <cell r="H148">
            <v>0</v>
          </cell>
          <cell r="I148">
            <v>0</v>
          </cell>
          <cell r="J148">
            <v>0</v>
          </cell>
        </row>
        <row r="149">
          <cell r="B149" t="str">
            <v>1-3415</v>
          </cell>
          <cell r="C149" t="str">
            <v>Tax Receivable - PPh Pasal 25</v>
          </cell>
          <cell r="D149">
            <v>0</v>
          </cell>
          <cell r="E149">
            <v>0</v>
          </cell>
          <cell r="F149">
            <v>0</v>
          </cell>
          <cell r="G149">
            <v>0</v>
          </cell>
          <cell r="H149">
            <v>0</v>
          </cell>
          <cell r="I149">
            <v>0</v>
          </cell>
          <cell r="J149">
            <v>0</v>
          </cell>
        </row>
        <row r="150">
          <cell r="B150" t="str">
            <v>1-3416</v>
          </cell>
          <cell r="C150" t="str">
            <v>Tax Receivable - PPh Pasal 26</v>
          </cell>
          <cell r="D150">
            <v>0</v>
          </cell>
          <cell r="E150">
            <v>0</v>
          </cell>
          <cell r="F150">
            <v>0</v>
          </cell>
          <cell r="G150">
            <v>0</v>
          </cell>
          <cell r="H150">
            <v>0</v>
          </cell>
          <cell r="I150">
            <v>0</v>
          </cell>
          <cell r="J150">
            <v>0</v>
          </cell>
        </row>
        <row r="151">
          <cell r="B151" t="str">
            <v>1-3417</v>
          </cell>
          <cell r="C151" t="str">
            <v>Tax Receivable - PPh Pasal 29</v>
          </cell>
          <cell r="D151">
            <v>0</v>
          </cell>
          <cell r="E151">
            <v>0</v>
          </cell>
          <cell r="F151">
            <v>0</v>
          </cell>
          <cell r="G151">
            <v>0</v>
          </cell>
          <cell r="H151">
            <v>0</v>
          </cell>
          <cell r="I151">
            <v>0</v>
          </cell>
          <cell r="J151">
            <v>0</v>
          </cell>
        </row>
        <row r="152">
          <cell r="B152" t="str">
            <v>1-4110</v>
          </cell>
          <cell r="C152" t="str">
            <v>Perlengkapan Pendiidikan</v>
          </cell>
          <cell r="D152">
            <v>0</v>
          </cell>
          <cell r="E152">
            <v>0</v>
          </cell>
          <cell r="F152">
            <v>0</v>
          </cell>
          <cell r="G152">
            <v>0</v>
          </cell>
          <cell r="H152">
            <v>0</v>
          </cell>
          <cell r="I152">
            <v>0</v>
          </cell>
          <cell r="J152">
            <v>0</v>
          </cell>
        </row>
        <row r="153">
          <cell r="B153" t="str">
            <v>1-4111</v>
          </cell>
          <cell r="C153" t="str">
            <v>Inventory - Books</v>
          </cell>
          <cell r="D153">
            <v>116419400.3</v>
          </cell>
          <cell r="E153">
            <v>0</v>
          </cell>
          <cell r="F153">
            <v>191228966</v>
          </cell>
          <cell r="G153">
            <v>0</v>
          </cell>
          <cell r="H153">
            <v>191228966</v>
          </cell>
          <cell r="I153">
            <v>307648366.30000001</v>
          </cell>
          <cell r="J153">
            <v>0</v>
          </cell>
        </row>
        <row r="154">
          <cell r="B154" t="str">
            <v>1-4112</v>
          </cell>
          <cell r="C154" t="str">
            <v>Inventory - Uniform</v>
          </cell>
          <cell r="D154">
            <v>102593413</v>
          </cell>
          <cell r="E154">
            <v>0</v>
          </cell>
          <cell r="F154">
            <v>171654000</v>
          </cell>
          <cell r="G154">
            <v>14040000</v>
          </cell>
          <cell r="H154">
            <v>157614000</v>
          </cell>
          <cell r="I154">
            <v>260207413</v>
          </cell>
          <cell r="J154">
            <v>0</v>
          </cell>
        </row>
        <row r="155">
          <cell r="B155" t="str">
            <v>1-4120</v>
          </cell>
          <cell r="C155" t="str">
            <v>Perlengkapan kantor</v>
          </cell>
          <cell r="D155">
            <v>0</v>
          </cell>
          <cell r="E155">
            <v>0</v>
          </cell>
          <cell r="F155">
            <v>0</v>
          </cell>
          <cell r="G155">
            <v>0</v>
          </cell>
          <cell r="H155">
            <v>0</v>
          </cell>
          <cell r="I155">
            <v>0</v>
          </cell>
          <cell r="J155">
            <v>0</v>
          </cell>
        </row>
        <row r="156">
          <cell r="B156" t="str">
            <v>1-4121</v>
          </cell>
          <cell r="C156" t="str">
            <v>Inventory - Stasionary</v>
          </cell>
          <cell r="D156">
            <v>10990811.189999999</v>
          </cell>
          <cell r="E156">
            <v>0</v>
          </cell>
          <cell r="F156">
            <v>7741700</v>
          </cell>
          <cell r="G156">
            <v>8203939.6100000003</v>
          </cell>
          <cell r="H156" t="str">
            <v>462,239.61cr</v>
          </cell>
          <cell r="I156">
            <v>10528571.58</v>
          </cell>
          <cell r="J156">
            <v>0</v>
          </cell>
        </row>
        <row r="157">
          <cell r="B157" t="str">
            <v>1-4122</v>
          </cell>
          <cell r="C157" t="str">
            <v>Inventory Medicine</v>
          </cell>
          <cell r="D157">
            <v>5255231.34</v>
          </cell>
          <cell r="E157">
            <v>0</v>
          </cell>
          <cell r="F157">
            <v>7463700</v>
          </cell>
          <cell r="G157">
            <v>6414094.5300000003</v>
          </cell>
          <cell r="H157">
            <v>1049605.47</v>
          </cell>
          <cell r="I157">
            <v>6304836.8099999996</v>
          </cell>
          <cell r="J157">
            <v>0</v>
          </cell>
        </row>
        <row r="158">
          <cell r="B158" t="str">
            <v>1-4123</v>
          </cell>
          <cell r="C158" t="str">
            <v>Persediaan Estimasi bk&amp;srgm 13</v>
          </cell>
          <cell r="D158">
            <v>0</v>
          </cell>
          <cell r="E158">
            <v>0</v>
          </cell>
          <cell r="F158">
            <v>0</v>
          </cell>
          <cell r="G158">
            <v>0</v>
          </cell>
          <cell r="H158">
            <v>0</v>
          </cell>
          <cell r="I158">
            <v>0</v>
          </cell>
          <cell r="J158">
            <v>0</v>
          </cell>
        </row>
        <row r="159">
          <cell r="B159" t="str">
            <v>1-4130</v>
          </cell>
          <cell r="C159" t="str">
            <v>Perlengkapan Asrama</v>
          </cell>
          <cell r="D159">
            <v>0</v>
          </cell>
          <cell r="E159">
            <v>0</v>
          </cell>
          <cell r="F159">
            <v>0</v>
          </cell>
          <cell r="G159">
            <v>0</v>
          </cell>
          <cell r="H159">
            <v>0</v>
          </cell>
          <cell r="I159">
            <v>0</v>
          </cell>
          <cell r="J159">
            <v>0</v>
          </cell>
        </row>
        <row r="160">
          <cell r="B160" t="str">
            <v>1-4131</v>
          </cell>
          <cell r="C160" t="str">
            <v>Inventory - Sleeping Suplies</v>
          </cell>
          <cell r="D160">
            <v>0</v>
          </cell>
          <cell r="E160">
            <v>0</v>
          </cell>
          <cell r="F160">
            <v>0</v>
          </cell>
          <cell r="G160">
            <v>0</v>
          </cell>
          <cell r="H160">
            <v>0</v>
          </cell>
          <cell r="I160">
            <v>0</v>
          </cell>
          <cell r="J160">
            <v>0</v>
          </cell>
        </row>
        <row r="161">
          <cell r="B161" t="str">
            <v>1-4140</v>
          </cell>
          <cell r="C161" t="str">
            <v>Perlengkapan Dapur</v>
          </cell>
          <cell r="D161">
            <v>0</v>
          </cell>
          <cell r="E161">
            <v>0</v>
          </cell>
          <cell r="F161">
            <v>0</v>
          </cell>
          <cell r="G161">
            <v>0</v>
          </cell>
          <cell r="H161">
            <v>0</v>
          </cell>
          <cell r="I161">
            <v>0</v>
          </cell>
          <cell r="J161">
            <v>0</v>
          </cell>
        </row>
        <row r="162">
          <cell r="B162" t="str">
            <v>1-4141</v>
          </cell>
          <cell r="C162" t="str">
            <v>Inventory - Hulled Rice</v>
          </cell>
          <cell r="D162">
            <v>322538.07</v>
          </cell>
          <cell r="E162">
            <v>0</v>
          </cell>
          <cell r="F162">
            <v>130723000</v>
          </cell>
          <cell r="G162">
            <v>122625012.43000001</v>
          </cell>
          <cell r="H162">
            <v>8097987.5700000003</v>
          </cell>
          <cell r="I162">
            <v>8420525.6400000006</v>
          </cell>
          <cell r="J162">
            <v>0</v>
          </cell>
        </row>
        <row r="163">
          <cell r="B163" t="str">
            <v>1-4142</v>
          </cell>
          <cell r="C163" t="str">
            <v>Inventory - gas</v>
          </cell>
          <cell r="D163">
            <v>0</v>
          </cell>
          <cell r="E163">
            <v>0</v>
          </cell>
          <cell r="F163">
            <v>0</v>
          </cell>
          <cell r="G163">
            <v>0</v>
          </cell>
          <cell r="H163">
            <v>0</v>
          </cell>
          <cell r="I163">
            <v>0</v>
          </cell>
          <cell r="J163">
            <v>0</v>
          </cell>
        </row>
        <row r="164">
          <cell r="B164" t="str">
            <v>1-4150</v>
          </cell>
          <cell r="C164" t="str">
            <v>Perlengkapan Pemeliharaan</v>
          </cell>
          <cell r="D164">
            <v>0</v>
          </cell>
          <cell r="E164">
            <v>0</v>
          </cell>
          <cell r="F164">
            <v>0</v>
          </cell>
          <cell r="G164">
            <v>0</v>
          </cell>
          <cell r="H164">
            <v>0</v>
          </cell>
          <cell r="I164">
            <v>0</v>
          </cell>
          <cell r="J164">
            <v>0</v>
          </cell>
        </row>
        <row r="165">
          <cell r="B165" t="str">
            <v>1-4151</v>
          </cell>
          <cell r="C165" t="str">
            <v>Inventory - Lamp</v>
          </cell>
          <cell r="D165">
            <v>0</v>
          </cell>
          <cell r="E165">
            <v>0</v>
          </cell>
          <cell r="F165">
            <v>0</v>
          </cell>
          <cell r="G165">
            <v>0</v>
          </cell>
          <cell r="H165">
            <v>0</v>
          </cell>
          <cell r="I165">
            <v>0</v>
          </cell>
          <cell r="J165">
            <v>0</v>
          </cell>
        </row>
        <row r="166">
          <cell r="B166" t="str">
            <v>1-4152</v>
          </cell>
          <cell r="C166" t="str">
            <v>Inventory - Material Electrici</v>
          </cell>
          <cell r="D166">
            <v>0</v>
          </cell>
          <cell r="E166">
            <v>0</v>
          </cell>
          <cell r="F166">
            <v>0</v>
          </cell>
          <cell r="G166">
            <v>0</v>
          </cell>
          <cell r="H166">
            <v>0</v>
          </cell>
          <cell r="I166">
            <v>0</v>
          </cell>
          <cell r="J166">
            <v>0</v>
          </cell>
        </row>
        <row r="167">
          <cell r="B167" t="str">
            <v>1-4153</v>
          </cell>
          <cell r="C167" t="str">
            <v>Inventory - Cleaning Material</v>
          </cell>
          <cell r="D167">
            <v>0</v>
          </cell>
          <cell r="E167">
            <v>0</v>
          </cell>
          <cell r="F167">
            <v>0</v>
          </cell>
          <cell r="G167">
            <v>0</v>
          </cell>
          <cell r="H167">
            <v>0</v>
          </cell>
          <cell r="I167">
            <v>0</v>
          </cell>
          <cell r="J167">
            <v>0</v>
          </cell>
        </row>
        <row r="168">
          <cell r="B168" t="str">
            <v>1-5110</v>
          </cell>
          <cell r="C168" t="str">
            <v>Advance Education</v>
          </cell>
          <cell r="D168">
            <v>0</v>
          </cell>
          <cell r="E168">
            <v>0</v>
          </cell>
          <cell r="F168">
            <v>0</v>
          </cell>
          <cell r="G168">
            <v>0</v>
          </cell>
          <cell r="H168">
            <v>0</v>
          </cell>
          <cell r="I168">
            <v>0</v>
          </cell>
          <cell r="J168">
            <v>0</v>
          </cell>
        </row>
        <row r="169">
          <cell r="B169" t="str">
            <v>1-5111</v>
          </cell>
          <cell r="C169" t="str">
            <v>Advance Payment - Books</v>
          </cell>
          <cell r="D169">
            <v>112701250</v>
          </cell>
          <cell r="E169">
            <v>0</v>
          </cell>
          <cell r="F169">
            <v>0</v>
          </cell>
          <cell r="G169">
            <v>70000000</v>
          </cell>
          <cell r="H169" t="str">
            <v>70,000,000.00cr</v>
          </cell>
          <cell r="I169">
            <v>42701250</v>
          </cell>
          <cell r="J169">
            <v>0</v>
          </cell>
        </row>
        <row r="170">
          <cell r="B170" t="str">
            <v>1-5112</v>
          </cell>
          <cell r="C170" t="str">
            <v>Advance Payment - uniform</v>
          </cell>
          <cell r="D170">
            <v>87650000</v>
          </cell>
          <cell r="E170">
            <v>0</v>
          </cell>
          <cell r="F170">
            <v>0</v>
          </cell>
          <cell r="G170">
            <v>86650000</v>
          </cell>
          <cell r="H170" t="str">
            <v>86,650,000.00cr</v>
          </cell>
          <cell r="I170">
            <v>1000000</v>
          </cell>
          <cell r="J170">
            <v>0</v>
          </cell>
        </row>
        <row r="171">
          <cell r="B171" t="str">
            <v>1-5113</v>
          </cell>
          <cell r="C171" t="str">
            <v>Advance Payment - Stationary</v>
          </cell>
          <cell r="D171">
            <v>0</v>
          </cell>
          <cell r="E171">
            <v>0</v>
          </cell>
          <cell r="F171">
            <v>0</v>
          </cell>
          <cell r="G171">
            <v>0</v>
          </cell>
          <cell r="H171">
            <v>0</v>
          </cell>
          <cell r="I171">
            <v>0</v>
          </cell>
          <cell r="J171">
            <v>0</v>
          </cell>
        </row>
        <row r="172">
          <cell r="B172" t="str">
            <v>1-5114</v>
          </cell>
          <cell r="C172" t="str">
            <v>Advance Payment - Kitchen Supl</v>
          </cell>
          <cell r="D172">
            <v>0</v>
          </cell>
          <cell r="E172">
            <v>0</v>
          </cell>
          <cell r="F172">
            <v>0</v>
          </cell>
          <cell r="G172">
            <v>0</v>
          </cell>
          <cell r="H172">
            <v>0</v>
          </cell>
          <cell r="I172">
            <v>0</v>
          </cell>
          <cell r="J172">
            <v>0</v>
          </cell>
        </row>
        <row r="173">
          <cell r="B173" t="str">
            <v>1-5115</v>
          </cell>
          <cell r="C173" t="str">
            <v>Advance Payment - Project</v>
          </cell>
          <cell r="D173">
            <v>972963100</v>
          </cell>
          <cell r="E173">
            <v>0</v>
          </cell>
          <cell r="F173">
            <v>39035000</v>
          </cell>
          <cell r="G173">
            <v>184487000</v>
          </cell>
          <cell r="H173" t="str">
            <v>145,452,000.00cr</v>
          </cell>
          <cell r="I173">
            <v>827511100</v>
          </cell>
          <cell r="J173">
            <v>0</v>
          </cell>
        </row>
        <row r="174">
          <cell r="B174" t="str">
            <v>1-5116</v>
          </cell>
          <cell r="C174" t="str">
            <v>Advance Payment - Fixed Assets</v>
          </cell>
          <cell r="D174">
            <v>196004000</v>
          </cell>
          <cell r="E174">
            <v>0</v>
          </cell>
          <cell r="F174">
            <v>180240000</v>
          </cell>
          <cell r="G174">
            <v>4000000</v>
          </cell>
          <cell r="H174">
            <v>176240000</v>
          </cell>
          <cell r="I174">
            <v>372244000</v>
          </cell>
          <cell r="J174">
            <v>0</v>
          </cell>
        </row>
        <row r="175">
          <cell r="B175" t="str">
            <v>1-5119</v>
          </cell>
          <cell r="C175" t="str">
            <v>Advance Payment - Others</v>
          </cell>
          <cell r="D175">
            <v>326669146</v>
          </cell>
          <cell r="E175">
            <v>0</v>
          </cell>
          <cell r="F175">
            <v>48300000</v>
          </cell>
          <cell r="G175">
            <v>358000744</v>
          </cell>
          <cell r="H175" t="str">
            <v>309,700,744.00cr</v>
          </cell>
          <cell r="I175">
            <v>16968402</v>
          </cell>
          <cell r="J175">
            <v>0</v>
          </cell>
        </row>
        <row r="176">
          <cell r="B176" t="str">
            <v>1-5210</v>
          </cell>
          <cell r="C176" t="str">
            <v>Prepaid Expense - Salaries</v>
          </cell>
          <cell r="D176">
            <v>0</v>
          </cell>
          <cell r="E176">
            <v>0</v>
          </cell>
          <cell r="F176">
            <v>0</v>
          </cell>
          <cell r="G176">
            <v>0</v>
          </cell>
          <cell r="H176">
            <v>0</v>
          </cell>
          <cell r="I176">
            <v>0</v>
          </cell>
          <cell r="J176">
            <v>0</v>
          </cell>
        </row>
        <row r="177">
          <cell r="B177" t="str">
            <v>1-5211</v>
          </cell>
          <cell r="C177" t="str">
            <v>Prepaid Expense - Salaries Emp</v>
          </cell>
          <cell r="D177">
            <v>0</v>
          </cell>
          <cell r="E177">
            <v>0</v>
          </cell>
          <cell r="F177">
            <v>0</v>
          </cell>
          <cell r="G177">
            <v>0</v>
          </cell>
          <cell r="H177">
            <v>0</v>
          </cell>
          <cell r="I177">
            <v>0</v>
          </cell>
          <cell r="J177">
            <v>0</v>
          </cell>
        </row>
        <row r="178">
          <cell r="B178" t="str">
            <v>1-5220</v>
          </cell>
          <cell r="C178" t="str">
            <v>Prepaid Expense - Rent</v>
          </cell>
          <cell r="D178">
            <v>0</v>
          </cell>
          <cell r="E178">
            <v>0</v>
          </cell>
          <cell r="F178">
            <v>0</v>
          </cell>
          <cell r="G178">
            <v>0</v>
          </cell>
          <cell r="H178">
            <v>0</v>
          </cell>
          <cell r="I178">
            <v>0</v>
          </cell>
          <cell r="J178">
            <v>0</v>
          </cell>
        </row>
        <row r="179">
          <cell r="B179" t="str">
            <v>1-5221</v>
          </cell>
          <cell r="C179" t="str">
            <v>Prepaid Expense House Rent</v>
          </cell>
          <cell r="D179">
            <v>118663100</v>
          </cell>
          <cell r="E179">
            <v>0</v>
          </cell>
          <cell r="F179">
            <v>112425800</v>
          </cell>
          <cell r="G179">
            <v>0</v>
          </cell>
          <cell r="H179">
            <v>112425800</v>
          </cell>
          <cell r="I179">
            <v>231088900</v>
          </cell>
          <cell r="J179">
            <v>0</v>
          </cell>
        </row>
        <row r="180">
          <cell r="B180" t="str">
            <v>1-5230</v>
          </cell>
          <cell r="C180" t="str">
            <v>Prepaid Expense Maintenance</v>
          </cell>
          <cell r="D180">
            <v>0</v>
          </cell>
          <cell r="E180">
            <v>0</v>
          </cell>
          <cell r="F180">
            <v>0</v>
          </cell>
          <cell r="G180">
            <v>0</v>
          </cell>
          <cell r="H180">
            <v>0</v>
          </cell>
          <cell r="I180">
            <v>0</v>
          </cell>
          <cell r="J180">
            <v>0</v>
          </cell>
        </row>
        <row r="181">
          <cell r="B181" t="str">
            <v>1-5231</v>
          </cell>
          <cell r="C181" t="str">
            <v>Prepaid Expense Rubbish Transp</v>
          </cell>
          <cell r="D181">
            <v>0</v>
          </cell>
          <cell r="E181">
            <v>0</v>
          </cell>
          <cell r="F181">
            <v>0</v>
          </cell>
          <cell r="G181">
            <v>0</v>
          </cell>
          <cell r="H181">
            <v>0</v>
          </cell>
          <cell r="I181">
            <v>0</v>
          </cell>
          <cell r="J181">
            <v>0</v>
          </cell>
        </row>
        <row r="182">
          <cell r="B182" t="str">
            <v>1-5240</v>
          </cell>
          <cell r="C182" t="str">
            <v>Membership</v>
          </cell>
          <cell r="D182">
            <v>0</v>
          </cell>
          <cell r="E182">
            <v>0</v>
          </cell>
          <cell r="F182">
            <v>0</v>
          </cell>
          <cell r="G182">
            <v>0</v>
          </cell>
          <cell r="H182">
            <v>0</v>
          </cell>
          <cell r="I182">
            <v>0</v>
          </cell>
          <cell r="J182">
            <v>0</v>
          </cell>
        </row>
        <row r="183">
          <cell r="B183" t="str">
            <v>1-5241</v>
          </cell>
          <cell r="C183" t="str">
            <v>Prepaid Expense Membership IAI</v>
          </cell>
          <cell r="D183">
            <v>0</v>
          </cell>
          <cell r="E183">
            <v>0</v>
          </cell>
          <cell r="F183">
            <v>0</v>
          </cell>
          <cell r="G183">
            <v>0</v>
          </cell>
          <cell r="H183">
            <v>0</v>
          </cell>
          <cell r="I183">
            <v>0</v>
          </cell>
          <cell r="J183">
            <v>0</v>
          </cell>
        </row>
        <row r="184">
          <cell r="B184" t="str">
            <v>1-5242</v>
          </cell>
          <cell r="C184" t="str">
            <v>Prepaid Expense Membership IIA</v>
          </cell>
          <cell r="D184">
            <v>0</v>
          </cell>
          <cell r="E184">
            <v>0</v>
          </cell>
          <cell r="F184">
            <v>0</v>
          </cell>
          <cell r="G184">
            <v>0</v>
          </cell>
          <cell r="H184">
            <v>0</v>
          </cell>
          <cell r="I184">
            <v>0</v>
          </cell>
          <cell r="J184">
            <v>0</v>
          </cell>
        </row>
        <row r="185">
          <cell r="B185" t="str">
            <v>1-5310</v>
          </cell>
          <cell r="C185" t="str">
            <v>Prepaid Tax Education</v>
          </cell>
          <cell r="D185">
            <v>0</v>
          </cell>
          <cell r="E185">
            <v>0</v>
          </cell>
          <cell r="F185">
            <v>0</v>
          </cell>
          <cell r="G185">
            <v>0</v>
          </cell>
          <cell r="H185">
            <v>0</v>
          </cell>
          <cell r="I185">
            <v>0</v>
          </cell>
          <cell r="J185">
            <v>0</v>
          </cell>
        </row>
        <row r="186">
          <cell r="B186" t="str">
            <v>1-5311</v>
          </cell>
          <cell r="C186" t="str">
            <v>Prepaid Tax - PPN M</v>
          </cell>
          <cell r="D186">
            <v>0</v>
          </cell>
          <cell r="E186">
            <v>0</v>
          </cell>
          <cell r="F186">
            <v>0</v>
          </cell>
          <cell r="G186">
            <v>0</v>
          </cell>
          <cell r="H186">
            <v>0</v>
          </cell>
          <cell r="I186">
            <v>0</v>
          </cell>
          <cell r="J186">
            <v>0</v>
          </cell>
        </row>
        <row r="187">
          <cell r="B187" t="str">
            <v>1-5312</v>
          </cell>
          <cell r="C187" t="str">
            <v>Prepaid Tax - PPh Pasal 21</v>
          </cell>
          <cell r="D187">
            <v>0</v>
          </cell>
          <cell r="E187">
            <v>0</v>
          </cell>
          <cell r="F187">
            <v>0</v>
          </cell>
          <cell r="G187">
            <v>0</v>
          </cell>
          <cell r="H187">
            <v>0</v>
          </cell>
          <cell r="I187">
            <v>0</v>
          </cell>
          <cell r="J187">
            <v>0</v>
          </cell>
        </row>
        <row r="188">
          <cell r="B188" t="str">
            <v>1-5313</v>
          </cell>
          <cell r="C188" t="str">
            <v>Prepaid Tax - PPh Pasal 23</v>
          </cell>
          <cell r="D188">
            <v>0</v>
          </cell>
          <cell r="E188">
            <v>0</v>
          </cell>
          <cell r="F188">
            <v>0</v>
          </cell>
          <cell r="G188">
            <v>0</v>
          </cell>
          <cell r="H188">
            <v>0</v>
          </cell>
          <cell r="I188">
            <v>0</v>
          </cell>
          <cell r="J188">
            <v>0</v>
          </cell>
        </row>
        <row r="189">
          <cell r="B189" t="str">
            <v>1-5314</v>
          </cell>
          <cell r="C189" t="str">
            <v>Prepaid Tax - PPh Pasal 24</v>
          </cell>
          <cell r="D189">
            <v>0</v>
          </cell>
          <cell r="E189">
            <v>0</v>
          </cell>
          <cell r="F189">
            <v>0</v>
          </cell>
          <cell r="G189">
            <v>0</v>
          </cell>
          <cell r="H189">
            <v>0</v>
          </cell>
          <cell r="I189">
            <v>0</v>
          </cell>
          <cell r="J189">
            <v>0</v>
          </cell>
        </row>
        <row r="190">
          <cell r="B190" t="str">
            <v>1-5315</v>
          </cell>
          <cell r="C190" t="str">
            <v>Prepaid Tax - PPh Pasal 25</v>
          </cell>
          <cell r="D190">
            <v>0</v>
          </cell>
          <cell r="E190">
            <v>0</v>
          </cell>
          <cell r="F190">
            <v>0</v>
          </cell>
          <cell r="G190">
            <v>0</v>
          </cell>
          <cell r="H190">
            <v>0</v>
          </cell>
          <cell r="I190">
            <v>0</v>
          </cell>
          <cell r="J190">
            <v>0</v>
          </cell>
        </row>
        <row r="191">
          <cell r="B191" t="str">
            <v>1-5316</v>
          </cell>
          <cell r="C191" t="str">
            <v>Prepaid Tax - PPh Pasal 26</v>
          </cell>
          <cell r="D191">
            <v>0</v>
          </cell>
          <cell r="E191">
            <v>0</v>
          </cell>
          <cell r="F191">
            <v>0</v>
          </cell>
          <cell r="G191">
            <v>0</v>
          </cell>
          <cell r="H191">
            <v>0</v>
          </cell>
          <cell r="I191">
            <v>0</v>
          </cell>
          <cell r="J191">
            <v>0</v>
          </cell>
        </row>
        <row r="192">
          <cell r="B192" t="str">
            <v>1-5317</v>
          </cell>
          <cell r="C192" t="str">
            <v>Prepaid Tax - PPh Pasal 29</v>
          </cell>
          <cell r="D192">
            <v>0</v>
          </cell>
          <cell r="E192">
            <v>0</v>
          </cell>
          <cell r="F192">
            <v>0</v>
          </cell>
          <cell r="G192">
            <v>0</v>
          </cell>
          <cell r="H192">
            <v>0</v>
          </cell>
          <cell r="I192">
            <v>0</v>
          </cell>
          <cell r="J192">
            <v>0</v>
          </cell>
        </row>
        <row r="193">
          <cell r="B193" t="str">
            <v>1-6110</v>
          </cell>
          <cell r="C193" t="str">
            <v>LTC Investment</v>
          </cell>
          <cell r="D193">
            <v>0</v>
          </cell>
          <cell r="E193">
            <v>0</v>
          </cell>
          <cell r="F193">
            <v>0</v>
          </cell>
          <cell r="G193">
            <v>0</v>
          </cell>
          <cell r="H193">
            <v>0</v>
          </cell>
          <cell r="I193">
            <v>0</v>
          </cell>
          <cell r="J193">
            <v>0</v>
          </cell>
        </row>
        <row r="194">
          <cell r="B194" t="str">
            <v>1-6111</v>
          </cell>
          <cell r="C194" t="str">
            <v>LTC Investment  Financing-Big</v>
          </cell>
          <cell r="D194">
            <v>227975319</v>
          </cell>
          <cell r="E194">
            <v>0</v>
          </cell>
          <cell r="F194">
            <v>0</v>
          </cell>
          <cell r="G194">
            <v>0</v>
          </cell>
          <cell r="H194">
            <v>0</v>
          </cell>
          <cell r="I194">
            <v>227975319</v>
          </cell>
          <cell r="J194">
            <v>0</v>
          </cell>
        </row>
        <row r="195">
          <cell r="B195" t="str">
            <v>1-6112</v>
          </cell>
          <cell r="C195" t="str">
            <v>New Account</v>
          </cell>
          <cell r="D195">
            <v>0</v>
          </cell>
          <cell r="E195">
            <v>0</v>
          </cell>
          <cell r="F195">
            <v>0</v>
          </cell>
          <cell r="G195">
            <v>0</v>
          </cell>
          <cell r="H195">
            <v>0</v>
          </cell>
          <cell r="I195">
            <v>0</v>
          </cell>
          <cell r="J195">
            <v>0</v>
          </cell>
        </row>
        <row r="196">
          <cell r="B196" t="str">
            <v>1-7110</v>
          </cell>
          <cell r="C196" t="str">
            <v>Land &amp; Building</v>
          </cell>
          <cell r="D196">
            <v>0</v>
          </cell>
          <cell r="E196">
            <v>0</v>
          </cell>
          <cell r="F196">
            <v>0</v>
          </cell>
          <cell r="G196">
            <v>0</v>
          </cell>
          <cell r="H196">
            <v>0</v>
          </cell>
          <cell r="I196">
            <v>0</v>
          </cell>
          <cell r="J196">
            <v>0</v>
          </cell>
        </row>
        <row r="197">
          <cell r="B197" t="str">
            <v>1-7111</v>
          </cell>
          <cell r="C197" t="str">
            <v>Building - Land</v>
          </cell>
          <cell r="D197">
            <v>1837305800</v>
          </cell>
          <cell r="E197">
            <v>0</v>
          </cell>
          <cell r="F197">
            <v>0</v>
          </cell>
          <cell r="G197">
            <v>0</v>
          </cell>
          <cell r="H197">
            <v>0</v>
          </cell>
          <cell r="I197">
            <v>1837305800</v>
          </cell>
          <cell r="J197">
            <v>0</v>
          </cell>
        </row>
        <row r="198">
          <cell r="B198" t="str">
            <v>1-7112</v>
          </cell>
          <cell r="C198" t="str">
            <v>Building - Class &amp; Office</v>
          </cell>
          <cell r="D198">
            <v>4373157390</v>
          </cell>
          <cell r="E198">
            <v>0</v>
          </cell>
          <cell r="F198">
            <v>0</v>
          </cell>
          <cell r="G198">
            <v>0</v>
          </cell>
          <cell r="H198">
            <v>0</v>
          </cell>
          <cell r="I198">
            <v>4373157390</v>
          </cell>
          <cell r="J198">
            <v>0</v>
          </cell>
        </row>
        <row r="199">
          <cell r="B199" t="str">
            <v>1-7113</v>
          </cell>
          <cell r="C199" t="str">
            <v>Building - Boarding</v>
          </cell>
          <cell r="D199">
            <v>7327836112</v>
          </cell>
          <cell r="E199">
            <v>0</v>
          </cell>
          <cell r="F199">
            <v>0</v>
          </cell>
          <cell r="G199">
            <v>0</v>
          </cell>
          <cell r="H199">
            <v>0</v>
          </cell>
          <cell r="I199">
            <v>7327836112</v>
          </cell>
          <cell r="J199">
            <v>0</v>
          </cell>
        </row>
        <row r="200">
          <cell r="B200" t="str">
            <v>1-7114</v>
          </cell>
          <cell r="C200" t="str">
            <v>Building - Housing</v>
          </cell>
          <cell r="D200">
            <v>975966100</v>
          </cell>
          <cell r="E200">
            <v>0</v>
          </cell>
          <cell r="F200">
            <v>0</v>
          </cell>
          <cell r="G200">
            <v>0</v>
          </cell>
          <cell r="H200">
            <v>0</v>
          </cell>
          <cell r="I200">
            <v>975966100</v>
          </cell>
          <cell r="J200">
            <v>0</v>
          </cell>
        </row>
        <row r="201">
          <cell r="B201" t="str">
            <v>1-7115</v>
          </cell>
          <cell r="C201" t="str">
            <v>Building - Masjid</v>
          </cell>
          <cell r="D201">
            <v>244796550</v>
          </cell>
          <cell r="E201">
            <v>0</v>
          </cell>
          <cell r="F201">
            <v>0</v>
          </cell>
          <cell r="G201">
            <v>0</v>
          </cell>
          <cell r="H201">
            <v>0</v>
          </cell>
          <cell r="I201">
            <v>244796550</v>
          </cell>
          <cell r="J201">
            <v>0</v>
          </cell>
        </row>
        <row r="202">
          <cell r="B202" t="str">
            <v>1-7116</v>
          </cell>
          <cell r="C202" t="str">
            <v>Building - Swiming Pool</v>
          </cell>
          <cell r="D202">
            <v>882378484</v>
          </cell>
          <cell r="E202">
            <v>0</v>
          </cell>
          <cell r="F202">
            <v>0</v>
          </cell>
          <cell r="G202">
            <v>0</v>
          </cell>
          <cell r="H202">
            <v>0</v>
          </cell>
          <cell r="I202">
            <v>882378484</v>
          </cell>
          <cell r="J202">
            <v>0</v>
          </cell>
        </row>
        <row r="203">
          <cell r="B203" t="str">
            <v>1-7117</v>
          </cell>
          <cell r="C203" t="str">
            <v>Building - Gedung Serba Guna</v>
          </cell>
          <cell r="D203">
            <v>0</v>
          </cell>
          <cell r="E203">
            <v>0</v>
          </cell>
          <cell r="F203">
            <v>0</v>
          </cell>
          <cell r="G203">
            <v>0</v>
          </cell>
          <cell r="H203">
            <v>0</v>
          </cell>
          <cell r="I203">
            <v>0</v>
          </cell>
          <cell r="J203">
            <v>0</v>
          </cell>
        </row>
        <row r="204">
          <cell r="B204" t="str">
            <v>1-7118</v>
          </cell>
          <cell r="C204" t="str">
            <v>Building Kitchen &amp; Laundry</v>
          </cell>
          <cell r="D204">
            <v>430818500</v>
          </cell>
          <cell r="E204">
            <v>0</v>
          </cell>
          <cell r="F204">
            <v>0</v>
          </cell>
          <cell r="G204">
            <v>0</v>
          </cell>
          <cell r="H204">
            <v>0</v>
          </cell>
          <cell r="I204">
            <v>430818500</v>
          </cell>
          <cell r="J204">
            <v>0</v>
          </cell>
        </row>
        <row r="205">
          <cell r="B205" t="str">
            <v>1-7119</v>
          </cell>
          <cell r="C205" t="str">
            <v>Building - Others</v>
          </cell>
          <cell r="D205">
            <v>134605000</v>
          </cell>
          <cell r="E205">
            <v>0</v>
          </cell>
          <cell r="F205">
            <v>0</v>
          </cell>
          <cell r="G205">
            <v>0</v>
          </cell>
          <cell r="H205">
            <v>0</v>
          </cell>
          <cell r="I205">
            <v>134605000</v>
          </cell>
          <cell r="J205">
            <v>0</v>
          </cell>
        </row>
        <row r="206">
          <cell r="B206" t="str">
            <v>1-7120</v>
          </cell>
          <cell r="C206" t="str">
            <v>Infrastructure</v>
          </cell>
          <cell r="D206">
            <v>0</v>
          </cell>
          <cell r="E206">
            <v>0</v>
          </cell>
          <cell r="F206">
            <v>0</v>
          </cell>
          <cell r="G206">
            <v>0</v>
          </cell>
          <cell r="H206">
            <v>0</v>
          </cell>
          <cell r="I206">
            <v>0</v>
          </cell>
          <cell r="J206">
            <v>0</v>
          </cell>
        </row>
        <row r="207">
          <cell r="B207" t="str">
            <v>1-7121</v>
          </cell>
          <cell r="C207" t="str">
            <v>Infrastucture - Roads</v>
          </cell>
          <cell r="D207">
            <v>75376450</v>
          </cell>
          <cell r="E207">
            <v>0</v>
          </cell>
          <cell r="F207">
            <v>0</v>
          </cell>
          <cell r="G207">
            <v>0</v>
          </cell>
          <cell r="H207">
            <v>0</v>
          </cell>
          <cell r="I207">
            <v>75376450</v>
          </cell>
          <cell r="J207">
            <v>0</v>
          </cell>
        </row>
        <row r="208">
          <cell r="B208" t="str">
            <v>1-7122</v>
          </cell>
          <cell r="C208" t="str">
            <v>Infrastructure - Sewerge</v>
          </cell>
          <cell r="D208">
            <v>0</v>
          </cell>
          <cell r="E208">
            <v>0</v>
          </cell>
          <cell r="F208">
            <v>0</v>
          </cell>
          <cell r="G208">
            <v>0</v>
          </cell>
          <cell r="H208">
            <v>0</v>
          </cell>
          <cell r="I208">
            <v>0</v>
          </cell>
          <cell r="J208">
            <v>0</v>
          </cell>
        </row>
        <row r="209">
          <cell r="B209" t="str">
            <v>1-7123</v>
          </cell>
          <cell r="C209" t="str">
            <v>Infrastructure - Garden</v>
          </cell>
          <cell r="D209">
            <v>4715300</v>
          </cell>
          <cell r="E209">
            <v>0</v>
          </cell>
          <cell r="F209">
            <v>184487000</v>
          </cell>
          <cell r="G209">
            <v>0</v>
          </cell>
          <cell r="H209">
            <v>184487000</v>
          </cell>
          <cell r="I209">
            <v>189202300</v>
          </cell>
          <cell r="J209">
            <v>0</v>
          </cell>
        </row>
        <row r="210">
          <cell r="B210" t="str">
            <v>1-7124</v>
          </cell>
          <cell r="C210" t="str">
            <v>Infrastructure - Field</v>
          </cell>
          <cell r="D210">
            <v>172778750</v>
          </cell>
          <cell r="E210">
            <v>0</v>
          </cell>
          <cell r="F210">
            <v>0</v>
          </cell>
          <cell r="G210">
            <v>0</v>
          </cell>
          <cell r="H210">
            <v>0</v>
          </cell>
          <cell r="I210">
            <v>172778750</v>
          </cell>
          <cell r="J210">
            <v>0</v>
          </cell>
        </row>
        <row r="211">
          <cell r="B211" t="str">
            <v>1-7125</v>
          </cell>
          <cell r="C211" t="str">
            <v>Infrastructure - Fence</v>
          </cell>
          <cell r="D211">
            <v>238265000</v>
          </cell>
          <cell r="E211">
            <v>0</v>
          </cell>
          <cell r="F211">
            <v>0</v>
          </cell>
          <cell r="G211">
            <v>0</v>
          </cell>
          <cell r="H211">
            <v>0</v>
          </cell>
          <cell r="I211">
            <v>238265000</v>
          </cell>
          <cell r="J211">
            <v>0</v>
          </cell>
        </row>
        <row r="212">
          <cell r="B212" t="str">
            <v>1-7126</v>
          </cell>
          <cell r="C212" t="str">
            <v>Infrastructure - parking area</v>
          </cell>
          <cell r="D212">
            <v>271555900</v>
          </cell>
          <cell r="E212">
            <v>0</v>
          </cell>
          <cell r="F212">
            <v>0</v>
          </cell>
          <cell r="G212">
            <v>0</v>
          </cell>
          <cell r="H212">
            <v>0</v>
          </cell>
          <cell r="I212">
            <v>271555900</v>
          </cell>
          <cell r="J212">
            <v>0</v>
          </cell>
        </row>
        <row r="213">
          <cell r="B213" t="str">
            <v>1-7127</v>
          </cell>
          <cell r="C213" t="str">
            <v>Infrastructure - Intallation</v>
          </cell>
          <cell r="D213">
            <v>413278700</v>
          </cell>
          <cell r="E213">
            <v>0</v>
          </cell>
          <cell r="F213">
            <v>900000</v>
          </cell>
          <cell r="G213">
            <v>0</v>
          </cell>
          <cell r="H213">
            <v>900000</v>
          </cell>
          <cell r="I213">
            <v>414178700</v>
          </cell>
          <cell r="J213">
            <v>0</v>
          </cell>
        </row>
        <row r="214">
          <cell r="B214" t="str">
            <v>1-7128</v>
          </cell>
          <cell r="C214" t="str">
            <v>Infrastructure-Public Faciliti</v>
          </cell>
          <cell r="D214">
            <v>21893850</v>
          </cell>
          <cell r="E214">
            <v>0</v>
          </cell>
          <cell r="F214">
            <v>0</v>
          </cell>
          <cell r="G214">
            <v>0</v>
          </cell>
          <cell r="H214">
            <v>0</v>
          </cell>
          <cell r="I214">
            <v>21893850</v>
          </cell>
          <cell r="J214">
            <v>0</v>
          </cell>
        </row>
        <row r="215">
          <cell r="B215" t="str">
            <v>1-7129</v>
          </cell>
          <cell r="C215" t="str">
            <v>Infrastructure - Others</v>
          </cell>
          <cell r="D215">
            <v>7080000</v>
          </cell>
          <cell r="E215">
            <v>0</v>
          </cell>
          <cell r="F215">
            <v>0</v>
          </cell>
          <cell r="G215">
            <v>0</v>
          </cell>
          <cell r="H215">
            <v>0</v>
          </cell>
          <cell r="I215">
            <v>7080000</v>
          </cell>
          <cell r="J215">
            <v>0</v>
          </cell>
        </row>
        <row r="216">
          <cell r="B216" t="str">
            <v>1-7130</v>
          </cell>
          <cell r="C216" t="str">
            <v>Equipment</v>
          </cell>
          <cell r="D216">
            <v>0</v>
          </cell>
          <cell r="E216">
            <v>0</v>
          </cell>
          <cell r="F216">
            <v>0</v>
          </cell>
          <cell r="G216">
            <v>0</v>
          </cell>
          <cell r="H216">
            <v>0</v>
          </cell>
          <cell r="I216">
            <v>0</v>
          </cell>
          <cell r="J216">
            <v>0</v>
          </cell>
        </row>
        <row r="217">
          <cell r="B217" t="str">
            <v>1-7131</v>
          </cell>
          <cell r="C217" t="str">
            <v>Equipment-Computer &amp; Audio Vis</v>
          </cell>
          <cell r="D217">
            <v>1338968213</v>
          </cell>
          <cell r="E217">
            <v>0</v>
          </cell>
          <cell r="F217">
            <v>34195000</v>
          </cell>
          <cell r="G217">
            <v>0</v>
          </cell>
          <cell r="H217">
            <v>34195000</v>
          </cell>
          <cell r="I217">
            <v>1373163213</v>
          </cell>
          <cell r="J217">
            <v>0</v>
          </cell>
        </row>
        <row r="218">
          <cell r="B218" t="str">
            <v>1-7132</v>
          </cell>
          <cell r="C218" t="str">
            <v>Equipment - Telephone &amp; Fax</v>
          </cell>
          <cell r="D218">
            <v>73956400</v>
          </cell>
          <cell r="E218">
            <v>0</v>
          </cell>
          <cell r="F218">
            <v>215000</v>
          </cell>
          <cell r="G218">
            <v>0</v>
          </cell>
          <cell r="H218">
            <v>215000</v>
          </cell>
          <cell r="I218">
            <v>74171400</v>
          </cell>
          <cell r="J218">
            <v>0</v>
          </cell>
        </row>
        <row r="219">
          <cell r="B219" t="str">
            <v>1-7133</v>
          </cell>
          <cell r="C219" t="str">
            <v>Equipment - Cleaning &amp; Mainten</v>
          </cell>
          <cell r="D219">
            <v>93743800</v>
          </cell>
          <cell r="E219">
            <v>0</v>
          </cell>
          <cell r="F219">
            <v>0</v>
          </cell>
          <cell r="G219">
            <v>0</v>
          </cell>
          <cell r="H219">
            <v>0</v>
          </cell>
          <cell r="I219">
            <v>93743800</v>
          </cell>
          <cell r="J219">
            <v>0</v>
          </cell>
        </row>
        <row r="220">
          <cell r="B220" t="str">
            <v>1-7134</v>
          </cell>
          <cell r="C220" t="str">
            <v>Equipment -  Office</v>
          </cell>
          <cell r="D220">
            <v>80735300</v>
          </cell>
          <cell r="E220">
            <v>0</v>
          </cell>
          <cell r="F220">
            <v>300000</v>
          </cell>
          <cell r="G220">
            <v>0</v>
          </cell>
          <cell r="H220">
            <v>300000</v>
          </cell>
          <cell r="I220">
            <v>81035300</v>
          </cell>
          <cell r="J220">
            <v>0</v>
          </cell>
        </row>
        <row r="221">
          <cell r="B221" t="str">
            <v>1-7135</v>
          </cell>
          <cell r="C221" t="str">
            <v>Equipment - Teaching</v>
          </cell>
          <cell r="D221">
            <v>29569000</v>
          </cell>
          <cell r="E221">
            <v>0</v>
          </cell>
          <cell r="F221">
            <v>0</v>
          </cell>
          <cell r="G221">
            <v>0</v>
          </cell>
          <cell r="H221">
            <v>0</v>
          </cell>
          <cell r="I221">
            <v>29569000</v>
          </cell>
          <cell r="J221">
            <v>0</v>
          </cell>
        </row>
        <row r="222">
          <cell r="B222" t="str">
            <v>1-7136</v>
          </cell>
          <cell r="C222" t="str">
            <v>Equipment - Kitchen &amp; Laundry</v>
          </cell>
          <cell r="D222">
            <v>88773750</v>
          </cell>
          <cell r="E222">
            <v>0</v>
          </cell>
          <cell r="F222">
            <v>1359100</v>
          </cell>
          <cell r="G222">
            <v>0</v>
          </cell>
          <cell r="H222">
            <v>1359100</v>
          </cell>
          <cell r="I222">
            <v>90132850</v>
          </cell>
          <cell r="J222">
            <v>0</v>
          </cell>
        </row>
        <row r="223">
          <cell r="B223" t="str">
            <v>1-7137</v>
          </cell>
          <cell r="C223" t="str">
            <v>Equipment - Sport &amp; Healthy</v>
          </cell>
          <cell r="D223">
            <v>49986700</v>
          </cell>
          <cell r="E223">
            <v>0</v>
          </cell>
          <cell r="F223">
            <v>0</v>
          </cell>
          <cell r="G223">
            <v>0</v>
          </cell>
          <cell r="H223">
            <v>0</v>
          </cell>
          <cell r="I223">
            <v>49986700</v>
          </cell>
          <cell r="J223">
            <v>0</v>
          </cell>
        </row>
        <row r="224">
          <cell r="B224" t="str">
            <v>1-7138</v>
          </cell>
          <cell r="C224" t="str">
            <v>New Account</v>
          </cell>
          <cell r="D224">
            <v>0</v>
          </cell>
          <cell r="E224">
            <v>0</v>
          </cell>
          <cell r="F224">
            <v>0</v>
          </cell>
          <cell r="G224">
            <v>0</v>
          </cell>
          <cell r="H224">
            <v>0</v>
          </cell>
          <cell r="I224">
            <v>0</v>
          </cell>
          <cell r="J224">
            <v>0</v>
          </cell>
        </row>
        <row r="225">
          <cell r="B225" t="str">
            <v>1-7139</v>
          </cell>
          <cell r="C225" t="str">
            <v>Equipment - Others</v>
          </cell>
          <cell r="D225">
            <v>166440900</v>
          </cell>
          <cell r="E225">
            <v>0</v>
          </cell>
          <cell r="F225">
            <v>39257813</v>
          </cell>
          <cell r="G225">
            <v>0</v>
          </cell>
          <cell r="H225">
            <v>39257813</v>
          </cell>
          <cell r="I225">
            <v>205698713</v>
          </cell>
          <cell r="J225">
            <v>0</v>
          </cell>
        </row>
        <row r="226">
          <cell r="B226" t="str">
            <v>1-7140</v>
          </cell>
          <cell r="C226" t="str">
            <v>Furniture and Fixture</v>
          </cell>
          <cell r="D226">
            <v>0</v>
          </cell>
          <cell r="E226">
            <v>0</v>
          </cell>
          <cell r="F226">
            <v>0</v>
          </cell>
          <cell r="G226">
            <v>0</v>
          </cell>
          <cell r="H226">
            <v>0</v>
          </cell>
          <cell r="I226">
            <v>0</v>
          </cell>
          <cell r="J226">
            <v>0</v>
          </cell>
        </row>
        <row r="227">
          <cell r="B227" t="str">
            <v>1-7141</v>
          </cell>
          <cell r="C227" t="str">
            <v>Furniture - Table &amp; Chair</v>
          </cell>
          <cell r="D227">
            <v>665365293</v>
          </cell>
          <cell r="E227">
            <v>0</v>
          </cell>
          <cell r="F227">
            <v>5905000</v>
          </cell>
          <cell r="G227">
            <v>0</v>
          </cell>
          <cell r="H227">
            <v>5905000</v>
          </cell>
          <cell r="I227">
            <v>671270293</v>
          </cell>
          <cell r="J227">
            <v>0</v>
          </cell>
        </row>
        <row r="228">
          <cell r="B228" t="str">
            <v>1-7142</v>
          </cell>
          <cell r="C228" t="str">
            <v>Furniture - Cupboard &amp; Rack</v>
          </cell>
          <cell r="D228">
            <v>498675550</v>
          </cell>
          <cell r="E228">
            <v>0</v>
          </cell>
          <cell r="F228">
            <v>17493000</v>
          </cell>
          <cell r="G228">
            <v>0</v>
          </cell>
          <cell r="H228">
            <v>17493000</v>
          </cell>
          <cell r="I228">
            <v>516168550</v>
          </cell>
          <cell r="J228">
            <v>0</v>
          </cell>
        </row>
        <row r="229">
          <cell r="B229" t="str">
            <v>1-7143</v>
          </cell>
          <cell r="C229" t="str">
            <v>Furniture -Iron Bed &amp; mattress</v>
          </cell>
          <cell r="D229">
            <v>2130448544</v>
          </cell>
          <cell r="E229">
            <v>0</v>
          </cell>
          <cell r="F229">
            <v>0</v>
          </cell>
          <cell r="G229">
            <v>0</v>
          </cell>
          <cell r="H229">
            <v>0</v>
          </cell>
          <cell r="I229">
            <v>2130448544</v>
          </cell>
          <cell r="J229">
            <v>0</v>
          </cell>
        </row>
        <row r="230">
          <cell r="B230" t="str">
            <v>1-7144</v>
          </cell>
          <cell r="C230" t="str">
            <v>Fixture -Office,class&amp;Boarding</v>
          </cell>
          <cell r="D230">
            <v>414512956</v>
          </cell>
          <cell r="E230">
            <v>0</v>
          </cell>
          <cell r="F230">
            <v>0</v>
          </cell>
          <cell r="G230">
            <v>0</v>
          </cell>
          <cell r="H230">
            <v>0</v>
          </cell>
          <cell r="I230">
            <v>414512956</v>
          </cell>
          <cell r="J230">
            <v>0</v>
          </cell>
        </row>
        <row r="231">
          <cell r="B231" t="str">
            <v>1-7145</v>
          </cell>
          <cell r="C231" t="str">
            <v>Fixture - Teaching</v>
          </cell>
          <cell r="D231">
            <v>21959150</v>
          </cell>
          <cell r="E231">
            <v>0</v>
          </cell>
          <cell r="F231">
            <v>1050000</v>
          </cell>
          <cell r="G231">
            <v>0</v>
          </cell>
          <cell r="H231">
            <v>1050000</v>
          </cell>
          <cell r="I231">
            <v>23009150</v>
          </cell>
          <cell r="J231">
            <v>0</v>
          </cell>
        </row>
        <row r="232">
          <cell r="B232" t="str">
            <v>1-7146</v>
          </cell>
          <cell r="C232" t="str">
            <v>Fixture - Kitchen &amp; Laundry</v>
          </cell>
          <cell r="D232">
            <v>61579050</v>
          </cell>
          <cell r="E232">
            <v>0</v>
          </cell>
          <cell r="F232">
            <v>525000</v>
          </cell>
          <cell r="G232">
            <v>0</v>
          </cell>
          <cell r="H232">
            <v>525000</v>
          </cell>
          <cell r="I232">
            <v>62104050</v>
          </cell>
          <cell r="J232">
            <v>0</v>
          </cell>
        </row>
        <row r="233">
          <cell r="B233" t="str">
            <v>1-7147</v>
          </cell>
          <cell r="C233" t="str">
            <v>Fixture -Cleaning &amp;Maintenance</v>
          </cell>
          <cell r="D233">
            <v>33218000</v>
          </cell>
          <cell r="E233">
            <v>0</v>
          </cell>
          <cell r="F233">
            <v>0</v>
          </cell>
          <cell r="G233">
            <v>0</v>
          </cell>
          <cell r="H233">
            <v>0</v>
          </cell>
          <cell r="I233">
            <v>33218000</v>
          </cell>
          <cell r="J233">
            <v>0</v>
          </cell>
        </row>
        <row r="234">
          <cell r="B234" t="str">
            <v>1-7148</v>
          </cell>
          <cell r="C234" t="str">
            <v>Fixture - Sport &amp; Healty</v>
          </cell>
          <cell r="D234">
            <v>17375000</v>
          </cell>
          <cell r="E234">
            <v>0</v>
          </cell>
          <cell r="F234">
            <v>0</v>
          </cell>
          <cell r="G234">
            <v>0</v>
          </cell>
          <cell r="H234">
            <v>0</v>
          </cell>
          <cell r="I234">
            <v>17375000</v>
          </cell>
          <cell r="J234">
            <v>0</v>
          </cell>
        </row>
        <row r="235">
          <cell r="B235" t="str">
            <v>1-7149</v>
          </cell>
          <cell r="C235" t="str">
            <v>Fixture - Others</v>
          </cell>
          <cell r="D235">
            <v>134948300</v>
          </cell>
          <cell r="E235">
            <v>0</v>
          </cell>
          <cell r="F235">
            <v>14766000</v>
          </cell>
          <cell r="G235">
            <v>0</v>
          </cell>
          <cell r="H235">
            <v>14766000</v>
          </cell>
          <cell r="I235">
            <v>149714300</v>
          </cell>
          <cell r="J235">
            <v>0</v>
          </cell>
        </row>
        <row r="236">
          <cell r="B236" t="str">
            <v>1-7150</v>
          </cell>
          <cell r="C236" t="str">
            <v>Vehicle</v>
          </cell>
          <cell r="D236">
            <v>0</v>
          </cell>
          <cell r="E236">
            <v>0</v>
          </cell>
          <cell r="F236">
            <v>0</v>
          </cell>
          <cell r="G236">
            <v>0</v>
          </cell>
          <cell r="H236">
            <v>0</v>
          </cell>
          <cell r="I236">
            <v>0</v>
          </cell>
          <cell r="J236">
            <v>0</v>
          </cell>
        </row>
        <row r="237">
          <cell r="B237" t="str">
            <v>1-7151</v>
          </cell>
          <cell r="C237" t="str">
            <v>Vehicle - Car</v>
          </cell>
          <cell r="D237">
            <v>352300000</v>
          </cell>
          <cell r="E237">
            <v>0</v>
          </cell>
          <cell r="F237">
            <v>0</v>
          </cell>
          <cell r="G237">
            <v>0</v>
          </cell>
          <cell r="H237">
            <v>0</v>
          </cell>
          <cell r="I237">
            <v>352300000</v>
          </cell>
          <cell r="J237">
            <v>0</v>
          </cell>
        </row>
        <row r="238">
          <cell r="B238" t="str">
            <v>1-7152</v>
          </cell>
          <cell r="C238" t="str">
            <v>Vehicle - Motorcycle</v>
          </cell>
          <cell r="D238">
            <v>28200000</v>
          </cell>
          <cell r="E238">
            <v>0</v>
          </cell>
          <cell r="F238">
            <v>0</v>
          </cell>
          <cell r="G238">
            <v>0</v>
          </cell>
          <cell r="H238">
            <v>0</v>
          </cell>
          <cell r="I238">
            <v>28200000</v>
          </cell>
          <cell r="J238">
            <v>0</v>
          </cell>
        </row>
        <row r="239">
          <cell r="B239" t="str">
            <v>1-7153</v>
          </cell>
          <cell r="C239" t="str">
            <v>Vehicle - Bicycle</v>
          </cell>
          <cell r="D239">
            <v>250000</v>
          </cell>
          <cell r="E239">
            <v>0</v>
          </cell>
          <cell r="F239">
            <v>0</v>
          </cell>
          <cell r="G239">
            <v>0</v>
          </cell>
          <cell r="H239">
            <v>0</v>
          </cell>
          <cell r="I239">
            <v>250000</v>
          </cell>
          <cell r="J239">
            <v>0</v>
          </cell>
        </row>
        <row r="240">
          <cell r="B240" t="str">
            <v>1-7160</v>
          </cell>
          <cell r="C240" t="str">
            <v>Library material &amp; book</v>
          </cell>
          <cell r="D240">
            <v>0</v>
          </cell>
          <cell r="E240">
            <v>0</v>
          </cell>
          <cell r="F240">
            <v>0</v>
          </cell>
          <cell r="G240">
            <v>0</v>
          </cell>
          <cell r="H240">
            <v>0</v>
          </cell>
          <cell r="I240">
            <v>0</v>
          </cell>
          <cell r="J240">
            <v>0</v>
          </cell>
        </row>
        <row r="241">
          <cell r="B241" t="str">
            <v>1-7161</v>
          </cell>
          <cell r="C241" t="str">
            <v>Library material &amp; book - book</v>
          </cell>
          <cell r="D241">
            <v>47272498.869999997</v>
          </cell>
          <cell r="E241">
            <v>0</v>
          </cell>
          <cell r="F241">
            <v>191900</v>
          </cell>
          <cell r="G241">
            <v>0</v>
          </cell>
          <cell r="H241">
            <v>191900</v>
          </cell>
          <cell r="I241">
            <v>47464398.869999997</v>
          </cell>
          <cell r="J241">
            <v>0</v>
          </cell>
        </row>
        <row r="242">
          <cell r="B242" t="str">
            <v>1-7162</v>
          </cell>
          <cell r="C242" t="str">
            <v>Library material &amp; book - CD</v>
          </cell>
          <cell r="D242">
            <v>4978000</v>
          </cell>
          <cell r="E242">
            <v>0</v>
          </cell>
          <cell r="F242">
            <v>0</v>
          </cell>
          <cell r="G242">
            <v>0</v>
          </cell>
          <cell r="H242">
            <v>0</v>
          </cell>
          <cell r="I242">
            <v>4978000</v>
          </cell>
          <cell r="J242">
            <v>0</v>
          </cell>
        </row>
        <row r="243">
          <cell r="B243" t="str">
            <v>1-7163</v>
          </cell>
          <cell r="C243" t="str">
            <v>Library material &amp; book-digita</v>
          </cell>
          <cell r="D243">
            <v>6201750</v>
          </cell>
          <cell r="E243">
            <v>0</v>
          </cell>
          <cell r="F243">
            <v>0</v>
          </cell>
          <cell r="G243">
            <v>0</v>
          </cell>
          <cell r="H243">
            <v>0</v>
          </cell>
          <cell r="I243">
            <v>6201750</v>
          </cell>
          <cell r="J243">
            <v>0</v>
          </cell>
        </row>
        <row r="244">
          <cell r="B244" t="str">
            <v>1-7170</v>
          </cell>
          <cell r="C244" t="str">
            <v>Aktiva</v>
          </cell>
          <cell r="D244">
            <v>0</v>
          </cell>
          <cell r="E244">
            <v>0</v>
          </cell>
          <cell r="F244">
            <v>0</v>
          </cell>
          <cell r="G244">
            <v>0</v>
          </cell>
          <cell r="H244">
            <v>0</v>
          </cell>
          <cell r="I244">
            <v>0</v>
          </cell>
          <cell r="J244">
            <v>0</v>
          </cell>
        </row>
        <row r="245">
          <cell r="B245" t="str">
            <v>1-7180</v>
          </cell>
          <cell r="C245" t="str">
            <v>Other Fixed Assets</v>
          </cell>
          <cell r="D245">
            <v>0</v>
          </cell>
          <cell r="E245">
            <v>0</v>
          </cell>
          <cell r="F245">
            <v>0</v>
          </cell>
          <cell r="G245">
            <v>0</v>
          </cell>
          <cell r="H245">
            <v>0</v>
          </cell>
          <cell r="I245">
            <v>0</v>
          </cell>
          <cell r="J245">
            <v>0</v>
          </cell>
        </row>
        <row r="246">
          <cell r="B246" t="str">
            <v>1-7181</v>
          </cell>
          <cell r="C246" t="str">
            <v>Other Fixed Assets - Software</v>
          </cell>
          <cell r="D246">
            <v>35831996</v>
          </cell>
          <cell r="E246">
            <v>0</v>
          </cell>
          <cell r="F246">
            <v>0</v>
          </cell>
          <cell r="G246">
            <v>0</v>
          </cell>
          <cell r="H246">
            <v>0</v>
          </cell>
          <cell r="I246">
            <v>35831996</v>
          </cell>
          <cell r="J246">
            <v>0</v>
          </cell>
        </row>
        <row r="247">
          <cell r="B247" t="str">
            <v>1-7190</v>
          </cell>
          <cell r="C247" t="str">
            <v>Constructions in Progress</v>
          </cell>
          <cell r="D247">
            <v>0</v>
          </cell>
          <cell r="E247">
            <v>0</v>
          </cell>
          <cell r="F247">
            <v>0</v>
          </cell>
          <cell r="G247">
            <v>0</v>
          </cell>
          <cell r="H247">
            <v>0</v>
          </cell>
          <cell r="I247">
            <v>0</v>
          </cell>
          <cell r="J247">
            <v>0</v>
          </cell>
        </row>
        <row r="248">
          <cell r="B248" t="str">
            <v>1-7191</v>
          </cell>
          <cell r="C248" t="str">
            <v>Construct.in Progress Building</v>
          </cell>
          <cell r="D248">
            <v>9168028130</v>
          </cell>
          <cell r="E248">
            <v>0</v>
          </cell>
          <cell r="F248">
            <v>550474255</v>
          </cell>
          <cell r="G248">
            <v>0</v>
          </cell>
          <cell r="H248">
            <v>550474255</v>
          </cell>
          <cell r="I248">
            <v>9718502385</v>
          </cell>
          <cell r="J248">
            <v>0</v>
          </cell>
        </row>
        <row r="249">
          <cell r="B249" t="str">
            <v>1-7192</v>
          </cell>
          <cell r="C249" t="str">
            <v>Construct.in Progress Infrastr</v>
          </cell>
          <cell r="D249">
            <v>44515000</v>
          </cell>
          <cell r="E249">
            <v>0</v>
          </cell>
          <cell r="F249">
            <v>0</v>
          </cell>
          <cell r="G249">
            <v>0</v>
          </cell>
          <cell r="H249">
            <v>0</v>
          </cell>
          <cell r="I249">
            <v>44515000</v>
          </cell>
          <cell r="J249">
            <v>0</v>
          </cell>
        </row>
        <row r="250">
          <cell r="B250" t="str">
            <v>1-7193</v>
          </cell>
          <cell r="C250" t="str">
            <v>Fixed Asset in Progress</v>
          </cell>
          <cell r="D250">
            <v>118525150</v>
          </cell>
          <cell r="E250">
            <v>0</v>
          </cell>
          <cell r="F250">
            <v>9460700</v>
          </cell>
          <cell r="G250">
            <v>0</v>
          </cell>
          <cell r="H250">
            <v>9460700</v>
          </cell>
          <cell r="I250">
            <v>127985850</v>
          </cell>
          <cell r="J250">
            <v>0</v>
          </cell>
        </row>
        <row r="251">
          <cell r="B251" t="str">
            <v>1-7210</v>
          </cell>
          <cell r="C251" t="str">
            <v>Acc. Depreciation Building</v>
          </cell>
          <cell r="D251">
            <v>0</v>
          </cell>
          <cell r="E251">
            <v>0</v>
          </cell>
          <cell r="F251">
            <v>0</v>
          </cell>
          <cell r="G251">
            <v>0</v>
          </cell>
          <cell r="H251">
            <v>0</v>
          </cell>
          <cell r="I251">
            <v>0</v>
          </cell>
          <cell r="J251">
            <v>0</v>
          </cell>
        </row>
        <row r="252">
          <cell r="B252" t="str">
            <v>1-7211</v>
          </cell>
          <cell r="C252" t="str">
            <v>Acc. Dep. Building - Land</v>
          </cell>
          <cell r="D252">
            <v>0</v>
          </cell>
          <cell r="E252">
            <v>0</v>
          </cell>
          <cell r="F252">
            <v>0</v>
          </cell>
          <cell r="G252">
            <v>0</v>
          </cell>
          <cell r="H252">
            <v>0</v>
          </cell>
          <cell r="I252">
            <v>0</v>
          </cell>
          <cell r="J252">
            <v>0</v>
          </cell>
        </row>
        <row r="253">
          <cell r="B253" t="str">
            <v>1-7212</v>
          </cell>
          <cell r="C253" t="str">
            <v>Acc.Dep.Building -Class&amp;Office</v>
          </cell>
          <cell r="D253" t="str">
            <v>794,258,707.43cr</v>
          </cell>
          <cell r="E253">
            <v>0</v>
          </cell>
          <cell r="F253">
            <v>0</v>
          </cell>
          <cell r="G253">
            <v>19647634.960000001</v>
          </cell>
          <cell r="H253" t="str">
            <v>19,647,634.96cr</v>
          </cell>
          <cell r="I253" t="str">
            <v>813,906,342.39cr</v>
          </cell>
          <cell r="J253">
            <v>0</v>
          </cell>
        </row>
        <row r="254">
          <cell r="B254" t="str">
            <v>1-7213</v>
          </cell>
          <cell r="C254" t="str">
            <v>Acc. Dep. Building - Boarding</v>
          </cell>
          <cell r="D254" t="str">
            <v>1,178,871,756.53cr</v>
          </cell>
          <cell r="E254">
            <v>0</v>
          </cell>
          <cell r="F254">
            <v>0</v>
          </cell>
          <cell r="G254">
            <v>30533521.300000001</v>
          </cell>
          <cell r="H254" t="str">
            <v>30,533,521.30cr</v>
          </cell>
          <cell r="I254" t="str">
            <v>1,209,405,277.83cr</v>
          </cell>
          <cell r="J254">
            <v>0</v>
          </cell>
        </row>
        <row r="255">
          <cell r="B255" t="str">
            <v>1-7214</v>
          </cell>
          <cell r="C255" t="str">
            <v>Acc. Dep. Building - Housing</v>
          </cell>
          <cell r="D255" t="str">
            <v>216,055,649.17cr</v>
          </cell>
          <cell r="E255">
            <v>0</v>
          </cell>
          <cell r="F255">
            <v>0</v>
          </cell>
          <cell r="G255">
            <v>4052198.33</v>
          </cell>
          <cell r="H255" t="str">
            <v>4,052,198.33cr</v>
          </cell>
          <cell r="I255" t="str">
            <v>220,107,847.50cr</v>
          </cell>
          <cell r="J255">
            <v>0</v>
          </cell>
        </row>
        <row r="256">
          <cell r="B256" t="str">
            <v>1-7215</v>
          </cell>
          <cell r="C256" t="str">
            <v>Acc. Dep. Building - Masjid</v>
          </cell>
          <cell r="D256" t="str">
            <v>62,219,123.32cr</v>
          </cell>
          <cell r="E256">
            <v>0</v>
          </cell>
          <cell r="F256">
            <v>0</v>
          </cell>
          <cell r="G256">
            <v>1019985.63</v>
          </cell>
          <cell r="H256" t="str">
            <v>1,019,985.63cr</v>
          </cell>
          <cell r="I256" t="str">
            <v>63,239,108.95cr</v>
          </cell>
          <cell r="J256">
            <v>0</v>
          </cell>
        </row>
        <row r="257">
          <cell r="B257" t="str">
            <v>1-7216</v>
          </cell>
          <cell r="C257" t="str">
            <v>Acc. Dep. Building - Swimming</v>
          </cell>
          <cell r="D257" t="str">
            <v>77,160,867.42cr</v>
          </cell>
          <cell r="E257">
            <v>0</v>
          </cell>
          <cell r="F257">
            <v>0</v>
          </cell>
          <cell r="G257">
            <v>3674327.02</v>
          </cell>
          <cell r="H257" t="str">
            <v>3,674,327.02cr</v>
          </cell>
          <cell r="I257" t="str">
            <v>80,835,194.44cr</v>
          </cell>
          <cell r="J257">
            <v>0</v>
          </cell>
        </row>
        <row r="258">
          <cell r="B258" t="str">
            <v>1-7217</v>
          </cell>
          <cell r="C258" t="str">
            <v>Acc. Dep. Building - Gedung SG</v>
          </cell>
          <cell r="D258">
            <v>0</v>
          </cell>
          <cell r="E258">
            <v>0</v>
          </cell>
          <cell r="F258">
            <v>0</v>
          </cell>
          <cell r="G258">
            <v>0</v>
          </cell>
          <cell r="H258">
            <v>0</v>
          </cell>
          <cell r="I258">
            <v>0</v>
          </cell>
          <cell r="J258">
            <v>0</v>
          </cell>
        </row>
        <row r="259">
          <cell r="B259" t="str">
            <v>1-7218</v>
          </cell>
          <cell r="C259" t="str">
            <v>Acc.Dep.Building- Kitchen&amp;Laun</v>
          </cell>
          <cell r="D259" t="str">
            <v>82,093,874.86cr</v>
          </cell>
          <cell r="E259">
            <v>0</v>
          </cell>
          <cell r="F259">
            <v>0</v>
          </cell>
          <cell r="G259">
            <v>1795077.08</v>
          </cell>
          <cell r="H259" t="str">
            <v>1,795,077.08cr</v>
          </cell>
          <cell r="I259" t="str">
            <v>83,888,951.94cr</v>
          </cell>
          <cell r="J259">
            <v>0</v>
          </cell>
        </row>
        <row r="260">
          <cell r="B260" t="str">
            <v>1-7219</v>
          </cell>
          <cell r="C260" t="str">
            <v>Acc. Dep. Building - Others</v>
          </cell>
          <cell r="D260" t="str">
            <v>44,921,041.24cr</v>
          </cell>
          <cell r="E260">
            <v>0</v>
          </cell>
          <cell r="F260">
            <v>0</v>
          </cell>
          <cell r="G260">
            <v>1111354.17</v>
          </cell>
          <cell r="H260" t="str">
            <v>1,111,354.17cr</v>
          </cell>
          <cell r="I260" t="str">
            <v>46,032,395.41cr</v>
          </cell>
          <cell r="J260">
            <v>0</v>
          </cell>
        </row>
        <row r="261">
          <cell r="B261" t="str">
            <v>1-7220</v>
          </cell>
          <cell r="C261" t="str">
            <v>Acc. Dep. Infrastructure</v>
          </cell>
          <cell r="D261">
            <v>0</v>
          </cell>
          <cell r="E261">
            <v>0</v>
          </cell>
          <cell r="F261">
            <v>0</v>
          </cell>
          <cell r="G261">
            <v>0</v>
          </cell>
          <cell r="H261">
            <v>0</v>
          </cell>
          <cell r="I261">
            <v>0</v>
          </cell>
          <cell r="J261">
            <v>0</v>
          </cell>
        </row>
        <row r="262">
          <cell r="B262" t="str">
            <v>1-7221</v>
          </cell>
          <cell r="C262" t="str">
            <v>Acc. Dep. Infrastructure Roads</v>
          </cell>
          <cell r="D262" t="str">
            <v>25,753,620.30cr</v>
          </cell>
          <cell r="E262">
            <v>0</v>
          </cell>
          <cell r="F262">
            <v>0</v>
          </cell>
          <cell r="G262">
            <v>314068.53999999998</v>
          </cell>
          <cell r="H262" t="str">
            <v>314,068.54cr</v>
          </cell>
          <cell r="I262" t="str">
            <v>26,067,688.84cr</v>
          </cell>
          <cell r="J262">
            <v>0</v>
          </cell>
        </row>
        <row r="263">
          <cell r="B263" t="str">
            <v>1-7222</v>
          </cell>
          <cell r="C263" t="str">
            <v>Acc.Dep.Infrastructure Sewerge</v>
          </cell>
          <cell r="D263">
            <v>0</v>
          </cell>
          <cell r="E263">
            <v>0</v>
          </cell>
          <cell r="F263">
            <v>0</v>
          </cell>
          <cell r="G263">
            <v>0</v>
          </cell>
          <cell r="H263">
            <v>0</v>
          </cell>
          <cell r="I263">
            <v>0</v>
          </cell>
          <cell r="J263">
            <v>0</v>
          </cell>
        </row>
        <row r="264">
          <cell r="B264" t="str">
            <v>1-7223</v>
          </cell>
          <cell r="C264" t="str">
            <v>Acc. Dep. Infrastructure Garde</v>
          </cell>
          <cell r="D264" t="str">
            <v>726,941.96cr</v>
          </cell>
          <cell r="E264">
            <v>0</v>
          </cell>
          <cell r="F264">
            <v>0</v>
          </cell>
          <cell r="G264">
            <v>788342.92</v>
          </cell>
          <cell r="H264" t="str">
            <v>788,342.92cr</v>
          </cell>
          <cell r="I264" t="str">
            <v>1,515,284.88cr</v>
          </cell>
          <cell r="J264">
            <v>0</v>
          </cell>
        </row>
        <row r="265">
          <cell r="B265" t="str">
            <v>1-7224</v>
          </cell>
          <cell r="C265" t="str">
            <v>Acc. Dep. Infrastructure Field</v>
          </cell>
          <cell r="D265" t="str">
            <v>48,462,189.68cr</v>
          </cell>
          <cell r="E265">
            <v>0</v>
          </cell>
          <cell r="F265">
            <v>0</v>
          </cell>
          <cell r="G265">
            <v>719911.46</v>
          </cell>
          <cell r="H265" t="str">
            <v>719,911.46cr</v>
          </cell>
          <cell r="I265" t="str">
            <v>49,182,101.14cr</v>
          </cell>
          <cell r="J265">
            <v>0</v>
          </cell>
        </row>
        <row r="266">
          <cell r="B266" t="str">
            <v>1-7225</v>
          </cell>
          <cell r="C266" t="str">
            <v>Acc. Dep. Infrastructure Fence</v>
          </cell>
          <cell r="D266" t="str">
            <v>81,943,463.72cr</v>
          </cell>
          <cell r="E266">
            <v>0</v>
          </cell>
          <cell r="F266">
            <v>0</v>
          </cell>
          <cell r="G266">
            <v>992770.83</v>
          </cell>
          <cell r="H266" t="str">
            <v>992,770.83cr</v>
          </cell>
          <cell r="I266" t="str">
            <v>82,936,234.55cr</v>
          </cell>
          <cell r="J266">
            <v>0</v>
          </cell>
        </row>
        <row r="267">
          <cell r="B267" t="str">
            <v>1-7226</v>
          </cell>
          <cell r="C267" t="str">
            <v>Acc.Dep. Infrastructure Garage</v>
          </cell>
          <cell r="D267" t="str">
            <v>9,083,383.66cr</v>
          </cell>
          <cell r="E267">
            <v>0</v>
          </cell>
          <cell r="F267">
            <v>0</v>
          </cell>
          <cell r="G267">
            <v>1131482.92</v>
          </cell>
          <cell r="H267" t="str">
            <v>1,131,482.92cr</v>
          </cell>
          <cell r="I267" t="str">
            <v>10,214,866.58cr</v>
          </cell>
          <cell r="J267">
            <v>0</v>
          </cell>
        </row>
        <row r="268">
          <cell r="B268" t="str">
            <v>1-7227</v>
          </cell>
          <cell r="C268" t="str">
            <v>AD Infrastructure Installation</v>
          </cell>
          <cell r="D268" t="str">
            <v>177,520,559.22cr</v>
          </cell>
          <cell r="E268">
            <v>0</v>
          </cell>
          <cell r="F268">
            <v>0</v>
          </cell>
          <cell r="G268">
            <v>6242816.6699999999</v>
          </cell>
          <cell r="H268" t="str">
            <v>6,242,816.67cr</v>
          </cell>
          <cell r="I268" t="str">
            <v>183,763,375.89cr</v>
          </cell>
          <cell r="J268">
            <v>0</v>
          </cell>
        </row>
        <row r="269">
          <cell r="B269" t="str">
            <v>1-7228</v>
          </cell>
          <cell r="C269" t="str">
            <v>AD Infrastructure Public Facil</v>
          </cell>
          <cell r="D269" t="str">
            <v>9,344,381.86cr</v>
          </cell>
          <cell r="E269">
            <v>0</v>
          </cell>
          <cell r="F269">
            <v>0</v>
          </cell>
          <cell r="G269">
            <v>85972.29</v>
          </cell>
          <cell r="H269" t="str">
            <v>85,972.29cr</v>
          </cell>
          <cell r="I269" t="str">
            <v>9,430,354.15cr</v>
          </cell>
          <cell r="J269">
            <v>0</v>
          </cell>
        </row>
        <row r="270">
          <cell r="B270" t="str">
            <v>1-7229</v>
          </cell>
          <cell r="C270" t="str">
            <v>Acc. Dep.Infrastructure Others</v>
          </cell>
          <cell r="D270">
            <v>0</v>
          </cell>
          <cell r="E270">
            <v>0</v>
          </cell>
          <cell r="F270">
            <v>0</v>
          </cell>
          <cell r="G270">
            <v>0</v>
          </cell>
          <cell r="H270">
            <v>0</v>
          </cell>
          <cell r="I270">
            <v>0</v>
          </cell>
          <cell r="J270">
            <v>0</v>
          </cell>
        </row>
        <row r="271">
          <cell r="B271" t="str">
            <v>1-7230</v>
          </cell>
          <cell r="C271" t="str">
            <v>Acc. Depreciation Equiment</v>
          </cell>
          <cell r="D271">
            <v>0</v>
          </cell>
          <cell r="E271">
            <v>0</v>
          </cell>
          <cell r="F271">
            <v>0</v>
          </cell>
          <cell r="G271">
            <v>0</v>
          </cell>
          <cell r="H271">
            <v>0</v>
          </cell>
          <cell r="I271">
            <v>0</v>
          </cell>
          <cell r="J271">
            <v>0</v>
          </cell>
        </row>
        <row r="272">
          <cell r="B272" t="str">
            <v>1-7231</v>
          </cell>
          <cell r="C272" t="str">
            <v>AD Equipment Computer &amp; Audio</v>
          </cell>
          <cell r="D272" t="str">
            <v>847,524,588.68cr</v>
          </cell>
          <cell r="E272">
            <v>0</v>
          </cell>
          <cell r="F272">
            <v>0</v>
          </cell>
          <cell r="G272">
            <v>16279393.710000001</v>
          </cell>
          <cell r="H272" t="str">
            <v>16,279,393.71cr</v>
          </cell>
          <cell r="I272" t="str">
            <v>863,803,982.39cr</v>
          </cell>
          <cell r="J272">
            <v>0</v>
          </cell>
        </row>
        <row r="273">
          <cell r="B273" t="str">
            <v>1-7232</v>
          </cell>
          <cell r="C273" t="str">
            <v>AD Equipment Telephone &amp; Fax</v>
          </cell>
          <cell r="D273" t="str">
            <v>44,405,508.45cr</v>
          </cell>
          <cell r="E273">
            <v>0</v>
          </cell>
          <cell r="F273">
            <v>0</v>
          </cell>
          <cell r="G273">
            <v>751447.34</v>
          </cell>
          <cell r="H273" t="str">
            <v>751,447.34cr</v>
          </cell>
          <cell r="I273" t="str">
            <v>45,156,955.79cr</v>
          </cell>
          <cell r="J273">
            <v>0</v>
          </cell>
        </row>
        <row r="274">
          <cell r="B274" t="str">
            <v>1-7233</v>
          </cell>
          <cell r="C274" t="str">
            <v>AD Equipment Cleaning &amp; Mainte</v>
          </cell>
          <cell r="D274" t="str">
            <v>12,942,319.04cr</v>
          </cell>
          <cell r="E274">
            <v>0</v>
          </cell>
          <cell r="F274">
            <v>0</v>
          </cell>
          <cell r="G274">
            <v>1426716.67</v>
          </cell>
          <cell r="H274" t="str">
            <v>1,426,716.67cr</v>
          </cell>
          <cell r="I274" t="str">
            <v>14,369,035.71cr</v>
          </cell>
          <cell r="J274">
            <v>0</v>
          </cell>
        </row>
        <row r="275">
          <cell r="B275" t="str">
            <v>1-7234</v>
          </cell>
          <cell r="C275" t="str">
            <v>AD Equipment - Office</v>
          </cell>
          <cell r="D275" t="str">
            <v>41,141,487.29cr</v>
          </cell>
          <cell r="E275">
            <v>0</v>
          </cell>
          <cell r="F275">
            <v>0</v>
          </cell>
          <cell r="G275">
            <v>1074445</v>
          </cell>
          <cell r="H275" t="str">
            <v>1,074,445.00cr</v>
          </cell>
          <cell r="I275" t="str">
            <v>42,215,932.29cr</v>
          </cell>
          <cell r="J275">
            <v>0</v>
          </cell>
        </row>
        <row r="276">
          <cell r="B276" t="str">
            <v>1-7235</v>
          </cell>
          <cell r="C276" t="str">
            <v>AD Equipment Teaching</v>
          </cell>
          <cell r="D276" t="str">
            <v>4,952,914.74cr</v>
          </cell>
          <cell r="E276">
            <v>0</v>
          </cell>
          <cell r="F276">
            <v>0</v>
          </cell>
          <cell r="G276">
            <v>213616.67</v>
          </cell>
          <cell r="H276" t="str">
            <v>213,616.67cr</v>
          </cell>
          <cell r="I276" t="str">
            <v>5,166,531.41cr</v>
          </cell>
          <cell r="J276">
            <v>0</v>
          </cell>
        </row>
        <row r="277">
          <cell r="B277" t="str">
            <v>1-7236</v>
          </cell>
          <cell r="C277" t="str">
            <v>AD Equipment Kitchen &amp; Laundry</v>
          </cell>
          <cell r="D277" t="str">
            <v>55,270,723.31cr</v>
          </cell>
          <cell r="E277">
            <v>0</v>
          </cell>
          <cell r="F277">
            <v>0</v>
          </cell>
          <cell r="G277">
            <v>1100800.02</v>
          </cell>
          <cell r="H277" t="str">
            <v>1,100,800.02cr</v>
          </cell>
          <cell r="I277" t="str">
            <v>56,371,523.33cr</v>
          </cell>
          <cell r="J277">
            <v>0</v>
          </cell>
        </row>
        <row r="278">
          <cell r="B278" t="str">
            <v>1-7237</v>
          </cell>
          <cell r="C278" t="str">
            <v>AD Equipment Sport &amp; Healty</v>
          </cell>
          <cell r="D278" t="str">
            <v>31,798,354.63cr</v>
          </cell>
          <cell r="E278">
            <v>0</v>
          </cell>
          <cell r="F278">
            <v>0</v>
          </cell>
          <cell r="G278">
            <v>702200</v>
          </cell>
          <cell r="H278" t="str">
            <v>702,200.00cr</v>
          </cell>
          <cell r="I278" t="str">
            <v>32,500,554.63cr</v>
          </cell>
          <cell r="J278">
            <v>0</v>
          </cell>
        </row>
        <row r="279">
          <cell r="B279" t="str">
            <v>1-7238</v>
          </cell>
          <cell r="C279" t="str">
            <v>New Account</v>
          </cell>
          <cell r="D279">
            <v>0</v>
          </cell>
          <cell r="E279">
            <v>0</v>
          </cell>
          <cell r="F279">
            <v>0</v>
          </cell>
          <cell r="G279">
            <v>0</v>
          </cell>
          <cell r="H279">
            <v>0</v>
          </cell>
          <cell r="I279">
            <v>0</v>
          </cell>
          <cell r="J279">
            <v>0</v>
          </cell>
        </row>
        <row r="280">
          <cell r="B280" t="str">
            <v>1-7239</v>
          </cell>
          <cell r="C280" t="str">
            <v>AD Equipment Others</v>
          </cell>
          <cell r="D280" t="str">
            <v>82,980,925.00cr</v>
          </cell>
          <cell r="E280">
            <v>0</v>
          </cell>
          <cell r="F280">
            <v>0</v>
          </cell>
          <cell r="G280">
            <v>2934811.88</v>
          </cell>
          <cell r="H280" t="str">
            <v>2,934,811.88cr</v>
          </cell>
          <cell r="I280" t="str">
            <v>85,915,736.88cr</v>
          </cell>
          <cell r="J280">
            <v>0</v>
          </cell>
        </row>
        <row r="281">
          <cell r="B281" t="str">
            <v>1-7240</v>
          </cell>
          <cell r="C281" t="str">
            <v>Acc.Dep. Furniture &amp; Fixture</v>
          </cell>
          <cell r="D281">
            <v>0</v>
          </cell>
          <cell r="E281">
            <v>0</v>
          </cell>
          <cell r="F281">
            <v>0</v>
          </cell>
          <cell r="G281">
            <v>0</v>
          </cell>
          <cell r="H281">
            <v>0</v>
          </cell>
          <cell r="I281">
            <v>0</v>
          </cell>
          <cell r="J281">
            <v>0</v>
          </cell>
        </row>
        <row r="282">
          <cell r="B282" t="str">
            <v>1-7241</v>
          </cell>
          <cell r="C282" t="str">
            <v>AD Furniture Table &amp; Chairs</v>
          </cell>
          <cell r="D282" t="str">
            <v>383,376,974.33cr</v>
          </cell>
          <cell r="E282">
            <v>0</v>
          </cell>
          <cell r="F282">
            <v>0</v>
          </cell>
          <cell r="G282">
            <v>7726698.3499999996</v>
          </cell>
          <cell r="H282" t="str">
            <v>7,726,698.35cr</v>
          </cell>
          <cell r="I282" t="str">
            <v>391,103,672.68cr</v>
          </cell>
          <cell r="J282">
            <v>0</v>
          </cell>
        </row>
        <row r="283">
          <cell r="B283" t="str">
            <v>1-7242</v>
          </cell>
          <cell r="C283" t="str">
            <v>AD Furniture Cupboard &amp; Rack</v>
          </cell>
          <cell r="D283" t="str">
            <v>277,022,046.51cr</v>
          </cell>
          <cell r="E283">
            <v>0</v>
          </cell>
          <cell r="F283">
            <v>0</v>
          </cell>
          <cell r="G283">
            <v>4969990</v>
          </cell>
          <cell r="H283" t="str">
            <v>4,969,990.00cr</v>
          </cell>
          <cell r="I283" t="str">
            <v>281,992,036.51cr</v>
          </cell>
          <cell r="J283">
            <v>0</v>
          </cell>
        </row>
        <row r="284">
          <cell r="B284" t="str">
            <v>1-7243</v>
          </cell>
          <cell r="C284" t="str">
            <v>AD Furniture Iron Bed &amp;Matress</v>
          </cell>
          <cell r="D284" t="str">
            <v>806,042,007.23cr</v>
          </cell>
          <cell r="E284">
            <v>0</v>
          </cell>
          <cell r="F284">
            <v>0</v>
          </cell>
          <cell r="G284">
            <v>19814940.550000001</v>
          </cell>
          <cell r="H284" t="str">
            <v>19,814,940.55cr</v>
          </cell>
          <cell r="I284" t="str">
            <v>825,856,947.78cr</v>
          </cell>
          <cell r="J284">
            <v>0</v>
          </cell>
        </row>
        <row r="285">
          <cell r="B285" t="str">
            <v>1-7244</v>
          </cell>
          <cell r="C285" t="str">
            <v>AD Fixture Office,Class&amp;Boardi</v>
          </cell>
          <cell r="D285" t="str">
            <v>240,382,143.82cr</v>
          </cell>
          <cell r="E285">
            <v>0</v>
          </cell>
          <cell r="F285">
            <v>0</v>
          </cell>
          <cell r="G285">
            <v>2006429</v>
          </cell>
          <cell r="H285" t="str">
            <v>2,006,429.00cr</v>
          </cell>
          <cell r="I285" t="str">
            <v>242,388,572.82cr</v>
          </cell>
          <cell r="J285">
            <v>0</v>
          </cell>
        </row>
        <row r="286">
          <cell r="B286" t="str">
            <v>1-7245</v>
          </cell>
          <cell r="C286" t="str">
            <v>AD Fixture Teaching</v>
          </cell>
          <cell r="D286" t="str">
            <v>10,987,476.99cr</v>
          </cell>
          <cell r="E286">
            <v>0</v>
          </cell>
          <cell r="F286">
            <v>0</v>
          </cell>
          <cell r="G286">
            <v>396100</v>
          </cell>
          <cell r="H286" t="str">
            <v>396,100.00cr</v>
          </cell>
          <cell r="I286" t="str">
            <v>11,383,576.99cr</v>
          </cell>
          <cell r="J286">
            <v>0</v>
          </cell>
        </row>
        <row r="287">
          <cell r="B287" t="str">
            <v>1-7246</v>
          </cell>
          <cell r="C287" t="str">
            <v>AD Fixture Kitchen &amp; Laundry</v>
          </cell>
          <cell r="D287" t="str">
            <v>49,757,989.32cr</v>
          </cell>
          <cell r="E287">
            <v>0</v>
          </cell>
          <cell r="F287">
            <v>0</v>
          </cell>
          <cell r="G287">
            <v>415099.5</v>
          </cell>
          <cell r="H287" t="str">
            <v>415,099.50cr</v>
          </cell>
          <cell r="I287" t="str">
            <v>50,173,088.82cr</v>
          </cell>
          <cell r="J287">
            <v>0</v>
          </cell>
        </row>
        <row r="288">
          <cell r="B288" t="str">
            <v>1-7247</v>
          </cell>
          <cell r="C288" t="str">
            <v>AD Fixture Cleaning &amp; Maintena</v>
          </cell>
          <cell r="D288" t="str">
            <v>23,461,690.83cr</v>
          </cell>
          <cell r="E288">
            <v>0</v>
          </cell>
          <cell r="F288">
            <v>0</v>
          </cell>
          <cell r="G288">
            <v>416067</v>
          </cell>
          <cell r="H288" t="str">
            <v>416,067.00cr</v>
          </cell>
          <cell r="I288" t="str">
            <v>23,877,757.83cr</v>
          </cell>
          <cell r="J288">
            <v>0</v>
          </cell>
        </row>
        <row r="289">
          <cell r="B289" t="str">
            <v>1-7248</v>
          </cell>
          <cell r="C289" t="str">
            <v>AD Fixture Sport &amp; Healty</v>
          </cell>
          <cell r="D289" t="str">
            <v>14,170,340.14cr</v>
          </cell>
          <cell r="E289">
            <v>0</v>
          </cell>
          <cell r="F289">
            <v>0</v>
          </cell>
          <cell r="G289">
            <v>176266.67</v>
          </cell>
          <cell r="H289" t="str">
            <v>176,266.67cr</v>
          </cell>
          <cell r="I289" t="str">
            <v>14,346,606.81cr</v>
          </cell>
          <cell r="J289">
            <v>0</v>
          </cell>
        </row>
        <row r="290">
          <cell r="B290" t="str">
            <v>1-7249</v>
          </cell>
          <cell r="C290" t="str">
            <v>AD Fixture Others</v>
          </cell>
          <cell r="D290" t="str">
            <v>81,754,994.16cr</v>
          </cell>
          <cell r="E290">
            <v>0</v>
          </cell>
          <cell r="F290">
            <v>0</v>
          </cell>
          <cell r="G290">
            <v>1579211.33</v>
          </cell>
          <cell r="H290" t="str">
            <v>1,579,211.33cr</v>
          </cell>
          <cell r="I290" t="str">
            <v>83,334,205.49cr</v>
          </cell>
          <cell r="J290">
            <v>0</v>
          </cell>
        </row>
        <row r="291">
          <cell r="B291" t="str">
            <v>1-7250</v>
          </cell>
          <cell r="C291" t="str">
            <v>Accumulat Depreciation Vahicle</v>
          </cell>
          <cell r="D291">
            <v>0</v>
          </cell>
          <cell r="E291">
            <v>0</v>
          </cell>
          <cell r="F291">
            <v>0</v>
          </cell>
          <cell r="G291">
            <v>0</v>
          </cell>
          <cell r="H291">
            <v>0</v>
          </cell>
          <cell r="I291">
            <v>0</v>
          </cell>
          <cell r="J291">
            <v>0</v>
          </cell>
        </row>
        <row r="292">
          <cell r="B292" t="str">
            <v>1-7251</v>
          </cell>
          <cell r="C292" t="str">
            <v>Acc. Dep. Vehicle Car</v>
          </cell>
          <cell r="D292" t="str">
            <v>125,344,791.62cr</v>
          </cell>
          <cell r="E292">
            <v>0</v>
          </cell>
          <cell r="F292">
            <v>0</v>
          </cell>
          <cell r="G292">
            <v>3919270.83</v>
          </cell>
          <cell r="H292" t="str">
            <v>3,919,270.83cr</v>
          </cell>
          <cell r="I292" t="str">
            <v>129,264,062.45cr</v>
          </cell>
          <cell r="J292">
            <v>0</v>
          </cell>
        </row>
        <row r="293">
          <cell r="B293" t="str">
            <v>1-7252</v>
          </cell>
          <cell r="C293" t="str">
            <v>Acc. Dep. Vehicle motorcycle</v>
          </cell>
          <cell r="D293" t="str">
            <v>1,867,187.50cr</v>
          </cell>
          <cell r="E293">
            <v>0</v>
          </cell>
          <cell r="F293">
            <v>0</v>
          </cell>
          <cell r="G293">
            <v>0</v>
          </cell>
          <cell r="H293">
            <v>0</v>
          </cell>
          <cell r="I293" t="str">
            <v>1,867,187.50cr</v>
          </cell>
          <cell r="J293">
            <v>0</v>
          </cell>
        </row>
        <row r="294">
          <cell r="B294" t="str">
            <v>1-7253</v>
          </cell>
          <cell r="C294" t="str">
            <v>Acc. Dep. Vehicle Bicycle</v>
          </cell>
          <cell r="D294" t="str">
            <v>204,166.67cr</v>
          </cell>
          <cell r="E294">
            <v>0</v>
          </cell>
          <cell r="F294">
            <v>0</v>
          </cell>
          <cell r="G294">
            <v>0</v>
          </cell>
          <cell r="H294">
            <v>0</v>
          </cell>
          <cell r="I294" t="str">
            <v>204,166.67cr</v>
          </cell>
          <cell r="J294">
            <v>0</v>
          </cell>
        </row>
        <row r="295">
          <cell r="B295" t="str">
            <v>1-7260</v>
          </cell>
          <cell r="C295" t="str">
            <v>Acc.Dep.Library material &amp;book</v>
          </cell>
          <cell r="D295">
            <v>0</v>
          </cell>
          <cell r="E295">
            <v>0</v>
          </cell>
          <cell r="F295">
            <v>0</v>
          </cell>
          <cell r="G295">
            <v>0</v>
          </cell>
          <cell r="H295">
            <v>0</v>
          </cell>
          <cell r="I295">
            <v>0</v>
          </cell>
          <cell r="J295">
            <v>0</v>
          </cell>
        </row>
        <row r="296">
          <cell r="B296" t="str">
            <v>1-7261</v>
          </cell>
          <cell r="C296" t="str">
            <v>AD Library Material &amp;Book book</v>
          </cell>
          <cell r="D296" t="str">
            <v>29,165,154.25cr</v>
          </cell>
          <cell r="E296">
            <v>0</v>
          </cell>
          <cell r="F296">
            <v>0</v>
          </cell>
          <cell r="G296">
            <v>646650.32999999996</v>
          </cell>
          <cell r="H296" t="str">
            <v>646,650.33cr</v>
          </cell>
          <cell r="I296" t="str">
            <v>29,811,804.58cr</v>
          </cell>
          <cell r="J296">
            <v>0</v>
          </cell>
        </row>
        <row r="297">
          <cell r="B297" t="str">
            <v>1-7262</v>
          </cell>
          <cell r="C297" t="str">
            <v>AD Library Material &amp;Book CD</v>
          </cell>
          <cell r="D297" t="str">
            <v>1,252,996.89cr</v>
          </cell>
          <cell r="E297">
            <v>0</v>
          </cell>
          <cell r="F297">
            <v>0</v>
          </cell>
          <cell r="G297">
            <v>0</v>
          </cell>
          <cell r="H297">
            <v>0</v>
          </cell>
          <cell r="I297" t="str">
            <v>1,252,996.89cr</v>
          </cell>
          <cell r="J297">
            <v>0</v>
          </cell>
        </row>
        <row r="298">
          <cell r="B298" t="str">
            <v>1-7263</v>
          </cell>
          <cell r="C298" t="str">
            <v>AD Library Material &amp;Book Digi</v>
          </cell>
          <cell r="D298" t="str">
            <v>6,284,160.77cr</v>
          </cell>
          <cell r="E298">
            <v>0</v>
          </cell>
          <cell r="F298">
            <v>0</v>
          </cell>
          <cell r="G298">
            <v>0</v>
          </cell>
          <cell r="H298">
            <v>0</v>
          </cell>
          <cell r="I298" t="str">
            <v>6,284,160.77cr</v>
          </cell>
          <cell r="J298">
            <v>0</v>
          </cell>
        </row>
        <row r="299">
          <cell r="B299" t="str">
            <v>1-7290</v>
          </cell>
          <cell r="C299" t="str">
            <v>Accumulated Depreciation Other</v>
          </cell>
          <cell r="D299">
            <v>0</v>
          </cell>
          <cell r="E299">
            <v>0</v>
          </cell>
          <cell r="F299">
            <v>0</v>
          </cell>
          <cell r="G299">
            <v>0</v>
          </cell>
          <cell r="H299">
            <v>0</v>
          </cell>
          <cell r="I299">
            <v>0</v>
          </cell>
          <cell r="J299">
            <v>0</v>
          </cell>
        </row>
        <row r="300">
          <cell r="B300" t="str">
            <v>1-7291</v>
          </cell>
          <cell r="C300" t="str">
            <v>Acc.Depr. Other Software</v>
          </cell>
          <cell r="D300" t="str">
            <v>21,543,611.18cr</v>
          </cell>
          <cell r="E300">
            <v>0</v>
          </cell>
          <cell r="F300">
            <v>0</v>
          </cell>
          <cell r="G300">
            <v>675232.27</v>
          </cell>
          <cell r="H300" t="str">
            <v>675,232.27cr</v>
          </cell>
          <cell r="I300" t="str">
            <v>22,218,843.45cr</v>
          </cell>
          <cell r="J300">
            <v>0</v>
          </cell>
        </row>
        <row r="301">
          <cell r="B301" t="str">
            <v>1-8110</v>
          </cell>
          <cell r="C301" t="str">
            <v>Jaminan Thrid Parties</v>
          </cell>
          <cell r="D301">
            <v>0</v>
          </cell>
          <cell r="E301">
            <v>0</v>
          </cell>
          <cell r="F301">
            <v>0</v>
          </cell>
          <cell r="G301">
            <v>0</v>
          </cell>
          <cell r="H301">
            <v>0</v>
          </cell>
          <cell r="I301">
            <v>0</v>
          </cell>
          <cell r="J301">
            <v>0</v>
          </cell>
        </row>
        <row r="302">
          <cell r="B302" t="str">
            <v>1-8111</v>
          </cell>
          <cell r="C302" t="str">
            <v>Guarantee - PLN</v>
          </cell>
          <cell r="D302">
            <v>3935000</v>
          </cell>
          <cell r="E302">
            <v>0</v>
          </cell>
          <cell r="F302">
            <v>0</v>
          </cell>
          <cell r="G302">
            <v>0</v>
          </cell>
          <cell r="H302">
            <v>0</v>
          </cell>
          <cell r="I302">
            <v>3935000</v>
          </cell>
          <cell r="J302">
            <v>0</v>
          </cell>
        </row>
        <row r="303">
          <cell r="B303" t="str">
            <v>1-8112</v>
          </cell>
          <cell r="C303" t="str">
            <v>Guarantee - Telkom</v>
          </cell>
          <cell r="D303">
            <v>0</v>
          </cell>
          <cell r="E303">
            <v>0</v>
          </cell>
          <cell r="F303">
            <v>0</v>
          </cell>
          <cell r="G303">
            <v>0</v>
          </cell>
          <cell r="H303">
            <v>0</v>
          </cell>
          <cell r="I303">
            <v>0</v>
          </cell>
          <cell r="J303">
            <v>0</v>
          </cell>
        </row>
        <row r="304">
          <cell r="B304" t="str">
            <v>1-8113</v>
          </cell>
          <cell r="C304" t="str">
            <v>Guarantee - Education</v>
          </cell>
          <cell r="D304">
            <v>1500000</v>
          </cell>
          <cell r="E304">
            <v>0</v>
          </cell>
          <cell r="F304">
            <v>0</v>
          </cell>
          <cell r="G304">
            <v>0</v>
          </cell>
          <cell r="H304">
            <v>0</v>
          </cell>
          <cell r="I304">
            <v>1500000</v>
          </cell>
          <cell r="J304">
            <v>0</v>
          </cell>
        </row>
        <row r="305">
          <cell r="B305" t="str">
            <v>1-8120</v>
          </cell>
          <cell r="C305" t="str">
            <v>Biaya yang ditangguhkan</v>
          </cell>
          <cell r="D305">
            <v>0</v>
          </cell>
          <cell r="E305">
            <v>0</v>
          </cell>
          <cell r="F305">
            <v>0</v>
          </cell>
          <cell r="G305">
            <v>0</v>
          </cell>
          <cell r="H305">
            <v>0</v>
          </cell>
          <cell r="I305">
            <v>0</v>
          </cell>
          <cell r="J305">
            <v>0</v>
          </cell>
        </row>
        <row r="306">
          <cell r="B306" t="str">
            <v>1-8121</v>
          </cell>
          <cell r="C306" t="str">
            <v>Deffred Expense-pra operasiona</v>
          </cell>
          <cell r="D306">
            <v>0</v>
          </cell>
          <cell r="E306">
            <v>0</v>
          </cell>
          <cell r="F306">
            <v>0</v>
          </cell>
          <cell r="G306">
            <v>0</v>
          </cell>
          <cell r="H306">
            <v>0</v>
          </cell>
          <cell r="I306">
            <v>0</v>
          </cell>
          <cell r="J306">
            <v>0</v>
          </cell>
        </row>
        <row r="307">
          <cell r="B307" t="str">
            <v>1-8130</v>
          </cell>
          <cell r="C307" t="str">
            <v>Aktiva Tetap yang tdk digunaka</v>
          </cell>
          <cell r="D307">
            <v>0</v>
          </cell>
          <cell r="E307">
            <v>0</v>
          </cell>
          <cell r="F307">
            <v>0</v>
          </cell>
          <cell r="G307">
            <v>0</v>
          </cell>
          <cell r="H307">
            <v>0</v>
          </cell>
          <cell r="I307">
            <v>0</v>
          </cell>
          <cell r="J307">
            <v>0</v>
          </cell>
        </row>
        <row r="308">
          <cell r="B308" t="str">
            <v>1-8131</v>
          </cell>
          <cell r="C308" t="str">
            <v>Unused - Land &amp; Building</v>
          </cell>
          <cell r="D308">
            <v>0</v>
          </cell>
          <cell r="E308">
            <v>0</v>
          </cell>
          <cell r="F308">
            <v>0</v>
          </cell>
          <cell r="G308">
            <v>0</v>
          </cell>
          <cell r="H308">
            <v>0</v>
          </cell>
          <cell r="I308">
            <v>0</v>
          </cell>
          <cell r="J308">
            <v>0</v>
          </cell>
        </row>
        <row r="309">
          <cell r="B309" t="str">
            <v>1-8132</v>
          </cell>
          <cell r="C309" t="str">
            <v>Unused - Infrasturcture</v>
          </cell>
          <cell r="D309">
            <v>0</v>
          </cell>
          <cell r="E309">
            <v>0</v>
          </cell>
          <cell r="F309">
            <v>0</v>
          </cell>
          <cell r="G309">
            <v>0</v>
          </cell>
          <cell r="H309">
            <v>0</v>
          </cell>
          <cell r="I309">
            <v>0</v>
          </cell>
          <cell r="J309">
            <v>0</v>
          </cell>
        </row>
        <row r="310">
          <cell r="B310" t="str">
            <v>1-8133</v>
          </cell>
          <cell r="C310" t="str">
            <v>Unused - Equipment</v>
          </cell>
          <cell r="D310">
            <v>0</v>
          </cell>
          <cell r="E310">
            <v>0</v>
          </cell>
          <cell r="F310">
            <v>0</v>
          </cell>
          <cell r="G310">
            <v>0</v>
          </cell>
          <cell r="H310">
            <v>0</v>
          </cell>
          <cell r="I310">
            <v>0</v>
          </cell>
          <cell r="J310">
            <v>0</v>
          </cell>
        </row>
        <row r="311">
          <cell r="B311" t="str">
            <v>1-8134</v>
          </cell>
          <cell r="C311" t="str">
            <v>Unused - Furniture &amp; fixture</v>
          </cell>
          <cell r="D311">
            <v>0</v>
          </cell>
          <cell r="E311">
            <v>0</v>
          </cell>
          <cell r="F311">
            <v>0</v>
          </cell>
          <cell r="G311">
            <v>0</v>
          </cell>
          <cell r="H311">
            <v>0</v>
          </cell>
          <cell r="I311">
            <v>0</v>
          </cell>
          <cell r="J311">
            <v>0</v>
          </cell>
        </row>
        <row r="312">
          <cell r="B312" t="str">
            <v>1-8135</v>
          </cell>
          <cell r="C312" t="str">
            <v>Unused - Vehicle</v>
          </cell>
          <cell r="D312">
            <v>0</v>
          </cell>
          <cell r="E312">
            <v>0</v>
          </cell>
          <cell r="F312">
            <v>0</v>
          </cell>
          <cell r="G312">
            <v>0</v>
          </cell>
          <cell r="H312">
            <v>0</v>
          </cell>
          <cell r="I312">
            <v>0</v>
          </cell>
          <cell r="J312">
            <v>0</v>
          </cell>
        </row>
        <row r="313">
          <cell r="B313" t="str">
            <v>1-8136</v>
          </cell>
          <cell r="C313" t="str">
            <v>Unused - Library material &amp; bo</v>
          </cell>
          <cell r="D313">
            <v>0</v>
          </cell>
          <cell r="E313">
            <v>0</v>
          </cell>
          <cell r="F313">
            <v>0</v>
          </cell>
          <cell r="G313">
            <v>0</v>
          </cell>
          <cell r="H313">
            <v>0</v>
          </cell>
          <cell r="I313">
            <v>0</v>
          </cell>
          <cell r="J313">
            <v>0</v>
          </cell>
        </row>
        <row r="314">
          <cell r="B314" t="str">
            <v>1-8137</v>
          </cell>
          <cell r="C314" t="str">
            <v>Unused - Others Fixed Assets</v>
          </cell>
          <cell r="D314">
            <v>0</v>
          </cell>
          <cell r="E314">
            <v>0</v>
          </cell>
          <cell r="F314">
            <v>0</v>
          </cell>
          <cell r="G314">
            <v>0</v>
          </cell>
          <cell r="H314">
            <v>0</v>
          </cell>
          <cell r="I314">
            <v>0</v>
          </cell>
          <cell r="J314">
            <v>0</v>
          </cell>
        </row>
        <row r="315">
          <cell r="B315" t="str">
            <v>1-8140</v>
          </cell>
          <cell r="C315" t="str">
            <v>Aktiva lain pendidikan lain2</v>
          </cell>
          <cell r="D315">
            <v>0</v>
          </cell>
          <cell r="E315">
            <v>0</v>
          </cell>
          <cell r="F315">
            <v>0</v>
          </cell>
          <cell r="G315">
            <v>0</v>
          </cell>
          <cell r="H315">
            <v>0</v>
          </cell>
          <cell r="I315">
            <v>0</v>
          </cell>
          <cell r="J315">
            <v>0</v>
          </cell>
        </row>
        <row r="316">
          <cell r="B316" t="str">
            <v>1-8141</v>
          </cell>
          <cell r="C316" t="str">
            <v>Prepaid Long term Rent</v>
          </cell>
          <cell r="D316">
            <v>0</v>
          </cell>
          <cell r="E316">
            <v>0</v>
          </cell>
          <cell r="F316">
            <v>0</v>
          </cell>
          <cell r="G316">
            <v>0</v>
          </cell>
          <cell r="H316">
            <v>0</v>
          </cell>
          <cell r="I316">
            <v>0</v>
          </cell>
          <cell r="J316">
            <v>0</v>
          </cell>
        </row>
        <row r="317">
          <cell r="B317" t="str">
            <v>1-8142</v>
          </cell>
          <cell r="C317" t="str">
            <v>Deffred Tax Assets</v>
          </cell>
          <cell r="D317">
            <v>0</v>
          </cell>
          <cell r="E317">
            <v>0</v>
          </cell>
          <cell r="F317">
            <v>0</v>
          </cell>
          <cell r="G317">
            <v>0</v>
          </cell>
          <cell r="H317">
            <v>0</v>
          </cell>
          <cell r="I317">
            <v>0</v>
          </cell>
          <cell r="J317">
            <v>0</v>
          </cell>
        </row>
        <row r="318">
          <cell r="B318" t="str">
            <v>2-1110</v>
          </cell>
          <cell r="C318" t="str">
            <v>Hutang Buku 1</v>
          </cell>
          <cell r="D318">
            <v>0</v>
          </cell>
          <cell r="E318">
            <v>0</v>
          </cell>
          <cell r="F318">
            <v>0</v>
          </cell>
          <cell r="G318">
            <v>0</v>
          </cell>
          <cell r="H318">
            <v>0</v>
          </cell>
          <cell r="I318">
            <v>0</v>
          </cell>
          <cell r="J318">
            <v>0</v>
          </cell>
        </row>
        <row r="319">
          <cell r="B319" t="str">
            <v>2-1111</v>
          </cell>
          <cell r="C319" t="str">
            <v>Afiffah - Bangil</v>
          </cell>
          <cell r="D319">
            <v>0</v>
          </cell>
          <cell r="E319">
            <v>0</v>
          </cell>
          <cell r="F319">
            <v>0</v>
          </cell>
          <cell r="G319">
            <v>0</v>
          </cell>
          <cell r="H319">
            <v>0</v>
          </cell>
          <cell r="I319">
            <v>0</v>
          </cell>
          <cell r="J319">
            <v>0</v>
          </cell>
        </row>
        <row r="320">
          <cell r="B320" t="str">
            <v>2-1112</v>
          </cell>
          <cell r="C320" t="str">
            <v>Afifi - Yogyakarta</v>
          </cell>
          <cell r="D320">
            <v>0</v>
          </cell>
          <cell r="E320">
            <v>0</v>
          </cell>
          <cell r="F320">
            <v>0</v>
          </cell>
          <cell r="G320">
            <v>0</v>
          </cell>
          <cell r="H320">
            <v>0</v>
          </cell>
          <cell r="I320">
            <v>0</v>
          </cell>
          <cell r="J320">
            <v>0</v>
          </cell>
        </row>
        <row r="321">
          <cell r="B321" t="str">
            <v>2-1113</v>
          </cell>
          <cell r="C321" t="str">
            <v>El Data - Jakarta</v>
          </cell>
          <cell r="D321">
            <v>0</v>
          </cell>
          <cell r="E321">
            <v>0</v>
          </cell>
          <cell r="F321">
            <v>0</v>
          </cell>
          <cell r="G321">
            <v>0</v>
          </cell>
          <cell r="H321">
            <v>0</v>
          </cell>
          <cell r="I321">
            <v>0</v>
          </cell>
          <cell r="J321">
            <v>0</v>
          </cell>
        </row>
        <row r="322">
          <cell r="B322" t="str">
            <v>2-1114</v>
          </cell>
          <cell r="C322" t="str">
            <v>Toko Al Barokah - Solo</v>
          </cell>
          <cell r="D322">
            <v>0</v>
          </cell>
          <cell r="E322">
            <v>0</v>
          </cell>
          <cell r="F322">
            <v>0</v>
          </cell>
          <cell r="G322">
            <v>0</v>
          </cell>
          <cell r="H322">
            <v>0</v>
          </cell>
          <cell r="I322">
            <v>0</v>
          </cell>
          <cell r="J322">
            <v>0</v>
          </cell>
        </row>
        <row r="323">
          <cell r="B323" t="str">
            <v>2-1115</v>
          </cell>
          <cell r="C323" t="str">
            <v>Erlangga</v>
          </cell>
          <cell r="D323" t="str">
            <v>1,500,000.00cr</v>
          </cell>
          <cell r="E323">
            <v>0</v>
          </cell>
          <cell r="F323">
            <v>0</v>
          </cell>
          <cell r="G323">
            <v>0</v>
          </cell>
          <cell r="H323">
            <v>0</v>
          </cell>
          <cell r="I323" t="str">
            <v>1,500,000.00cr</v>
          </cell>
          <cell r="J323">
            <v>0</v>
          </cell>
        </row>
        <row r="324">
          <cell r="B324" t="str">
            <v>2-1116</v>
          </cell>
          <cell r="C324" t="str">
            <v>Yudistira</v>
          </cell>
          <cell r="D324">
            <v>0</v>
          </cell>
          <cell r="E324">
            <v>0</v>
          </cell>
          <cell r="F324">
            <v>0</v>
          </cell>
          <cell r="G324">
            <v>0</v>
          </cell>
          <cell r="H324">
            <v>0</v>
          </cell>
          <cell r="I324">
            <v>0</v>
          </cell>
          <cell r="J324">
            <v>0</v>
          </cell>
        </row>
        <row r="325">
          <cell r="B325" t="str">
            <v>2-1117</v>
          </cell>
          <cell r="C325" t="str">
            <v>Grasindo</v>
          </cell>
          <cell r="D325">
            <v>0</v>
          </cell>
          <cell r="E325">
            <v>0</v>
          </cell>
          <cell r="F325">
            <v>0</v>
          </cell>
          <cell r="G325">
            <v>0</v>
          </cell>
          <cell r="H325">
            <v>0</v>
          </cell>
          <cell r="I325">
            <v>0</v>
          </cell>
          <cell r="J325">
            <v>0</v>
          </cell>
        </row>
        <row r="326">
          <cell r="B326" t="str">
            <v>2-1118</v>
          </cell>
          <cell r="C326" t="str">
            <v>Aneka Ilmu</v>
          </cell>
          <cell r="D326" t="str">
            <v>2,093,025.00cr</v>
          </cell>
          <cell r="E326">
            <v>0</v>
          </cell>
          <cell r="F326">
            <v>0</v>
          </cell>
          <cell r="G326">
            <v>0</v>
          </cell>
          <cell r="H326">
            <v>0</v>
          </cell>
          <cell r="I326" t="str">
            <v>2,093,025.00cr</v>
          </cell>
          <cell r="J326">
            <v>0</v>
          </cell>
        </row>
        <row r="327">
          <cell r="B327" t="str">
            <v>2-1119</v>
          </cell>
          <cell r="C327" t="str">
            <v>Permata / Hasbona</v>
          </cell>
          <cell r="D327">
            <v>0</v>
          </cell>
          <cell r="E327">
            <v>0</v>
          </cell>
          <cell r="F327">
            <v>0</v>
          </cell>
          <cell r="G327">
            <v>0</v>
          </cell>
          <cell r="H327">
            <v>0</v>
          </cell>
          <cell r="I327">
            <v>0</v>
          </cell>
          <cell r="J327">
            <v>0</v>
          </cell>
        </row>
        <row r="328">
          <cell r="B328" t="str">
            <v>2-1120</v>
          </cell>
          <cell r="C328" t="str">
            <v>Hutang Buku 2</v>
          </cell>
          <cell r="D328">
            <v>0</v>
          </cell>
          <cell r="E328">
            <v>0</v>
          </cell>
          <cell r="F328">
            <v>0</v>
          </cell>
          <cell r="G328">
            <v>0</v>
          </cell>
          <cell r="H328">
            <v>0</v>
          </cell>
          <cell r="I328">
            <v>0</v>
          </cell>
          <cell r="J328">
            <v>0</v>
          </cell>
        </row>
        <row r="329">
          <cell r="B329" t="str">
            <v>2-1121</v>
          </cell>
          <cell r="C329" t="str">
            <v>Buku Bidang usaha</v>
          </cell>
          <cell r="D329">
            <v>0</v>
          </cell>
          <cell r="E329">
            <v>0</v>
          </cell>
          <cell r="F329">
            <v>0</v>
          </cell>
          <cell r="G329">
            <v>0</v>
          </cell>
          <cell r="H329">
            <v>0</v>
          </cell>
          <cell r="I329">
            <v>0</v>
          </cell>
          <cell r="J329">
            <v>0</v>
          </cell>
        </row>
        <row r="330">
          <cell r="B330" t="str">
            <v>2-1130</v>
          </cell>
          <cell r="C330" t="str">
            <v>Hutang Seragam</v>
          </cell>
          <cell r="D330">
            <v>0</v>
          </cell>
          <cell r="E330">
            <v>0</v>
          </cell>
          <cell r="F330">
            <v>0</v>
          </cell>
          <cell r="G330">
            <v>0</v>
          </cell>
          <cell r="H330">
            <v>0</v>
          </cell>
          <cell r="I330">
            <v>0</v>
          </cell>
          <cell r="J330">
            <v>0</v>
          </cell>
        </row>
        <row r="331">
          <cell r="B331" t="str">
            <v>2-1131</v>
          </cell>
          <cell r="C331" t="str">
            <v>Warsidiyanto - Sukoharjo</v>
          </cell>
          <cell r="D331">
            <v>0</v>
          </cell>
          <cell r="E331">
            <v>0</v>
          </cell>
          <cell r="F331">
            <v>0</v>
          </cell>
          <cell r="G331">
            <v>0</v>
          </cell>
          <cell r="H331">
            <v>0</v>
          </cell>
          <cell r="I331">
            <v>0</v>
          </cell>
          <cell r="J331">
            <v>0</v>
          </cell>
        </row>
        <row r="332">
          <cell r="B332" t="str">
            <v>2-1132</v>
          </cell>
          <cell r="C332" t="str">
            <v>Roba - Salatiga</v>
          </cell>
          <cell r="D332">
            <v>0</v>
          </cell>
          <cell r="E332">
            <v>0</v>
          </cell>
          <cell r="F332">
            <v>0</v>
          </cell>
          <cell r="G332">
            <v>0</v>
          </cell>
          <cell r="H332">
            <v>0</v>
          </cell>
          <cell r="I332">
            <v>0</v>
          </cell>
          <cell r="J332">
            <v>0</v>
          </cell>
        </row>
        <row r="333">
          <cell r="B333" t="str">
            <v>2-1140</v>
          </cell>
          <cell r="C333" t="str">
            <v>Hutang Dapur 1</v>
          </cell>
          <cell r="D333">
            <v>0</v>
          </cell>
          <cell r="E333">
            <v>0</v>
          </cell>
          <cell r="F333">
            <v>0</v>
          </cell>
          <cell r="G333">
            <v>0</v>
          </cell>
          <cell r="H333">
            <v>0</v>
          </cell>
          <cell r="I333">
            <v>0</v>
          </cell>
          <cell r="J333">
            <v>0</v>
          </cell>
        </row>
        <row r="334">
          <cell r="B334" t="str">
            <v>2-1141</v>
          </cell>
          <cell r="C334" t="str">
            <v>A/P Ibu Asrofi / Ibu Anik</v>
          </cell>
          <cell r="D334">
            <v>0</v>
          </cell>
          <cell r="E334">
            <v>0</v>
          </cell>
          <cell r="F334">
            <v>0</v>
          </cell>
          <cell r="G334">
            <v>0</v>
          </cell>
          <cell r="H334">
            <v>0</v>
          </cell>
          <cell r="I334">
            <v>0</v>
          </cell>
          <cell r="J334">
            <v>0</v>
          </cell>
        </row>
        <row r="335">
          <cell r="B335" t="str">
            <v>2-1142</v>
          </cell>
          <cell r="C335" t="str">
            <v>A/P Ibu Darmini</v>
          </cell>
          <cell r="D335">
            <v>0</v>
          </cell>
          <cell r="E335">
            <v>0</v>
          </cell>
          <cell r="F335">
            <v>0</v>
          </cell>
          <cell r="G335">
            <v>0</v>
          </cell>
          <cell r="H335">
            <v>0</v>
          </cell>
          <cell r="I335">
            <v>0</v>
          </cell>
          <cell r="J335">
            <v>0</v>
          </cell>
        </row>
        <row r="336">
          <cell r="B336" t="str">
            <v>2-1143</v>
          </cell>
          <cell r="C336" t="str">
            <v>A/P Ibu Legi</v>
          </cell>
          <cell r="D336">
            <v>0</v>
          </cell>
          <cell r="E336">
            <v>0</v>
          </cell>
          <cell r="F336">
            <v>0</v>
          </cell>
          <cell r="G336">
            <v>0</v>
          </cell>
          <cell r="H336">
            <v>0</v>
          </cell>
          <cell r="I336">
            <v>0</v>
          </cell>
          <cell r="J336">
            <v>0</v>
          </cell>
        </row>
        <row r="337">
          <cell r="B337" t="str">
            <v>2-1144</v>
          </cell>
          <cell r="C337" t="str">
            <v>A/P Ibu Masri</v>
          </cell>
          <cell r="D337">
            <v>0</v>
          </cell>
          <cell r="E337">
            <v>0</v>
          </cell>
          <cell r="F337">
            <v>0</v>
          </cell>
          <cell r="G337">
            <v>0</v>
          </cell>
          <cell r="H337">
            <v>0</v>
          </cell>
          <cell r="I337">
            <v>0</v>
          </cell>
          <cell r="J337">
            <v>0</v>
          </cell>
        </row>
        <row r="338">
          <cell r="B338" t="str">
            <v>2-1145</v>
          </cell>
          <cell r="C338" t="str">
            <v>A/P Ibu Pasinem</v>
          </cell>
          <cell r="D338">
            <v>0</v>
          </cell>
          <cell r="E338">
            <v>0</v>
          </cell>
          <cell r="F338">
            <v>0</v>
          </cell>
          <cell r="G338">
            <v>0</v>
          </cell>
          <cell r="H338">
            <v>0</v>
          </cell>
          <cell r="I338">
            <v>0</v>
          </cell>
          <cell r="J338">
            <v>0</v>
          </cell>
        </row>
        <row r="339">
          <cell r="B339" t="str">
            <v>2-1146</v>
          </cell>
          <cell r="C339" t="str">
            <v>A/P Ibu Ro'fi</v>
          </cell>
          <cell r="D339">
            <v>0</v>
          </cell>
          <cell r="E339">
            <v>0</v>
          </cell>
          <cell r="F339">
            <v>0</v>
          </cell>
          <cell r="G339">
            <v>0</v>
          </cell>
          <cell r="H339">
            <v>0</v>
          </cell>
          <cell r="I339">
            <v>0</v>
          </cell>
          <cell r="J339">
            <v>0</v>
          </cell>
        </row>
        <row r="340">
          <cell r="B340" t="str">
            <v>2-1147</v>
          </cell>
          <cell r="C340" t="str">
            <v>A/P Ibu Sih</v>
          </cell>
          <cell r="D340">
            <v>0</v>
          </cell>
          <cell r="E340">
            <v>0</v>
          </cell>
          <cell r="F340">
            <v>0</v>
          </cell>
          <cell r="G340">
            <v>0</v>
          </cell>
          <cell r="H340">
            <v>0</v>
          </cell>
          <cell r="I340">
            <v>0</v>
          </cell>
          <cell r="J340">
            <v>0</v>
          </cell>
        </row>
        <row r="341">
          <cell r="B341" t="str">
            <v>2-1148</v>
          </cell>
          <cell r="C341" t="str">
            <v>A/P Ibu Ningsih</v>
          </cell>
          <cell r="D341">
            <v>0</v>
          </cell>
          <cell r="E341">
            <v>0</v>
          </cell>
          <cell r="F341">
            <v>0</v>
          </cell>
          <cell r="G341">
            <v>0</v>
          </cell>
          <cell r="H341">
            <v>0</v>
          </cell>
          <cell r="I341">
            <v>0</v>
          </cell>
          <cell r="J341">
            <v>0</v>
          </cell>
        </row>
        <row r="342">
          <cell r="B342" t="str">
            <v>2-1149</v>
          </cell>
          <cell r="C342" t="str">
            <v>A/P Ibu Tari</v>
          </cell>
          <cell r="D342">
            <v>0</v>
          </cell>
          <cell r="E342">
            <v>0</v>
          </cell>
          <cell r="F342">
            <v>0</v>
          </cell>
          <cell r="G342">
            <v>0</v>
          </cell>
          <cell r="H342">
            <v>0</v>
          </cell>
          <cell r="I342">
            <v>0</v>
          </cell>
          <cell r="J342">
            <v>0</v>
          </cell>
        </row>
        <row r="343">
          <cell r="B343" t="str">
            <v>2-1150</v>
          </cell>
          <cell r="C343" t="str">
            <v>Dapur 2</v>
          </cell>
          <cell r="D343">
            <v>0</v>
          </cell>
          <cell r="E343">
            <v>0</v>
          </cell>
          <cell r="F343">
            <v>0</v>
          </cell>
          <cell r="G343">
            <v>0</v>
          </cell>
          <cell r="H343">
            <v>0</v>
          </cell>
          <cell r="I343">
            <v>0</v>
          </cell>
          <cell r="J343">
            <v>0</v>
          </cell>
        </row>
        <row r="344">
          <cell r="B344" t="str">
            <v>2-1151</v>
          </cell>
          <cell r="C344" t="str">
            <v>A/P Ibu Wur</v>
          </cell>
          <cell r="D344">
            <v>0</v>
          </cell>
          <cell r="E344">
            <v>0</v>
          </cell>
          <cell r="F344">
            <v>0</v>
          </cell>
          <cell r="G344">
            <v>0</v>
          </cell>
          <cell r="H344">
            <v>0</v>
          </cell>
          <cell r="I344">
            <v>0</v>
          </cell>
          <cell r="J344">
            <v>0</v>
          </cell>
        </row>
        <row r="345">
          <cell r="B345" t="str">
            <v>2-1152</v>
          </cell>
          <cell r="C345" t="str">
            <v>A/P Jubidi / Bedi Hartanto</v>
          </cell>
          <cell r="D345">
            <v>0</v>
          </cell>
          <cell r="E345">
            <v>0</v>
          </cell>
          <cell r="F345">
            <v>0</v>
          </cell>
          <cell r="G345">
            <v>0</v>
          </cell>
          <cell r="H345">
            <v>0</v>
          </cell>
          <cell r="I345">
            <v>0</v>
          </cell>
          <cell r="J345">
            <v>0</v>
          </cell>
        </row>
        <row r="346">
          <cell r="B346" t="str">
            <v>2-1153</v>
          </cell>
          <cell r="C346" t="str">
            <v>A/P Pak Jurie / H. Tantie</v>
          </cell>
          <cell r="D346">
            <v>0</v>
          </cell>
          <cell r="E346">
            <v>0</v>
          </cell>
          <cell r="F346">
            <v>0</v>
          </cell>
          <cell r="G346">
            <v>0</v>
          </cell>
          <cell r="H346">
            <v>0</v>
          </cell>
          <cell r="I346">
            <v>0</v>
          </cell>
          <cell r="J346">
            <v>0</v>
          </cell>
        </row>
        <row r="347">
          <cell r="B347" t="str">
            <v>2-1154</v>
          </cell>
          <cell r="C347" t="str">
            <v>A/P Pak Munir</v>
          </cell>
          <cell r="D347">
            <v>0</v>
          </cell>
          <cell r="E347">
            <v>0</v>
          </cell>
          <cell r="F347">
            <v>0</v>
          </cell>
          <cell r="G347">
            <v>0</v>
          </cell>
          <cell r="H347">
            <v>0</v>
          </cell>
          <cell r="I347">
            <v>0</v>
          </cell>
          <cell r="J347">
            <v>0</v>
          </cell>
        </row>
        <row r="348">
          <cell r="B348" t="str">
            <v>2-1155</v>
          </cell>
          <cell r="C348" t="str">
            <v>A/P Pak Surya/ D. Suryadaya</v>
          </cell>
          <cell r="D348">
            <v>0</v>
          </cell>
          <cell r="E348">
            <v>0</v>
          </cell>
          <cell r="F348">
            <v>0</v>
          </cell>
          <cell r="G348">
            <v>0</v>
          </cell>
          <cell r="H348">
            <v>0</v>
          </cell>
          <cell r="I348">
            <v>0</v>
          </cell>
          <cell r="J348">
            <v>0</v>
          </cell>
        </row>
        <row r="349">
          <cell r="B349" t="str">
            <v>2-1156</v>
          </cell>
          <cell r="C349" t="str">
            <v>A/P Pak Warno / Suwarno</v>
          </cell>
          <cell r="D349">
            <v>0</v>
          </cell>
          <cell r="E349">
            <v>0</v>
          </cell>
          <cell r="F349">
            <v>0</v>
          </cell>
          <cell r="G349">
            <v>0</v>
          </cell>
          <cell r="H349">
            <v>0</v>
          </cell>
          <cell r="I349">
            <v>0</v>
          </cell>
          <cell r="J349">
            <v>0</v>
          </cell>
        </row>
        <row r="350">
          <cell r="B350" t="str">
            <v>2-1157</v>
          </cell>
          <cell r="C350" t="str">
            <v>A/P Pak Widodo / Siswanto</v>
          </cell>
          <cell r="D350">
            <v>0</v>
          </cell>
          <cell r="E350">
            <v>0</v>
          </cell>
          <cell r="F350">
            <v>0</v>
          </cell>
          <cell r="G350">
            <v>0</v>
          </cell>
          <cell r="H350">
            <v>0</v>
          </cell>
          <cell r="I350">
            <v>0</v>
          </cell>
          <cell r="J350">
            <v>0</v>
          </cell>
        </row>
        <row r="351">
          <cell r="B351" t="str">
            <v>2-1158</v>
          </cell>
          <cell r="C351" t="str">
            <v>A/P Beras To Mr. Thoriq Abdat</v>
          </cell>
          <cell r="D351" t="str">
            <v>17,350,000.00cr</v>
          </cell>
          <cell r="E351">
            <v>0</v>
          </cell>
          <cell r="F351">
            <v>78350000</v>
          </cell>
          <cell r="G351">
            <v>130723000</v>
          </cell>
          <cell r="H351" t="str">
            <v>52,373,000.00cr</v>
          </cell>
          <cell r="I351" t="str">
            <v>69,723,000.00cr</v>
          </cell>
          <cell r="J351">
            <v>0</v>
          </cell>
        </row>
        <row r="352">
          <cell r="B352" t="str">
            <v>2-1160</v>
          </cell>
          <cell r="C352" t="str">
            <v>Hutang Material Bangunan,mebel</v>
          </cell>
          <cell r="D352">
            <v>0</v>
          </cell>
          <cell r="E352">
            <v>0</v>
          </cell>
          <cell r="F352">
            <v>0</v>
          </cell>
          <cell r="G352">
            <v>0</v>
          </cell>
          <cell r="H352">
            <v>0</v>
          </cell>
          <cell r="I352">
            <v>0</v>
          </cell>
          <cell r="J352">
            <v>0</v>
          </cell>
        </row>
        <row r="353">
          <cell r="B353" t="str">
            <v>2-1161</v>
          </cell>
          <cell r="C353" t="str">
            <v>Toko Ambar Sari -Tengaran</v>
          </cell>
          <cell r="D353" t="str">
            <v>82,801,600.00cr</v>
          </cell>
          <cell r="E353">
            <v>0</v>
          </cell>
          <cell r="F353">
            <v>24141000</v>
          </cell>
          <cell r="G353">
            <v>37854600</v>
          </cell>
          <cell r="H353" t="str">
            <v>13,713,600.00cr</v>
          </cell>
          <cell r="I353" t="str">
            <v>96,515,200.00cr</v>
          </cell>
          <cell r="J353">
            <v>0</v>
          </cell>
        </row>
        <row r="354">
          <cell r="B354" t="str">
            <v>2-1162</v>
          </cell>
          <cell r="C354" t="str">
            <v>Toko Murah -Tengaran</v>
          </cell>
          <cell r="D354" t="str">
            <v>38,369,000.00cr</v>
          </cell>
          <cell r="E354">
            <v>0</v>
          </cell>
          <cell r="F354">
            <v>0</v>
          </cell>
          <cell r="G354">
            <v>0</v>
          </cell>
          <cell r="H354">
            <v>0</v>
          </cell>
          <cell r="I354" t="str">
            <v>38,369,000.00cr</v>
          </cell>
          <cell r="J354">
            <v>0</v>
          </cell>
        </row>
        <row r="355">
          <cell r="B355" t="str">
            <v>2-1163</v>
          </cell>
          <cell r="C355" t="str">
            <v>Toko Elang Muda - Salatiga</v>
          </cell>
          <cell r="D355" t="str">
            <v>4,300,000.00cr</v>
          </cell>
          <cell r="E355">
            <v>0</v>
          </cell>
          <cell r="F355">
            <v>30645500</v>
          </cell>
          <cell r="G355">
            <v>30645500</v>
          </cell>
          <cell r="H355">
            <v>0</v>
          </cell>
          <cell r="I355" t="str">
            <v>4,300,000.00cr</v>
          </cell>
          <cell r="J355">
            <v>0</v>
          </cell>
        </row>
        <row r="356">
          <cell r="B356" t="str">
            <v>2-1164</v>
          </cell>
          <cell r="C356" t="str">
            <v>Nadji Abdat</v>
          </cell>
          <cell r="D356">
            <v>0</v>
          </cell>
          <cell r="E356">
            <v>0</v>
          </cell>
          <cell r="F356">
            <v>0</v>
          </cell>
          <cell r="G356">
            <v>0</v>
          </cell>
          <cell r="H356">
            <v>0</v>
          </cell>
          <cell r="I356">
            <v>0</v>
          </cell>
          <cell r="J356">
            <v>0</v>
          </cell>
        </row>
        <row r="357">
          <cell r="B357" t="str">
            <v>2-1165</v>
          </cell>
          <cell r="C357" t="str">
            <v>Readymix - CV. Jati Kencana</v>
          </cell>
          <cell r="D357">
            <v>0</v>
          </cell>
          <cell r="E357">
            <v>0</v>
          </cell>
          <cell r="F357">
            <v>0</v>
          </cell>
          <cell r="G357">
            <v>0</v>
          </cell>
          <cell r="H357">
            <v>0</v>
          </cell>
          <cell r="I357">
            <v>0</v>
          </cell>
          <cell r="J357">
            <v>0</v>
          </cell>
        </row>
        <row r="358">
          <cell r="B358" t="str">
            <v>2-1166</v>
          </cell>
          <cell r="C358" t="str">
            <v>Haikal Besi - Banyuwangi</v>
          </cell>
          <cell r="D358">
            <v>0</v>
          </cell>
          <cell r="E358">
            <v>0</v>
          </cell>
          <cell r="F358">
            <v>0</v>
          </cell>
          <cell r="G358">
            <v>0</v>
          </cell>
          <cell r="H358">
            <v>0</v>
          </cell>
          <cell r="I358">
            <v>0</v>
          </cell>
          <cell r="J358">
            <v>0</v>
          </cell>
        </row>
        <row r="359">
          <cell r="B359" t="str">
            <v>2-1167</v>
          </cell>
          <cell r="C359" t="str">
            <v>Hafidz Thalib - Cat</v>
          </cell>
          <cell r="D359">
            <v>0</v>
          </cell>
          <cell r="E359">
            <v>0</v>
          </cell>
          <cell r="F359">
            <v>0</v>
          </cell>
          <cell r="G359">
            <v>0</v>
          </cell>
          <cell r="H359">
            <v>0</v>
          </cell>
          <cell r="I359">
            <v>0</v>
          </cell>
          <cell r="J359">
            <v>0</v>
          </cell>
        </row>
        <row r="360">
          <cell r="B360" t="str">
            <v>2-1170</v>
          </cell>
          <cell r="C360" t="str">
            <v>Hutang Material Bangunan,mebel</v>
          </cell>
          <cell r="D360">
            <v>0</v>
          </cell>
          <cell r="E360">
            <v>0</v>
          </cell>
          <cell r="F360">
            <v>0</v>
          </cell>
          <cell r="G360">
            <v>0</v>
          </cell>
          <cell r="H360">
            <v>0</v>
          </cell>
          <cell r="I360">
            <v>0</v>
          </cell>
          <cell r="J360">
            <v>0</v>
          </cell>
        </row>
        <row r="361">
          <cell r="B361" t="str">
            <v>2-1190</v>
          </cell>
          <cell r="C361" t="str">
            <v>Lain - Lain</v>
          </cell>
          <cell r="D361">
            <v>0</v>
          </cell>
          <cell r="E361">
            <v>0</v>
          </cell>
          <cell r="F361">
            <v>0</v>
          </cell>
          <cell r="G361">
            <v>0</v>
          </cell>
          <cell r="H361">
            <v>0</v>
          </cell>
          <cell r="I361">
            <v>0</v>
          </cell>
          <cell r="J361">
            <v>0</v>
          </cell>
        </row>
        <row r="362">
          <cell r="B362" t="str">
            <v>2-1210</v>
          </cell>
          <cell r="C362" t="str">
            <v>O/P Employees</v>
          </cell>
          <cell r="D362">
            <v>0</v>
          </cell>
          <cell r="E362">
            <v>0</v>
          </cell>
          <cell r="F362">
            <v>0</v>
          </cell>
          <cell r="G362">
            <v>0</v>
          </cell>
          <cell r="H362">
            <v>0</v>
          </cell>
          <cell r="I362">
            <v>0</v>
          </cell>
          <cell r="J362">
            <v>0</v>
          </cell>
        </row>
        <row r="363">
          <cell r="B363" t="str">
            <v>2-1211</v>
          </cell>
          <cell r="C363" t="str">
            <v>O/P Employees  Salary</v>
          </cell>
          <cell r="D363">
            <v>0</v>
          </cell>
          <cell r="E363">
            <v>0</v>
          </cell>
          <cell r="F363">
            <v>462226740</v>
          </cell>
          <cell r="G363">
            <v>462226740</v>
          </cell>
          <cell r="H363">
            <v>0</v>
          </cell>
          <cell r="I363">
            <v>0</v>
          </cell>
          <cell r="J363">
            <v>0</v>
          </cell>
        </row>
        <row r="364">
          <cell r="B364" t="str">
            <v>2-1212</v>
          </cell>
          <cell r="C364" t="str">
            <v>O/P Personel</v>
          </cell>
          <cell r="D364">
            <v>0</v>
          </cell>
          <cell r="E364">
            <v>0</v>
          </cell>
          <cell r="F364">
            <v>0</v>
          </cell>
          <cell r="G364">
            <v>0</v>
          </cell>
          <cell r="H364">
            <v>0</v>
          </cell>
          <cell r="I364">
            <v>0</v>
          </cell>
          <cell r="J364">
            <v>0</v>
          </cell>
        </row>
        <row r="365">
          <cell r="B365" t="str">
            <v>2-1220</v>
          </cell>
          <cell r="C365" t="str">
            <v>Hutang Santri</v>
          </cell>
          <cell r="D365">
            <v>0</v>
          </cell>
          <cell r="E365">
            <v>0</v>
          </cell>
          <cell r="F365">
            <v>0</v>
          </cell>
          <cell r="G365">
            <v>0</v>
          </cell>
          <cell r="H365">
            <v>0</v>
          </cell>
          <cell r="I365">
            <v>0</v>
          </cell>
          <cell r="J365">
            <v>0</v>
          </cell>
        </row>
        <row r="366">
          <cell r="B366" t="str">
            <v>2-1221</v>
          </cell>
          <cell r="C366" t="str">
            <v>O/P Students Honorarium</v>
          </cell>
          <cell r="D366">
            <v>0</v>
          </cell>
          <cell r="E366">
            <v>0</v>
          </cell>
          <cell r="F366">
            <v>0</v>
          </cell>
          <cell r="G366">
            <v>0</v>
          </cell>
          <cell r="H366">
            <v>0</v>
          </cell>
          <cell r="I366">
            <v>0</v>
          </cell>
          <cell r="J366">
            <v>0</v>
          </cell>
        </row>
        <row r="367">
          <cell r="B367" t="str">
            <v>2-1222</v>
          </cell>
          <cell r="C367" t="str">
            <v>O/P Students Scholarship</v>
          </cell>
          <cell r="D367">
            <v>0</v>
          </cell>
          <cell r="E367">
            <v>0</v>
          </cell>
          <cell r="F367">
            <v>0</v>
          </cell>
          <cell r="G367">
            <v>0</v>
          </cell>
          <cell r="H367">
            <v>0</v>
          </cell>
          <cell r="I367">
            <v>0</v>
          </cell>
          <cell r="J367">
            <v>0</v>
          </cell>
        </row>
        <row r="368">
          <cell r="B368" t="str">
            <v>2-1230</v>
          </cell>
          <cell r="C368" t="str">
            <v>Other AP Thrid Parties</v>
          </cell>
          <cell r="D368">
            <v>0</v>
          </cell>
          <cell r="E368">
            <v>0</v>
          </cell>
          <cell r="F368">
            <v>0</v>
          </cell>
          <cell r="G368">
            <v>0</v>
          </cell>
          <cell r="H368">
            <v>0</v>
          </cell>
          <cell r="I368">
            <v>0</v>
          </cell>
          <cell r="J368">
            <v>0</v>
          </cell>
        </row>
        <row r="369">
          <cell r="B369" t="str">
            <v>2-1239</v>
          </cell>
          <cell r="C369" t="str">
            <v>Other AP Thrid Parties</v>
          </cell>
          <cell r="D369" t="str">
            <v>2,500,526.20cr</v>
          </cell>
          <cell r="E369">
            <v>0</v>
          </cell>
          <cell r="F369">
            <v>0</v>
          </cell>
          <cell r="G369">
            <v>0</v>
          </cell>
          <cell r="H369">
            <v>0</v>
          </cell>
          <cell r="I369" t="str">
            <v>2,500,526.20cr</v>
          </cell>
          <cell r="J369">
            <v>0</v>
          </cell>
        </row>
        <row r="370">
          <cell r="B370" t="str">
            <v>2-1240</v>
          </cell>
          <cell r="C370" t="str">
            <v>Cost Claim</v>
          </cell>
          <cell r="D370">
            <v>0</v>
          </cell>
          <cell r="E370">
            <v>0</v>
          </cell>
          <cell r="F370">
            <v>0</v>
          </cell>
          <cell r="G370">
            <v>0</v>
          </cell>
          <cell r="H370">
            <v>0</v>
          </cell>
          <cell r="I370">
            <v>0</v>
          </cell>
          <cell r="J370">
            <v>0</v>
          </cell>
        </row>
        <row r="371">
          <cell r="B371" t="str">
            <v>2-1241</v>
          </cell>
          <cell r="C371" t="str">
            <v>piece Financing Auxiliary Ente</v>
          </cell>
          <cell r="D371" t="str">
            <v>18,188,000.00cr</v>
          </cell>
          <cell r="E371">
            <v>0</v>
          </cell>
          <cell r="F371">
            <v>18188000</v>
          </cell>
          <cell r="G371">
            <v>15630500</v>
          </cell>
          <cell r="H371">
            <v>2557500</v>
          </cell>
          <cell r="I371" t="str">
            <v>15,630,500.00cr</v>
          </cell>
          <cell r="J371">
            <v>0</v>
          </cell>
        </row>
        <row r="372">
          <cell r="B372" t="str">
            <v>2-1250</v>
          </cell>
          <cell r="C372" t="str">
            <v>Interfund</v>
          </cell>
          <cell r="D372">
            <v>0</v>
          </cell>
          <cell r="E372">
            <v>0</v>
          </cell>
          <cell r="F372">
            <v>0</v>
          </cell>
          <cell r="G372">
            <v>0</v>
          </cell>
          <cell r="H372">
            <v>0</v>
          </cell>
          <cell r="I372">
            <v>0</v>
          </cell>
          <cell r="J372">
            <v>0</v>
          </cell>
        </row>
        <row r="373">
          <cell r="B373" t="str">
            <v>2-1251</v>
          </cell>
          <cell r="C373" t="str">
            <v>O/P - Interfund Saving Student</v>
          </cell>
          <cell r="D373" t="str">
            <v>380,000,000.00cr</v>
          </cell>
          <cell r="E373">
            <v>0</v>
          </cell>
          <cell r="F373">
            <v>320000000</v>
          </cell>
          <cell r="G373">
            <v>180000000</v>
          </cell>
          <cell r="H373">
            <v>140000000</v>
          </cell>
          <cell r="I373" t="str">
            <v>240,000,000.00cr</v>
          </cell>
          <cell r="J373">
            <v>0</v>
          </cell>
        </row>
        <row r="374">
          <cell r="B374" t="str">
            <v>2-1252</v>
          </cell>
          <cell r="C374" t="str">
            <v>O/P - Interfund Auxiliary Ente</v>
          </cell>
          <cell r="D374" t="str">
            <v>340,000,000.00cr</v>
          </cell>
          <cell r="E374">
            <v>0</v>
          </cell>
          <cell r="F374">
            <v>340000000</v>
          </cell>
          <cell r="G374">
            <v>21986800</v>
          </cell>
          <cell r="H374">
            <v>318013200</v>
          </cell>
          <cell r="I374" t="str">
            <v>21,986,800.00cr</v>
          </cell>
          <cell r="J374">
            <v>0</v>
          </cell>
        </row>
        <row r="375">
          <cell r="B375" t="str">
            <v>2-1310</v>
          </cell>
          <cell r="C375" t="str">
            <v>GST Collected</v>
          </cell>
          <cell r="D375">
            <v>0</v>
          </cell>
          <cell r="E375">
            <v>0</v>
          </cell>
          <cell r="F375">
            <v>0</v>
          </cell>
          <cell r="G375">
            <v>0</v>
          </cell>
          <cell r="H375">
            <v>0</v>
          </cell>
          <cell r="I375">
            <v>0</v>
          </cell>
          <cell r="J375">
            <v>0</v>
          </cell>
        </row>
        <row r="376">
          <cell r="B376" t="str">
            <v>2-1330</v>
          </cell>
          <cell r="C376" t="str">
            <v>GST Paid</v>
          </cell>
          <cell r="D376">
            <v>0</v>
          </cell>
          <cell r="E376">
            <v>0</v>
          </cell>
          <cell r="F376">
            <v>0</v>
          </cell>
          <cell r="G376">
            <v>0</v>
          </cell>
          <cell r="H376">
            <v>0</v>
          </cell>
          <cell r="I376">
            <v>0</v>
          </cell>
          <cell r="J376">
            <v>0</v>
          </cell>
        </row>
        <row r="377">
          <cell r="B377" t="str">
            <v>2-1350</v>
          </cell>
          <cell r="C377" t="str">
            <v>Sales Tax Payable</v>
          </cell>
          <cell r="D377">
            <v>0</v>
          </cell>
          <cell r="E377">
            <v>0</v>
          </cell>
          <cell r="F377">
            <v>0</v>
          </cell>
          <cell r="G377">
            <v>0</v>
          </cell>
          <cell r="H377">
            <v>0</v>
          </cell>
          <cell r="I377">
            <v>0</v>
          </cell>
          <cell r="J377">
            <v>0</v>
          </cell>
        </row>
        <row r="378">
          <cell r="B378" t="str">
            <v>2-1360</v>
          </cell>
          <cell r="C378" t="str">
            <v>Import Duty Payable</v>
          </cell>
          <cell r="D378">
            <v>0</v>
          </cell>
          <cell r="E378">
            <v>0</v>
          </cell>
          <cell r="F378">
            <v>0</v>
          </cell>
          <cell r="G378">
            <v>0</v>
          </cell>
          <cell r="H378">
            <v>0</v>
          </cell>
          <cell r="I378">
            <v>0</v>
          </cell>
          <cell r="J378">
            <v>0</v>
          </cell>
        </row>
        <row r="379">
          <cell r="B379" t="str">
            <v>2-1370</v>
          </cell>
          <cell r="C379" t="str">
            <v>Voluntary Withholdings Payable</v>
          </cell>
          <cell r="D379">
            <v>0</v>
          </cell>
          <cell r="E379">
            <v>0</v>
          </cell>
          <cell r="F379">
            <v>0</v>
          </cell>
          <cell r="G379">
            <v>0</v>
          </cell>
          <cell r="H379">
            <v>0</v>
          </cell>
          <cell r="I379">
            <v>0</v>
          </cell>
          <cell r="J379">
            <v>0</v>
          </cell>
        </row>
        <row r="380">
          <cell r="B380" t="str">
            <v>2-1380</v>
          </cell>
          <cell r="C380" t="str">
            <v>ABN Withholdings Payable</v>
          </cell>
          <cell r="D380">
            <v>0</v>
          </cell>
          <cell r="E380">
            <v>0</v>
          </cell>
          <cell r="F380">
            <v>0</v>
          </cell>
          <cell r="G380">
            <v>0</v>
          </cell>
          <cell r="H380">
            <v>0</v>
          </cell>
          <cell r="I380">
            <v>0</v>
          </cell>
          <cell r="J380">
            <v>0</v>
          </cell>
        </row>
        <row r="381">
          <cell r="B381" t="str">
            <v>2-1390</v>
          </cell>
          <cell r="C381" t="str">
            <v>Luxury Car Tax Payable</v>
          </cell>
          <cell r="D381">
            <v>0</v>
          </cell>
          <cell r="E381">
            <v>0</v>
          </cell>
          <cell r="F381">
            <v>0</v>
          </cell>
          <cell r="G381">
            <v>0</v>
          </cell>
          <cell r="H381">
            <v>0</v>
          </cell>
          <cell r="I381">
            <v>0</v>
          </cell>
          <cell r="J381">
            <v>0</v>
          </cell>
        </row>
        <row r="382">
          <cell r="B382" t="str">
            <v>2-1410</v>
          </cell>
          <cell r="C382" t="str">
            <v>Payroll Deductions Payable</v>
          </cell>
          <cell r="D382">
            <v>0</v>
          </cell>
          <cell r="E382">
            <v>0</v>
          </cell>
          <cell r="F382">
            <v>0</v>
          </cell>
          <cell r="G382">
            <v>0</v>
          </cell>
          <cell r="H382">
            <v>0</v>
          </cell>
          <cell r="I382">
            <v>0</v>
          </cell>
          <cell r="J382">
            <v>0</v>
          </cell>
        </row>
        <row r="383">
          <cell r="B383" t="str">
            <v>2-1420</v>
          </cell>
          <cell r="C383" t="str">
            <v>PAYG Withholding Payable</v>
          </cell>
          <cell r="D383">
            <v>0</v>
          </cell>
          <cell r="E383">
            <v>0</v>
          </cell>
          <cell r="F383">
            <v>0</v>
          </cell>
          <cell r="G383">
            <v>0</v>
          </cell>
          <cell r="H383">
            <v>0</v>
          </cell>
          <cell r="I383">
            <v>0</v>
          </cell>
          <cell r="J383">
            <v>0</v>
          </cell>
        </row>
        <row r="384">
          <cell r="B384" t="str">
            <v>2-2110</v>
          </cell>
          <cell r="C384" t="str">
            <v>Short Term Investment Loan</v>
          </cell>
          <cell r="D384">
            <v>0</v>
          </cell>
          <cell r="E384">
            <v>0</v>
          </cell>
          <cell r="F384">
            <v>0</v>
          </cell>
          <cell r="G384">
            <v>0</v>
          </cell>
          <cell r="H384">
            <v>0</v>
          </cell>
          <cell r="I384">
            <v>0</v>
          </cell>
          <cell r="J384">
            <v>0</v>
          </cell>
        </row>
        <row r="385">
          <cell r="B385" t="str">
            <v>2-2120</v>
          </cell>
          <cell r="C385" t="str">
            <v>ST Fixed Asset Purchasing Loan</v>
          </cell>
          <cell r="D385">
            <v>0</v>
          </cell>
          <cell r="E385">
            <v>0</v>
          </cell>
          <cell r="F385">
            <v>0</v>
          </cell>
          <cell r="G385">
            <v>0</v>
          </cell>
          <cell r="H385">
            <v>0</v>
          </cell>
          <cell r="I385">
            <v>0</v>
          </cell>
          <cell r="J385">
            <v>0</v>
          </cell>
        </row>
        <row r="386">
          <cell r="B386" t="str">
            <v>2-2130</v>
          </cell>
          <cell r="C386" t="str">
            <v>Short Term Operasional Loan</v>
          </cell>
          <cell r="D386">
            <v>0</v>
          </cell>
          <cell r="E386">
            <v>0</v>
          </cell>
          <cell r="F386">
            <v>0</v>
          </cell>
          <cell r="G386">
            <v>0</v>
          </cell>
          <cell r="H386">
            <v>0</v>
          </cell>
          <cell r="I386">
            <v>0</v>
          </cell>
          <cell r="J386">
            <v>0</v>
          </cell>
        </row>
        <row r="387">
          <cell r="B387" t="str">
            <v>2-3110</v>
          </cell>
          <cell r="C387" t="str">
            <v>Saving Students</v>
          </cell>
          <cell r="D387">
            <v>0</v>
          </cell>
          <cell r="E387">
            <v>0</v>
          </cell>
          <cell r="F387">
            <v>0</v>
          </cell>
          <cell r="G387">
            <v>0</v>
          </cell>
          <cell r="H387">
            <v>0</v>
          </cell>
          <cell r="I387">
            <v>0</v>
          </cell>
          <cell r="J387">
            <v>0</v>
          </cell>
        </row>
        <row r="388">
          <cell r="B388" t="str">
            <v>2-3111</v>
          </cell>
          <cell r="C388" t="str">
            <v>Saving Students</v>
          </cell>
          <cell r="D388" t="str">
            <v>453,555,000.00cr</v>
          </cell>
          <cell r="E388">
            <v>0</v>
          </cell>
          <cell r="F388">
            <v>229698200</v>
          </cell>
          <cell r="G388">
            <v>431840800</v>
          </cell>
          <cell r="H388" t="str">
            <v>202,142,600.00cr</v>
          </cell>
          <cell r="I388" t="str">
            <v>655,697,600.00cr</v>
          </cell>
          <cell r="J388">
            <v>0</v>
          </cell>
        </row>
        <row r="389">
          <cell r="B389" t="str">
            <v>2-3120</v>
          </cell>
          <cell r="C389" t="str">
            <v>Student Deposit</v>
          </cell>
          <cell r="D389">
            <v>0</v>
          </cell>
          <cell r="E389">
            <v>0</v>
          </cell>
          <cell r="F389">
            <v>0</v>
          </cell>
          <cell r="G389">
            <v>0</v>
          </cell>
          <cell r="H389">
            <v>0</v>
          </cell>
          <cell r="I389">
            <v>0</v>
          </cell>
          <cell r="J389">
            <v>0</v>
          </cell>
        </row>
        <row r="390">
          <cell r="B390" t="str">
            <v>2-3121</v>
          </cell>
          <cell r="C390" t="str">
            <v>Student Deposit Uniform 13/14</v>
          </cell>
          <cell r="D390" t="str">
            <v>23,790,500.00cr</v>
          </cell>
          <cell r="E390">
            <v>0</v>
          </cell>
          <cell r="F390">
            <v>0</v>
          </cell>
          <cell r="G390">
            <v>0</v>
          </cell>
          <cell r="H390">
            <v>0</v>
          </cell>
          <cell r="I390" t="str">
            <v>23,790,500.00cr</v>
          </cell>
          <cell r="J390">
            <v>0</v>
          </cell>
        </row>
        <row r="391">
          <cell r="B391" t="str">
            <v>2-3122</v>
          </cell>
          <cell r="C391" t="str">
            <v>Excess Students Payment</v>
          </cell>
          <cell r="D391" t="str">
            <v>5,136,145.00cr</v>
          </cell>
          <cell r="E391">
            <v>0</v>
          </cell>
          <cell r="F391">
            <v>0</v>
          </cell>
          <cell r="G391">
            <v>0</v>
          </cell>
          <cell r="H391">
            <v>0</v>
          </cell>
          <cell r="I391" t="str">
            <v>5,136,145.00cr</v>
          </cell>
          <cell r="J391">
            <v>0</v>
          </cell>
        </row>
        <row r="392">
          <cell r="B392" t="str">
            <v>2-3123</v>
          </cell>
          <cell r="C392" t="str">
            <v>Student Deposit Tuition &amp; Fee</v>
          </cell>
          <cell r="D392" t="str">
            <v>171,561,000.00cr</v>
          </cell>
          <cell r="E392">
            <v>0</v>
          </cell>
          <cell r="F392">
            <v>15350000</v>
          </cell>
          <cell r="G392">
            <v>474770000</v>
          </cell>
          <cell r="H392" t="str">
            <v>459,420,000.00cr</v>
          </cell>
          <cell r="I392" t="str">
            <v>630,981,000.00cr</v>
          </cell>
          <cell r="J392">
            <v>0</v>
          </cell>
        </row>
        <row r="393">
          <cell r="B393" t="str">
            <v>2-3124</v>
          </cell>
          <cell r="C393" t="str">
            <v>Student Deposit Uniform 12/13</v>
          </cell>
          <cell r="D393" t="str">
            <v>17,760,000.00cr</v>
          </cell>
          <cell r="E393">
            <v>0</v>
          </cell>
          <cell r="F393">
            <v>0</v>
          </cell>
          <cell r="G393">
            <v>0</v>
          </cell>
          <cell r="H393">
            <v>0</v>
          </cell>
          <cell r="I393" t="str">
            <v>17,760,000.00cr</v>
          </cell>
          <cell r="J393">
            <v>0</v>
          </cell>
        </row>
        <row r="394">
          <cell r="B394" t="str">
            <v>2-3125</v>
          </cell>
          <cell r="C394" t="str">
            <v>Student Deposit Uniform 14/15</v>
          </cell>
          <cell r="D394" t="str">
            <v>32,932,000.00cr</v>
          </cell>
          <cell r="E394">
            <v>0</v>
          </cell>
          <cell r="F394">
            <v>0</v>
          </cell>
          <cell r="G394">
            <v>0</v>
          </cell>
          <cell r="H394">
            <v>0</v>
          </cell>
          <cell r="I394" t="str">
            <v>32,932,000.00cr</v>
          </cell>
          <cell r="J394">
            <v>0</v>
          </cell>
        </row>
        <row r="395">
          <cell r="B395" t="str">
            <v>2-3126</v>
          </cell>
          <cell r="C395" t="str">
            <v>Student deposit uniform 15/16</v>
          </cell>
          <cell r="D395" t="str">
            <v>991,540,000.00cr</v>
          </cell>
          <cell r="E395">
            <v>0</v>
          </cell>
          <cell r="F395">
            <v>19500000</v>
          </cell>
          <cell r="G395">
            <v>423365000</v>
          </cell>
          <cell r="H395" t="str">
            <v>403,865,000.00cr</v>
          </cell>
          <cell r="I395" t="str">
            <v>1,395,405,000.00cr</v>
          </cell>
          <cell r="J395">
            <v>0</v>
          </cell>
        </row>
        <row r="396">
          <cell r="B396" t="str">
            <v>2-3127</v>
          </cell>
          <cell r="C396" t="str">
            <v>Student deposit uniform 11/12</v>
          </cell>
          <cell r="D396">
            <v>0</v>
          </cell>
          <cell r="E396">
            <v>0</v>
          </cell>
          <cell r="F396">
            <v>0</v>
          </cell>
          <cell r="G396">
            <v>0</v>
          </cell>
          <cell r="H396">
            <v>0</v>
          </cell>
          <cell r="I396">
            <v>0</v>
          </cell>
          <cell r="J396">
            <v>0</v>
          </cell>
        </row>
        <row r="397">
          <cell r="B397" t="str">
            <v>2-3129</v>
          </cell>
          <cell r="C397" t="str">
            <v>Exit Student Excess Payment</v>
          </cell>
          <cell r="D397" t="str">
            <v>15,616,000.00cr</v>
          </cell>
          <cell r="E397">
            <v>0</v>
          </cell>
          <cell r="F397">
            <v>0</v>
          </cell>
          <cell r="G397">
            <v>0</v>
          </cell>
          <cell r="H397">
            <v>0</v>
          </cell>
          <cell r="I397" t="str">
            <v>15,616,000.00cr</v>
          </cell>
          <cell r="J397">
            <v>0</v>
          </cell>
        </row>
        <row r="398">
          <cell r="B398" t="str">
            <v>2-3130</v>
          </cell>
          <cell r="C398" t="str">
            <v>Titipan Kafil</v>
          </cell>
          <cell r="D398">
            <v>0</v>
          </cell>
          <cell r="E398">
            <v>0</v>
          </cell>
          <cell r="F398">
            <v>0</v>
          </cell>
          <cell r="G398">
            <v>0</v>
          </cell>
          <cell r="H398">
            <v>0</v>
          </cell>
          <cell r="I398">
            <v>0</v>
          </cell>
          <cell r="J398">
            <v>0</v>
          </cell>
        </row>
        <row r="399">
          <cell r="B399" t="str">
            <v>2-3131</v>
          </cell>
          <cell r="C399" t="str">
            <v>Excess sponsor payment</v>
          </cell>
          <cell r="D399" t="str">
            <v>36,558,500.00cr</v>
          </cell>
          <cell r="E399">
            <v>0</v>
          </cell>
          <cell r="F399">
            <v>0</v>
          </cell>
          <cell r="G399">
            <v>0</v>
          </cell>
          <cell r="H399">
            <v>0</v>
          </cell>
          <cell r="I399" t="str">
            <v>36,558,500.00cr</v>
          </cell>
          <cell r="J399">
            <v>0</v>
          </cell>
        </row>
        <row r="400">
          <cell r="B400" t="str">
            <v>2-3132</v>
          </cell>
          <cell r="C400" t="str">
            <v>Estimasi titipan bk&amp;srg 13/14</v>
          </cell>
          <cell r="D400">
            <v>0</v>
          </cell>
          <cell r="E400">
            <v>0</v>
          </cell>
          <cell r="F400">
            <v>0</v>
          </cell>
          <cell r="G400">
            <v>0</v>
          </cell>
          <cell r="H400">
            <v>0</v>
          </cell>
          <cell r="I400">
            <v>0</v>
          </cell>
          <cell r="J400">
            <v>0</v>
          </cell>
        </row>
        <row r="401">
          <cell r="B401" t="str">
            <v>2-3133</v>
          </cell>
          <cell r="C401" t="str">
            <v>Sponsor Deposit</v>
          </cell>
          <cell r="D401" t="str">
            <v>4,590,000.00cr</v>
          </cell>
          <cell r="E401">
            <v>0</v>
          </cell>
          <cell r="F401">
            <v>0</v>
          </cell>
          <cell r="G401">
            <v>0</v>
          </cell>
          <cell r="H401">
            <v>0</v>
          </cell>
          <cell r="I401" t="str">
            <v>4,590,000.00cr</v>
          </cell>
          <cell r="J401">
            <v>0</v>
          </cell>
        </row>
        <row r="402">
          <cell r="B402" t="str">
            <v>2-3140</v>
          </cell>
          <cell r="C402" t="str">
            <v>Titipan Karyawan</v>
          </cell>
          <cell r="D402">
            <v>0</v>
          </cell>
          <cell r="E402">
            <v>0</v>
          </cell>
          <cell r="F402">
            <v>0</v>
          </cell>
          <cell r="G402">
            <v>0</v>
          </cell>
          <cell r="H402">
            <v>0</v>
          </cell>
          <cell r="I402">
            <v>0</v>
          </cell>
          <cell r="J402">
            <v>0</v>
          </cell>
        </row>
        <row r="403">
          <cell r="B403" t="str">
            <v>2-3146</v>
          </cell>
          <cell r="C403" t="str">
            <v>New Account</v>
          </cell>
          <cell r="D403">
            <v>0</v>
          </cell>
          <cell r="E403">
            <v>0</v>
          </cell>
          <cell r="F403">
            <v>0</v>
          </cell>
          <cell r="G403">
            <v>0</v>
          </cell>
          <cell r="H403">
            <v>0</v>
          </cell>
          <cell r="I403">
            <v>0</v>
          </cell>
          <cell r="J403">
            <v>0</v>
          </cell>
        </row>
        <row r="404">
          <cell r="B404" t="str">
            <v>2-3150</v>
          </cell>
          <cell r="C404" t="str">
            <v>Titipan Thrid Party</v>
          </cell>
          <cell r="D404">
            <v>0</v>
          </cell>
          <cell r="E404">
            <v>0</v>
          </cell>
          <cell r="F404">
            <v>0</v>
          </cell>
          <cell r="G404">
            <v>0</v>
          </cell>
          <cell r="H404">
            <v>0</v>
          </cell>
          <cell r="I404">
            <v>0</v>
          </cell>
          <cell r="J404">
            <v>0</v>
          </cell>
        </row>
        <row r="405">
          <cell r="B405" t="str">
            <v>2-3151</v>
          </cell>
          <cell r="C405" t="str">
            <v>Aid Prosperity Goverment</v>
          </cell>
          <cell r="D405" t="str">
            <v>20,425,000.00cr</v>
          </cell>
          <cell r="E405">
            <v>0</v>
          </cell>
          <cell r="F405">
            <v>0</v>
          </cell>
          <cell r="G405">
            <v>0</v>
          </cell>
          <cell r="H405">
            <v>0</v>
          </cell>
          <cell r="I405" t="str">
            <v>20,425,000.00cr</v>
          </cell>
          <cell r="J405">
            <v>0</v>
          </cell>
        </row>
        <row r="406">
          <cell r="B406" t="str">
            <v>2-3152</v>
          </cell>
          <cell r="C406" t="str">
            <v>Change  Aid Prosperity Govern</v>
          </cell>
          <cell r="D406">
            <v>0</v>
          </cell>
          <cell r="E406">
            <v>0</v>
          </cell>
          <cell r="F406">
            <v>0</v>
          </cell>
          <cell r="G406">
            <v>0</v>
          </cell>
          <cell r="H406">
            <v>0</v>
          </cell>
          <cell r="I406">
            <v>0</v>
          </cell>
          <cell r="J406">
            <v>0</v>
          </cell>
        </row>
        <row r="407">
          <cell r="B407" t="str">
            <v>2-3159</v>
          </cell>
          <cell r="C407" t="str">
            <v>Others</v>
          </cell>
          <cell r="D407" t="str">
            <v>1,000,000.00cr</v>
          </cell>
          <cell r="E407">
            <v>0</v>
          </cell>
          <cell r="F407">
            <v>0</v>
          </cell>
          <cell r="G407">
            <v>0</v>
          </cell>
          <cell r="H407">
            <v>0</v>
          </cell>
          <cell r="I407" t="str">
            <v>1,000,000.00cr</v>
          </cell>
          <cell r="J407">
            <v>0</v>
          </cell>
        </row>
        <row r="408">
          <cell r="B408" t="str">
            <v>2-3160</v>
          </cell>
          <cell r="C408" t="str">
            <v>Bunga Bank</v>
          </cell>
          <cell r="D408">
            <v>0</v>
          </cell>
          <cell r="E408">
            <v>0</v>
          </cell>
          <cell r="F408">
            <v>0</v>
          </cell>
          <cell r="G408">
            <v>0</v>
          </cell>
          <cell r="H408">
            <v>0</v>
          </cell>
          <cell r="I408">
            <v>0</v>
          </cell>
          <cell r="J408">
            <v>0</v>
          </cell>
        </row>
        <row r="409">
          <cell r="B409" t="str">
            <v>2-3161</v>
          </cell>
          <cell r="C409" t="str">
            <v>Interest BCA Pesantren &amp; Fawai</v>
          </cell>
          <cell r="D409" t="str">
            <v>318,237,194.78cr</v>
          </cell>
          <cell r="E409">
            <v>0</v>
          </cell>
          <cell r="F409">
            <v>4400000</v>
          </cell>
          <cell r="G409">
            <v>3154874.99</v>
          </cell>
          <cell r="H409">
            <v>1245125.01</v>
          </cell>
          <cell r="I409" t="str">
            <v>316,992,069.77cr</v>
          </cell>
          <cell r="J409">
            <v>0</v>
          </cell>
        </row>
        <row r="410">
          <cell r="B410" t="str">
            <v>2-3162</v>
          </cell>
          <cell r="C410" t="str">
            <v>Interest Cimb Niaga</v>
          </cell>
          <cell r="D410" t="str">
            <v>9,113,996.41cr</v>
          </cell>
          <cell r="E410">
            <v>0</v>
          </cell>
          <cell r="F410">
            <v>0</v>
          </cell>
          <cell r="G410">
            <v>180933.29</v>
          </cell>
          <cell r="H410" t="str">
            <v>180,933.29cr</v>
          </cell>
          <cell r="I410" t="str">
            <v>9,294,929.70cr</v>
          </cell>
          <cell r="J410">
            <v>0</v>
          </cell>
        </row>
        <row r="411">
          <cell r="B411" t="str">
            <v>2-3163</v>
          </cell>
          <cell r="C411" t="str">
            <v>Interest BTN</v>
          </cell>
          <cell r="D411" t="str">
            <v>27,237,232.84cr</v>
          </cell>
          <cell r="E411">
            <v>0</v>
          </cell>
          <cell r="F411">
            <v>0</v>
          </cell>
          <cell r="G411">
            <v>327959.81</v>
          </cell>
          <cell r="H411" t="str">
            <v>327,959.81cr</v>
          </cell>
          <cell r="I411" t="str">
            <v>27,565,192.65cr</v>
          </cell>
          <cell r="J411">
            <v>0</v>
          </cell>
        </row>
        <row r="412">
          <cell r="B412" t="str">
            <v>2-3164</v>
          </cell>
          <cell r="C412" t="str">
            <v>Interest BRI BOS SDITQ &amp; BPD</v>
          </cell>
          <cell r="D412" t="str">
            <v>2,339,443.00cr</v>
          </cell>
          <cell r="E412">
            <v>0</v>
          </cell>
          <cell r="F412">
            <v>0</v>
          </cell>
          <cell r="G412">
            <v>97600</v>
          </cell>
          <cell r="H412" t="str">
            <v>97,600.00cr</v>
          </cell>
          <cell r="I412" t="str">
            <v>2,437,043.00cr</v>
          </cell>
          <cell r="J412">
            <v>0</v>
          </cell>
        </row>
        <row r="413">
          <cell r="B413" t="str">
            <v>2-3165</v>
          </cell>
          <cell r="C413" t="str">
            <v>Interest BRI BOS MTS</v>
          </cell>
          <cell r="D413" t="str">
            <v>26,997,552.95cr</v>
          </cell>
          <cell r="E413">
            <v>0</v>
          </cell>
          <cell r="F413">
            <v>0</v>
          </cell>
          <cell r="G413">
            <v>0</v>
          </cell>
          <cell r="H413">
            <v>0</v>
          </cell>
          <cell r="I413" t="str">
            <v>26,997,552.95cr</v>
          </cell>
          <cell r="J413">
            <v>0</v>
          </cell>
        </row>
        <row r="414">
          <cell r="B414" t="str">
            <v>2-3166</v>
          </cell>
          <cell r="C414" t="str">
            <v>Interest BRI BOM IM</v>
          </cell>
          <cell r="D414" t="str">
            <v>13,957,768.00cr</v>
          </cell>
          <cell r="E414">
            <v>0</v>
          </cell>
          <cell r="F414">
            <v>0</v>
          </cell>
          <cell r="G414">
            <v>0</v>
          </cell>
          <cell r="H414">
            <v>0</v>
          </cell>
          <cell r="I414" t="str">
            <v>13,957,768.00cr</v>
          </cell>
          <cell r="J414">
            <v>0</v>
          </cell>
        </row>
        <row r="415">
          <cell r="B415" t="str">
            <v>2-3167</v>
          </cell>
          <cell r="C415" t="str">
            <v>Interest BMT Sumber Usaha</v>
          </cell>
          <cell r="D415" t="str">
            <v>1,493,476.67cr</v>
          </cell>
          <cell r="E415">
            <v>0</v>
          </cell>
          <cell r="F415">
            <v>0</v>
          </cell>
          <cell r="G415">
            <v>0</v>
          </cell>
          <cell r="H415">
            <v>0</v>
          </cell>
          <cell r="I415" t="str">
            <v>1,493,476.67cr</v>
          </cell>
          <cell r="J415">
            <v>0</v>
          </cell>
        </row>
        <row r="416">
          <cell r="B416" t="str">
            <v>2-3168</v>
          </cell>
          <cell r="C416" t="str">
            <v>Interest BNI - Rp.</v>
          </cell>
          <cell r="D416" t="str">
            <v>7,873,994.00cr</v>
          </cell>
          <cell r="E416">
            <v>0</v>
          </cell>
          <cell r="F416">
            <v>0</v>
          </cell>
          <cell r="G416">
            <v>0</v>
          </cell>
          <cell r="H416">
            <v>0</v>
          </cell>
          <cell r="I416" t="str">
            <v>7,873,994.00cr</v>
          </cell>
          <cell r="J416">
            <v>0</v>
          </cell>
        </row>
        <row r="417">
          <cell r="B417" t="str">
            <v>2-3169</v>
          </cell>
          <cell r="C417" t="str">
            <v>Interest Thrid Party</v>
          </cell>
          <cell r="D417" t="str">
            <v>2,700,000.00cr</v>
          </cell>
          <cell r="E417">
            <v>0</v>
          </cell>
          <cell r="F417">
            <v>0</v>
          </cell>
          <cell r="G417">
            <v>0</v>
          </cell>
          <cell r="H417">
            <v>0</v>
          </cell>
          <cell r="I417" t="str">
            <v>2,700,000.00cr</v>
          </cell>
          <cell r="J417">
            <v>0</v>
          </cell>
        </row>
        <row r="418">
          <cell r="B418" t="str">
            <v>2-3170</v>
          </cell>
          <cell r="C418" t="str">
            <v>Kiriman Bank</v>
          </cell>
          <cell r="D418">
            <v>0</v>
          </cell>
          <cell r="E418">
            <v>0</v>
          </cell>
          <cell r="F418">
            <v>0</v>
          </cell>
          <cell r="G418">
            <v>0</v>
          </cell>
          <cell r="H418">
            <v>0</v>
          </cell>
          <cell r="I418">
            <v>0</v>
          </cell>
          <cell r="J418">
            <v>0</v>
          </cell>
        </row>
        <row r="419">
          <cell r="B419" t="str">
            <v>2-3171</v>
          </cell>
          <cell r="C419" t="str">
            <v>Bank Tranfers In - Pending</v>
          </cell>
          <cell r="D419" t="str">
            <v>746,688,232.00cr</v>
          </cell>
          <cell r="E419">
            <v>0</v>
          </cell>
          <cell r="F419">
            <v>595180864</v>
          </cell>
          <cell r="G419">
            <v>558654213.44000006</v>
          </cell>
          <cell r="H419">
            <v>36526650.560000002</v>
          </cell>
          <cell r="I419" t="str">
            <v>710,161,581.44cr</v>
          </cell>
          <cell r="J419">
            <v>0</v>
          </cell>
        </row>
        <row r="420">
          <cell r="B420" t="str">
            <v>2-3172</v>
          </cell>
          <cell r="C420" t="str">
            <v>Bank Tranfers In - Unknown</v>
          </cell>
          <cell r="D420">
            <v>0</v>
          </cell>
          <cell r="E420">
            <v>0</v>
          </cell>
          <cell r="F420">
            <v>0</v>
          </cell>
          <cell r="G420">
            <v>0</v>
          </cell>
          <cell r="H420">
            <v>0</v>
          </cell>
          <cell r="I420">
            <v>0</v>
          </cell>
          <cell r="J420">
            <v>0</v>
          </cell>
        </row>
        <row r="421">
          <cell r="B421" t="str">
            <v>2-3180</v>
          </cell>
          <cell r="C421" t="str">
            <v>New Account</v>
          </cell>
          <cell r="D421">
            <v>0</v>
          </cell>
          <cell r="E421">
            <v>0</v>
          </cell>
          <cell r="F421">
            <v>0</v>
          </cell>
          <cell r="G421">
            <v>0</v>
          </cell>
          <cell r="H421">
            <v>0</v>
          </cell>
          <cell r="I421">
            <v>0</v>
          </cell>
          <cell r="J421">
            <v>0</v>
          </cell>
        </row>
        <row r="422">
          <cell r="B422" t="str">
            <v>2-3190</v>
          </cell>
          <cell r="C422" t="str">
            <v>Lain - lain</v>
          </cell>
          <cell r="D422">
            <v>0</v>
          </cell>
          <cell r="E422">
            <v>0</v>
          </cell>
          <cell r="F422">
            <v>0</v>
          </cell>
          <cell r="G422">
            <v>0</v>
          </cell>
          <cell r="H422">
            <v>0</v>
          </cell>
          <cell r="I422">
            <v>0</v>
          </cell>
          <cell r="J422">
            <v>0</v>
          </cell>
        </row>
        <row r="423">
          <cell r="B423" t="str">
            <v>2-3191</v>
          </cell>
          <cell r="C423" t="str">
            <v>Titipan dana Beasiswa santri</v>
          </cell>
          <cell r="D423" t="str">
            <v>9,450,000.00cr</v>
          </cell>
          <cell r="E423">
            <v>0</v>
          </cell>
          <cell r="F423">
            <v>0</v>
          </cell>
          <cell r="G423">
            <v>0</v>
          </cell>
          <cell r="H423">
            <v>0</v>
          </cell>
          <cell r="I423" t="str">
            <v>9,450,000.00cr</v>
          </cell>
          <cell r="J423">
            <v>0</v>
          </cell>
        </row>
        <row r="424">
          <cell r="B424" t="str">
            <v>2-3192</v>
          </cell>
          <cell r="C424" t="str">
            <v>Potongan Gaji Karyawan</v>
          </cell>
          <cell r="D424" t="str">
            <v>2,257,258.00cr</v>
          </cell>
          <cell r="E424">
            <v>0</v>
          </cell>
          <cell r="F424">
            <v>0</v>
          </cell>
          <cell r="G424">
            <v>0</v>
          </cell>
          <cell r="H424">
            <v>0</v>
          </cell>
          <cell r="I424" t="str">
            <v>2,257,258.00cr</v>
          </cell>
          <cell r="J424">
            <v>0</v>
          </cell>
        </row>
        <row r="425">
          <cell r="B425" t="str">
            <v>2-3199</v>
          </cell>
          <cell r="C425" t="str">
            <v>Others</v>
          </cell>
          <cell r="D425" t="str">
            <v>19,022,700.00cr</v>
          </cell>
          <cell r="E425">
            <v>0</v>
          </cell>
          <cell r="F425">
            <v>1419500</v>
          </cell>
          <cell r="G425">
            <v>159537400</v>
          </cell>
          <cell r="H425" t="str">
            <v>158,117,900.00cr</v>
          </cell>
          <cell r="I425" t="str">
            <v>177,140,600.00cr</v>
          </cell>
          <cell r="J425">
            <v>0</v>
          </cell>
        </row>
        <row r="426">
          <cell r="B426" t="str">
            <v>2-3210</v>
          </cell>
          <cell r="C426" t="str">
            <v>Tax Payble Education</v>
          </cell>
          <cell r="D426">
            <v>0</v>
          </cell>
          <cell r="E426">
            <v>0</v>
          </cell>
          <cell r="F426">
            <v>0</v>
          </cell>
          <cell r="G426">
            <v>0</v>
          </cell>
          <cell r="H426">
            <v>0</v>
          </cell>
          <cell r="I426">
            <v>0</v>
          </cell>
          <cell r="J426">
            <v>0</v>
          </cell>
        </row>
        <row r="427">
          <cell r="B427" t="str">
            <v>2-3211</v>
          </cell>
          <cell r="C427" t="str">
            <v>Tax Payble - PPh 21</v>
          </cell>
          <cell r="D427" t="str">
            <v>3,582,865.83cr</v>
          </cell>
          <cell r="E427">
            <v>0</v>
          </cell>
          <cell r="F427">
            <v>3541611</v>
          </cell>
          <cell r="G427">
            <v>3521827</v>
          </cell>
          <cell r="H427">
            <v>19784</v>
          </cell>
          <cell r="I427" t="str">
            <v>3,563,081.83cr</v>
          </cell>
          <cell r="J427">
            <v>0</v>
          </cell>
        </row>
        <row r="428">
          <cell r="B428" t="str">
            <v>2-3212</v>
          </cell>
          <cell r="C428" t="str">
            <v>Tax Payble - PPh 23</v>
          </cell>
          <cell r="D428">
            <v>0</v>
          </cell>
          <cell r="E428">
            <v>0</v>
          </cell>
          <cell r="F428">
            <v>0</v>
          </cell>
          <cell r="G428">
            <v>0</v>
          </cell>
          <cell r="H428">
            <v>0</v>
          </cell>
          <cell r="I428">
            <v>0</v>
          </cell>
          <cell r="J428">
            <v>0</v>
          </cell>
        </row>
        <row r="429">
          <cell r="B429" t="str">
            <v>2-3213</v>
          </cell>
          <cell r="C429" t="str">
            <v>Tax Payble - PPh 24</v>
          </cell>
          <cell r="D429">
            <v>0</v>
          </cell>
          <cell r="E429">
            <v>0</v>
          </cell>
          <cell r="F429">
            <v>0</v>
          </cell>
          <cell r="G429">
            <v>0</v>
          </cell>
          <cell r="H429">
            <v>0</v>
          </cell>
          <cell r="I429">
            <v>0</v>
          </cell>
          <cell r="J429">
            <v>0</v>
          </cell>
        </row>
        <row r="430">
          <cell r="B430" t="str">
            <v>2-3214</v>
          </cell>
          <cell r="C430" t="str">
            <v>Tax Payble - PPh 25</v>
          </cell>
          <cell r="D430">
            <v>0</v>
          </cell>
          <cell r="E430">
            <v>0</v>
          </cell>
          <cell r="F430">
            <v>0</v>
          </cell>
          <cell r="G430">
            <v>0</v>
          </cell>
          <cell r="H430">
            <v>0</v>
          </cell>
          <cell r="I430">
            <v>0</v>
          </cell>
          <cell r="J430">
            <v>0</v>
          </cell>
        </row>
        <row r="431">
          <cell r="B431" t="str">
            <v>2-3215</v>
          </cell>
          <cell r="C431" t="str">
            <v>Tax Payble - PPh 26</v>
          </cell>
          <cell r="D431">
            <v>0</v>
          </cell>
          <cell r="E431">
            <v>0</v>
          </cell>
          <cell r="F431">
            <v>0</v>
          </cell>
          <cell r="G431">
            <v>0</v>
          </cell>
          <cell r="H431">
            <v>0</v>
          </cell>
          <cell r="I431">
            <v>0</v>
          </cell>
          <cell r="J431">
            <v>0</v>
          </cell>
        </row>
        <row r="432">
          <cell r="B432" t="str">
            <v>2-3216</v>
          </cell>
          <cell r="C432" t="str">
            <v>Tax Payble - PPh 29</v>
          </cell>
          <cell r="D432">
            <v>0</v>
          </cell>
          <cell r="E432">
            <v>0</v>
          </cell>
          <cell r="F432">
            <v>0</v>
          </cell>
          <cell r="G432">
            <v>0</v>
          </cell>
          <cell r="H432">
            <v>0</v>
          </cell>
          <cell r="I432">
            <v>0</v>
          </cell>
          <cell r="J432">
            <v>0</v>
          </cell>
        </row>
        <row r="433">
          <cell r="B433" t="str">
            <v>2-3310</v>
          </cell>
          <cell r="C433" t="str">
            <v>Unearned Revenue Education</v>
          </cell>
          <cell r="D433">
            <v>0</v>
          </cell>
          <cell r="E433">
            <v>0</v>
          </cell>
          <cell r="F433">
            <v>0</v>
          </cell>
          <cell r="G433">
            <v>0</v>
          </cell>
          <cell r="H433">
            <v>0</v>
          </cell>
          <cell r="I433">
            <v>0</v>
          </cell>
          <cell r="J433">
            <v>0</v>
          </cell>
        </row>
        <row r="434">
          <cell r="B434" t="str">
            <v>2-3311</v>
          </cell>
          <cell r="C434" t="str">
            <v>Unearned Revenue - Student</v>
          </cell>
          <cell r="D434" t="str">
            <v>203,532,150.00cr</v>
          </cell>
          <cell r="E434">
            <v>0</v>
          </cell>
          <cell r="F434">
            <v>0</v>
          </cell>
          <cell r="G434">
            <v>3086000</v>
          </cell>
          <cell r="H434" t="str">
            <v>3,086,000.00cr</v>
          </cell>
          <cell r="I434" t="str">
            <v>206,618,150.00cr</v>
          </cell>
          <cell r="J434">
            <v>0</v>
          </cell>
        </row>
        <row r="435">
          <cell r="B435" t="str">
            <v>2-3312</v>
          </cell>
          <cell r="C435" t="str">
            <v>Unearned Revenue - Sponsor</v>
          </cell>
          <cell r="D435">
            <v>0</v>
          </cell>
          <cell r="E435">
            <v>0</v>
          </cell>
          <cell r="F435">
            <v>0</v>
          </cell>
          <cell r="G435">
            <v>0</v>
          </cell>
          <cell r="H435">
            <v>0</v>
          </cell>
          <cell r="I435">
            <v>0</v>
          </cell>
          <cell r="J435">
            <v>0</v>
          </cell>
        </row>
        <row r="436">
          <cell r="B436" t="str">
            <v>2-3313</v>
          </cell>
          <cell r="C436" t="str">
            <v>Constumers Deposit</v>
          </cell>
          <cell r="D436">
            <v>0</v>
          </cell>
          <cell r="E436">
            <v>0</v>
          </cell>
          <cell r="F436">
            <v>0</v>
          </cell>
          <cell r="G436">
            <v>0</v>
          </cell>
          <cell r="H436">
            <v>0</v>
          </cell>
          <cell r="I436">
            <v>0</v>
          </cell>
          <cell r="J436">
            <v>0</v>
          </cell>
        </row>
        <row r="437">
          <cell r="B437" t="str">
            <v>2-3314</v>
          </cell>
          <cell r="C437" t="str">
            <v>Unearned Revenue-Uniform 13/14</v>
          </cell>
          <cell r="D437">
            <v>0</v>
          </cell>
          <cell r="E437">
            <v>0</v>
          </cell>
          <cell r="F437">
            <v>0</v>
          </cell>
          <cell r="G437">
            <v>0</v>
          </cell>
          <cell r="H437">
            <v>0</v>
          </cell>
          <cell r="I437">
            <v>0</v>
          </cell>
          <cell r="J437">
            <v>0</v>
          </cell>
        </row>
        <row r="438">
          <cell r="B438" t="str">
            <v>2-3315</v>
          </cell>
          <cell r="C438" t="str">
            <v>Unearned Revenue-Uniform 14/15</v>
          </cell>
          <cell r="D438">
            <v>0</v>
          </cell>
          <cell r="E438">
            <v>0</v>
          </cell>
          <cell r="F438">
            <v>0</v>
          </cell>
          <cell r="G438">
            <v>0</v>
          </cell>
          <cell r="H438">
            <v>0</v>
          </cell>
          <cell r="I438">
            <v>0</v>
          </cell>
          <cell r="J438">
            <v>0</v>
          </cell>
        </row>
        <row r="439">
          <cell r="B439" t="str">
            <v>2-3410</v>
          </cell>
          <cell r="C439" t="str">
            <v>Accure Expense Education</v>
          </cell>
          <cell r="D439">
            <v>0</v>
          </cell>
          <cell r="E439">
            <v>0</v>
          </cell>
          <cell r="F439">
            <v>0</v>
          </cell>
          <cell r="G439">
            <v>0</v>
          </cell>
          <cell r="H439">
            <v>0</v>
          </cell>
          <cell r="I439">
            <v>0</v>
          </cell>
          <cell r="J439">
            <v>0</v>
          </cell>
        </row>
        <row r="440">
          <cell r="B440" t="str">
            <v>2-3411</v>
          </cell>
          <cell r="C440" t="str">
            <v>Accure Expense Salary &amp; Overti</v>
          </cell>
          <cell r="D440" t="str">
            <v>6,978,400.00cr</v>
          </cell>
          <cell r="E440">
            <v>0</v>
          </cell>
          <cell r="F440">
            <v>14188400</v>
          </cell>
          <cell r="G440">
            <v>32431619</v>
          </cell>
          <cell r="H440" t="str">
            <v>18,243,219.00cr</v>
          </cell>
          <cell r="I440" t="str">
            <v>25,221,619.00cr</v>
          </cell>
          <cell r="J440">
            <v>0</v>
          </cell>
        </row>
        <row r="441">
          <cell r="B441" t="str">
            <v>2-3412</v>
          </cell>
          <cell r="C441" t="str">
            <v>Accure Expense Electricity</v>
          </cell>
          <cell r="D441" t="str">
            <v>21,789,630.00cr</v>
          </cell>
          <cell r="E441">
            <v>0</v>
          </cell>
          <cell r="F441">
            <v>21789630</v>
          </cell>
          <cell r="G441">
            <v>10310793</v>
          </cell>
          <cell r="H441">
            <v>11478837</v>
          </cell>
          <cell r="I441" t="str">
            <v>10,310,793.00cr</v>
          </cell>
          <cell r="J441">
            <v>0</v>
          </cell>
        </row>
        <row r="442">
          <cell r="B442" t="str">
            <v>2-3413</v>
          </cell>
          <cell r="C442" t="str">
            <v>Accure Expense Telephone</v>
          </cell>
          <cell r="D442" t="str">
            <v>3,139,811.00cr</v>
          </cell>
          <cell r="E442">
            <v>0</v>
          </cell>
          <cell r="F442">
            <v>3139811</v>
          </cell>
          <cell r="G442">
            <v>2018462</v>
          </cell>
          <cell r="H442">
            <v>1121349</v>
          </cell>
          <cell r="I442" t="str">
            <v>2,018,462.00cr</v>
          </cell>
          <cell r="J442">
            <v>0</v>
          </cell>
        </row>
        <row r="443">
          <cell r="B443" t="str">
            <v>2-3414</v>
          </cell>
          <cell r="C443" t="str">
            <v>Accure Expense Medicine</v>
          </cell>
          <cell r="D443" t="str">
            <v>100.00cr</v>
          </cell>
          <cell r="E443">
            <v>0</v>
          </cell>
          <cell r="F443">
            <v>8101500</v>
          </cell>
          <cell r="G443">
            <v>8828300</v>
          </cell>
          <cell r="H443" t="str">
            <v>726,800.00cr</v>
          </cell>
          <cell r="I443" t="str">
            <v>726,900.00cr</v>
          </cell>
          <cell r="J443">
            <v>0</v>
          </cell>
        </row>
        <row r="444">
          <cell r="B444" t="str">
            <v>2-3415</v>
          </cell>
          <cell r="C444" t="str">
            <v>Accure Expense Cons &amp; Logistik</v>
          </cell>
          <cell r="D444">
            <v>0</v>
          </cell>
          <cell r="E444">
            <v>0</v>
          </cell>
          <cell r="F444">
            <v>0</v>
          </cell>
          <cell r="G444">
            <v>0</v>
          </cell>
          <cell r="H444">
            <v>0</v>
          </cell>
          <cell r="I444">
            <v>0</v>
          </cell>
          <cell r="J444">
            <v>0</v>
          </cell>
        </row>
        <row r="445">
          <cell r="B445" t="str">
            <v>2-3416</v>
          </cell>
          <cell r="C445" t="str">
            <v>Accure Expense Promotion</v>
          </cell>
          <cell r="D445">
            <v>0</v>
          </cell>
          <cell r="E445">
            <v>0</v>
          </cell>
          <cell r="F445">
            <v>0</v>
          </cell>
          <cell r="G445">
            <v>0</v>
          </cell>
          <cell r="H445">
            <v>0</v>
          </cell>
          <cell r="I445">
            <v>0</v>
          </cell>
          <cell r="J445">
            <v>0</v>
          </cell>
        </row>
        <row r="446">
          <cell r="B446" t="str">
            <v>2-3417</v>
          </cell>
          <cell r="C446" t="str">
            <v>Accure Expense Profesional Fee</v>
          </cell>
          <cell r="D446">
            <v>0</v>
          </cell>
          <cell r="E446">
            <v>0</v>
          </cell>
          <cell r="F446">
            <v>0</v>
          </cell>
          <cell r="G446">
            <v>0</v>
          </cell>
          <cell r="H446">
            <v>0</v>
          </cell>
          <cell r="I446">
            <v>0</v>
          </cell>
          <cell r="J446">
            <v>0</v>
          </cell>
        </row>
        <row r="447">
          <cell r="B447" t="str">
            <v>2-3418</v>
          </cell>
          <cell r="C447" t="str">
            <v>Accure Expenses aid Hulle Rice</v>
          </cell>
          <cell r="D447">
            <v>0</v>
          </cell>
          <cell r="E447">
            <v>0</v>
          </cell>
          <cell r="F447">
            <v>0</v>
          </cell>
          <cell r="G447">
            <v>0</v>
          </cell>
          <cell r="H447">
            <v>0</v>
          </cell>
          <cell r="I447">
            <v>0</v>
          </cell>
          <cell r="J447">
            <v>0</v>
          </cell>
        </row>
        <row r="448">
          <cell r="B448" t="str">
            <v>2-4110</v>
          </cell>
          <cell r="C448" t="str">
            <v>Long Term Investment Loan</v>
          </cell>
          <cell r="D448">
            <v>0</v>
          </cell>
          <cell r="E448">
            <v>0</v>
          </cell>
          <cell r="F448">
            <v>0</v>
          </cell>
          <cell r="G448">
            <v>0</v>
          </cell>
          <cell r="H448">
            <v>0</v>
          </cell>
          <cell r="I448">
            <v>0</v>
          </cell>
          <cell r="J448">
            <v>0</v>
          </cell>
        </row>
        <row r="449">
          <cell r="B449" t="str">
            <v>2-4120</v>
          </cell>
          <cell r="C449" t="str">
            <v>Long Term FA Purchasing Loan</v>
          </cell>
          <cell r="D449">
            <v>0</v>
          </cell>
          <cell r="E449">
            <v>0</v>
          </cell>
          <cell r="F449">
            <v>0</v>
          </cell>
          <cell r="G449">
            <v>0</v>
          </cell>
          <cell r="H449">
            <v>0</v>
          </cell>
          <cell r="I449">
            <v>0</v>
          </cell>
          <cell r="J449">
            <v>0</v>
          </cell>
        </row>
        <row r="450">
          <cell r="B450" t="str">
            <v>2-4130</v>
          </cell>
          <cell r="C450" t="str">
            <v>Long Term Operational Loan</v>
          </cell>
          <cell r="D450">
            <v>0</v>
          </cell>
          <cell r="E450">
            <v>0</v>
          </cell>
          <cell r="F450">
            <v>0</v>
          </cell>
          <cell r="G450">
            <v>0</v>
          </cell>
          <cell r="H450">
            <v>0</v>
          </cell>
          <cell r="I450">
            <v>0</v>
          </cell>
          <cell r="J450">
            <v>0</v>
          </cell>
        </row>
        <row r="451">
          <cell r="B451" t="str">
            <v>2-5110</v>
          </cell>
          <cell r="C451" t="str">
            <v>Cadangan Pesangon Pendidikan</v>
          </cell>
          <cell r="D451">
            <v>0</v>
          </cell>
          <cell r="E451">
            <v>0</v>
          </cell>
          <cell r="F451">
            <v>0</v>
          </cell>
          <cell r="G451">
            <v>0</v>
          </cell>
          <cell r="H451">
            <v>0</v>
          </cell>
          <cell r="I451">
            <v>0</v>
          </cell>
          <cell r="J451">
            <v>0</v>
          </cell>
        </row>
        <row r="452">
          <cell r="B452" t="str">
            <v>2-5111</v>
          </cell>
          <cell r="C452" t="str">
            <v>Estimate of Employee benefit</v>
          </cell>
          <cell r="D452">
            <v>0</v>
          </cell>
          <cell r="E452">
            <v>0</v>
          </cell>
          <cell r="F452">
            <v>0</v>
          </cell>
          <cell r="G452">
            <v>0</v>
          </cell>
          <cell r="H452">
            <v>0</v>
          </cell>
          <cell r="I452">
            <v>0</v>
          </cell>
          <cell r="J452">
            <v>0</v>
          </cell>
        </row>
        <row r="453">
          <cell r="B453" t="str">
            <v>2-5120</v>
          </cell>
          <cell r="C453" t="str">
            <v>Usaha Pelengkap</v>
          </cell>
          <cell r="D453">
            <v>0</v>
          </cell>
          <cell r="E453">
            <v>0</v>
          </cell>
          <cell r="F453">
            <v>0</v>
          </cell>
          <cell r="G453">
            <v>0</v>
          </cell>
          <cell r="H453">
            <v>0</v>
          </cell>
          <cell r="I453">
            <v>0</v>
          </cell>
          <cell r="J453">
            <v>0</v>
          </cell>
        </row>
        <row r="454">
          <cell r="B454" t="str">
            <v>2-5121</v>
          </cell>
          <cell r="C454" t="str">
            <v>Estimate of Employe benefit AE</v>
          </cell>
          <cell r="D454">
            <v>0</v>
          </cell>
          <cell r="E454">
            <v>0</v>
          </cell>
          <cell r="F454">
            <v>0</v>
          </cell>
          <cell r="G454">
            <v>0</v>
          </cell>
          <cell r="H454">
            <v>0</v>
          </cell>
          <cell r="I454">
            <v>0</v>
          </cell>
          <cell r="J454">
            <v>0</v>
          </cell>
        </row>
        <row r="455">
          <cell r="B455" t="str">
            <v>2-5210</v>
          </cell>
          <cell r="C455" t="str">
            <v>Pendidikan</v>
          </cell>
          <cell r="D455">
            <v>0</v>
          </cell>
          <cell r="E455">
            <v>0</v>
          </cell>
          <cell r="F455">
            <v>0</v>
          </cell>
          <cell r="G455">
            <v>0</v>
          </cell>
          <cell r="H455">
            <v>0</v>
          </cell>
          <cell r="I455">
            <v>0</v>
          </cell>
          <cell r="J455">
            <v>0</v>
          </cell>
        </row>
        <row r="456">
          <cell r="B456" t="str">
            <v>2-5211</v>
          </cell>
          <cell r="C456" t="str">
            <v>Deffered Tax Liabilities</v>
          </cell>
          <cell r="D456">
            <v>0</v>
          </cell>
          <cell r="E456">
            <v>0</v>
          </cell>
          <cell r="F456">
            <v>0</v>
          </cell>
          <cell r="G456">
            <v>0</v>
          </cell>
          <cell r="H456">
            <v>0</v>
          </cell>
          <cell r="I456">
            <v>0</v>
          </cell>
          <cell r="J456">
            <v>0</v>
          </cell>
        </row>
        <row r="457">
          <cell r="B457" t="str">
            <v>3-1110</v>
          </cell>
          <cell r="C457" t="str">
            <v>Operasional</v>
          </cell>
          <cell r="D457">
            <v>0</v>
          </cell>
          <cell r="E457">
            <v>0</v>
          </cell>
          <cell r="F457">
            <v>0</v>
          </cell>
          <cell r="G457">
            <v>0</v>
          </cell>
          <cell r="H457">
            <v>0</v>
          </cell>
          <cell r="I457">
            <v>0</v>
          </cell>
          <cell r="J457">
            <v>0</v>
          </cell>
        </row>
        <row r="458">
          <cell r="B458" t="str">
            <v>3-1111</v>
          </cell>
          <cell r="C458" t="str">
            <v>Unrestricted NA for O to 6/09</v>
          </cell>
          <cell r="D458" t="str">
            <v>865,781,600.55cr</v>
          </cell>
          <cell r="E458">
            <v>0</v>
          </cell>
          <cell r="F458">
            <v>0</v>
          </cell>
          <cell r="G458">
            <v>0</v>
          </cell>
          <cell r="H458">
            <v>0</v>
          </cell>
          <cell r="I458" t="str">
            <v>865,781,600.55cr</v>
          </cell>
          <cell r="J458">
            <v>0</v>
          </cell>
        </row>
        <row r="459">
          <cell r="B459" t="str">
            <v>3-1112</v>
          </cell>
          <cell r="C459" t="str">
            <v>New Account</v>
          </cell>
          <cell r="D459">
            <v>0</v>
          </cell>
          <cell r="E459">
            <v>0</v>
          </cell>
          <cell r="F459">
            <v>0</v>
          </cell>
          <cell r="G459">
            <v>0</v>
          </cell>
          <cell r="H459">
            <v>0</v>
          </cell>
          <cell r="I459">
            <v>0</v>
          </cell>
          <cell r="J459">
            <v>0</v>
          </cell>
        </row>
        <row r="460">
          <cell r="B460" t="str">
            <v>3-1120</v>
          </cell>
          <cell r="C460" t="str">
            <v>Investasi aktiva tetap bersih</v>
          </cell>
          <cell r="D460">
            <v>0</v>
          </cell>
          <cell r="E460">
            <v>0</v>
          </cell>
          <cell r="F460">
            <v>0</v>
          </cell>
          <cell r="G460">
            <v>0</v>
          </cell>
          <cell r="H460">
            <v>0</v>
          </cell>
          <cell r="I460">
            <v>0</v>
          </cell>
          <cell r="J460">
            <v>0</v>
          </cell>
        </row>
        <row r="461">
          <cell r="B461" t="str">
            <v>3-1121</v>
          </cell>
          <cell r="C461" t="str">
            <v>Unrestricted NAFI inFA to 6/09</v>
          </cell>
          <cell r="D461" t="str">
            <v>5,902,572,093.88cr</v>
          </cell>
          <cell r="E461">
            <v>0</v>
          </cell>
          <cell r="F461">
            <v>0</v>
          </cell>
          <cell r="G461">
            <v>0</v>
          </cell>
          <cell r="H461">
            <v>0</v>
          </cell>
          <cell r="I461" t="str">
            <v>5,902,572,093.88cr</v>
          </cell>
          <cell r="J461">
            <v>0</v>
          </cell>
        </row>
        <row r="462">
          <cell r="B462" t="str">
            <v>3-1122</v>
          </cell>
          <cell r="C462" t="str">
            <v>Unrestricted NAFI inFA to 6/10</v>
          </cell>
          <cell r="D462" t="str">
            <v>1,715,492,960.67cr</v>
          </cell>
          <cell r="E462">
            <v>0</v>
          </cell>
          <cell r="F462">
            <v>0</v>
          </cell>
          <cell r="G462">
            <v>0</v>
          </cell>
          <cell r="H462">
            <v>0</v>
          </cell>
          <cell r="I462" t="str">
            <v>1,715,492,960.67cr</v>
          </cell>
          <cell r="J462">
            <v>0</v>
          </cell>
        </row>
        <row r="463">
          <cell r="B463" t="str">
            <v>3-1123</v>
          </cell>
          <cell r="C463" t="str">
            <v>Unrestricted NAFI inFA to 6/11</v>
          </cell>
          <cell r="D463" t="str">
            <v>1,966,042,693.49cr</v>
          </cell>
          <cell r="E463">
            <v>0</v>
          </cell>
          <cell r="F463">
            <v>0</v>
          </cell>
          <cell r="G463">
            <v>0</v>
          </cell>
          <cell r="H463">
            <v>0</v>
          </cell>
          <cell r="I463" t="str">
            <v>1,966,042,693.49cr</v>
          </cell>
          <cell r="J463">
            <v>0</v>
          </cell>
        </row>
        <row r="464">
          <cell r="B464" t="str">
            <v>3-1124</v>
          </cell>
          <cell r="C464" t="str">
            <v>Unrestricted Net Asset to 6/12</v>
          </cell>
          <cell r="D464" t="str">
            <v>3,293,543,018.68cr</v>
          </cell>
          <cell r="E464">
            <v>0</v>
          </cell>
          <cell r="F464">
            <v>0</v>
          </cell>
          <cell r="G464">
            <v>0</v>
          </cell>
          <cell r="H464">
            <v>0</v>
          </cell>
          <cell r="I464" t="str">
            <v>3,293,543,018.68cr</v>
          </cell>
          <cell r="J464">
            <v>0</v>
          </cell>
        </row>
        <row r="465">
          <cell r="B465" t="str">
            <v>3-1125</v>
          </cell>
          <cell r="C465" t="str">
            <v>Unrestricted Net Asset to 6/13</v>
          </cell>
          <cell r="D465" t="str">
            <v>2,995,233,987.60cr</v>
          </cell>
          <cell r="E465">
            <v>0</v>
          </cell>
          <cell r="F465">
            <v>0</v>
          </cell>
          <cell r="G465">
            <v>0</v>
          </cell>
          <cell r="H465">
            <v>0</v>
          </cell>
          <cell r="I465" t="str">
            <v>2,995,233,987.60cr</v>
          </cell>
          <cell r="J465">
            <v>0</v>
          </cell>
        </row>
        <row r="466">
          <cell r="B466" t="str">
            <v>3-1126</v>
          </cell>
          <cell r="C466" t="str">
            <v>Unrestricted Net Asset to 6/14</v>
          </cell>
          <cell r="D466" t="str">
            <v>3,982,465,066.62cr</v>
          </cell>
          <cell r="E466">
            <v>0</v>
          </cell>
          <cell r="F466">
            <v>0</v>
          </cell>
          <cell r="G466">
            <v>0</v>
          </cell>
          <cell r="H466">
            <v>0</v>
          </cell>
          <cell r="I466" t="str">
            <v>3,982,465,066.62cr</v>
          </cell>
          <cell r="J466">
            <v>0</v>
          </cell>
        </row>
        <row r="467">
          <cell r="B467" t="str">
            <v>3-1127</v>
          </cell>
          <cell r="C467" t="str">
            <v>Unrestricted Net Asset to 6/15</v>
          </cell>
          <cell r="D467" t="str">
            <v>6,751,442,202.00cr</v>
          </cell>
          <cell r="E467">
            <v>0</v>
          </cell>
          <cell r="F467">
            <v>0</v>
          </cell>
          <cell r="G467">
            <v>0</v>
          </cell>
          <cell r="H467">
            <v>0</v>
          </cell>
          <cell r="I467" t="str">
            <v>6,751,442,202.00cr</v>
          </cell>
          <cell r="J467">
            <v>0</v>
          </cell>
        </row>
        <row r="468">
          <cell r="B468" t="str">
            <v>3-1131</v>
          </cell>
          <cell r="C468" t="str">
            <v>Dana Pangkal s/d Juni 2009</v>
          </cell>
          <cell r="D468">
            <v>0</v>
          </cell>
          <cell r="E468">
            <v>0</v>
          </cell>
          <cell r="F468">
            <v>0</v>
          </cell>
          <cell r="G468">
            <v>0</v>
          </cell>
          <cell r="H468">
            <v>0</v>
          </cell>
          <cell r="I468">
            <v>0</v>
          </cell>
          <cell r="J468">
            <v>0</v>
          </cell>
        </row>
        <row r="469">
          <cell r="B469" t="str">
            <v>3-1132</v>
          </cell>
          <cell r="C469" t="str">
            <v>Dana Operasional s/d Juni 2009</v>
          </cell>
          <cell r="D469">
            <v>0</v>
          </cell>
          <cell r="E469">
            <v>0</v>
          </cell>
          <cell r="F469">
            <v>0</v>
          </cell>
          <cell r="G469">
            <v>0</v>
          </cell>
          <cell r="H469">
            <v>0</v>
          </cell>
          <cell r="I469">
            <v>0</v>
          </cell>
          <cell r="J469">
            <v>0</v>
          </cell>
        </row>
        <row r="470">
          <cell r="B470" t="str">
            <v>3-1800</v>
          </cell>
          <cell r="C470" t="str">
            <v>Surplus/Deficit for Year</v>
          </cell>
          <cell r="D470" t="str">
            <v>4,247,299,081.35cr</v>
          </cell>
          <cell r="E470">
            <v>0</v>
          </cell>
          <cell r="F470">
            <v>0</v>
          </cell>
          <cell r="G470">
            <v>0</v>
          </cell>
          <cell r="H470">
            <v>0</v>
          </cell>
          <cell r="I470" t="str">
            <v>4,247,299,081.35cr</v>
          </cell>
          <cell r="J470">
            <v>0</v>
          </cell>
        </row>
        <row r="471">
          <cell r="B471" t="str">
            <v>3-1900</v>
          </cell>
          <cell r="C471" t="str">
            <v>Accumulated Funds</v>
          </cell>
          <cell r="D471">
            <v>0.39</v>
          </cell>
          <cell r="E471">
            <v>0</v>
          </cell>
          <cell r="F471">
            <v>0</v>
          </cell>
          <cell r="G471">
            <v>0</v>
          </cell>
          <cell r="H471">
            <v>0</v>
          </cell>
          <cell r="I471">
            <v>0.39</v>
          </cell>
          <cell r="J471">
            <v>0</v>
          </cell>
        </row>
        <row r="472">
          <cell r="B472" t="str">
            <v>3-2110</v>
          </cell>
          <cell r="C472" t="str">
            <v>Akademik</v>
          </cell>
          <cell r="D472">
            <v>0</v>
          </cell>
          <cell r="E472">
            <v>0</v>
          </cell>
          <cell r="F472">
            <v>0</v>
          </cell>
          <cell r="G472">
            <v>0</v>
          </cell>
          <cell r="H472">
            <v>0</v>
          </cell>
          <cell r="I472">
            <v>0</v>
          </cell>
          <cell r="J472">
            <v>0</v>
          </cell>
        </row>
        <row r="473">
          <cell r="B473" t="str">
            <v>3-2111</v>
          </cell>
          <cell r="C473" t="str">
            <v>TR Pro BOS SDITQ Previous year</v>
          </cell>
          <cell r="D473" t="str">
            <v>208,781,962.00cr</v>
          </cell>
          <cell r="E473">
            <v>0</v>
          </cell>
          <cell r="F473">
            <v>0</v>
          </cell>
          <cell r="G473">
            <v>0</v>
          </cell>
          <cell r="H473">
            <v>0</v>
          </cell>
          <cell r="I473" t="str">
            <v>208,781,962.00cr</v>
          </cell>
          <cell r="J473">
            <v>0</v>
          </cell>
        </row>
        <row r="474">
          <cell r="B474" t="str">
            <v>3-2112</v>
          </cell>
          <cell r="C474" t="str">
            <v>TR Progr BOS MTS Previous year</v>
          </cell>
          <cell r="D474" t="str">
            <v>1,060,103,109.00cr</v>
          </cell>
          <cell r="E474">
            <v>0</v>
          </cell>
          <cell r="F474">
            <v>0</v>
          </cell>
          <cell r="G474">
            <v>0</v>
          </cell>
          <cell r="H474">
            <v>0</v>
          </cell>
          <cell r="I474" t="str">
            <v>1,060,103,109.00cr</v>
          </cell>
          <cell r="J474">
            <v>0</v>
          </cell>
        </row>
        <row r="475">
          <cell r="B475" t="str">
            <v>3-2113</v>
          </cell>
          <cell r="C475" t="str">
            <v>TR Program BOM IM Previos year</v>
          </cell>
          <cell r="D475" t="str">
            <v>989,420,000.00cr</v>
          </cell>
          <cell r="E475">
            <v>0</v>
          </cell>
          <cell r="F475">
            <v>0</v>
          </cell>
          <cell r="G475">
            <v>0</v>
          </cell>
          <cell r="H475">
            <v>0</v>
          </cell>
          <cell r="I475" t="str">
            <v>989,420,000.00cr</v>
          </cell>
          <cell r="J475">
            <v>0</v>
          </cell>
        </row>
        <row r="476">
          <cell r="B476" t="str">
            <v>3-2114</v>
          </cell>
          <cell r="C476" t="str">
            <v>TR Prog Porseni Previous year</v>
          </cell>
          <cell r="D476">
            <v>0</v>
          </cell>
          <cell r="E476">
            <v>0</v>
          </cell>
          <cell r="F476">
            <v>0</v>
          </cell>
          <cell r="G476">
            <v>0</v>
          </cell>
          <cell r="H476">
            <v>0</v>
          </cell>
          <cell r="I476">
            <v>0</v>
          </cell>
          <cell r="J476">
            <v>0</v>
          </cell>
        </row>
        <row r="477">
          <cell r="B477" t="str">
            <v>3-2120</v>
          </cell>
          <cell r="C477" t="str">
            <v>Layanan Publik</v>
          </cell>
          <cell r="D477">
            <v>0</v>
          </cell>
          <cell r="E477">
            <v>0</v>
          </cell>
          <cell r="F477">
            <v>0</v>
          </cell>
          <cell r="G477">
            <v>0</v>
          </cell>
          <cell r="H477">
            <v>0</v>
          </cell>
          <cell r="I477">
            <v>0</v>
          </cell>
          <cell r="J477">
            <v>0</v>
          </cell>
        </row>
        <row r="478">
          <cell r="B478" t="str">
            <v>3-2121</v>
          </cell>
          <cell r="C478" t="str">
            <v>TR Pro Idul Adha Previous Year</v>
          </cell>
          <cell r="D478" t="str">
            <v>623,636,509.00cr</v>
          </cell>
          <cell r="E478">
            <v>0</v>
          </cell>
          <cell r="F478">
            <v>0</v>
          </cell>
          <cell r="G478">
            <v>0</v>
          </cell>
          <cell r="H478">
            <v>0</v>
          </cell>
          <cell r="I478" t="str">
            <v>623,636,509.00cr</v>
          </cell>
          <cell r="J478">
            <v>0</v>
          </cell>
        </row>
        <row r="479">
          <cell r="B479" t="str">
            <v>3-2122</v>
          </cell>
          <cell r="C479" t="str">
            <v>TR Pro Zakat Mal Previous Year</v>
          </cell>
          <cell r="D479" t="str">
            <v>211,781,000.00cr</v>
          </cell>
          <cell r="E479">
            <v>0</v>
          </cell>
          <cell r="F479">
            <v>0</v>
          </cell>
          <cell r="G479">
            <v>0</v>
          </cell>
          <cell r="H479">
            <v>0</v>
          </cell>
          <cell r="I479" t="str">
            <v>211,781,000.00cr</v>
          </cell>
          <cell r="J479">
            <v>0</v>
          </cell>
        </row>
        <row r="480">
          <cell r="B480" t="str">
            <v>3-2123</v>
          </cell>
          <cell r="C480" t="str">
            <v>TR Progra Ifthor Previous Year</v>
          </cell>
          <cell r="D480" t="str">
            <v>265,023,079.00cr</v>
          </cell>
          <cell r="E480">
            <v>0</v>
          </cell>
          <cell r="F480">
            <v>0</v>
          </cell>
          <cell r="G480">
            <v>0</v>
          </cell>
          <cell r="H480">
            <v>0</v>
          </cell>
          <cell r="I480" t="str">
            <v>265,023,079.00cr</v>
          </cell>
          <cell r="J480">
            <v>0</v>
          </cell>
        </row>
        <row r="481">
          <cell r="B481" t="str">
            <v>3-2124</v>
          </cell>
          <cell r="C481" t="str">
            <v>TR P Social Fund Previous Year</v>
          </cell>
          <cell r="D481" t="str">
            <v>46,549,700.00cr</v>
          </cell>
          <cell r="E481">
            <v>0</v>
          </cell>
          <cell r="F481">
            <v>0</v>
          </cell>
          <cell r="G481">
            <v>0</v>
          </cell>
          <cell r="H481">
            <v>0</v>
          </cell>
          <cell r="I481" t="str">
            <v>46,549,700.00cr</v>
          </cell>
          <cell r="J481">
            <v>0</v>
          </cell>
        </row>
        <row r="482">
          <cell r="B482" t="str">
            <v>3-2125</v>
          </cell>
          <cell r="C482" t="str">
            <v>TRP Fakir Miskin Previous Year</v>
          </cell>
          <cell r="D482" t="str">
            <v>3,000,000.00cr</v>
          </cell>
          <cell r="E482">
            <v>0</v>
          </cell>
          <cell r="F482">
            <v>0</v>
          </cell>
          <cell r="G482">
            <v>0</v>
          </cell>
          <cell r="H482">
            <v>0</v>
          </cell>
          <cell r="I482" t="str">
            <v>3,000,000.00cr</v>
          </cell>
          <cell r="J482">
            <v>0</v>
          </cell>
        </row>
        <row r="483">
          <cell r="B483" t="str">
            <v>3-2126</v>
          </cell>
          <cell r="C483" t="str">
            <v>TRP Fatherless Previous Year</v>
          </cell>
          <cell r="D483" t="str">
            <v>3,861,954.00cr</v>
          </cell>
          <cell r="E483">
            <v>0</v>
          </cell>
          <cell r="F483">
            <v>0</v>
          </cell>
          <cell r="G483">
            <v>0</v>
          </cell>
          <cell r="H483">
            <v>0</v>
          </cell>
          <cell r="I483" t="str">
            <v>3,861,954.00cr</v>
          </cell>
          <cell r="J483">
            <v>0</v>
          </cell>
        </row>
        <row r="484">
          <cell r="B484" t="str">
            <v>3-2130</v>
          </cell>
          <cell r="C484" t="str">
            <v>Layanan Pendukung</v>
          </cell>
          <cell r="D484">
            <v>0</v>
          </cell>
          <cell r="E484">
            <v>0</v>
          </cell>
          <cell r="F484">
            <v>0</v>
          </cell>
          <cell r="G484">
            <v>0</v>
          </cell>
          <cell r="H484">
            <v>0</v>
          </cell>
          <cell r="I484">
            <v>0</v>
          </cell>
          <cell r="J484">
            <v>0</v>
          </cell>
        </row>
        <row r="485">
          <cell r="B485" t="str">
            <v>3-2140</v>
          </cell>
          <cell r="C485" t="str">
            <v>Bantuan Santri</v>
          </cell>
          <cell r="D485">
            <v>0</v>
          </cell>
          <cell r="E485">
            <v>0</v>
          </cell>
          <cell r="F485">
            <v>0</v>
          </cell>
          <cell r="G485">
            <v>0</v>
          </cell>
          <cell r="H485">
            <v>0</v>
          </cell>
          <cell r="I485">
            <v>0</v>
          </cell>
          <cell r="J485">
            <v>0</v>
          </cell>
        </row>
        <row r="486">
          <cell r="B486" t="str">
            <v>3-2141</v>
          </cell>
          <cell r="C486" t="str">
            <v>TR P Scholarship Previous Year</v>
          </cell>
          <cell r="D486" t="str">
            <v>22,245,800.00cr</v>
          </cell>
          <cell r="E486">
            <v>0</v>
          </cell>
          <cell r="F486">
            <v>0</v>
          </cell>
          <cell r="G486">
            <v>0</v>
          </cell>
          <cell r="H486">
            <v>0</v>
          </cell>
          <cell r="I486" t="str">
            <v>22,245,800.00cr</v>
          </cell>
          <cell r="J486">
            <v>0</v>
          </cell>
        </row>
        <row r="487">
          <cell r="B487" t="str">
            <v>3-2142</v>
          </cell>
          <cell r="C487" t="str">
            <v>TR P Bantuan santri miskin PY</v>
          </cell>
          <cell r="D487">
            <v>0</v>
          </cell>
          <cell r="E487">
            <v>0</v>
          </cell>
          <cell r="F487">
            <v>0</v>
          </cell>
          <cell r="G487">
            <v>0</v>
          </cell>
          <cell r="H487">
            <v>0</v>
          </cell>
          <cell r="I487">
            <v>0</v>
          </cell>
          <cell r="J487">
            <v>0</v>
          </cell>
        </row>
        <row r="488">
          <cell r="B488" t="str">
            <v>3-2180</v>
          </cell>
          <cell r="C488" t="str">
            <v>Lain - lain 1</v>
          </cell>
          <cell r="D488">
            <v>0</v>
          </cell>
          <cell r="E488">
            <v>0</v>
          </cell>
          <cell r="F488">
            <v>0</v>
          </cell>
          <cell r="G488">
            <v>0</v>
          </cell>
          <cell r="H488">
            <v>0</v>
          </cell>
          <cell r="I488">
            <v>0</v>
          </cell>
          <cell r="J488">
            <v>0</v>
          </cell>
        </row>
        <row r="489">
          <cell r="B489" t="str">
            <v>3-2190</v>
          </cell>
          <cell r="C489" t="str">
            <v>Lain - Lain 2</v>
          </cell>
          <cell r="D489">
            <v>0</v>
          </cell>
          <cell r="E489">
            <v>0</v>
          </cell>
          <cell r="F489">
            <v>0</v>
          </cell>
          <cell r="G489">
            <v>0</v>
          </cell>
          <cell r="H489">
            <v>0</v>
          </cell>
          <cell r="I489">
            <v>0</v>
          </cell>
          <cell r="J489">
            <v>0</v>
          </cell>
        </row>
        <row r="490">
          <cell r="B490" t="str">
            <v>3-2210</v>
          </cell>
          <cell r="C490" t="str">
            <v>Akademink</v>
          </cell>
          <cell r="D490">
            <v>0</v>
          </cell>
          <cell r="E490">
            <v>0</v>
          </cell>
          <cell r="F490">
            <v>0</v>
          </cell>
          <cell r="G490">
            <v>0</v>
          </cell>
          <cell r="H490">
            <v>0</v>
          </cell>
          <cell r="I490">
            <v>0</v>
          </cell>
          <cell r="J490">
            <v>0</v>
          </cell>
        </row>
        <row r="491">
          <cell r="B491" t="str">
            <v>3-2211</v>
          </cell>
          <cell r="C491" t="str">
            <v>Revenue TRP BOS DITQ Previous</v>
          </cell>
          <cell r="D491">
            <v>0</v>
          </cell>
          <cell r="E491">
            <v>0</v>
          </cell>
          <cell r="F491">
            <v>0</v>
          </cell>
          <cell r="G491">
            <v>32200000</v>
          </cell>
          <cell r="H491" t="str">
            <v>32,200,000.00cr</v>
          </cell>
          <cell r="I491" t="str">
            <v>32,200,000.00cr</v>
          </cell>
          <cell r="J491">
            <v>0</v>
          </cell>
        </row>
        <row r="492">
          <cell r="B492" t="str">
            <v>3-2212</v>
          </cell>
          <cell r="C492" t="str">
            <v>Revenue TRP BOS MTS Previous M</v>
          </cell>
          <cell r="D492">
            <v>0</v>
          </cell>
          <cell r="E492">
            <v>0</v>
          </cell>
          <cell r="F492">
            <v>0</v>
          </cell>
          <cell r="G492">
            <v>0</v>
          </cell>
          <cell r="H492">
            <v>0</v>
          </cell>
          <cell r="I492">
            <v>0</v>
          </cell>
          <cell r="J492">
            <v>0</v>
          </cell>
        </row>
        <row r="493">
          <cell r="B493" t="str">
            <v>3-2213</v>
          </cell>
          <cell r="C493" t="str">
            <v>Revenue TRP BOM MA Previous M</v>
          </cell>
          <cell r="D493">
            <v>0</v>
          </cell>
          <cell r="E493">
            <v>0</v>
          </cell>
          <cell r="F493">
            <v>0</v>
          </cell>
          <cell r="G493">
            <v>0</v>
          </cell>
          <cell r="H493">
            <v>0</v>
          </cell>
          <cell r="I493">
            <v>0</v>
          </cell>
          <cell r="J493">
            <v>0</v>
          </cell>
        </row>
        <row r="494">
          <cell r="B494" t="str">
            <v>3-2214</v>
          </cell>
          <cell r="C494" t="str">
            <v>Revenue TRP Porseni Previous M</v>
          </cell>
          <cell r="D494">
            <v>0</v>
          </cell>
          <cell r="E494">
            <v>0</v>
          </cell>
          <cell r="F494">
            <v>0</v>
          </cell>
          <cell r="G494">
            <v>0</v>
          </cell>
          <cell r="H494">
            <v>0</v>
          </cell>
          <cell r="I494">
            <v>0</v>
          </cell>
          <cell r="J494">
            <v>0</v>
          </cell>
        </row>
        <row r="495">
          <cell r="B495" t="str">
            <v>3-2220</v>
          </cell>
          <cell r="C495" t="str">
            <v>Layanan publik</v>
          </cell>
          <cell r="D495">
            <v>0</v>
          </cell>
          <cell r="E495">
            <v>0</v>
          </cell>
          <cell r="F495">
            <v>0</v>
          </cell>
          <cell r="G495">
            <v>0</v>
          </cell>
          <cell r="H495">
            <v>0</v>
          </cell>
          <cell r="I495">
            <v>0</v>
          </cell>
          <cell r="J495">
            <v>0</v>
          </cell>
        </row>
        <row r="496">
          <cell r="B496" t="str">
            <v>3-2221</v>
          </cell>
          <cell r="C496" t="str">
            <v>Revenue TRP Idul Adha Prev.mon</v>
          </cell>
          <cell r="D496">
            <v>0</v>
          </cell>
          <cell r="E496">
            <v>0</v>
          </cell>
          <cell r="F496">
            <v>0</v>
          </cell>
          <cell r="G496">
            <v>0</v>
          </cell>
          <cell r="H496">
            <v>0</v>
          </cell>
          <cell r="I496">
            <v>0</v>
          </cell>
          <cell r="J496">
            <v>0</v>
          </cell>
        </row>
        <row r="497">
          <cell r="B497" t="str">
            <v>3-2222</v>
          </cell>
          <cell r="C497" t="str">
            <v>Revenue TRP Zakat Mal Prev.mon</v>
          </cell>
          <cell r="D497">
            <v>0</v>
          </cell>
          <cell r="E497">
            <v>0</v>
          </cell>
          <cell r="F497">
            <v>0</v>
          </cell>
          <cell r="G497">
            <v>15000000</v>
          </cell>
          <cell r="H497" t="str">
            <v>15,000,000.00cr</v>
          </cell>
          <cell r="I497" t="str">
            <v>15,000,000.00cr</v>
          </cell>
          <cell r="J497">
            <v>0</v>
          </cell>
        </row>
        <row r="498">
          <cell r="B498" t="str">
            <v>3-2223</v>
          </cell>
          <cell r="C498" t="str">
            <v>Revenue TRP Ifthor Prev.mon</v>
          </cell>
          <cell r="D498">
            <v>0</v>
          </cell>
          <cell r="E498">
            <v>0</v>
          </cell>
          <cell r="F498">
            <v>0</v>
          </cell>
          <cell r="G498">
            <v>0</v>
          </cell>
          <cell r="H498">
            <v>0</v>
          </cell>
          <cell r="I498">
            <v>0</v>
          </cell>
          <cell r="J498">
            <v>0</v>
          </cell>
        </row>
        <row r="499">
          <cell r="B499" t="str">
            <v>3-2224</v>
          </cell>
          <cell r="C499" t="str">
            <v>Revenue TRP Social F Prev.mon</v>
          </cell>
          <cell r="D499">
            <v>0</v>
          </cell>
          <cell r="E499">
            <v>0</v>
          </cell>
          <cell r="F499">
            <v>0</v>
          </cell>
          <cell r="G499">
            <v>0</v>
          </cell>
          <cell r="H499">
            <v>0</v>
          </cell>
          <cell r="I499">
            <v>0</v>
          </cell>
          <cell r="J499">
            <v>0</v>
          </cell>
        </row>
        <row r="500">
          <cell r="B500" t="str">
            <v>3-2225</v>
          </cell>
          <cell r="C500" t="str">
            <v>Revenue TRP F Miskin Prev.mon</v>
          </cell>
          <cell r="D500">
            <v>0</v>
          </cell>
          <cell r="E500">
            <v>0</v>
          </cell>
          <cell r="F500">
            <v>0</v>
          </cell>
          <cell r="G500">
            <v>0</v>
          </cell>
          <cell r="H500">
            <v>0</v>
          </cell>
          <cell r="I500">
            <v>0</v>
          </cell>
          <cell r="J500">
            <v>0</v>
          </cell>
        </row>
        <row r="501">
          <cell r="B501" t="str">
            <v>3-2230</v>
          </cell>
          <cell r="C501" t="str">
            <v>Dukungan Program</v>
          </cell>
          <cell r="D501">
            <v>0</v>
          </cell>
          <cell r="E501">
            <v>0</v>
          </cell>
          <cell r="F501">
            <v>0</v>
          </cell>
          <cell r="G501">
            <v>0</v>
          </cell>
          <cell r="H501">
            <v>0</v>
          </cell>
          <cell r="I501">
            <v>0</v>
          </cell>
          <cell r="J501">
            <v>0</v>
          </cell>
        </row>
        <row r="502">
          <cell r="B502" t="str">
            <v>3-2240</v>
          </cell>
          <cell r="C502" t="str">
            <v>Bantuan Santri</v>
          </cell>
          <cell r="D502">
            <v>0</v>
          </cell>
          <cell r="E502">
            <v>0</v>
          </cell>
          <cell r="F502">
            <v>0</v>
          </cell>
          <cell r="G502">
            <v>0</v>
          </cell>
          <cell r="H502">
            <v>0</v>
          </cell>
          <cell r="I502">
            <v>0</v>
          </cell>
          <cell r="J502">
            <v>0</v>
          </cell>
        </row>
        <row r="503">
          <cell r="B503" t="str">
            <v>3-2241</v>
          </cell>
          <cell r="C503" t="str">
            <v>Revenue TRP Scholarship prev.m</v>
          </cell>
          <cell r="D503">
            <v>0</v>
          </cell>
          <cell r="E503">
            <v>0</v>
          </cell>
          <cell r="F503">
            <v>0</v>
          </cell>
          <cell r="G503">
            <v>0</v>
          </cell>
          <cell r="H503">
            <v>0</v>
          </cell>
          <cell r="I503">
            <v>0</v>
          </cell>
          <cell r="J503">
            <v>0</v>
          </cell>
        </row>
        <row r="504">
          <cell r="B504" t="str">
            <v>3-2242</v>
          </cell>
          <cell r="C504" t="str">
            <v>Revenue TRP B santri miskin PM</v>
          </cell>
          <cell r="D504">
            <v>0</v>
          </cell>
          <cell r="E504">
            <v>0</v>
          </cell>
          <cell r="F504">
            <v>0</v>
          </cell>
          <cell r="G504">
            <v>0</v>
          </cell>
          <cell r="H504">
            <v>0</v>
          </cell>
          <cell r="I504">
            <v>0</v>
          </cell>
          <cell r="J504">
            <v>0</v>
          </cell>
        </row>
        <row r="505">
          <cell r="B505" t="str">
            <v>3-2280</v>
          </cell>
          <cell r="C505" t="str">
            <v>Lain - Lain 1</v>
          </cell>
          <cell r="D505">
            <v>0</v>
          </cell>
          <cell r="E505">
            <v>0</v>
          </cell>
          <cell r="F505">
            <v>0</v>
          </cell>
          <cell r="G505">
            <v>0</v>
          </cell>
          <cell r="H505">
            <v>0</v>
          </cell>
          <cell r="I505">
            <v>0</v>
          </cell>
          <cell r="J505">
            <v>0</v>
          </cell>
        </row>
        <row r="506">
          <cell r="B506" t="str">
            <v>3-2290</v>
          </cell>
          <cell r="C506" t="str">
            <v>Lain - lain 2</v>
          </cell>
          <cell r="D506">
            <v>0</v>
          </cell>
          <cell r="E506">
            <v>0</v>
          </cell>
          <cell r="F506">
            <v>0</v>
          </cell>
          <cell r="G506">
            <v>0</v>
          </cell>
          <cell r="H506">
            <v>0</v>
          </cell>
          <cell r="I506">
            <v>0</v>
          </cell>
          <cell r="J506">
            <v>0</v>
          </cell>
        </row>
        <row r="507">
          <cell r="B507" t="str">
            <v>3-2310</v>
          </cell>
          <cell r="C507" t="str">
            <v>Akademik</v>
          </cell>
          <cell r="D507">
            <v>0</v>
          </cell>
          <cell r="E507">
            <v>0</v>
          </cell>
          <cell r="F507">
            <v>0</v>
          </cell>
          <cell r="G507">
            <v>0</v>
          </cell>
          <cell r="H507">
            <v>0</v>
          </cell>
          <cell r="I507">
            <v>0</v>
          </cell>
          <cell r="J507">
            <v>0</v>
          </cell>
        </row>
        <row r="508">
          <cell r="B508" t="str">
            <v>3-2311</v>
          </cell>
          <cell r="C508" t="str">
            <v>Revenue TRP BOS DITQ Current M</v>
          </cell>
          <cell r="D508" t="str">
            <v>32,200,000.00cr</v>
          </cell>
          <cell r="E508">
            <v>0</v>
          </cell>
          <cell r="F508">
            <v>32200000</v>
          </cell>
          <cell r="G508">
            <v>0</v>
          </cell>
          <cell r="H508">
            <v>32200000</v>
          </cell>
          <cell r="I508">
            <v>0</v>
          </cell>
          <cell r="J508">
            <v>0</v>
          </cell>
        </row>
        <row r="509">
          <cell r="B509" t="str">
            <v>3-2312</v>
          </cell>
          <cell r="C509" t="str">
            <v>Revenue TRP BOS MTS Current M</v>
          </cell>
          <cell r="D509">
            <v>0</v>
          </cell>
          <cell r="E509">
            <v>0</v>
          </cell>
          <cell r="F509">
            <v>0</v>
          </cell>
          <cell r="G509">
            <v>0</v>
          </cell>
          <cell r="H509">
            <v>0</v>
          </cell>
          <cell r="I509">
            <v>0</v>
          </cell>
          <cell r="J509">
            <v>0</v>
          </cell>
        </row>
        <row r="510">
          <cell r="B510" t="str">
            <v>3-2313</v>
          </cell>
          <cell r="C510" t="str">
            <v>Revenue TRP BOM MA Current M</v>
          </cell>
          <cell r="D510">
            <v>0</v>
          </cell>
          <cell r="E510">
            <v>0</v>
          </cell>
          <cell r="F510">
            <v>0</v>
          </cell>
          <cell r="G510">
            <v>0</v>
          </cell>
          <cell r="H510">
            <v>0</v>
          </cell>
          <cell r="I510">
            <v>0</v>
          </cell>
          <cell r="J510">
            <v>0</v>
          </cell>
        </row>
        <row r="511">
          <cell r="B511" t="str">
            <v>3-2314</v>
          </cell>
          <cell r="C511" t="str">
            <v>Revenue TRP Porseni Current M</v>
          </cell>
          <cell r="D511">
            <v>0</v>
          </cell>
          <cell r="E511">
            <v>0</v>
          </cell>
          <cell r="F511">
            <v>0</v>
          </cell>
          <cell r="G511">
            <v>0</v>
          </cell>
          <cell r="H511">
            <v>0</v>
          </cell>
          <cell r="I511">
            <v>0</v>
          </cell>
          <cell r="J511">
            <v>0</v>
          </cell>
        </row>
        <row r="512">
          <cell r="B512" t="str">
            <v>3-2320</v>
          </cell>
          <cell r="C512" t="str">
            <v>Layanan Publik</v>
          </cell>
          <cell r="D512">
            <v>0</v>
          </cell>
          <cell r="E512">
            <v>0</v>
          </cell>
          <cell r="F512">
            <v>0</v>
          </cell>
          <cell r="G512">
            <v>0</v>
          </cell>
          <cell r="H512">
            <v>0</v>
          </cell>
          <cell r="I512">
            <v>0</v>
          </cell>
          <cell r="J512">
            <v>0</v>
          </cell>
        </row>
        <row r="513">
          <cell r="B513" t="str">
            <v>3-2321</v>
          </cell>
          <cell r="C513" t="str">
            <v>Revenue TRP Idul Adha CurrentM</v>
          </cell>
          <cell r="D513">
            <v>0</v>
          </cell>
          <cell r="E513">
            <v>0</v>
          </cell>
          <cell r="F513">
            <v>0</v>
          </cell>
          <cell r="G513">
            <v>29800000</v>
          </cell>
          <cell r="H513" t="str">
            <v>29,800,000.00cr</v>
          </cell>
          <cell r="I513" t="str">
            <v>29,800,000.00cr</v>
          </cell>
          <cell r="J513">
            <v>0</v>
          </cell>
        </row>
        <row r="514">
          <cell r="B514" t="str">
            <v>3-2322</v>
          </cell>
          <cell r="C514" t="str">
            <v>Revenue TRP Zakat Mal CurrentM</v>
          </cell>
          <cell r="D514" t="str">
            <v>15,000,000.00cr</v>
          </cell>
          <cell r="E514">
            <v>0</v>
          </cell>
          <cell r="F514">
            <v>15000000</v>
          </cell>
          <cell r="G514">
            <v>0</v>
          </cell>
          <cell r="H514">
            <v>15000000</v>
          </cell>
          <cell r="I514">
            <v>0</v>
          </cell>
          <cell r="J514">
            <v>0</v>
          </cell>
        </row>
        <row r="515">
          <cell r="B515" t="str">
            <v>3-2323</v>
          </cell>
          <cell r="C515" t="str">
            <v>Revenue TRP Ifthor Current Mon</v>
          </cell>
          <cell r="D515">
            <v>0</v>
          </cell>
          <cell r="E515">
            <v>0</v>
          </cell>
          <cell r="F515">
            <v>0</v>
          </cell>
          <cell r="G515">
            <v>33250000</v>
          </cell>
          <cell r="H515" t="str">
            <v>33,250,000.00cr</v>
          </cell>
          <cell r="I515" t="str">
            <v>33,250,000.00cr</v>
          </cell>
          <cell r="J515">
            <v>0</v>
          </cell>
        </row>
        <row r="516">
          <cell r="B516" t="str">
            <v>3-2324</v>
          </cell>
          <cell r="C516" t="str">
            <v>Revenue TRP Social Current Mon</v>
          </cell>
          <cell r="D516">
            <v>0</v>
          </cell>
          <cell r="E516">
            <v>0</v>
          </cell>
          <cell r="F516">
            <v>0</v>
          </cell>
          <cell r="G516">
            <v>0</v>
          </cell>
          <cell r="H516">
            <v>0</v>
          </cell>
          <cell r="I516">
            <v>0</v>
          </cell>
          <cell r="J516">
            <v>0</v>
          </cell>
        </row>
        <row r="517">
          <cell r="B517" t="str">
            <v>3-2325</v>
          </cell>
          <cell r="C517" t="str">
            <v>Revenue TRP F Miskin Current M</v>
          </cell>
          <cell r="D517">
            <v>0</v>
          </cell>
          <cell r="E517">
            <v>0</v>
          </cell>
          <cell r="F517">
            <v>0</v>
          </cell>
          <cell r="G517">
            <v>0</v>
          </cell>
          <cell r="H517">
            <v>0</v>
          </cell>
          <cell r="I517">
            <v>0</v>
          </cell>
          <cell r="J517">
            <v>0</v>
          </cell>
        </row>
        <row r="518">
          <cell r="B518" t="str">
            <v>3-2330</v>
          </cell>
          <cell r="C518" t="str">
            <v>Dukungan Program</v>
          </cell>
          <cell r="D518">
            <v>0</v>
          </cell>
          <cell r="E518">
            <v>0</v>
          </cell>
          <cell r="F518">
            <v>0</v>
          </cell>
          <cell r="G518">
            <v>0</v>
          </cell>
          <cell r="H518">
            <v>0</v>
          </cell>
          <cell r="I518">
            <v>0</v>
          </cell>
          <cell r="J518">
            <v>0</v>
          </cell>
        </row>
        <row r="519">
          <cell r="B519" t="str">
            <v>3-2340</v>
          </cell>
          <cell r="C519" t="str">
            <v>Bantuan Santri</v>
          </cell>
          <cell r="D519">
            <v>0</v>
          </cell>
          <cell r="E519">
            <v>0</v>
          </cell>
          <cell r="F519">
            <v>0</v>
          </cell>
          <cell r="G519">
            <v>0</v>
          </cell>
          <cell r="H519">
            <v>0</v>
          </cell>
          <cell r="I519">
            <v>0</v>
          </cell>
          <cell r="J519">
            <v>0</v>
          </cell>
        </row>
        <row r="520">
          <cell r="B520" t="str">
            <v>3-2341</v>
          </cell>
          <cell r="C520" t="str">
            <v>Revenue TRP Scholarship Curr.M</v>
          </cell>
          <cell r="D520">
            <v>0</v>
          </cell>
          <cell r="E520">
            <v>0</v>
          </cell>
          <cell r="F520">
            <v>0</v>
          </cell>
          <cell r="G520">
            <v>0</v>
          </cell>
          <cell r="H520">
            <v>0</v>
          </cell>
          <cell r="I520">
            <v>0</v>
          </cell>
          <cell r="J520">
            <v>0</v>
          </cell>
        </row>
        <row r="521">
          <cell r="B521" t="str">
            <v>3-2342</v>
          </cell>
          <cell r="C521" t="str">
            <v>Revenue TRP Bsan miskin Curr.M</v>
          </cell>
          <cell r="D521">
            <v>0</v>
          </cell>
          <cell r="E521">
            <v>0</v>
          </cell>
          <cell r="F521">
            <v>0</v>
          </cell>
          <cell r="G521">
            <v>0</v>
          </cell>
          <cell r="H521">
            <v>0</v>
          </cell>
          <cell r="I521">
            <v>0</v>
          </cell>
          <cell r="J521">
            <v>0</v>
          </cell>
        </row>
        <row r="522">
          <cell r="B522" t="str">
            <v>3-2380</v>
          </cell>
          <cell r="C522" t="str">
            <v>Lain - Lain 1</v>
          </cell>
          <cell r="D522">
            <v>0</v>
          </cell>
          <cell r="E522">
            <v>0</v>
          </cell>
          <cell r="F522">
            <v>0</v>
          </cell>
          <cell r="G522">
            <v>0</v>
          </cell>
          <cell r="H522">
            <v>0</v>
          </cell>
          <cell r="I522">
            <v>0</v>
          </cell>
          <cell r="J522">
            <v>0</v>
          </cell>
        </row>
        <row r="523">
          <cell r="B523" t="str">
            <v>3-2390</v>
          </cell>
          <cell r="C523" t="str">
            <v>Lain - Lain 2</v>
          </cell>
          <cell r="D523">
            <v>0</v>
          </cell>
          <cell r="E523">
            <v>0</v>
          </cell>
          <cell r="F523">
            <v>0</v>
          </cell>
          <cell r="G523">
            <v>0</v>
          </cell>
          <cell r="H523">
            <v>0</v>
          </cell>
          <cell r="I523">
            <v>0</v>
          </cell>
          <cell r="J523">
            <v>0</v>
          </cell>
        </row>
        <row r="524">
          <cell r="B524" t="str">
            <v>3-2410</v>
          </cell>
          <cell r="C524" t="str">
            <v>Akaemik</v>
          </cell>
          <cell r="D524">
            <v>0</v>
          </cell>
          <cell r="E524">
            <v>0</v>
          </cell>
          <cell r="F524">
            <v>0</v>
          </cell>
          <cell r="G524">
            <v>0</v>
          </cell>
          <cell r="H524">
            <v>0</v>
          </cell>
          <cell r="I524">
            <v>0</v>
          </cell>
          <cell r="J524">
            <v>0</v>
          </cell>
        </row>
        <row r="525">
          <cell r="B525" t="str">
            <v>3-2411</v>
          </cell>
          <cell r="C525" t="str">
            <v>Release from TRP BOS SDITQ PM</v>
          </cell>
          <cell r="D525">
            <v>209665793</v>
          </cell>
          <cell r="E525">
            <v>0</v>
          </cell>
          <cell r="F525">
            <v>3145034</v>
          </cell>
          <cell r="G525">
            <v>0</v>
          </cell>
          <cell r="H525">
            <v>3145034</v>
          </cell>
          <cell r="I525">
            <v>212810827</v>
          </cell>
          <cell r="J525">
            <v>0</v>
          </cell>
        </row>
        <row r="526">
          <cell r="B526" t="str">
            <v>3-2412</v>
          </cell>
          <cell r="C526" t="str">
            <v>Release from TRP BOS MTS PM</v>
          </cell>
          <cell r="D526">
            <v>1030257690</v>
          </cell>
          <cell r="E526">
            <v>0</v>
          </cell>
          <cell r="F526">
            <v>0</v>
          </cell>
          <cell r="G526">
            <v>0</v>
          </cell>
          <cell r="H526">
            <v>0</v>
          </cell>
          <cell r="I526">
            <v>1030257690</v>
          </cell>
          <cell r="J526">
            <v>0</v>
          </cell>
        </row>
        <row r="527">
          <cell r="B527" t="str">
            <v>3-2413</v>
          </cell>
          <cell r="C527" t="str">
            <v>Release from TRP BOM IM Prev.M</v>
          </cell>
          <cell r="D527">
            <v>722378138</v>
          </cell>
          <cell r="E527">
            <v>0</v>
          </cell>
          <cell r="F527">
            <v>0</v>
          </cell>
          <cell r="G527">
            <v>0</v>
          </cell>
          <cell r="H527">
            <v>0</v>
          </cell>
          <cell r="I527">
            <v>722378138</v>
          </cell>
          <cell r="J527">
            <v>0</v>
          </cell>
        </row>
        <row r="528">
          <cell r="B528" t="str">
            <v>3-2414</v>
          </cell>
          <cell r="C528" t="str">
            <v>Release from TRP Porseni IM PM</v>
          </cell>
          <cell r="D528">
            <v>0</v>
          </cell>
          <cell r="E528">
            <v>0</v>
          </cell>
          <cell r="F528">
            <v>0</v>
          </cell>
          <cell r="G528">
            <v>0</v>
          </cell>
          <cell r="H528">
            <v>0</v>
          </cell>
          <cell r="I528">
            <v>0</v>
          </cell>
          <cell r="J528">
            <v>0</v>
          </cell>
        </row>
        <row r="529">
          <cell r="B529" t="str">
            <v>3-2420</v>
          </cell>
          <cell r="C529" t="str">
            <v>Layanan Publik</v>
          </cell>
          <cell r="D529">
            <v>0</v>
          </cell>
          <cell r="E529">
            <v>0</v>
          </cell>
          <cell r="F529">
            <v>0</v>
          </cell>
          <cell r="G529">
            <v>0</v>
          </cell>
          <cell r="H529">
            <v>0</v>
          </cell>
          <cell r="I529">
            <v>0</v>
          </cell>
          <cell r="J529">
            <v>0</v>
          </cell>
        </row>
        <row r="530">
          <cell r="B530" t="str">
            <v>3-2421</v>
          </cell>
          <cell r="C530" t="str">
            <v>Release from TRP Idul Adha PM</v>
          </cell>
          <cell r="D530">
            <v>600399000</v>
          </cell>
          <cell r="E530">
            <v>0</v>
          </cell>
          <cell r="F530">
            <v>0</v>
          </cell>
          <cell r="G530">
            <v>0</v>
          </cell>
          <cell r="H530">
            <v>0</v>
          </cell>
          <cell r="I530">
            <v>600399000</v>
          </cell>
          <cell r="J530">
            <v>0</v>
          </cell>
        </row>
        <row r="531">
          <cell r="B531" t="str">
            <v>3-2422</v>
          </cell>
          <cell r="C531" t="str">
            <v>Release from TRP Zakat Mal PM</v>
          </cell>
          <cell r="D531">
            <v>106800000</v>
          </cell>
          <cell r="E531">
            <v>0</v>
          </cell>
          <cell r="F531">
            <v>88800000</v>
          </cell>
          <cell r="G531">
            <v>0</v>
          </cell>
          <cell r="H531">
            <v>88800000</v>
          </cell>
          <cell r="I531">
            <v>195600000</v>
          </cell>
          <cell r="J531">
            <v>0</v>
          </cell>
        </row>
        <row r="532">
          <cell r="B532" t="str">
            <v>3-2423</v>
          </cell>
          <cell r="C532" t="str">
            <v>Release from TRP Ifthor PM</v>
          </cell>
          <cell r="D532">
            <v>234635810</v>
          </cell>
          <cell r="E532">
            <v>0</v>
          </cell>
          <cell r="F532">
            <v>0</v>
          </cell>
          <cell r="G532">
            <v>0</v>
          </cell>
          <cell r="H532">
            <v>0</v>
          </cell>
          <cell r="I532">
            <v>234635810</v>
          </cell>
          <cell r="J532">
            <v>0</v>
          </cell>
        </row>
        <row r="533">
          <cell r="B533" t="str">
            <v>3-2424</v>
          </cell>
          <cell r="C533" t="str">
            <v>Release from TRP Social Fun PM</v>
          </cell>
          <cell r="D533">
            <v>38496500</v>
          </cell>
          <cell r="E533">
            <v>0</v>
          </cell>
          <cell r="F533">
            <v>0</v>
          </cell>
          <cell r="G533">
            <v>0</v>
          </cell>
          <cell r="H533">
            <v>0</v>
          </cell>
          <cell r="I533">
            <v>38496500</v>
          </cell>
          <cell r="J533">
            <v>0</v>
          </cell>
        </row>
        <row r="534">
          <cell r="B534" t="str">
            <v>3-2425</v>
          </cell>
          <cell r="C534" t="str">
            <v>Release from TRP F miskin PM</v>
          </cell>
          <cell r="D534">
            <v>3000000</v>
          </cell>
          <cell r="E534">
            <v>0</v>
          </cell>
          <cell r="F534">
            <v>0</v>
          </cell>
          <cell r="G534">
            <v>0</v>
          </cell>
          <cell r="H534">
            <v>0</v>
          </cell>
          <cell r="I534">
            <v>3000000</v>
          </cell>
          <cell r="J534">
            <v>0</v>
          </cell>
        </row>
        <row r="535">
          <cell r="B535" t="str">
            <v>3-2430</v>
          </cell>
          <cell r="C535" t="str">
            <v>Dukungan Program</v>
          </cell>
          <cell r="D535">
            <v>0</v>
          </cell>
          <cell r="E535">
            <v>0</v>
          </cell>
          <cell r="F535">
            <v>0</v>
          </cell>
          <cell r="G535">
            <v>0</v>
          </cell>
          <cell r="H535">
            <v>0</v>
          </cell>
          <cell r="I535">
            <v>0</v>
          </cell>
          <cell r="J535">
            <v>0</v>
          </cell>
        </row>
        <row r="536">
          <cell r="B536" t="str">
            <v>3-2440</v>
          </cell>
          <cell r="C536" t="str">
            <v>Bantuan Santri</v>
          </cell>
          <cell r="D536">
            <v>0</v>
          </cell>
          <cell r="E536">
            <v>0</v>
          </cell>
          <cell r="F536">
            <v>0</v>
          </cell>
          <cell r="G536">
            <v>0</v>
          </cell>
          <cell r="H536">
            <v>0</v>
          </cell>
          <cell r="I536">
            <v>0</v>
          </cell>
          <cell r="J536">
            <v>0</v>
          </cell>
        </row>
        <row r="537">
          <cell r="B537" t="str">
            <v>3-2441</v>
          </cell>
          <cell r="C537" t="str">
            <v>Release from TRP Scholarshi PM</v>
          </cell>
          <cell r="D537">
            <v>0</v>
          </cell>
          <cell r="E537">
            <v>0</v>
          </cell>
          <cell r="F537">
            <v>0</v>
          </cell>
          <cell r="G537">
            <v>0</v>
          </cell>
          <cell r="H537">
            <v>0</v>
          </cell>
          <cell r="I537">
            <v>0</v>
          </cell>
          <cell r="J537">
            <v>0</v>
          </cell>
        </row>
        <row r="538">
          <cell r="B538" t="str">
            <v>3-2442</v>
          </cell>
          <cell r="C538" t="str">
            <v>Release from TRP BS miskin PM</v>
          </cell>
          <cell r="D538">
            <v>0</v>
          </cell>
          <cell r="E538">
            <v>0</v>
          </cell>
          <cell r="F538">
            <v>0</v>
          </cell>
          <cell r="G538">
            <v>0</v>
          </cell>
          <cell r="H538">
            <v>0</v>
          </cell>
          <cell r="I538">
            <v>0</v>
          </cell>
          <cell r="J538">
            <v>0</v>
          </cell>
        </row>
        <row r="539">
          <cell r="B539" t="str">
            <v>3-2480</v>
          </cell>
          <cell r="C539" t="str">
            <v>Lain - lain 1</v>
          </cell>
          <cell r="D539">
            <v>0</v>
          </cell>
          <cell r="E539">
            <v>0</v>
          </cell>
          <cell r="F539">
            <v>0</v>
          </cell>
          <cell r="G539">
            <v>0</v>
          </cell>
          <cell r="H539">
            <v>0</v>
          </cell>
          <cell r="I539">
            <v>0</v>
          </cell>
          <cell r="J539">
            <v>0</v>
          </cell>
        </row>
        <row r="540">
          <cell r="B540" t="str">
            <v>3-2490</v>
          </cell>
          <cell r="C540" t="str">
            <v>Lain - lain 2</v>
          </cell>
          <cell r="D540">
            <v>0</v>
          </cell>
          <cell r="E540">
            <v>0</v>
          </cell>
          <cell r="F540">
            <v>0</v>
          </cell>
          <cell r="G540">
            <v>0</v>
          </cell>
          <cell r="H540">
            <v>0</v>
          </cell>
          <cell r="I540">
            <v>0</v>
          </cell>
          <cell r="J540">
            <v>0</v>
          </cell>
        </row>
        <row r="541">
          <cell r="B541" t="str">
            <v>3-2510</v>
          </cell>
          <cell r="C541" t="str">
            <v>Akademik</v>
          </cell>
          <cell r="D541">
            <v>0</v>
          </cell>
          <cell r="E541">
            <v>0</v>
          </cell>
          <cell r="F541">
            <v>0</v>
          </cell>
          <cell r="G541">
            <v>0</v>
          </cell>
          <cell r="H541">
            <v>0</v>
          </cell>
          <cell r="I541">
            <v>0</v>
          </cell>
          <cell r="J541">
            <v>0</v>
          </cell>
        </row>
        <row r="542">
          <cell r="B542" t="str">
            <v>3-2511</v>
          </cell>
          <cell r="C542" t="str">
            <v>Release from TRP BOS SDITQ CM</v>
          </cell>
          <cell r="D542">
            <v>3145034</v>
          </cell>
          <cell r="E542">
            <v>0</v>
          </cell>
          <cell r="F542">
            <v>17150920</v>
          </cell>
          <cell r="G542">
            <v>3145034</v>
          </cell>
          <cell r="H542">
            <v>14005886</v>
          </cell>
          <cell r="I542">
            <v>17150920</v>
          </cell>
          <cell r="J542">
            <v>0</v>
          </cell>
        </row>
        <row r="543">
          <cell r="B543" t="str">
            <v>3-2512</v>
          </cell>
          <cell r="C543" t="str">
            <v>Release from TRP BOS MTS CM</v>
          </cell>
          <cell r="D543">
            <v>0.4</v>
          </cell>
          <cell r="E543">
            <v>0</v>
          </cell>
          <cell r="F543">
            <v>48472302</v>
          </cell>
          <cell r="G543">
            <v>0</v>
          </cell>
          <cell r="H543">
            <v>48472302</v>
          </cell>
          <cell r="I543">
            <v>48472302.399999999</v>
          </cell>
          <cell r="J543">
            <v>0</v>
          </cell>
        </row>
        <row r="544">
          <cell r="B544" t="str">
            <v>3-2513</v>
          </cell>
          <cell r="C544" t="str">
            <v>Release from TRP BOM IM CM</v>
          </cell>
          <cell r="D544">
            <v>0</v>
          </cell>
          <cell r="E544">
            <v>0</v>
          </cell>
          <cell r="F544">
            <v>0</v>
          </cell>
          <cell r="G544">
            <v>0</v>
          </cell>
          <cell r="H544">
            <v>0</v>
          </cell>
          <cell r="I544">
            <v>0</v>
          </cell>
          <cell r="J544">
            <v>0</v>
          </cell>
        </row>
        <row r="545">
          <cell r="B545" t="str">
            <v>3-2514</v>
          </cell>
          <cell r="C545" t="str">
            <v>Release from TRP Porseni IM CM</v>
          </cell>
          <cell r="D545">
            <v>0</v>
          </cell>
          <cell r="E545">
            <v>0</v>
          </cell>
          <cell r="F545">
            <v>0</v>
          </cell>
          <cell r="G545">
            <v>0</v>
          </cell>
          <cell r="H545">
            <v>0</v>
          </cell>
          <cell r="I545">
            <v>0</v>
          </cell>
          <cell r="J545">
            <v>0</v>
          </cell>
        </row>
        <row r="546">
          <cell r="B546" t="str">
            <v>3-2520</v>
          </cell>
          <cell r="C546" t="str">
            <v>Layanan Publik</v>
          </cell>
          <cell r="D546">
            <v>0</v>
          </cell>
          <cell r="E546">
            <v>0</v>
          </cell>
          <cell r="F546">
            <v>0</v>
          </cell>
          <cell r="G546">
            <v>0</v>
          </cell>
          <cell r="H546">
            <v>0</v>
          </cell>
          <cell r="I546">
            <v>0</v>
          </cell>
          <cell r="J546">
            <v>0</v>
          </cell>
        </row>
        <row r="547">
          <cell r="B547" t="str">
            <v>3-2521</v>
          </cell>
          <cell r="C547" t="str">
            <v>Release from TRP Idul Adha CM</v>
          </cell>
          <cell r="D547">
            <v>0</v>
          </cell>
          <cell r="E547">
            <v>0</v>
          </cell>
          <cell r="F547">
            <v>13650000</v>
          </cell>
          <cell r="G547">
            <v>0</v>
          </cell>
          <cell r="H547">
            <v>13650000</v>
          </cell>
          <cell r="I547">
            <v>13650000</v>
          </cell>
          <cell r="J547">
            <v>0</v>
          </cell>
        </row>
        <row r="548">
          <cell r="B548" t="str">
            <v>3-2522</v>
          </cell>
          <cell r="C548" t="str">
            <v>Release from TRP Zakat Mal CM</v>
          </cell>
          <cell r="D548">
            <v>88800000</v>
          </cell>
          <cell r="E548">
            <v>0</v>
          </cell>
          <cell r="F548">
            <v>0</v>
          </cell>
          <cell r="G548">
            <v>88800000</v>
          </cell>
          <cell r="H548" t="str">
            <v>88,800,000.00cr</v>
          </cell>
          <cell r="I548">
            <v>0</v>
          </cell>
          <cell r="J548">
            <v>0</v>
          </cell>
        </row>
        <row r="549">
          <cell r="B549" t="str">
            <v>3-2523</v>
          </cell>
          <cell r="C549" t="str">
            <v>Release from TRP Ifthor CM</v>
          </cell>
          <cell r="D549">
            <v>0</v>
          </cell>
          <cell r="E549">
            <v>0</v>
          </cell>
          <cell r="F549">
            <v>0</v>
          </cell>
          <cell r="G549">
            <v>0</v>
          </cell>
          <cell r="H549">
            <v>0</v>
          </cell>
          <cell r="I549">
            <v>0</v>
          </cell>
          <cell r="J549">
            <v>0</v>
          </cell>
        </row>
        <row r="550">
          <cell r="B550" t="str">
            <v>3-2524</v>
          </cell>
          <cell r="C550" t="str">
            <v>Release from TRP Social Fun CM</v>
          </cell>
          <cell r="D550">
            <v>0</v>
          </cell>
          <cell r="E550">
            <v>0</v>
          </cell>
          <cell r="F550">
            <v>0</v>
          </cell>
          <cell r="G550">
            <v>0</v>
          </cell>
          <cell r="H550">
            <v>0</v>
          </cell>
          <cell r="I550">
            <v>0</v>
          </cell>
          <cell r="J550">
            <v>0</v>
          </cell>
        </row>
        <row r="551">
          <cell r="B551" t="str">
            <v>3-2525</v>
          </cell>
          <cell r="C551" t="str">
            <v>Release from TRP F miskin CM</v>
          </cell>
          <cell r="D551">
            <v>0</v>
          </cell>
          <cell r="E551">
            <v>0</v>
          </cell>
          <cell r="F551">
            <v>0</v>
          </cell>
          <cell r="G551">
            <v>0</v>
          </cell>
          <cell r="H551">
            <v>0</v>
          </cell>
          <cell r="I551">
            <v>0</v>
          </cell>
          <cell r="J551">
            <v>0</v>
          </cell>
        </row>
        <row r="552">
          <cell r="B552" t="str">
            <v>3-2530</v>
          </cell>
          <cell r="C552" t="str">
            <v>Dukungan Program</v>
          </cell>
          <cell r="D552">
            <v>0</v>
          </cell>
          <cell r="E552">
            <v>0</v>
          </cell>
          <cell r="F552">
            <v>0</v>
          </cell>
          <cell r="G552">
            <v>0</v>
          </cell>
          <cell r="H552">
            <v>0</v>
          </cell>
          <cell r="I552">
            <v>0</v>
          </cell>
          <cell r="J552">
            <v>0</v>
          </cell>
        </row>
        <row r="553">
          <cell r="B553" t="str">
            <v>3-2540</v>
          </cell>
          <cell r="C553" t="str">
            <v>Bantuan Santri</v>
          </cell>
          <cell r="D553">
            <v>0</v>
          </cell>
          <cell r="E553">
            <v>0</v>
          </cell>
          <cell r="F553">
            <v>0</v>
          </cell>
          <cell r="G553">
            <v>0</v>
          </cell>
          <cell r="H553">
            <v>0</v>
          </cell>
          <cell r="I553">
            <v>0</v>
          </cell>
          <cell r="J553">
            <v>0</v>
          </cell>
        </row>
        <row r="554">
          <cell r="B554" t="str">
            <v>3-2541</v>
          </cell>
          <cell r="C554" t="str">
            <v>Release from TRP Scholarshi CM</v>
          </cell>
          <cell r="D554">
            <v>0</v>
          </cell>
          <cell r="E554">
            <v>0</v>
          </cell>
          <cell r="F554">
            <v>0</v>
          </cell>
          <cell r="G554">
            <v>0</v>
          </cell>
          <cell r="H554">
            <v>0</v>
          </cell>
          <cell r="I554">
            <v>0</v>
          </cell>
          <cell r="J554">
            <v>0</v>
          </cell>
        </row>
        <row r="555">
          <cell r="B555" t="str">
            <v>3-2542</v>
          </cell>
          <cell r="C555" t="str">
            <v>Release from TRP BS miskin CM</v>
          </cell>
          <cell r="D555">
            <v>0</v>
          </cell>
          <cell r="E555">
            <v>0</v>
          </cell>
          <cell r="F555">
            <v>0</v>
          </cell>
          <cell r="G555">
            <v>0</v>
          </cell>
          <cell r="H555">
            <v>0</v>
          </cell>
          <cell r="I555">
            <v>0</v>
          </cell>
          <cell r="J555">
            <v>0</v>
          </cell>
        </row>
        <row r="556">
          <cell r="B556" t="str">
            <v>3-2580</v>
          </cell>
          <cell r="C556" t="str">
            <v>Lain - Lain 1</v>
          </cell>
          <cell r="D556">
            <v>0</v>
          </cell>
          <cell r="E556">
            <v>0</v>
          </cell>
          <cell r="F556">
            <v>0</v>
          </cell>
          <cell r="G556">
            <v>0</v>
          </cell>
          <cell r="H556">
            <v>0</v>
          </cell>
          <cell r="I556">
            <v>0</v>
          </cell>
          <cell r="J556">
            <v>0</v>
          </cell>
        </row>
        <row r="557">
          <cell r="B557" t="str">
            <v>3-2590</v>
          </cell>
          <cell r="C557" t="str">
            <v>Lain - Lain 2</v>
          </cell>
          <cell r="D557">
            <v>0</v>
          </cell>
          <cell r="E557">
            <v>0</v>
          </cell>
          <cell r="F557">
            <v>0</v>
          </cell>
          <cell r="G557">
            <v>0</v>
          </cell>
          <cell r="H557">
            <v>0</v>
          </cell>
          <cell r="I557">
            <v>0</v>
          </cell>
          <cell r="J557">
            <v>0</v>
          </cell>
        </row>
        <row r="558">
          <cell r="B558" t="str">
            <v>3-3110</v>
          </cell>
          <cell r="C558" t="str">
            <v>Sumbangan Kas</v>
          </cell>
          <cell r="D558">
            <v>0</v>
          </cell>
          <cell r="E558">
            <v>0</v>
          </cell>
          <cell r="F558">
            <v>0</v>
          </cell>
          <cell r="G558">
            <v>0</v>
          </cell>
          <cell r="H558">
            <v>0</v>
          </cell>
          <cell r="I558">
            <v>0</v>
          </cell>
          <cell r="J558">
            <v>0</v>
          </cell>
        </row>
        <row r="559">
          <cell r="B559" t="str">
            <v>3-3111</v>
          </cell>
          <cell r="C559" t="str">
            <v>TR FA Cholid B Previous Year</v>
          </cell>
          <cell r="D559">
            <v>0</v>
          </cell>
          <cell r="E559">
            <v>0</v>
          </cell>
          <cell r="F559">
            <v>0</v>
          </cell>
          <cell r="G559">
            <v>0</v>
          </cell>
          <cell r="H559">
            <v>0</v>
          </cell>
          <cell r="I559">
            <v>0</v>
          </cell>
          <cell r="J559">
            <v>0</v>
          </cell>
        </row>
        <row r="560">
          <cell r="B560" t="str">
            <v>3-3112</v>
          </cell>
          <cell r="C560" t="str">
            <v>TR FA M Harhara Previous Year</v>
          </cell>
          <cell r="D560">
            <v>0</v>
          </cell>
          <cell r="E560">
            <v>0</v>
          </cell>
          <cell r="F560">
            <v>0</v>
          </cell>
          <cell r="G560">
            <v>0</v>
          </cell>
          <cell r="H560">
            <v>0</v>
          </cell>
          <cell r="I560">
            <v>0</v>
          </cell>
          <cell r="J560">
            <v>0</v>
          </cell>
        </row>
        <row r="561">
          <cell r="B561" t="str">
            <v>3-3113</v>
          </cell>
          <cell r="C561" t="str">
            <v>TR FA Pmb.Masjid Previous Year</v>
          </cell>
          <cell r="D561" t="str">
            <v>4,471,960,178.00cr</v>
          </cell>
          <cell r="E561">
            <v>0</v>
          </cell>
          <cell r="F561">
            <v>0</v>
          </cell>
          <cell r="G561">
            <v>0</v>
          </cell>
          <cell r="H561">
            <v>0</v>
          </cell>
          <cell r="I561" t="str">
            <v>4,471,960,178.00cr</v>
          </cell>
          <cell r="J561">
            <v>0</v>
          </cell>
        </row>
        <row r="562">
          <cell r="B562" t="str">
            <v>3-3114</v>
          </cell>
          <cell r="C562" t="str">
            <v>TR FA PP Al Irsy Previous Year</v>
          </cell>
          <cell r="D562" t="str">
            <v>80,308,800.00cr</v>
          </cell>
          <cell r="E562">
            <v>0</v>
          </cell>
          <cell r="F562">
            <v>0</v>
          </cell>
          <cell r="G562">
            <v>0</v>
          </cell>
          <cell r="H562">
            <v>0</v>
          </cell>
          <cell r="I562" t="str">
            <v>80,308,800.00cr</v>
          </cell>
          <cell r="J562">
            <v>0</v>
          </cell>
        </row>
        <row r="563">
          <cell r="B563" t="str">
            <v>3-3119</v>
          </cell>
          <cell r="C563" t="str">
            <v>TR FA Others Previous Year</v>
          </cell>
          <cell r="D563" t="str">
            <v>647,837,000.00cr</v>
          </cell>
          <cell r="E563">
            <v>0</v>
          </cell>
          <cell r="F563">
            <v>0</v>
          </cell>
          <cell r="G563">
            <v>0</v>
          </cell>
          <cell r="H563">
            <v>0</v>
          </cell>
          <cell r="I563" t="str">
            <v>647,837,000.00cr</v>
          </cell>
          <cell r="J563">
            <v>0</v>
          </cell>
        </row>
        <row r="564">
          <cell r="B564" t="str">
            <v>3-3120</v>
          </cell>
          <cell r="C564" t="str">
            <v>Sumbangan aktiva jangka panjan</v>
          </cell>
          <cell r="D564">
            <v>0</v>
          </cell>
          <cell r="E564">
            <v>0</v>
          </cell>
          <cell r="F564">
            <v>0</v>
          </cell>
          <cell r="G564">
            <v>0</v>
          </cell>
          <cell r="H564">
            <v>0</v>
          </cell>
          <cell r="I564">
            <v>0</v>
          </cell>
          <cell r="J564">
            <v>0</v>
          </cell>
        </row>
        <row r="565">
          <cell r="B565" t="str">
            <v>3-3121</v>
          </cell>
          <cell r="C565" t="str">
            <v>TR FA non cash Previous Year</v>
          </cell>
          <cell r="D565">
            <v>0</v>
          </cell>
          <cell r="E565">
            <v>0</v>
          </cell>
          <cell r="F565">
            <v>0</v>
          </cell>
          <cell r="G565">
            <v>0</v>
          </cell>
          <cell r="H565">
            <v>0</v>
          </cell>
          <cell r="I565">
            <v>0</v>
          </cell>
          <cell r="J565">
            <v>0</v>
          </cell>
        </row>
        <row r="566">
          <cell r="B566" t="str">
            <v>3-3180</v>
          </cell>
          <cell r="C566" t="str">
            <v>Lain - Lain 1</v>
          </cell>
          <cell r="D566">
            <v>0</v>
          </cell>
          <cell r="E566">
            <v>0</v>
          </cell>
          <cell r="F566">
            <v>0</v>
          </cell>
          <cell r="G566">
            <v>0</v>
          </cell>
          <cell r="H566">
            <v>0</v>
          </cell>
          <cell r="I566">
            <v>0</v>
          </cell>
          <cell r="J566">
            <v>0</v>
          </cell>
        </row>
        <row r="567">
          <cell r="B567" t="str">
            <v>3-3190</v>
          </cell>
          <cell r="C567" t="str">
            <v>Lain - Lain 2</v>
          </cell>
          <cell r="D567">
            <v>0</v>
          </cell>
          <cell r="E567">
            <v>0</v>
          </cell>
          <cell r="F567">
            <v>0</v>
          </cell>
          <cell r="G567">
            <v>0</v>
          </cell>
          <cell r="H567">
            <v>0</v>
          </cell>
          <cell r="I567">
            <v>0</v>
          </cell>
          <cell r="J567">
            <v>0</v>
          </cell>
        </row>
        <row r="568">
          <cell r="B568" t="str">
            <v>3-3210</v>
          </cell>
          <cell r="C568" t="str">
            <v>Kas aktiva jangka panjang</v>
          </cell>
          <cell r="D568">
            <v>0</v>
          </cell>
          <cell r="E568">
            <v>0</v>
          </cell>
          <cell r="F568">
            <v>0</v>
          </cell>
          <cell r="G568">
            <v>0</v>
          </cell>
          <cell r="H568">
            <v>0</v>
          </cell>
          <cell r="I568">
            <v>0</v>
          </cell>
          <cell r="J568">
            <v>0</v>
          </cell>
        </row>
        <row r="569">
          <cell r="B569" t="str">
            <v>3-3211</v>
          </cell>
          <cell r="C569" t="str">
            <v>Revenue TP FA Cholid B Prev.M</v>
          </cell>
          <cell r="D569">
            <v>0</v>
          </cell>
          <cell r="E569">
            <v>0</v>
          </cell>
          <cell r="F569">
            <v>0</v>
          </cell>
          <cell r="G569">
            <v>0</v>
          </cell>
          <cell r="H569">
            <v>0</v>
          </cell>
          <cell r="I569">
            <v>0</v>
          </cell>
          <cell r="J569">
            <v>0</v>
          </cell>
        </row>
        <row r="570">
          <cell r="B570" t="str">
            <v>3-3212</v>
          </cell>
          <cell r="C570" t="str">
            <v>Revenue TP FA M.Harhara Prev.M</v>
          </cell>
          <cell r="D570">
            <v>0</v>
          </cell>
          <cell r="E570">
            <v>0</v>
          </cell>
          <cell r="F570">
            <v>0</v>
          </cell>
          <cell r="G570">
            <v>0</v>
          </cell>
          <cell r="H570">
            <v>0</v>
          </cell>
          <cell r="I570">
            <v>0</v>
          </cell>
          <cell r="J570">
            <v>0</v>
          </cell>
        </row>
        <row r="571">
          <cell r="B571" t="str">
            <v>3-3213</v>
          </cell>
          <cell r="C571" t="str">
            <v>Revenue TP FA Pb.Masjid Prev.M</v>
          </cell>
          <cell r="D571">
            <v>0</v>
          </cell>
          <cell r="E571">
            <v>0</v>
          </cell>
          <cell r="F571">
            <v>0</v>
          </cell>
          <cell r="G571">
            <v>14264000</v>
          </cell>
          <cell r="H571" t="str">
            <v>14,264,000.00cr</v>
          </cell>
          <cell r="I571" t="str">
            <v>14,264,000.00cr</v>
          </cell>
          <cell r="J571">
            <v>0</v>
          </cell>
        </row>
        <row r="572">
          <cell r="B572" t="str">
            <v>3-3214</v>
          </cell>
          <cell r="C572" t="str">
            <v>Revenue TP FA PP Al Irs Prev.M</v>
          </cell>
          <cell r="D572">
            <v>0</v>
          </cell>
          <cell r="E572">
            <v>0</v>
          </cell>
          <cell r="F572">
            <v>0</v>
          </cell>
          <cell r="G572">
            <v>0</v>
          </cell>
          <cell r="H572">
            <v>0</v>
          </cell>
          <cell r="I572">
            <v>0</v>
          </cell>
          <cell r="J572">
            <v>0</v>
          </cell>
        </row>
        <row r="573">
          <cell r="B573" t="str">
            <v>3-3219</v>
          </cell>
          <cell r="C573" t="str">
            <v>Revenue TP FA Others Prev.M</v>
          </cell>
          <cell r="D573">
            <v>0</v>
          </cell>
          <cell r="E573">
            <v>0</v>
          </cell>
          <cell r="F573">
            <v>0</v>
          </cell>
          <cell r="G573">
            <v>0</v>
          </cell>
          <cell r="H573">
            <v>0</v>
          </cell>
          <cell r="I573">
            <v>0</v>
          </cell>
          <cell r="J573">
            <v>0</v>
          </cell>
        </row>
        <row r="574">
          <cell r="B574" t="str">
            <v>3-3220</v>
          </cell>
          <cell r="C574" t="str">
            <v>Sumbangan aktiva jg panjang</v>
          </cell>
          <cell r="D574">
            <v>0</v>
          </cell>
          <cell r="E574">
            <v>0</v>
          </cell>
          <cell r="F574">
            <v>0</v>
          </cell>
          <cell r="G574">
            <v>0</v>
          </cell>
          <cell r="H574">
            <v>0</v>
          </cell>
          <cell r="I574">
            <v>0</v>
          </cell>
          <cell r="J574">
            <v>0</v>
          </cell>
        </row>
        <row r="575">
          <cell r="B575" t="str">
            <v>3-3221</v>
          </cell>
          <cell r="C575" t="str">
            <v>Revenue TP FA non cash Prev.M</v>
          </cell>
          <cell r="D575">
            <v>0</v>
          </cell>
          <cell r="E575">
            <v>0</v>
          </cell>
          <cell r="F575">
            <v>0</v>
          </cell>
          <cell r="G575">
            <v>0</v>
          </cell>
          <cell r="H575">
            <v>0</v>
          </cell>
          <cell r="I575">
            <v>0</v>
          </cell>
          <cell r="J575">
            <v>0</v>
          </cell>
        </row>
        <row r="576">
          <cell r="B576" t="str">
            <v>3-3280</v>
          </cell>
          <cell r="C576" t="str">
            <v>Lain - Lain 1</v>
          </cell>
          <cell r="D576">
            <v>0</v>
          </cell>
          <cell r="E576">
            <v>0</v>
          </cell>
          <cell r="F576">
            <v>0</v>
          </cell>
          <cell r="G576">
            <v>0</v>
          </cell>
          <cell r="H576">
            <v>0</v>
          </cell>
          <cell r="I576">
            <v>0</v>
          </cell>
          <cell r="J576">
            <v>0</v>
          </cell>
        </row>
        <row r="577">
          <cell r="B577" t="str">
            <v>3-3290</v>
          </cell>
          <cell r="C577" t="str">
            <v>Lain - Lain 2</v>
          </cell>
          <cell r="D577">
            <v>0</v>
          </cell>
          <cell r="E577">
            <v>0</v>
          </cell>
          <cell r="F577">
            <v>0</v>
          </cell>
          <cell r="G577">
            <v>0</v>
          </cell>
          <cell r="H577">
            <v>0</v>
          </cell>
          <cell r="I577">
            <v>0</v>
          </cell>
          <cell r="J577">
            <v>0</v>
          </cell>
        </row>
        <row r="578">
          <cell r="B578" t="str">
            <v>3-3310</v>
          </cell>
          <cell r="C578" t="str">
            <v>Kas Aktiva jangka panjang</v>
          </cell>
          <cell r="D578">
            <v>0</v>
          </cell>
          <cell r="E578">
            <v>0</v>
          </cell>
          <cell r="F578">
            <v>0</v>
          </cell>
          <cell r="G578">
            <v>0</v>
          </cell>
          <cell r="H578">
            <v>0</v>
          </cell>
          <cell r="I578">
            <v>0</v>
          </cell>
          <cell r="J578">
            <v>0</v>
          </cell>
        </row>
        <row r="579">
          <cell r="B579" t="str">
            <v>3-3311</v>
          </cell>
          <cell r="C579" t="str">
            <v>Revenue TP FA Cholid B Curr.M</v>
          </cell>
          <cell r="D579">
            <v>0</v>
          </cell>
          <cell r="E579">
            <v>0</v>
          </cell>
          <cell r="F579">
            <v>0</v>
          </cell>
          <cell r="G579">
            <v>0</v>
          </cell>
          <cell r="H579">
            <v>0</v>
          </cell>
          <cell r="I579">
            <v>0</v>
          </cell>
          <cell r="J579">
            <v>0</v>
          </cell>
        </row>
        <row r="580">
          <cell r="B580" t="str">
            <v>3-3312</v>
          </cell>
          <cell r="C580" t="str">
            <v>Revenue TP FA M.Harhar Curr.M</v>
          </cell>
          <cell r="D580">
            <v>0</v>
          </cell>
          <cell r="E580">
            <v>0</v>
          </cell>
          <cell r="F580">
            <v>0</v>
          </cell>
          <cell r="G580">
            <v>0</v>
          </cell>
          <cell r="H580">
            <v>0</v>
          </cell>
          <cell r="I580">
            <v>0</v>
          </cell>
          <cell r="J580">
            <v>0</v>
          </cell>
        </row>
        <row r="581">
          <cell r="B581" t="str">
            <v>3-3313</v>
          </cell>
          <cell r="C581" t="str">
            <v>Revenue TP FA Pb.Masjid Curr.M</v>
          </cell>
          <cell r="D581" t="str">
            <v>14,264,000.00cr</v>
          </cell>
          <cell r="E581">
            <v>0</v>
          </cell>
          <cell r="F581">
            <v>14264000</v>
          </cell>
          <cell r="G581">
            <v>65985000</v>
          </cell>
          <cell r="H581" t="str">
            <v>51,721,000.00cr</v>
          </cell>
          <cell r="I581" t="str">
            <v>65,985,000.00cr</v>
          </cell>
          <cell r="J581">
            <v>0</v>
          </cell>
        </row>
        <row r="582">
          <cell r="B582" t="str">
            <v>3-3314</v>
          </cell>
          <cell r="C582" t="str">
            <v>Revenue TP FA PP Al Irs Curr.M</v>
          </cell>
          <cell r="D582">
            <v>0</v>
          </cell>
          <cell r="E582">
            <v>0</v>
          </cell>
          <cell r="F582">
            <v>0</v>
          </cell>
          <cell r="G582">
            <v>0</v>
          </cell>
          <cell r="H582">
            <v>0</v>
          </cell>
          <cell r="I582">
            <v>0</v>
          </cell>
          <cell r="J582">
            <v>0</v>
          </cell>
        </row>
        <row r="583">
          <cell r="B583" t="str">
            <v>3-3319</v>
          </cell>
          <cell r="C583" t="str">
            <v>Revenue TP FA Others Curr.M</v>
          </cell>
          <cell r="D583">
            <v>0</v>
          </cell>
          <cell r="E583">
            <v>0</v>
          </cell>
          <cell r="F583">
            <v>0</v>
          </cell>
          <cell r="G583">
            <v>0</v>
          </cell>
          <cell r="H583">
            <v>0</v>
          </cell>
          <cell r="I583">
            <v>0</v>
          </cell>
          <cell r="J583">
            <v>0</v>
          </cell>
        </row>
        <row r="584">
          <cell r="B584" t="str">
            <v>3-3320</v>
          </cell>
          <cell r="C584" t="str">
            <v>Sumbangan aktiva jg panjang</v>
          </cell>
          <cell r="D584">
            <v>0</v>
          </cell>
          <cell r="E584">
            <v>0</v>
          </cell>
          <cell r="F584">
            <v>0</v>
          </cell>
          <cell r="G584">
            <v>0</v>
          </cell>
          <cell r="H584">
            <v>0</v>
          </cell>
          <cell r="I584">
            <v>0</v>
          </cell>
          <cell r="J584">
            <v>0</v>
          </cell>
        </row>
        <row r="585">
          <cell r="B585" t="str">
            <v>3-3321</v>
          </cell>
          <cell r="C585" t="str">
            <v>Revenue TP FA Others Curr.M</v>
          </cell>
          <cell r="D585">
            <v>0</v>
          </cell>
          <cell r="E585">
            <v>0</v>
          </cell>
          <cell r="F585">
            <v>0</v>
          </cell>
          <cell r="G585">
            <v>0</v>
          </cell>
          <cell r="H585">
            <v>0</v>
          </cell>
          <cell r="I585">
            <v>0</v>
          </cell>
          <cell r="J585">
            <v>0</v>
          </cell>
        </row>
        <row r="586">
          <cell r="B586" t="str">
            <v>3-3380</v>
          </cell>
          <cell r="C586" t="str">
            <v>Lain - Lain 1</v>
          </cell>
          <cell r="D586">
            <v>0</v>
          </cell>
          <cell r="E586">
            <v>0</v>
          </cell>
          <cell r="F586">
            <v>0</v>
          </cell>
          <cell r="G586">
            <v>0</v>
          </cell>
          <cell r="H586">
            <v>0</v>
          </cell>
          <cell r="I586">
            <v>0</v>
          </cell>
          <cell r="J586">
            <v>0</v>
          </cell>
        </row>
        <row r="587">
          <cell r="B587" t="str">
            <v>3-3390</v>
          </cell>
          <cell r="C587" t="str">
            <v>Lain - Lain 2</v>
          </cell>
          <cell r="D587">
            <v>0</v>
          </cell>
          <cell r="E587">
            <v>0</v>
          </cell>
          <cell r="F587">
            <v>0</v>
          </cell>
          <cell r="G587">
            <v>0</v>
          </cell>
          <cell r="H587">
            <v>0</v>
          </cell>
          <cell r="I587">
            <v>0</v>
          </cell>
          <cell r="J587">
            <v>0</v>
          </cell>
        </row>
        <row r="588">
          <cell r="B588" t="str">
            <v>3-3410</v>
          </cell>
          <cell r="C588" t="str">
            <v>Kas aktiva jangka panjang</v>
          </cell>
          <cell r="D588">
            <v>0</v>
          </cell>
          <cell r="E588">
            <v>0</v>
          </cell>
          <cell r="F588">
            <v>0</v>
          </cell>
          <cell r="G588">
            <v>0</v>
          </cell>
          <cell r="H588">
            <v>0</v>
          </cell>
          <cell r="I588">
            <v>0</v>
          </cell>
          <cell r="J588">
            <v>0</v>
          </cell>
        </row>
        <row r="589">
          <cell r="B589" t="str">
            <v>3-3411</v>
          </cell>
          <cell r="C589" t="str">
            <v>Release From TR FA Cholid B PM</v>
          </cell>
          <cell r="D589">
            <v>0</v>
          </cell>
          <cell r="E589">
            <v>0</v>
          </cell>
          <cell r="F589">
            <v>0</v>
          </cell>
          <cell r="G589">
            <v>0</v>
          </cell>
          <cell r="H589">
            <v>0</v>
          </cell>
          <cell r="I589">
            <v>0</v>
          </cell>
          <cell r="J589">
            <v>0</v>
          </cell>
        </row>
        <row r="590">
          <cell r="B590" t="str">
            <v>3-3412</v>
          </cell>
          <cell r="C590" t="str">
            <v>Release From TR FA M.Harhar PM</v>
          </cell>
          <cell r="D590">
            <v>0</v>
          </cell>
          <cell r="E590">
            <v>0</v>
          </cell>
          <cell r="F590">
            <v>0</v>
          </cell>
          <cell r="G590">
            <v>0</v>
          </cell>
          <cell r="H590">
            <v>0</v>
          </cell>
          <cell r="I590">
            <v>0</v>
          </cell>
          <cell r="J590">
            <v>0</v>
          </cell>
        </row>
        <row r="591">
          <cell r="B591" t="str">
            <v>3-3413</v>
          </cell>
          <cell r="C591" t="str">
            <v>Release From TR FA P.Masjid PM</v>
          </cell>
          <cell r="D591">
            <v>3829477662</v>
          </cell>
          <cell r="E591">
            <v>0</v>
          </cell>
          <cell r="F591">
            <v>0</v>
          </cell>
          <cell r="G591">
            <v>0</v>
          </cell>
          <cell r="H591">
            <v>0</v>
          </cell>
          <cell r="I591">
            <v>3829477662</v>
          </cell>
          <cell r="J591">
            <v>0</v>
          </cell>
        </row>
        <row r="592">
          <cell r="B592" t="str">
            <v>3-3414</v>
          </cell>
          <cell r="C592" t="str">
            <v>Release From TR FA PP Al Ir PM</v>
          </cell>
          <cell r="D592">
            <v>75781800</v>
          </cell>
          <cell r="E592">
            <v>0</v>
          </cell>
          <cell r="F592">
            <v>0</v>
          </cell>
          <cell r="G592">
            <v>0</v>
          </cell>
          <cell r="H592">
            <v>0</v>
          </cell>
          <cell r="I592">
            <v>75781800</v>
          </cell>
          <cell r="J592">
            <v>0</v>
          </cell>
        </row>
        <row r="593">
          <cell r="B593" t="str">
            <v>3-3419</v>
          </cell>
          <cell r="C593" t="str">
            <v>Release From TR FA Others PM</v>
          </cell>
          <cell r="D593">
            <v>619865125</v>
          </cell>
          <cell r="E593">
            <v>0</v>
          </cell>
          <cell r="F593">
            <v>0</v>
          </cell>
          <cell r="G593">
            <v>0</v>
          </cell>
          <cell r="H593">
            <v>0</v>
          </cell>
          <cell r="I593">
            <v>619865125</v>
          </cell>
          <cell r="J593">
            <v>0</v>
          </cell>
        </row>
        <row r="594">
          <cell r="B594" t="str">
            <v>3-3420</v>
          </cell>
          <cell r="C594" t="str">
            <v>Sumbangan Aktiva Jangka Panjan</v>
          </cell>
          <cell r="D594">
            <v>0</v>
          </cell>
          <cell r="E594">
            <v>0</v>
          </cell>
          <cell r="F594">
            <v>0</v>
          </cell>
          <cell r="G594">
            <v>0</v>
          </cell>
          <cell r="H594">
            <v>0</v>
          </cell>
          <cell r="I594">
            <v>0</v>
          </cell>
          <cell r="J594">
            <v>0</v>
          </cell>
        </row>
        <row r="595">
          <cell r="B595" t="str">
            <v>3-3421</v>
          </cell>
          <cell r="C595" t="str">
            <v>Release From TR FA Non cash PM</v>
          </cell>
          <cell r="D595">
            <v>0</v>
          </cell>
          <cell r="E595">
            <v>0</v>
          </cell>
          <cell r="F595">
            <v>0</v>
          </cell>
          <cell r="G595">
            <v>0</v>
          </cell>
          <cell r="H595">
            <v>0</v>
          </cell>
          <cell r="I595">
            <v>0</v>
          </cell>
          <cell r="J595">
            <v>0</v>
          </cell>
        </row>
        <row r="596">
          <cell r="B596" t="str">
            <v>3-3480</v>
          </cell>
          <cell r="C596" t="str">
            <v>Lain - Lain 1</v>
          </cell>
          <cell r="D596">
            <v>0</v>
          </cell>
          <cell r="E596">
            <v>0</v>
          </cell>
          <cell r="F596">
            <v>0</v>
          </cell>
          <cell r="G596">
            <v>0</v>
          </cell>
          <cell r="H596">
            <v>0</v>
          </cell>
          <cell r="I596">
            <v>0</v>
          </cell>
          <cell r="J596">
            <v>0</v>
          </cell>
        </row>
        <row r="597">
          <cell r="B597" t="str">
            <v>3-3490</v>
          </cell>
          <cell r="C597" t="str">
            <v>Lain - Lain 2</v>
          </cell>
          <cell r="D597">
            <v>0</v>
          </cell>
          <cell r="E597">
            <v>0</v>
          </cell>
          <cell r="F597">
            <v>0</v>
          </cell>
          <cell r="G597">
            <v>0</v>
          </cell>
          <cell r="H597">
            <v>0</v>
          </cell>
          <cell r="I597">
            <v>0</v>
          </cell>
          <cell r="J597">
            <v>0</v>
          </cell>
        </row>
        <row r="598">
          <cell r="B598" t="str">
            <v>3-3510</v>
          </cell>
          <cell r="C598" t="str">
            <v>Kas aktiva jangka panjang</v>
          </cell>
          <cell r="D598">
            <v>0</v>
          </cell>
          <cell r="E598">
            <v>0</v>
          </cell>
          <cell r="F598">
            <v>0</v>
          </cell>
          <cell r="G598">
            <v>0</v>
          </cell>
          <cell r="H598">
            <v>0</v>
          </cell>
          <cell r="I598">
            <v>0</v>
          </cell>
          <cell r="J598">
            <v>0</v>
          </cell>
        </row>
        <row r="599">
          <cell r="B599" t="str">
            <v>3-3511</v>
          </cell>
          <cell r="C599" t="str">
            <v>Release From TR FA Cholid B CM</v>
          </cell>
          <cell r="D599">
            <v>0</v>
          </cell>
          <cell r="E599">
            <v>0</v>
          </cell>
          <cell r="F599">
            <v>0</v>
          </cell>
          <cell r="G599">
            <v>0</v>
          </cell>
          <cell r="H599">
            <v>0</v>
          </cell>
          <cell r="I599">
            <v>0</v>
          </cell>
          <cell r="J599">
            <v>0</v>
          </cell>
        </row>
        <row r="600">
          <cell r="B600" t="str">
            <v>3-3512</v>
          </cell>
          <cell r="C600" t="str">
            <v>Release From TR FA M.Harhar CM</v>
          </cell>
          <cell r="D600">
            <v>0</v>
          </cell>
          <cell r="E600">
            <v>0</v>
          </cell>
          <cell r="F600">
            <v>0</v>
          </cell>
          <cell r="G600">
            <v>0</v>
          </cell>
          <cell r="H600">
            <v>0</v>
          </cell>
          <cell r="I600">
            <v>0</v>
          </cell>
          <cell r="J600">
            <v>0</v>
          </cell>
        </row>
        <row r="601">
          <cell r="B601" t="str">
            <v>3-3513</v>
          </cell>
          <cell r="C601" t="str">
            <v>Release From TR FA P.Masjid CM</v>
          </cell>
          <cell r="D601">
            <v>0</v>
          </cell>
          <cell r="E601">
            <v>0</v>
          </cell>
          <cell r="F601">
            <v>188819000</v>
          </cell>
          <cell r="G601">
            <v>0</v>
          </cell>
          <cell r="H601">
            <v>188819000</v>
          </cell>
          <cell r="I601">
            <v>188819000</v>
          </cell>
          <cell r="J601">
            <v>0</v>
          </cell>
        </row>
        <row r="602">
          <cell r="B602" t="str">
            <v>3-3514</v>
          </cell>
          <cell r="C602" t="str">
            <v>Release From TR FA PP Al Ir CM</v>
          </cell>
          <cell r="D602">
            <v>0</v>
          </cell>
          <cell r="E602">
            <v>0</v>
          </cell>
          <cell r="F602">
            <v>0</v>
          </cell>
          <cell r="G602">
            <v>0</v>
          </cell>
          <cell r="H602">
            <v>0</v>
          </cell>
          <cell r="I602">
            <v>0</v>
          </cell>
          <cell r="J602">
            <v>0</v>
          </cell>
        </row>
        <row r="603">
          <cell r="B603" t="str">
            <v>3-3519</v>
          </cell>
          <cell r="C603" t="str">
            <v>Release From TR FA Other CM</v>
          </cell>
          <cell r="D603">
            <v>0</v>
          </cell>
          <cell r="E603">
            <v>0</v>
          </cell>
          <cell r="F603">
            <v>0</v>
          </cell>
          <cell r="G603">
            <v>0</v>
          </cell>
          <cell r="H603">
            <v>0</v>
          </cell>
          <cell r="I603">
            <v>0</v>
          </cell>
          <cell r="J603">
            <v>0</v>
          </cell>
        </row>
        <row r="604">
          <cell r="B604" t="str">
            <v>3-3520</v>
          </cell>
          <cell r="C604" t="str">
            <v>Sumbangan Aktiva Jangka Panjan</v>
          </cell>
          <cell r="D604">
            <v>0</v>
          </cell>
          <cell r="E604">
            <v>0</v>
          </cell>
          <cell r="F604">
            <v>0</v>
          </cell>
          <cell r="G604">
            <v>0</v>
          </cell>
          <cell r="H604">
            <v>0</v>
          </cell>
          <cell r="I604">
            <v>0</v>
          </cell>
          <cell r="J604">
            <v>0</v>
          </cell>
        </row>
        <row r="605">
          <cell r="B605" t="str">
            <v>3-3521</v>
          </cell>
          <cell r="C605" t="str">
            <v>Release From TR FA Non cash CM</v>
          </cell>
          <cell r="D605">
            <v>0</v>
          </cell>
          <cell r="E605">
            <v>0</v>
          </cell>
          <cell r="F605">
            <v>0</v>
          </cell>
          <cell r="G605">
            <v>0</v>
          </cell>
          <cell r="H605">
            <v>0</v>
          </cell>
          <cell r="I605">
            <v>0</v>
          </cell>
          <cell r="J605">
            <v>0</v>
          </cell>
        </row>
        <row r="606">
          <cell r="B606" t="str">
            <v>3-3580</v>
          </cell>
          <cell r="C606" t="str">
            <v>Lain - Lain 1</v>
          </cell>
          <cell r="D606">
            <v>0</v>
          </cell>
          <cell r="E606">
            <v>0</v>
          </cell>
          <cell r="F606">
            <v>0</v>
          </cell>
          <cell r="G606">
            <v>0</v>
          </cell>
          <cell r="H606">
            <v>0</v>
          </cell>
          <cell r="I606">
            <v>0</v>
          </cell>
          <cell r="J606">
            <v>0</v>
          </cell>
        </row>
        <row r="607">
          <cell r="B607" t="str">
            <v>3-3590</v>
          </cell>
          <cell r="C607" t="str">
            <v>Lain - Lain 2</v>
          </cell>
          <cell r="D607">
            <v>0</v>
          </cell>
          <cell r="E607">
            <v>0</v>
          </cell>
          <cell r="F607">
            <v>0</v>
          </cell>
          <cell r="G607">
            <v>0</v>
          </cell>
          <cell r="H607">
            <v>0</v>
          </cell>
          <cell r="I607">
            <v>0</v>
          </cell>
          <cell r="J607">
            <v>0</v>
          </cell>
        </row>
        <row r="608">
          <cell r="B608" t="str">
            <v>3-4110</v>
          </cell>
          <cell r="C608" t="str">
            <v>Investasi</v>
          </cell>
          <cell r="D608">
            <v>0</v>
          </cell>
          <cell r="E608">
            <v>0</v>
          </cell>
          <cell r="F608">
            <v>0</v>
          </cell>
          <cell r="G608">
            <v>0</v>
          </cell>
          <cell r="H608">
            <v>0</v>
          </cell>
          <cell r="I608">
            <v>0</v>
          </cell>
          <cell r="J608">
            <v>0</v>
          </cell>
        </row>
        <row r="609">
          <cell r="B609" t="str">
            <v>3-4111</v>
          </cell>
          <cell r="C609" t="str">
            <v>TR-Time-Investment Previous Mo</v>
          </cell>
          <cell r="D609">
            <v>0</v>
          </cell>
          <cell r="E609">
            <v>0</v>
          </cell>
          <cell r="F609">
            <v>0</v>
          </cell>
          <cell r="G609">
            <v>0</v>
          </cell>
          <cell r="H609">
            <v>0</v>
          </cell>
          <cell r="I609">
            <v>0</v>
          </cell>
          <cell r="J609">
            <v>0</v>
          </cell>
        </row>
        <row r="610">
          <cell r="B610" t="str">
            <v>3-4210</v>
          </cell>
          <cell r="C610" t="str">
            <v>Investasi</v>
          </cell>
          <cell r="D610">
            <v>0</v>
          </cell>
          <cell r="E610">
            <v>0</v>
          </cell>
          <cell r="F610">
            <v>0</v>
          </cell>
          <cell r="G610">
            <v>0</v>
          </cell>
          <cell r="H610">
            <v>0</v>
          </cell>
          <cell r="I610">
            <v>0</v>
          </cell>
          <cell r="J610">
            <v>0</v>
          </cell>
        </row>
        <row r="611">
          <cell r="B611" t="str">
            <v>3-4211</v>
          </cell>
          <cell r="C611" t="str">
            <v>Revenue TR-Time-Investment PM</v>
          </cell>
          <cell r="D611">
            <v>0</v>
          </cell>
          <cell r="E611">
            <v>0</v>
          </cell>
          <cell r="F611">
            <v>0</v>
          </cell>
          <cell r="G611">
            <v>0</v>
          </cell>
          <cell r="H611">
            <v>0</v>
          </cell>
          <cell r="I611">
            <v>0</v>
          </cell>
          <cell r="J611">
            <v>0</v>
          </cell>
        </row>
        <row r="612">
          <cell r="B612" t="str">
            <v>3-4310</v>
          </cell>
          <cell r="C612" t="str">
            <v>Investasi</v>
          </cell>
          <cell r="D612">
            <v>0</v>
          </cell>
          <cell r="E612">
            <v>0</v>
          </cell>
          <cell r="F612">
            <v>0</v>
          </cell>
          <cell r="G612">
            <v>0</v>
          </cell>
          <cell r="H612">
            <v>0</v>
          </cell>
          <cell r="I612">
            <v>0</v>
          </cell>
          <cell r="J612">
            <v>0</v>
          </cell>
        </row>
        <row r="613">
          <cell r="B613" t="str">
            <v>3-4311</v>
          </cell>
          <cell r="C613" t="str">
            <v>Revenue TR-Time-Investment CM</v>
          </cell>
          <cell r="D613">
            <v>0</v>
          </cell>
          <cell r="E613">
            <v>0</v>
          </cell>
          <cell r="F613">
            <v>0</v>
          </cell>
          <cell r="G613">
            <v>0</v>
          </cell>
          <cell r="H613">
            <v>0</v>
          </cell>
          <cell r="I613">
            <v>0</v>
          </cell>
          <cell r="J613">
            <v>0</v>
          </cell>
        </row>
        <row r="614">
          <cell r="B614" t="str">
            <v>3-4410</v>
          </cell>
          <cell r="C614" t="str">
            <v>Investasi</v>
          </cell>
          <cell r="D614">
            <v>0</v>
          </cell>
          <cell r="E614">
            <v>0</v>
          </cell>
          <cell r="F614">
            <v>0</v>
          </cell>
          <cell r="G614">
            <v>0</v>
          </cell>
          <cell r="H614">
            <v>0</v>
          </cell>
          <cell r="I614">
            <v>0</v>
          </cell>
          <cell r="J614">
            <v>0</v>
          </cell>
        </row>
        <row r="615">
          <cell r="B615" t="str">
            <v>3-4411</v>
          </cell>
          <cell r="C615" t="str">
            <v>Release TR-Time-Investment PM</v>
          </cell>
          <cell r="D615">
            <v>0</v>
          </cell>
          <cell r="E615">
            <v>0</v>
          </cell>
          <cell r="F615">
            <v>0</v>
          </cell>
          <cell r="G615">
            <v>0</v>
          </cell>
          <cell r="H615">
            <v>0</v>
          </cell>
          <cell r="I615">
            <v>0</v>
          </cell>
          <cell r="J615">
            <v>0</v>
          </cell>
        </row>
        <row r="616">
          <cell r="B616" t="str">
            <v>3-4510</v>
          </cell>
          <cell r="C616" t="str">
            <v>Investasi</v>
          </cell>
          <cell r="D616">
            <v>0</v>
          </cell>
          <cell r="E616">
            <v>0</v>
          </cell>
          <cell r="F616">
            <v>0</v>
          </cell>
          <cell r="G616">
            <v>0</v>
          </cell>
          <cell r="H616">
            <v>0</v>
          </cell>
          <cell r="I616">
            <v>0</v>
          </cell>
          <cell r="J616">
            <v>0</v>
          </cell>
        </row>
        <row r="617">
          <cell r="B617" t="str">
            <v>3-4511</v>
          </cell>
          <cell r="C617" t="str">
            <v>Release TR-Time-Investment CM</v>
          </cell>
          <cell r="D617">
            <v>0</v>
          </cell>
          <cell r="E617">
            <v>0</v>
          </cell>
          <cell r="F617">
            <v>0</v>
          </cell>
          <cell r="G617">
            <v>0</v>
          </cell>
          <cell r="H617">
            <v>0</v>
          </cell>
          <cell r="I617">
            <v>0</v>
          </cell>
          <cell r="J617">
            <v>0</v>
          </cell>
        </row>
        <row r="618">
          <cell r="B618" t="str">
            <v>3-5110</v>
          </cell>
          <cell r="C618" t="str">
            <v>Investasi</v>
          </cell>
          <cell r="D618">
            <v>0</v>
          </cell>
          <cell r="E618">
            <v>0</v>
          </cell>
          <cell r="F618">
            <v>0</v>
          </cell>
          <cell r="G618">
            <v>0</v>
          </cell>
          <cell r="H618">
            <v>0</v>
          </cell>
          <cell r="I618">
            <v>0</v>
          </cell>
          <cell r="J618">
            <v>0</v>
          </cell>
        </row>
        <row r="619">
          <cell r="B619" t="str">
            <v>3-5111</v>
          </cell>
          <cell r="C619" t="str">
            <v>PR Investment Contribution PY</v>
          </cell>
          <cell r="D619" t="str">
            <v>5,000,000.00cr</v>
          </cell>
          <cell r="E619">
            <v>0</v>
          </cell>
          <cell r="F619">
            <v>0</v>
          </cell>
          <cell r="G619">
            <v>0</v>
          </cell>
          <cell r="H619">
            <v>0</v>
          </cell>
          <cell r="I619" t="str">
            <v>5,000,000.00cr</v>
          </cell>
          <cell r="J619">
            <v>0</v>
          </cell>
        </row>
        <row r="620">
          <cell r="B620" t="str">
            <v>3-5112</v>
          </cell>
          <cell r="C620" t="str">
            <v>PR Investment Income Prev.Year</v>
          </cell>
          <cell r="D620">
            <v>0</v>
          </cell>
          <cell r="E620">
            <v>0</v>
          </cell>
          <cell r="F620">
            <v>0</v>
          </cell>
          <cell r="G620">
            <v>0</v>
          </cell>
          <cell r="H620">
            <v>0</v>
          </cell>
          <cell r="I620">
            <v>0</v>
          </cell>
          <cell r="J620">
            <v>0</v>
          </cell>
        </row>
        <row r="621">
          <cell r="B621" t="str">
            <v>3-5120</v>
          </cell>
          <cell r="C621" t="str">
            <v>Land</v>
          </cell>
          <cell r="D621">
            <v>0</v>
          </cell>
          <cell r="E621">
            <v>0</v>
          </cell>
          <cell r="F621">
            <v>0</v>
          </cell>
          <cell r="G621">
            <v>0</v>
          </cell>
          <cell r="H621">
            <v>0</v>
          </cell>
          <cell r="I621">
            <v>0</v>
          </cell>
          <cell r="J621">
            <v>0</v>
          </cell>
        </row>
        <row r="622">
          <cell r="B622" t="str">
            <v>3-5180</v>
          </cell>
          <cell r="C622" t="str">
            <v>Lain - Lain 1</v>
          </cell>
          <cell r="D622">
            <v>0</v>
          </cell>
          <cell r="E622">
            <v>0</v>
          </cell>
          <cell r="F622">
            <v>0</v>
          </cell>
          <cell r="G622">
            <v>0</v>
          </cell>
          <cell r="H622">
            <v>0</v>
          </cell>
          <cell r="I622">
            <v>0</v>
          </cell>
          <cell r="J622">
            <v>0</v>
          </cell>
        </row>
        <row r="623">
          <cell r="B623" t="str">
            <v>3-5190</v>
          </cell>
          <cell r="C623" t="str">
            <v>Lain - Lain 2</v>
          </cell>
          <cell r="D623">
            <v>0</v>
          </cell>
          <cell r="E623">
            <v>0</v>
          </cell>
          <cell r="F623">
            <v>0</v>
          </cell>
          <cell r="G623">
            <v>0</v>
          </cell>
          <cell r="H623">
            <v>0</v>
          </cell>
          <cell r="I623">
            <v>0</v>
          </cell>
          <cell r="J623">
            <v>0</v>
          </cell>
        </row>
        <row r="624">
          <cell r="B624" t="str">
            <v>3-5210</v>
          </cell>
          <cell r="C624" t="str">
            <v>Investasi</v>
          </cell>
          <cell r="D624">
            <v>0</v>
          </cell>
          <cell r="E624">
            <v>0</v>
          </cell>
          <cell r="F624">
            <v>0</v>
          </cell>
          <cell r="G624">
            <v>0</v>
          </cell>
          <cell r="H624">
            <v>0</v>
          </cell>
          <cell r="I624">
            <v>0</v>
          </cell>
          <cell r="J624">
            <v>0</v>
          </cell>
        </row>
        <row r="625">
          <cell r="B625" t="str">
            <v>3-5211</v>
          </cell>
          <cell r="C625" t="str">
            <v>Revenue PR Invest. Cont prev.M</v>
          </cell>
          <cell r="D625">
            <v>0</v>
          </cell>
          <cell r="E625">
            <v>0</v>
          </cell>
          <cell r="F625">
            <v>0</v>
          </cell>
          <cell r="G625">
            <v>0</v>
          </cell>
          <cell r="H625">
            <v>0</v>
          </cell>
          <cell r="I625">
            <v>0</v>
          </cell>
          <cell r="J625">
            <v>0</v>
          </cell>
        </row>
        <row r="626">
          <cell r="B626" t="str">
            <v>3-5212</v>
          </cell>
          <cell r="C626" t="str">
            <v>Revenue PR Invest. Inco prev.M</v>
          </cell>
          <cell r="D626">
            <v>0</v>
          </cell>
          <cell r="E626">
            <v>0</v>
          </cell>
          <cell r="F626">
            <v>0</v>
          </cell>
          <cell r="G626">
            <v>0</v>
          </cell>
          <cell r="H626">
            <v>0</v>
          </cell>
          <cell r="I626">
            <v>0</v>
          </cell>
          <cell r="J626">
            <v>0</v>
          </cell>
        </row>
        <row r="627">
          <cell r="B627" t="str">
            <v>3-5220</v>
          </cell>
          <cell r="C627" t="str">
            <v>Land</v>
          </cell>
          <cell r="D627">
            <v>0</v>
          </cell>
          <cell r="E627">
            <v>0</v>
          </cell>
          <cell r="F627">
            <v>0</v>
          </cell>
          <cell r="G627">
            <v>0</v>
          </cell>
          <cell r="H627">
            <v>0</v>
          </cell>
          <cell r="I627">
            <v>0</v>
          </cell>
          <cell r="J627">
            <v>0</v>
          </cell>
        </row>
        <row r="628">
          <cell r="B628" t="str">
            <v>3-5280</v>
          </cell>
          <cell r="C628" t="str">
            <v>Lain - Lain 1</v>
          </cell>
          <cell r="D628">
            <v>0</v>
          </cell>
          <cell r="E628">
            <v>0</v>
          </cell>
          <cell r="F628">
            <v>0</v>
          </cell>
          <cell r="G628">
            <v>0</v>
          </cell>
          <cell r="H628">
            <v>0</v>
          </cell>
          <cell r="I628">
            <v>0</v>
          </cell>
          <cell r="J628">
            <v>0</v>
          </cell>
        </row>
        <row r="629">
          <cell r="B629" t="str">
            <v>3-5290</v>
          </cell>
          <cell r="C629" t="str">
            <v>Lain - Lain 2</v>
          </cell>
          <cell r="D629">
            <v>0</v>
          </cell>
          <cell r="E629">
            <v>0</v>
          </cell>
          <cell r="F629">
            <v>0</v>
          </cell>
          <cell r="G629">
            <v>0</v>
          </cell>
          <cell r="H629">
            <v>0</v>
          </cell>
          <cell r="I629">
            <v>0</v>
          </cell>
          <cell r="J629">
            <v>0</v>
          </cell>
        </row>
        <row r="630">
          <cell r="B630" t="str">
            <v>3-5310</v>
          </cell>
          <cell r="C630" t="str">
            <v>Investasi</v>
          </cell>
          <cell r="D630">
            <v>0</v>
          </cell>
          <cell r="E630">
            <v>0</v>
          </cell>
          <cell r="F630">
            <v>0</v>
          </cell>
          <cell r="G630">
            <v>0</v>
          </cell>
          <cell r="H630">
            <v>0</v>
          </cell>
          <cell r="I630">
            <v>0</v>
          </cell>
          <cell r="J630">
            <v>0</v>
          </cell>
        </row>
        <row r="631">
          <cell r="B631" t="str">
            <v>3-5311</v>
          </cell>
          <cell r="C631" t="str">
            <v>PR Investment Contribution CY</v>
          </cell>
          <cell r="D631">
            <v>0</v>
          </cell>
          <cell r="E631">
            <v>0</v>
          </cell>
          <cell r="F631">
            <v>0</v>
          </cell>
          <cell r="G631">
            <v>0</v>
          </cell>
          <cell r="H631">
            <v>0</v>
          </cell>
          <cell r="I631">
            <v>0</v>
          </cell>
          <cell r="J631">
            <v>0</v>
          </cell>
        </row>
        <row r="632">
          <cell r="B632" t="str">
            <v>3-5312</v>
          </cell>
          <cell r="C632" t="str">
            <v>PR Investment Income Curr.Year</v>
          </cell>
          <cell r="D632">
            <v>0</v>
          </cell>
          <cell r="E632">
            <v>0</v>
          </cell>
          <cell r="F632">
            <v>0</v>
          </cell>
          <cell r="G632">
            <v>0</v>
          </cell>
          <cell r="H632">
            <v>0</v>
          </cell>
          <cell r="I632">
            <v>0</v>
          </cell>
          <cell r="J632">
            <v>0</v>
          </cell>
        </row>
        <row r="633">
          <cell r="B633" t="str">
            <v>3-5320</v>
          </cell>
          <cell r="C633" t="str">
            <v>Land</v>
          </cell>
          <cell r="D633">
            <v>0</v>
          </cell>
          <cell r="E633">
            <v>0</v>
          </cell>
          <cell r="F633">
            <v>0</v>
          </cell>
          <cell r="G633">
            <v>0</v>
          </cell>
          <cell r="H633">
            <v>0</v>
          </cell>
          <cell r="I633">
            <v>0</v>
          </cell>
          <cell r="J633">
            <v>0</v>
          </cell>
        </row>
        <row r="634">
          <cell r="B634" t="str">
            <v>3-5380</v>
          </cell>
          <cell r="C634" t="str">
            <v>Lain - Lain 1</v>
          </cell>
          <cell r="D634">
            <v>0</v>
          </cell>
          <cell r="E634">
            <v>0</v>
          </cell>
          <cell r="F634">
            <v>0</v>
          </cell>
          <cell r="G634">
            <v>0</v>
          </cell>
          <cell r="H634">
            <v>0</v>
          </cell>
          <cell r="I634">
            <v>0</v>
          </cell>
          <cell r="J634">
            <v>0</v>
          </cell>
        </row>
        <row r="635">
          <cell r="B635" t="str">
            <v>3-5390</v>
          </cell>
          <cell r="C635" t="str">
            <v>Lain - Lain 2</v>
          </cell>
          <cell r="D635">
            <v>0</v>
          </cell>
          <cell r="E635">
            <v>0</v>
          </cell>
          <cell r="F635">
            <v>0</v>
          </cell>
          <cell r="G635">
            <v>0</v>
          </cell>
          <cell r="H635">
            <v>0</v>
          </cell>
          <cell r="I635">
            <v>0</v>
          </cell>
          <cell r="J635">
            <v>0</v>
          </cell>
        </row>
        <row r="636">
          <cell r="B636" t="str">
            <v>3-5410</v>
          </cell>
          <cell r="C636" t="str">
            <v>Investasi</v>
          </cell>
          <cell r="D636">
            <v>0</v>
          </cell>
          <cell r="E636">
            <v>0</v>
          </cell>
          <cell r="F636">
            <v>0</v>
          </cell>
          <cell r="G636">
            <v>0</v>
          </cell>
          <cell r="H636">
            <v>0</v>
          </cell>
          <cell r="I636">
            <v>0</v>
          </cell>
          <cell r="J636">
            <v>0</v>
          </cell>
        </row>
        <row r="637">
          <cell r="B637" t="str">
            <v>3-5411</v>
          </cell>
          <cell r="C637" t="str">
            <v>Release from PR Inv.contrib.PM</v>
          </cell>
          <cell r="D637">
            <v>0</v>
          </cell>
          <cell r="E637">
            <v>0</v>
          </cell>
          <cell r="F637">
            <v>0</v>
          </cell>
          <cell r="G637">
            <v>0</v>
          </cell>
          <cell r="H637">
            <v>0</v>
          </cell>
          <cell r="I637">
            <v>0</v>
          </cell>
          <cell r="J637">
            <v>0</v>
          </cell>
        </row>
        <row r="638">
          <cell r="B638" t="str">
            <v>3-5412</v>
          </cell>
          <cell r="C638" t="str">
            <v>Release from PR Inv.Income PM</v>
          </cell>
          <cell r="D638">
            <v>0</v>
          </cell>
          <cell r="E638">
            <v>0</v>
          </cell>
          <cell r="F638">
            <v>0</v>
          </cell>
          <cell r="G638">
            <v>0</v>
          </cell>
          <cell r="H638">
            <v>0</v>
          </cell>
          <cell r="I638">
            <v>0</v>
          </cell>
          <cell r="J638">
            <v>0</v>
          </cell>
        </row>
        <row r="639">
          <cell r="B639" t="str">
            <v>3-5420</v>
          </cell>
          <cell r="C639" t="str">
            <v>Land</v>
          </cell>
          <cell r="D639">
            <v>0</v>
          </cell>
          <cell r="E639">
            <v>0</v>
          </cell>
          <cell r="F639">
            <v>0</v>
          </cell>
          <cell r="G639">
            <v>0</v>
          </cell>
          <cell r="H639">
            <v>0</v>
          </cell>
          <cell r="I639">
            <v>0</v>
          </cell>
          <cell r="J639">
            <v>0</v>
          </cell>
        </row>
        <row r="640">
          <cell r="B640" t="str">
            <v>3-5480</v>
          </cell>
          <cell r="C640" t="str">
            <v>Lain - Lain 1</v>
          </cell>
          <cell r="D640">
            <v>0</v>
          </cell>
          <cell r="E640">
            <v>0</v>
          </cell>
          <cell r="F640">
            <v>0</v>
          </cell>
          <cell r="G640">
            <v>0</v>
          </cell>
          <cell r="H640">
            <v>0</v>
          </cell>
          <cell r="I640">
            <v>0</v>
          </cell>
          <cell r="J640">
            <v>0</v>
          </cell>
        </row>
        <row r="641">
          <cell r="B641" t="str">
            <v>3-5490</v>
          </cell>
          <cell r="C641" t="str">
            <v>Lain - Lain 2</v>
          </cell>
          <cell r="D641">
            <v>0</v>
          </cell>
          <cell r="E641">
            <v>0</v>
          </cell>
          <cell r="F641">
            <v>0</v>
          </cell>
          <cell r="G641">
            <v>0</v>
          </cell>
          <cell r="H641">
            <v>0</v>
          </cell>
          <cell r="I641">
            <v>0</v>
          </cell>
          <cell r="J641">
            <v>0</v>
          </cell>
        </row>
        <row r="642">
          <cell r="B642" t="str">
            <v>3-5510</v>
          </cell>
          <cell r="C642" t="str">
            <v>Investasi</v>
          </cell>
          <cell r="D642">
            <v>0</v>
          </cell>
          <cell r="E642">
            <v>0</v>
          </cell>
          <cell r="F642">
            <v>0</v>
          </cell>
          <cell r="G642">
            <v>0</v>
          </cell>
          <cell r="H642">
            <v>0</v>
          </cell>
          <cell r="I642">
            <v>0</v>
          </cell>
          <cell r="J642">
            <v>0</v>
          </cell>
        </row>
        <row r="643">
          <cell r="B643" t="str">
            <v>3-5511</v>
          </cell>
          <cell r="C643" t="str">
            <v>Release from PR Inv.contrib.CM</v>
          </cell>
          <cell r="D643">
            <v>0</v>
          </cell>
          <cell r="E643">
            <v>0</v>
          </cell>
          <cell r="F643">
            <v>0</v>
          </cell>
          <cell r="G643">
            <v>0</v>
          </cell>
          <cell r="H643">
            <v>0</v>
          </cell>
          <cell r="I643">
            <v>0</v>
          </cell>
          <cell r="J643">
            <v>0</v>
          </cell>
        </row>
        <row r="644">
          <cell r="B644" t="str">
            <v>3-5512</v>
          </cell>
          <cell r="C644" t="str">
            <v>Release from PR Inv.Income CM</v>
          </cell>
          <cell r="D644">
            <v>0</v>
          </cell>
          <cell r="E644">
            <v>0</v>
          </cell>
          <cell r="F644">
            <v>0</v>
          </cell>
          <cell r="G644">
            <v>0</v>
          </cell>
          <cell r="H644">
            <v>0</v>
          </cell>
          <cell r="I644">
            <v>0</v>
          </cell>
          <cell r="J644">
            <v>0</v>
          </cell>
        </row>
        <row r="645">
          <cell r="B645" t="str">
            <v>3-5520</v>
          </cell>
          <cell r="C645" t="str">
            <v>Land</v>
          </cell>
          <cell r="D645">
            <v>0</v>
          </cell>
          <cell r="E645">
            <v>0</v>
          </cell>
          <cell r="F645">
            <v>0</v>
          </cell>
          <cell r="G645">
            <v>0</v>
          </cell>
          <cell r="H645">
            <v>0</v>
          </cell>
          <cell r="I645">
            <v>0</v>
          </cell>
          <cell r="J645">
            <v>0</v>
          </cell>
        </row>
        <row r="646">
          <cell r="B646" t="str">
            <v>3-5580</v>
          </cell>
          <cell r="C646" t="str">
            <v>Lain - Lain 1</v>
          </cell>
          <cell r="D646">
            <v>0</v>
          </cell>
          <cell r="E646">
            <v>0</v>
          </cell>
          <cell r="F646">
            <v>0</v>
          </cell>
          <cell r="G646">
            <v>0</v>
          </cell>
          <cell r="H646">
            <v>0</v>
          </cell>
          <cell r="I646">
            <v>0</v>
          </cell>
          <cell r="J646">
            <v>0</v>
          </cell>
        </row>
        <row r="647">
          <cell r="B647" t="str">
            <v>3-5590</v>
          </cell>
          <cell r="C647" t="str">
            <v>Lain - Lain 2</v>
          </cell>
          <cell r="D647">
            <v>0</v>
          </cell>
          <cell r="E647">
            <v>0</v>
          </cell>
          <cell r="F647">
            <v>0</v>
          </cell>
          <cell r="G647">
            <v>0</v>
          </cell>
          <cell r="H647">
            <v>0</v>
          </cell>
          <cell r="I647">
            <v>0</v>
          </cell>
          <cell r="J647">
            <v>0</v>
          </cell>
        </row>
        <row r="648">
          <cell r="B648" t="str">
            <v>3-9999</v>
          </cell>
          <cell r="C648" t="str">
            <v>Historical Balancing</v>
          </cell>
          <cell r="D648">
            <v>0</v>
          </cell>
          <cell r="E648">
            <v>0</v>
          </cell>
          <cell r="F648">
            <v>0</v>
          </cell>
          <cell r="G648">
            <v>0</v>
          </cell>
          <cell r="H648">
            <v>0</v>
          </cell>
          <cell r="I648">
            <v>0</v>
          </cell>
          <cell r="J648">
            <v>0</v>
          </cell>
        </row>
        <row r="649">
          <cell r="B649" t="str">
            <v>4-1110</v>
          </cell>
          <cell r="C649" t="str">
            <v>Akademik SDITQ</v>
          </cell>
          <cell r="D649">
            <v>0</v>
          </cell>
          <cell r="E649">
            <v>0</v>
          </cell>
          <cell r="F649">
            <v>0</v>
          </cell>
          <cell r="G649">
            <v>0</v>
          </cell>
          <cell r="H649">
            <v>0</v>
          </cell>
          <cell r="I649">
            <v>0</v>
          </cell>
          <cell r="J649">
            <v>0</v>
          </cell>
        </row>
        <row r="650">
          <cell r="B650" t="str">
            <v>4-1111</v>
          </cell>
          <cell r="C650" t="str">
            <v>Tuition SDITQ</v>
          </cell>
          <cell r="D650" t="str">
            <v>76,750,000.00cr</v>
          </cell>
          <cell r="E650">
            <v>0</v>
          </cell>
          <cell r="F650">
            <v>0</v>
          </cell>
          <cell r="G650">
            <v>75750000</v>
          </cell>
          <cell r="H650" t="str">
            <v>75,750,000.00cr</v>
          </cell>
          <cell r="I650" t="str">
            <v>152,500,000.00cr</v>
          </cell>
          <cell r="J650">
            <v>0</v>
          </cell>
        </row>
        <row r="651">
          <cell r="B651" t="str">
            <v>4-1112</v>
          </cell>
          <cell r="C651" t="str">
            <v>Extra Curriculer SDITQ</v>
          </cell>
          <cell r="D651">
            <v>0</v>
          </cell>
          <cell r="E651">
            <v>0</v>
          </cell>
          <cell r="F651">
            <v>0</v>
          </cell>
          <cell r="G651">
            <v>0</v>
          </cell>
          <cell r="H651">
            <v>0</v>
          </cell>
          <cell r="I651">
            <v>0</v>
          </cell>
          <cell r="J651">
            <v>0</v>
          </cell>
        </row>
        <row r="652">
          <cell r="B652" t="str">
            <v>4-1113</v>
          </cell>
          <cell r="C652" t="str">
            <v>Examination fee SDITQ</v>
          </cell>
          <cell r="D652">
            <v>0</v>
          </cell>
          <cell r="E652">
            <v>0</v>
          </cell>
          <cell r="F652">
            <v>0</v>
          </cell>
          <cell r="G652">
            <v>0</v>
          </cell>
          <cell r="H652">
            <v>0</v>
          </cell>
          <cell r="I652">
            <v>0</v>
          </cell>
          <cell r="J652">
            <v>0</v>
          </cell>
        </row>
        <row r="653">
          <cell r="B653" t="str">
            <v>4-1120</v>
          </cell>
          <cell r="C653" t="str">
            <v>Administration Student SDITQ</v>
          </cell>
          <cell r="D653">
            <v>0</v>
          </cell>
          <cell r="E653">
            <v>0</v>
          </cell>
          <cell r="F653">
            <v>0</v>
          </cell>
          <cell r="G653">
            <v>0</v>
          </cell>
          <cell r="H653">
            <v>0</v>
          </cell>
          <cell r="I653">
            <v>0</v>
          </cell>
          <cell r="J653">
            <v>0</v>
          </cell>
        </row>
        <row r="654">
          <cell r="B654" t="str">
            <v>4-1121</v>
          </cell>
          <cell r="C654" t="str">
            <v>Enrollment Fee SDITQ</v>
          </cell>
          <cell r="D654">
            <v>0</v>
          </cell>
          <cell r="E654">
            <v>0</v>
          </cell>
          <cell r="F654">
            <v>0</v>
          </cell>
          <cell r="G654">
            <v>0</v>
          </cell>
          <cell r="H654">
            <v>0</v>
          </cell>
          <cell r="I654">
            <v>0</v>
          </cell>
          <cell r="J654">
            <v>0</v>
          </cell>
        </row>
        <row r="655">
          <cell r="B655" t="str">
            <v>4-1122</v>
          </cell>
          <cell r="C655" t="str">
            <v>Study Tour SDITQ</v>
          </cell>
          <cell r="D655">
            <v>0</v>
          </cell>
          <cell r="E655">
            <v>0</v>
          </cell>
          <cell r="F655">
            <v>0</v>
          </cell>
          <cell r="G655">
            <v>0</v>
          </cell>
          <cell r="H655">
            <v>0</v>
          </cell>
          <cell r="I655">
            <v>0</v>
          </cell>
          <cell r="J655">
            <v>0</v>
          </cell>
        </row>
        <row r="656">
          <cell r="B656" t="str">
            <v>4-1123</v>
          </cell>
          <cell r="C656" t="str">
            <v>Student Activity Fee SDITQ</v>
          </cell>
          <cell r="D656">
            <v>0</v>
          </cell>
          <cell r="E656">
            <v>0</v>
          </cell>
          <cell r="F656">
            <v>0</v>
          </cell>
          <cell r="G656">
            <v>0</v>
          </cell>
          <cell r="H656">
            <v>0</v>
          </cell>
          <cell r="I656">
            <v>0</v>
          </cell>
          <cell r="J656">
            <v>0</v>
          </cell>
        </row>
        <row r="657">
          <cell r="B657" t="str">
            <v>4-1130</v>
          </cell>
          <cell r="C657" t="str">
            <v>Pengembangan SDITQ</v>
          </cell>
          <cell r="D657">
            <v>0</v>
          </cell>
          <cell r="E657">
            <v>0</v>
          </cell>
          <cell r="F657">
            <v>0</v>
          </cell>
          <cell r="G657">
            <v>0</v>
          </cell>
          <cell r="H657">
            <v>0</v>
          </cell>
          <cell r="I657">
            <v>0</v>
          </cell>
          <cell r="J657">
            <v>0</v>
          </cell>
        </row>
        <row r="658">
          <cell r="B658" t="str">
            <v>4-1131</v>
          </cell>
          <cell r="C658" t="str">
            <v>Develepment Fund SDITQ</v>
          </cell>
          <cell r="D658" t="str">
            <v>149,100,000.00cr</v>
          </cell>
          <cell r="E658">
            <v>0</v>
          </cell>
          <cell r="F658">
            <v>0</v>
          </cell>
          <cell r="G658">
            <v>10900000</v>
          </cell>
          <cell r="H658" t="str">
            <v>10,900,000.00cr</v>
          </cell>
          <cell r="I658" t="str">
            <v>160,000,000.00cr</v>
          </cell>
          <cell r="J658">
            <v>0</v>
          </cell>
        </row>
        <row r="659">
          <cell r="B659" t="str">
            <v>4-1132</v>
          </cell>
          <cell r="C659" t="str">
            <v>Library Development Fund SDITQ</v>
          </cell>
          <cell r="D659">
            <v>0</v>
          </cell>
          <cell r="E659">
            <v>0</v>
          </cell>
          <cell r="F659">
            <v>0</v>
          </cell>
          <cell r="G659">
            <v>0</v>
          </cell>
          <cell r="H659">
            <v>0</v>
          </cell>
          <cell r="I659">
            <v>0</v>
          </cell>
          <cell r="J659">
            <v>0</v>
          </cell>
        </row>
        <row r="660">
          <cell r="B660" t="str">
            <v>4-1190</v>
          </cell>
          <cell r="C660" t="str">
            <v>Lain-lain Student SDITQ</v>
          </cell>
          <cell r="D660">
            <v>0</v>
          </cell>
          <cell r="E660">
            <v>0</v>
          </cell>
          <cell r="F660">
            <v>0</v>
          </cell>
          <cell r="G660">
            <v>0</v>
          </cell>
          <cell r="H660">
            <v>0</v>
          </cell>
          <cell r="I660">
            <v>0</v>
          </cell>
          <cell r="J660">
            <v>0</v>
          </cell>
        </row>
        <row r="661">
          <cell r="B661" t="str">
            <v>4-1191</v>
          </cell>
          <cell r="C661" t="str">
            <v>Regristation fee new studentSD</v>
          </cell>
          <cell r="D661">
            <v>0</v>
          </cell>
          <cell r="E661">
            <v>0</v>
          </cell>
          <cell r="F661">
            <v>0</v>
          </cell>
          <cell r="G661">
            <v>0</v>
          </cell>
          <cell r="H661">
            <v>0</v>
          </cell>
          <cell r="I661">
            <v>0</v>
          </cell>
          <cell r="J661">
            <v>0</v>
          </cell>
        </row>
        <row r="662">
          <cell r="B662" t="str">
            <v>4-1192</v>
          </cell>
          <cell r="C662" t="str">
            <v>Fine Student fee SDITQ</v>
          </cell>
          <cell r="D662">
            <v>0</v>
          </cell>
          <cell r="E662">
            <v>0</v>
          </cell>
          <cell r="F662">
            <v>0</v>
          </cell>
          <cell r="G662">
            <v>0</v>
          </cell>
          <cell r="H662">
            <v>0</v>
          </cell>
          <cell r="I662">
            <v>0</v>
          </cell>
          <cell r="J662">
            <v>0</v>
          </cell>
        </row>
        <row r="663">
          <cell r="B663" t="str">
            <v>4-1193</v>
          </cell>
          <cell r="C663" t="str">
            <v>Student Permit Card SDITQ</v>
          </cell>
          <cell r="D663">
            <v>0</v>
          </cell>
          <cell r="E663">
            <v>0</v>
          </cell>
          <cell r="F663">
            <v>0</v>
          </cell>
          <cell r="G663">
            <v>0</v>
          </cell>
          <cell r="H663">
            <v>0</v>
          </cell>
          <cell r="I663">
            <v>0</v>
          </cell>
          <cell r="J663">
            <v>0</v>
          </cell>
        </row>
        <row r="664">
          <cell r="B664" t="str">
            <v>4-1194</v>
          </cell>
          <cell r="C664" t="str">
            <v>Student Card ID SDITQ</v>
          </cell>
          <cell r="D664">
            <v>0</v>
          </cell>
          <cell r="E664">
            <v>0</v>
          </cell>
          <cell r="F664">
            <v>0</v>
          </cell>
          <cell r="G664">
            <v>0</v>
          </cell>
          <cell r="H664">
            <v>0</v>
          </cell>
          <cell r="I664">
            <v>0</v>
          </cell>
          <cell r="J664">
            <v>0</v>
          </cell>
        </row>
        <row r="665">
          <cell r="B665" t="str">
            <v>4-1210</v>
          </cell>
          <cell r="C665" t="str">
            <v>Akademik MTS</v>
          </cell>
          <cell r="D665">
            <v>0</v>
          </cell>
          <cell r="E665">
            <v>0</v>
          </cell>
          <cell r="F665">
            <v>0</v>
          </cell>
          <cell r="G665">
            <v>0</v>
          </cell>
          <cell r="H665">
            <v>0</v>
          </cell>
          <cell r="I665">
            <v>0</v>
          </cell>
          <cell r="J665">
            <v>0</v>
          </cell>
        </row>
        <row r="666">
          <cell r="B666" t="str">
            <v>4-1211</v>
          </cell>
          <cell r="C666" t="str">
            <v>Tuition MTS</v>
          </cell>
          <cell r="D666" t="str">
            <v>665,000,000.00cr</v>
          </cell>
          <cell r="E666">
            <v>0</v>
          </cell>
          <cell r="F666">
            <v>1000000</v>
          </cell>
          <cell r="G666">
            <v>664355000</v>
          </cell>
          <cell r="H666" t="str">
            <v>663,355,000.00cr</v>
          </cell>
          <cell r="I666" t="str">
            <v>1,328,355,000.00cr</v>
          </cell>
          <cell r="J666">
            <v>0</v>
          </cell>
        </row>
        <row r="667">
          <cell r="B667" t="str">
            <v>4-1212</v>
          </cell>
          <cell r="C667" t="str">
            <v>Extra Curriculer MTS</v>
          </cell>
          <cell r="D667">
            <v>0</v>
          </cell>
          <cell r="E667">
            <v>0</v>
          </cell>
          <cell r="F667">
            <v>0</v>
          </cell>
          <cell r="G667">
            <v>0</v>
          </cell>
          <cell r="H667">
            <v>0</v>
          </cell>
          <cell r="I667">
            <v>0</v>
          </cell>
          <cell r="J667">
            <v>0</v>
          </cell>
        </row>
        <row r="668">
          <cell r="B668" t="str">
            <v>4-1213</v>
          </cell>
          <cell r="C668" t="str">
            <v>Examination fee MTS</v>
          </cell>
          <cell r="D668">
            <v>0</v>
          </cell>
          <cell r="E668">
            <v>0</v>
          </cell>
          <cell r="F668">
            <v>0</v>
          </cell>
          <cell r="G668">
            <v>0</v>
          </cell>
          <cell r="H668">
            <v>0</v>
          </cell>
          <cell r="I668">
            <v>0</v>
          </cell>
          <cell r="J668">
            <v>0</v>
          </cell>
        </row>
        <row r="669">
          <cell r="B669" t="str">
            <v>4-1220</v>
          </cell>
          <cell r="C669" t="str">
            <v>Administration Student MTS</v>
          </cell>
          <cell r="D669">
            <v>0</v>
          </cell>
          <cell r="E669">
            <v>0</v>
          </cell>
          <cell r="F669">
            <v>0</v>
          </cell>
          <cell r="G669">
            <v>0</v>
          </cell>
          <cell r="H669">
            <v>0</v>
          </cell>
          <cell r="I669">
            <v>0</v>
          </cell>
          <cell r="J669">
            <v>0</v>
          </cell>
        </row>
        <row r="670">
          <cell r="B670" t="str">
            <v>4-1221</v>
          </cell>
          <cell r="C670" t="str">
            <v>Enrollment Fee MTS</v>
          </cell>
          <cell r="D670" t="str">
            <v>16,800,000.00cr</v>
          </cell>
          <cell r="E670">
            <v>0</v>
          </cell>
          <cell r="F670">
            <v>0</v>
          </cell>
          <cell r="G670">
            <v>1600000</v>
          </cell>
          <cell r="H670" t="str">
            <v>1,600,000.00cr</v>
          </cell>
          <cell r="I670" t="str">
            <v>18,400,000.00cr</v>
          </cell>
          <cell r="J670">
            <v>0</v>
          </cell>
        </row>
        <row r="671">
          <cell r="B671" t="str">
            <v>4-1222</v>
          </cell>
          <cell r="C671" t="str">
            <v>Study Tour MTS</v>
          </cell>
          <cell r="D671">
            <v>0</v>
          </cell>
          <cell r="E671">
            <v>0</v>
          </cell>
          <cell r="F671">
            <v>0</v>
          </cell>
          <cell r="G671">
            <v>0</v>
          </cell>
          <cell r="H671">
            <v>0</v>
          </cell>
          <cell r="I671">
            <v>0</v>
          </cell>
          <cell r="J671">
            <v>0</v>
          </cell>
        </row>
        <row r="672">
          <cell r="B672" t="str">
            <v>4-1223</v>
          </cell>
          <cell r="C672" t="str">
            <v>Student Activity Fee MTS</v>
          </cell>
          <cell r="D672">
            <v>0</v>
          </cell>
          <cell r="E672">
            <v>0</v>
          </cell>
          <cell r="F672">
            <v>0</v>
          </cell>
          <cell r="G672">
            <v>0</v>
          </cell>
          <cell r="H672">
            <v>0</v>
          </cell>
          <cell r="I672">
            <v>0</v>
          </cell>
          <cell r="J672">
            <v>0</v>
          </cell>
        </row>
        <row r="673">
          <cell r="B673" t="str">
            <v>4-1230</v>
          </cell>
          <cell r="C673" t="str">
            <v>Pengembangan MTS</v>
          </cell>
          <cell r="D673">
            <v>0</v>
          </cell>
          <cell r="E673">
            <v>0</v>
          </cell>
          <cell r="F673">
            <v>0</v>
          </cell>
          <cell r="G673">
            <v>0</v>
          </cell>
          <cell r="H673">
            <v>0</v>
          </cell>
          <cell r="I673">
            <v>0</v>
          </cell>
          <cell r="J673">
            <v>0</v>
          </cell>
        </row>
        <row r="674">
          <cell r="B674" t="str">
            <v>4-1231</v>
          </cell>
          <cell r="C674" t="str">
            <v>Develepment Fund MTS</v>
          </cell>
          <cell r="D674" t="str">
            <v>2,702,200,000.00cr</v>
          </cell>
          <cell r="E674">
            <v>0</v>
          </cell>
          <cell r="F674">
            <v>15500000</v>
          </cell>
          <cell r="G674">
            <v>13200000</v>
          </cell>
          <cell r="H674">
            <v>2300000</v>
          </cell>
          <cell r="I674" t="str">
            <v>2,699,900,000.00cr</v>
          </cell>
          <cell r="J674">
            <v>0</v>
          </cell>
        </row>
        <row r="675">
          <cell r="B675" t="str">
            <v>4-1232</v>
          </cell>
          <cell r="C675" t="str">
            <v>Library Development Fund MTS</v>
          </cell>
          <cell r="D675">
            <v>0</v>
          </cell>
          <cell r="E675">
            <v>0</v>
          </cell>
          <cell r="F675">
            <v>0</v>
          </cell>
          <cell r="G675">
            <v>0</v>
          </cell>
          <cell r="H675">
            <v>0</v>
          </cell>
          <cell r="I675">
            <v>0</v>
          </cell>
          <cell r="J675">
            <v>0</v>
          </cell>
        </row>
        <row r="676">
          <cell r="B676" t="str">
            <v>4-1290</v>
          </cell>
          <cell r="C676" t="str">
            <v>Lain-lain Student MTS</v>
          </cell>
          <cell r="D676">
            <v>0</v>
          </cell>
          <cell r="E676">
            <v>0</v>
          </cell>
          <cell r="F676">
            <v>0</v>
          </cell>
          <cell r="G676">
            <v>0</v>
          </cell>
          <cell r="H676">
            <v>0</v>
          </cell>
          <cell r="I676">
            <v>0</v>
          </cell>
          <cell r="J676">
            <v>0</v>
          </cell>
        </row>
        <row r="677">
          <cell r="B677" t="str">
            <v>4-1291</v>
          </cell>
          <cell r="C677" t="str">
            <v>Regristation fee new studentMT</v>
          </cell>
          <cell r="D677">
            <v>0</v>
          </cell>
          <cell r="E677">
            <v>0</v>
          </cell>
          <cell r="F677">
            <v>0</v>
          </cell>
          <cell r="G677">
            <v>0</v>
          </cell>
          <cell r="H677">
            <v>0</v>
          </cell>
          <cell r="I677">
            <v>0</v>
          </cell>
          <cell r="J677">
            <v>0</v>
          </cell>
        </row>
        <row r="678">
          <cell r="B678" t="str">
            <v>4-1292</v>
          </cell>
          <cell r="C678" t="str">
            <v>Fine Student fee MTS</v>
          </cell>
          <cell r="D678">
            <v>0</v>
          </cell>
          <cell r="E678">
            <v>0</v>
          </cell>
          <cell r="F678">
            <v>0</v>
          </cell>
          <cell r="G678">
            <v>0</v>
          </cell>
          <cell r="H678">
            <v>0</v>
          </cell>
          <cell r="I678">
            <v>0</v>
          </cell>
          <cell r="J678">
            <v>0</v>
          </cell>
        </row>
        <row r="679">
          <cell r="B679" t="str">
            <v>4-1293</v>
          </cell>
          <cell r="C679" t="str">
            <v>Student Permit Card MTS</v>
          </cell>
          <cell r="D679">
            <v>0</v>
          </cell>
          <cell r="E679">
            <v>0</v>
          </cell>
          <cell r="F679">
            <v>0</v>
          </cell>
          <cell r="G679">
            <v>0</v>
          </cell>
          <cell r="H679">
            <v>0</v>
          </cell>
          <cell r="I679">
            <v>0</v>
          </cell>
          <cell r="J679">
            <v>0</v>
          </cell>
        </row>
        <row r="680">
          <cell r="B680" t="str">
            <v>4-1294</v>
          </cell>
          <cell r="C680" t="str">
            <v>Student Card ID MTS</v>
          </cell>
          <cell r="D680">
            <v>0</v>
          </cell>
          <cell r="E680">
            <v>0</v>
          </cell>
          <cell r="F680">
            <v>0</v>
          </cell>
          <cell r="G680">
            <v>0</v>
          </cell>
          <cell r="H680">
            <v>0</v>
          </cell>
          <cell r="I680">
            <v>0</v>
          </cell>
          <cell r="J680">
            <v>0</v>
          </cell>
        </row>
        <row r="681">
          <cell r="B681" t="str">
            <v>4-1310</v>
          </cell>
          <cell r="C681" t="str">
            <v>Akademik MA &amp; ILA</v>
          </cell>
          <cell r="D681">
            <v>0</v>
          </cell>
          <cell r="E681">
            <v>0</v>
          </cell>
          <cell r="F681">
            <v>0</v>
          </cell>
          <cell r="G681">
            <v>0</v>
          </cell>
          <cell r="H681">
            <v>0</v>
          </cell>
          <cell r="I681">
            <v>0</v>
          </cell>
          <cell r="J681">
            <v>0</v>
          </cell>
        </row>
        <row r="682">
          <cell r="B682" t="str">
            <v>4-1311</v>
          </cell>
          <cell r="C682" t="str">
            <v>Tuition MA &amp; ILA</v>
          </cell>
          <cell r="D682" t="str">
            <v>762,000,000.00cr</v>
          </cell>
          <cell r="E682">
            <v>0</v>
          </cell>
          <cell r="F682">
            <v>0</v>
          </cell>
          <cell r="G682">
            <v>745360400</v>
          </cell>
          <cell r="H682" t="str">
            <v>745,360,400.00cr</v>
          </cell>
          <cell r="I682" t="str">
            <v>1,507,360,400.00cr</v>
          </cell>
          <cell r="J682">
            <v>0</v>
          </cell>
        </row>
        <row r="683">
          <cell r="B683" t="str">
            <v>4-1312</v>
          </cell>
          <cell r="C683" t="str">
            <v>Extra Curriculer MA &amp; ILA</v>
          </cell>
          <cell r="D683">
            <v>0</v>
          </cell>
          <cell r="E683">
            <v>0</v>
          </cell>
          <cell r="F683">
            <v>0</v>
          </cell>
          <cell r="G683">
            <v>0</v>
          </cell>
          <cell r="H683">
            <v>0</v>
          </cell>
          <cell r="I683">
            <v>0</v>
          </cell>
          <cell r="J683">
            <v>0</v>
          </cell>
        </row>
        <row r="684">
          <cell r="B684" t="str">
            <v>4-1313</v>
          </cell>
          <cell r="C684" t="str">
            <v>Examination fee MA &amp; ILA</v>
          </cell>
          <cell r="D684">
            <v>0</v>
          </cell>
          <cell r="E684">
            <v>0</v>
          </cell>
          <cell r="F684">
            <v>0</v>
          </cell>
          <cell r="G684">
            <v>0</v>
          </cell>
          <cell r="H684">
            <v>0</v>
          </cell>
          <cell r="I684">
            <v>0</v>
          </cell>
          <cell r="J684">
            <v>0</v>
          </cell>
        </row>
        <row r="685">
          <cell r="B685" t="str">
            <v>4-1320</v>
          </cell>
          <cell r="C685" t="str">
            <v>Administration Student MA &amp; IL</v>
          </cell>
          <cell r="D685">
            <v>0</v>
          </cell>
          <cell r="E685">
            <v>0</v>
          </cell>
          <cell r="F685">
            <v>0</v>
          </cell>
          <cell r="G685">
            <v>0</v>
          </cell>
          <cell r="H685">
            <v>0</v>
          </cell>
          <cell r="I685">
            <v>0</v>
          </cell>
          <cell r="J685">
            <v>0</v>
          </cell>
        </row>
        <row r="686">
          <cell r="B686" t="str">
            <v>4-1321</v>
          </cell>
          <cell r="C686" t="str">
            <v>Enrollment Fee MA &amp; ILA</v>
          </cell>
          <cell r="D686" t="str">
            <v>109,600,000.00cr</v>
          </cell>
          <cell r="E686">
            <v>0</v>
          </cell>
          <cell r="F686">
            <v>0</v>
          </cell>
          <cell r="G686">
            <v>800000</v>
          </cell>
          <cell r="H686" t="str">
            <v>800,000.00cr</v>
          </cell>
          <cell r="I686" t="str">
            <v>110,400,000.00cr</v>
          </cell>
          <cell r="J686">
            <v>0</v>
          </cell>
        </row>
        <row r="687">
          <cell r="B687" t="str">
            <v>4-1322</v>
          </cell>
          <cell r="C687" t="str">
            <v>Study Tour MA &amp; ILA</v>
          </cell>
          <cell r="D687">
            <v>0</v>
          </cell>
          <cell r="E687">
            <v>0</v>
          </cell>
          <cell r="F687">
            <v>0</v>
          </cell>
          <cell r="G687">
            <v>0</v>
          </cell>
          <cell r="H687">
            <v>0</v>
          </cell>
          <cell r="I687">
            <v>0</v>
          </cell>
          <cell r="J687">
            <v>0</v>
          </cell>
        </row>
        <row r="688">
          <cell r="B688" t="str">
            <v>4-1323</v>
          </cell>
          <cell r="C688" t="str">
            <v>Student Activity Fee MA &amp; ILA</v>
          </cell>
          <cell r="D688">
            <v>0</v>
          </cell>
          <cell r="E688">
            <v>0</v>
          </cell>
          <cell r="F688">
            <v>0</v>
          </cell>
          <cell r="G688">
            <v>0</v>
          </cell>
          <cell r="H688">
            <v>0</v>
          </cell>
          <cell r="I688">
            <v>0</v>
          </cell>
          <cell r="J688">
            <v>0</v>
          </cell>
        </row>
        <row r="689">
          <cell r="B689" t="str">
            <v>4-1330</v>
          </cell>
          <cell r="C689" t="str">
            <v>Pengembangan MA &amp; ILA</v>
          </cell>
          <cell r="D689">
            <v>0</v>
          </cell>
          <cell r="E689">
            <v>0</v>
          </cell>
          <cell r="F689">
            <v>0</v>
          </cell>
          <cell r="G689">
            <v>0</v>
          </cell>
          <cell r="H689">
            <v>0</v>
          </cell>
          <cell r="I689">
            <v>0</v>
          </cell>
          <cell r="J689">
            <v>0</v>
          </cell>
        </row>
        <row r="690">
          <cell r="B690" t="str">
            <v>4-1331</v>
          </cell>
          <cell r="C690" t="str">
            <v>Develepment Fund MA &amp; ILA</v>
          </cell>
          <cell r="D690" t="str">
            <v>1,267,200,000.00cr</v>
          </cell>
          <cell r="E690">
            <v>0</v>
          </cell>
          <cell r="F690">
            <v>0</v>
          </cell>
          <cell r="G690">
            <v>0</v>
          </cell>
          <cell r="H690">
            <v>0</v>
          </cell>
          <cell r="I690" t="str">
            <v>1,267,200,000.00cr</v>
          </cell>
          <cell r="J690">
            <v>0</v>
          </cell>
        </row>
        <row r="691">
          <cell r="B691" t="str">
            <v>4-1332</v>
          </cell>
          <cell r="C691" t="str">
            <v>Library Development Fund MA &amp;</v>
          </cell>
          <cell r="D691">
            <v>0</v>
          </cell>
          <cell r="E691">
            <v>0</v>
          </cell>
          <cell r="F691">
            <v>0</v>
          </cell>
          <cell r="G691">
            <v>0</v>
          </cell>
          <cell r="H691">
            <v>0</v>
          </cell>
          <cell r="I691">
            <v>0</v>
          </cell>
          <cell r="J691">
            <v>0</v>
          </cell>
        </row>
        <row r="692">
          <cell r="B692" t="str">
            <v>4-1390</v>
          </cell>
          <cell r="C692" t="str">
            <v>Lain-lain Student MA &amp; ILA</v>
          </cell>
          <cell r="D692">
            <v>0</v>
          </cell>
          <cell r="E692">
            <v>0</v>
          </cell>
          <cell r="F692">
            <v>0</v>
          </cell>
          <cell r="G692">
            <v>0</v>
          </cell>
          <cell r="H692">
            <v>0</v>
          </cell>
          <cell r="I692">
            <v>0</v>
          </cell>
          <cell r="J692">
            <v>0</v>
          </cell>
        </row>
        <row r="693">
          <cell r="B693" t="str">
            <v>4-1391</v>
          </cell>
          <cell r="C693" t="str">
            <v>Regristation fee new studentMA</v>
          </cell>
          <cell r="D693">
            <v>0</v>
          </cell>
          <cell r="E693">
            <v>0</v>
          </cell>
          <cell r="F693">
            <v>0</v>
          </cell>
          <cell r="G693">
            <v>0</v>
          </cell>
          <cell r="H693">
            <v>0</v>
          </cell>
          <cell r="I693">
            <v>0</v>
          </cell>
          <cell r="J693">
            <v>0</v>
          </cell>
        </row>
        <row r="694">
          <cell r="B694" t="str">
            <v>4-1392</v>
          </cell>
          <cell r="C694" t="str">
            <v>Fine Student fee MA &amp; ILA</v>
          </cell>
          <cell r="D694">
            <v>0</v>
          </cell>
          <cell r="E694">
            <v>0</v>
          </cell>
          <cell r="F694">
            <v>0</v>
          </cell>
          <cell r="G694">
            <v>0</v>
          </cell>
          <cell r="H694">
            <v>0</v>
          </cell>
          <cell r="I694">
            <v>0</v>
          </cell>
          <cell r="J694">
            <v>0</v>
          </cell>
        </row>
        <row r="695">
          <cell r="B695" t="str">
            <v>4-1393</v>
          </cell>
          <cell r="C695" t="str">
            <v>Student Permit Card MA &amp; ILA</v>
          </cell>
          <cell r="D695">
            <v>0</v>
          </cell>
          <cell r="E695">
            <v>0</v>
          </cell>
          <cell r="F695">
            <v>0</v>
          </cell>
          <cell r="G695">
            <v>0</v>
          </cell>
          <cell r="H695">
            <v>0</v>
          </cell>
          <cell r="I695">
            <v>0</v>
          </cell>
          <cell r="J695">
            <v>0</v>
          </cell>
        </row>
        <row r="696">
          <cell r="B696" t="str">
            <v>4-1394</v>
          </cell>
          <cell r="C696" t="str">
            <v>Student Card ID MA &amp; ILA</v>
          </cell>
          <cell r="D696">
            <v>0</v>
          </cell>
          <cell r="E696">
            <v>0</v>
          </cell>
          <cell r="F696">
            <v>0</v>
          </cell>
          <cell r="G696">
            <v>0</v>
          </cell>
          <cell r="H696">
            <v>0</v>
          </cell>
          <cell r="I696">
            <v>0</v>
          </cell>
          <cell r="J696">
            <v>0</v>
          </cell>
        </row>
        <row r="697">
          <cell r="B697" t="str">
            <v>4-2110</v>
          </cell>
          <cell r="C697" t="str">
            <v>Bantuan Donasi</v>
          </cell>
          <cell r="D697">
            <v>0</v>
          </cell>
          <cell r="E697">
            <v>0</v>
          </cell>
          <cell r="F697">
            <v>0</v>
          </cell>
          <cell r="G697">
            <v>0</v>
          </cell>
          <cell r="H697">
            <v>0</v>
          </cell>
          <cell r="I697">
            <v>0</v>
          </cell>
          <cell r="J697">
            <v>0</v>
          </cell>
        </row>
        <row r="698">
          <cell r="B698" t="str">
            <v>4-2111</v>
          </cell>
          <cell r="C698" t="str">
            <v>Donasi Pemerintah Pusat</v>
          </cell>
          <cell r="D698">
            <v>0</v>
          </cell>
          <cell r="E698">
            <v>0</v>
          </cell>
          <cell r="F698">
            <v>0</v>
          </cell>
          <cell r="G698">
            <v>0</v>
          </cell>
          <cell r="H698">
            <v>0</v>
          </cell>
          <cell r="I698">
            <v>0</v>
          </cell>
          <cell r="J698">
            <v>0</v>
          </cell>
        </row>
        <row r="699">
          <cell r="B699" t="str">
            <v>4-2112</v>
          </cell>
          <cell r="C699" t="str">
            <v>Donasi Pemerintah Daerah</v>
          </cell>
          <cell r="D699">
            <v>0</v>
          </cell>
          <cell r="E699">
            <v>0</v>
          </cell>
          <cell r="F699">
            <v>0</v>
          </cell>
          <cell r="G699">
            <v>0</v>
          </cell>
          <cell r="H699">
            <v>0</v>
          </cell>
          <cell r="I699">
            <v>0</v>
          </cell>
          <cell r="J699">
            <v>0</v>
          </cell>
        </row>
        <row r="700">
          <cell r="B700" t="str">
            <v>4-2113</v>
          </cell>
          <cell r="C700" t="str">
            <v>Donasi Lembaga Sosial</v>
          </cell>
          <cell r="D700">
            <v>0</v>
          </cell>
          <cell r="E700">
            <v>0</v>
          </cell>
          <cell r="F700">
            <v>0</v>
          </cell>
          <cell r="G700">
            <v>0</v>
          </cell>
          <cell r="H700">
            <v>0</v>
          </cell>
          <cell r="I700">
            <v>0</v>
          </cell>
          <cell r="J700">
            <v>0</v>
          </cell>
        </row>
        <row r="701">
          <cell r="B701" t="str">
            <v>4-2114</v>
          </cell>
          <cell r="C701" t="str">
            <v>Donasi Lembaga Bisnis</v>
          </cell>
          <cell r="D701">
            <v>0</v>
          </cell>
          <cell r="E701">
            <v>0</v>
          </cell>
          <cell r="F701">
            <v>0</v>
          </cell>
          <cell r="G701">
            <v>0</v>
          </cell>
          <cell r="H701">
            <v>0</v>
          </cell>
          <cell r="I701">
            <v>0</v>
          </cell>
          <cell r="J701">
            <v>0</v>
          </cell>
        </row>
        <row r="702">
          <cell r="B702" t="str">
            <v>4-2115</v>
          </cell>
          <cell r="C702" t="str">
            <v>Donasi Masyarakat</v>
          </cell>
          <cell r="D702">
            <v>0</v>
          </cell>
          <cell r="E702">
            <v>0</v>
          </cell>
          <cell r="F702">
            <v>0</v>
          </cell>
          <cell r="G702">
            <v>0</v>
          </cell>
          <cell r="H702">
            <v>0</v>
          </cell>
          <cell r="I702">
            <v>0</v>
          </cell>
          <cell r="J702">
            <v>0</v>
          </cell>
        </row>
        <row r="703">
          <cell r="B703" t="str">
            <v>4-2116</v>
          </cell>
          <cell r="C703" t="str">
            <v>Donasi Wali Santri</v>
          </cell>
          <cell r="D703">
            <v>0</v>
          </cell>
          <cell r="E703">
            <v>0</v>
          </cell>
          <cell r="F703">
            <v>0</v>
          </cell>
          <cell r="G703">
            <v>1602456</v>
          </cell>
          <cell r="H703" t="str">
            <v>1,602,456.00cr</v>
          </cell>
          <cell r="I703" t="str">
            <v>1,602,456.00cr</v>
          </cell>
          <cell r="J703">
            <v>0</v>
          </cell>
        </row>
        <row r="704">
          <cell r="B704" t="str">
            <v>4-2117</v>
          </cell>
          <cell r="C704" t="str">
            <v>Donasi Donatur</v>
          </cell>
          <cell r="D704" t="str">
            <v>500,000.00cr</v>
          </cell>
          <cell r="E704">
            <v>0</v>
          </cell>
          <cell r="F704">
            <v>0</v>
          </cell>
          <cell r="G704">
            <v>0</v>
          </cell>
          <cell r="H704">
            <v>0</v>
          </cell>
          <cell r="I704" t="str">
            <v>500,000.00cr</v>
          </cell>
          <cell r="J704">
            <v>0</v>
          </cell>
        </row>
        <row r="705">
          <cell r="B705" t="str">
            <v>4-2118</v>
          </cell>
          <cell r="C705" t="str">
            <v>Donasi Pribadi</v>
          </cell>
          <cell r="D705">
            <v>0</v>
          </cell>
          <cell r="E705">
            <v>0</v>
          </cell>
          <cell r="F705">
            <v>0</v>
          </cell>
          <cell r="G705">
            <v>0</v>
          </cell>
          <cell r="H705">
            <v>0</v>
          </cell>
          <cell r="I705">
            <v>0</v>
          </cell>
          <cell r="J705">
            <v>0</v>
          </cell>
        </row>
        <row r="706">
          <cell r="B706" t="str">
            <v>4-2119</v>
          </cell>
          <cell r="C706" t="str">
            <v>Donasi Others</v>
          </cell>
          <cell r="D706">
            <v>0</v>
          </cell>
          <cell r="E706">
            <v>0</v>
          </cell>
          <cell r="F706">
            <v>0</v>
          </cell>
          <cell r="G706">
            <v>0</v>
          </cell>
          <cell r="H706">
            <v>0</v>
          </cell>
          <cell r="I706">
            <v>0</v>
          </cell>
          <cell r="J706">
            <v>0</v>
          </cell>
        </row>
        <row r="707">
          <cell r="B707" t="str">
            <v>4-2120</v>
          </cell>
          <cell r="C707" t="str">
            <v>Bantuan Hibah</v>
          </cell>
          <cell r="D707">
            <v>0</v>
          </cell>
          <cell r="E707">
            <v>0</v>
          </cell>
          <cell r="F707">
            <v>0</v>
          </cell>
          <cell r="G707">
            <v>0</v>
          </cell>
          <cell r="H707">
            <v>0</v>
          </cell>
          <cell r="I707">
            <v>0</v>
          </cell>
          <cell r="J707">
            <v>0</v>
          </cell>
        </row>
        <row r="708">
          <cell r="B708" t="str">
            <v>4-2121</v>
          </cell>
          <cell r="C708" t="str">
            <v>Hibah Pemerintah Pusat</v>
          </cell>
          <cell r="D708">
            <v>0</v>
          </cell>
          <cell r="E708">
            <v>0</v>
          </cell>
          <cell r="F708">
            <v>0</v>
          </cell>
          <cell r="G708">
            <v>0</v>
          </cell>
          <cell r="H708">
            <v>0</v>
          </cell>
          <cell r="I708">
            <v>0</v>
          </cell>
          <cell r="J708">
            <v>0</v>
          </cell>
        </row>
        <row r="709">
          <cell r="B709" t="str">
            <v>4-2122</v>
          </cell>
          <cell r="C709" t="str">
            <v>Hibah Pemerintah Daerah</v>
          </cell>
          <cell r="D709">
            <v>0</v>
          </cell>
          <cell r="E709">
            <v>0</v>
          </cell>
          <cell r="F709">
            <v>0</v>
          </cell>
          <cell r="G709">
            <v>0</v>
          </cell>
          <cell r="H709">
            <v>0</v>
          </cell>
          <cell r="I709">
            <v>0</v>
          </cell>
          <cell r="J709">
            <v>0</v>
          </cell>
        </row>
        <row r="710">
          <cell r="B710" t="str">
            <v>4-2123</v>
          </cell>
          <cell r="C710" t="str">
            <v>Hibah Lembaga Sosial</v>
          </cell>
          <cell r="D710">
            <v>0</v>
          </cell>
          <cell r="E710">
            <v>0</v>
          </cell>
          <cell r="F710">
            <v>0</v>
          </cell>
          <cell r="G710">
            <v>0</v>
          </cell>
          <cell r="H710">
            <v>0</v>
          </cell>
          <cell r="I710">
            <v>0</v>
          </cell>
          <cell r="J710">
            <v>0</v>
          </cell>
        </row>
        <row r="711">
          <cell r="B711" t="str">
            <v>4-2124</v>
          </cell>
          <cell r="C711" t="str">
            <v>Hibah Lembaga Bisnis</v>
          </cell>
          <cell r="D711">
            <v>0</v>
          </cell>
          <cell r="E711">
            <v>0</v>
          </cell>
          <cell r="F711">
            <v>0</v>
          </cell>
          <cell r="G711">
            <v>0</v>
          </cell>
          <cell r="H711">
            <v>0</v>
          </cell>
          <cell r="I711">
            <v>0</v>
          </cell>
          <cell r="J711">
            <v>0</v>
          </cell>
        </row>
        <row r="712">
          <cell r="B712" t="str">
            <v>4-2125</v>
          </cell>
          <cell r="C712" t="str">
            <v>Hibah Masyarakat</v>
          </cell>
          <cell r="D712">
            <v>0</v>
          </cell>
          <cell r="E712">
            <v>0</v>
          </cell>
          <cell r="F712">
            <v>0</v>
          </cell>
          <cell r="G712">
            <v>0</v>
          </cell>
          <cell r="H712">
            <v>0</v>
          </cell>
          <cell r="I712">
            <v>0</v>
          </cell>
          <cell r="J712">
            <v>0</v>
          </cell>
        </row>
        <row r="713">
          <cell r="B713" t="str">
            <v>4-2126</v>
          </cell>
          <cell r="C713" t="str">
            <v>Hibah Wali Santri</v>
          </cell>
          <cell r="D713">
            <v>0</v>
          </cell>
          <cell r="E713">
            <v>0</v>
          </cell>
          <cell r="F713">
            <v>0</v>
          </cell>
          <cell r="G713">
            <v>0</v>
          </cell>
          <cell r="H713">
            <v>0</v>
          </cell>
          <cell r="I713">
            <v>0</v>
          </cell>
          <cell r="J713">
            <v>0</v>
          </cell>
        </row>
        <row r="714">
          <cell r="B714" t="str">
            <v>4-2127</v>
          </cell>
          <cell r="C714" t="str">
            <v>Hibah Donatur</v>
          </cell>
          <cell r="D714">
            <v>0</v>
          </cell>
          <cell r="E714">
            <v>0</v>
          </cell>
          <cell r="F714">
            <v>0</v>
          </cell>
          <cell r="G714">
            <v>0</v>
          </cell>
          <cell r="H714">
            <v>0</v>
          </cell>
          <cell r="I714">
            <v>0</v>
          </cell>
          <cell r="J714">
            <v>0</v>
          </cell>
        </row>
        <row r="715">
          <cell r="B715" t="str">
            <v>4-2128</v>
          </cell>
          <cell r="C715" t="str">
            <v>Hibah Pribadi</v>
          </cell>
          <cell r="D715">
            <v>0</v>
          </cell>
          <cell r="E715">
            <v>0</v>
          </cell>
          <cell r="F715">
            <v>0</v>
          </cell>
          <cell r="G715">
            <v>0</v>
          </cell>
          <cell r="H715">
            <v>0</v>
          </cell>
          <cell r="I715">
            <v>0</v>
          </cell>
          <cell r="J715">
            <v>0</v>
          </cell>
        </row>
        <row r="716">
          <cell r="B716" t="str">
            <v>4-2129</v>
          </cell>
          <cell r="C716" t="str">
            <v>Hibah Others</v>
          </cell>
          <cell r="D716">
            <v>0</v>
          </cell>
          <cell r="E716">
            <v>0</v>
          </cell>
          <cell r="F716">
            <v>0</v>
          </cell>
          <cell r="G716">
            <v>0</v>
          </cell>
          <cell r="H716">
            <v>0</v>
          </cell>
          <cell r="I716">
            <v>0</v>
          </cell>
          <cell r="J716">
            <v>0</v>
          </cell>
        </row>
        <row r="717">
          <cell r="B717" t="str">
            <v>4-2130</v>
          </cell>
          <cell r="C717" t="str">
            <v>Bantuan Kontrak</v>
          </cell>
          <cell r="D717">
            <v>0</v>
          </cell>
          <cell r="E717">
            <v>0</v>
          </cell>
          <cell r="F717">
            <v>0</v>
          </cell>
          <cell r="G717">
            <v>0</v>
          </cell>
          <cell r="H717">
            <v>0</v>
          </cell>
          <cell r="I717">
            <v>0</v>
          </cell>
          <cell r="J717">
            <v>0</v>
          </cell>
        </row>
        <row r="718">
          <cell r="B718" t="str">
            <v>4-2131</v>
          </cell>
          <cell r="C718" t="str">
            <v>Kontrak Pemerintah Pusat</v>
          </cell>
          <cell r="D718">
            <v>0</v>
          </cell>
          <cell r="E718">
            <v>0</v>
          </cell>
          <cell r="F718">
            <v>0</v>
          </cell>
          <cell r="G718">
            <v>0</v>
          </cell>
          <cell r="H718">
            <v>0</v>
          </cell>
          <cell r="I718">
            <v>0</v>
          </cell>
          <cell r="J718">
            <v>0</v>
          </cell>
        </row>
        <row r="719">
          <cell r="B719" t="str">
            <v>4-2132</v>
          </cell>
          <cell r="C719" t="str">
            <v>Kontrak Pemerintah Daerah</v>
          </cell>
          <cell r="D719">
            <v>0</v>
          </cell>
          <cell r="E719">
            <v>0</v>
          </cell>
          <cell r="F719">
            <v>0</v>
          </cell>
          <cell r="G719">
            <v>0</v>
          </cell>
          <cell r="H719">
            <v>0</v>
          </cell>
          <cell r="I719">
            <v>0</v>
          </cell>
          <cell r="J719">
            <v>0</v>
          </cell>
        </row>
        <row r="720">
          <cell r="B720" t="str">
            <v>4-2133</v>
          </cell>
          <cell r="C720" t="str">
            <v>Kontrak Lembaga Sosial</v>
          </cell>
          <cell r="D720">
            <v>0</v>
          </cell>
          <cell r="E720">
            <v>0</v>
          </cell>
          <cell r="F720">
            <v>0</v>
          </cell>
          <cell r="G720">
            <v>0</v>
          </cell>
          <cell r="H720">
            <v>0</v>
          </cell>
          <cell r="I720">
            <v>0</v>
          </cell>
          <cell r="J720">
            <v>0</v>
          </cell>
        </row>
        <row r="721">
          <cell r="B721" t="str">
            <v>4-2134</v>
          </cell>
          <cell r="C721" t="str">
            <v>Kontrak Lembaga Bisnis</v>
          </cell>
          <cell r="D721">
            <v>0</v>
          </cell>
          <cell r="E721">
            <v>0</v>
          </cell>
          <cell r="F721">
            <v>0</v>
          </cell>
          <cell r="G721">
            <v>0</v>
          </cell>
          <cell r="H721">
            <v>0</v>
          </cell>
          <cell r="I721">
            <v>0</v>
          </cell>
          <cell r="J721">
            <v>0</v>
          </cell>
        </row>
        <row r="722">
          <cell r="B722" t="str">
            <v>4-2135</v>
          </cell>
          <cell r="C722" t="str">
            <v>Kontrak Masyarakat</v>
          </cell>
          <cell r="D722">
            <v>0</v>
          </cell>
          <cell r="E722">
            <v>0</v>
          </cell>
          <cell r="F722">
            <v>0</v>
          </cell>
          <cell r="G722">
            <v>0</v>
          </cell>
          <cell r="H722">
            <v>0</v>
          </cell>
          <cell r="I722">
            <v>0</v>
          </cell>
          <cell r="J722">
            <v>0</v>
          </cell>
        </row>
        <row r="723">
          <cell r="B723" t="str">
            <v>4-2136</v>
          </cell>
          <cell r="C723" t="str">
            <v>kontrak Wali Santri</v>
          </cell>
          <cell r="D723">
            <v>0</v>
          </cell>
          <cell r="E723">
            <v>0</v>
          </cell>
          <cell r="F723">
            <v>0</v>
          </cell>
          <cell r="G723">
            <v>0</v>
          </cell>
          <cell r="H723">
            <v>0</v>
          </cell>
          <cell r="I723">
            <v>0</v>
          </cell>
          <cell r="J723">
            <v>0</v>
          </cell>
        </row>
        <row r="724">
          <cell r="B724" t="str">
            <v>4-2137</v>
          </cell>
          <cell r="C724" t="str">
            <v>Kontrak Donatur</v>
          </cell>
          <cell r="D724">
            <v>0</v>
          </cell>
          <cell r="E724">
            <v>0</v>
          </cell>
          <cell r="F724">
            <v>0</v>
          </cell>
          <cell r="G724">
            <v>0</v>
          </cell>
          <cell r="H724">
            <v>0</v>
          </cell>
          <cell r="I724">
            <v>0</v>
          </cell>
          <cell r="J724">
            <v>0</v>
          </cell>
        </row>
        <row r="725">
          <cell r="B725" t="str">
            <v>4-2138</v>
          </cell>
          <cell r="C725" t="str">
            <v>Kontrak Pribadi</v>
          </cell>
          <cell r="D725">
            <v>0</v>
          </cell>
          <cell r="E725">
            <v>0</v>
          </cell>
          <cell r="F725">
            <v>0</v>
          </cell>
          <cell r="G725">
            <v>0</v>
          </cell>
          <cell r="H725">
            <v>0</v>
          </cell>
          <cell r="I725">
            <v>0</v>
          </cell>
          <cell r="J725">
            <v>0</v>
          </cell>
        </row>
        <row r="726">
          <cell r="B726" t="str">
            <v>4-2139</v>
          </cell>
          <cell r="C726" t="str">
            <v>Kontrak Others</v>
          </cell>
          <cell r="D726">
            <v>0</v>
          </cell>
          <cell r="E726">
            <v>0</v>
          </cell>
          <cell r="F726">
            <v>0</v>
          </cell>
          <cell r="G726">
            <v>0</v>
          </cell>
          <cell r="H726">
            <v>0</v>
          </cell>
          <cell r="I726">
            <v>0</v>
          </cell>
          <cell r="J726">
            <v>0</v>
          </cell>
        </row>
        <row r="727">
          <cell r="B727" t="str">
            <v>4-2140</v>
          </cell>
          <cell r="C727" t="str">
            <v>Bantuan Donasi Non Kas</v>
          </cell>
          <cell r="D727">
            <v>0</v>
          </cell>
          <cell r="E727">
            <v>0</v>
          </cell>
          <cell r="F727">
            <v>0</v>
          </cell>
          <cell r="G727">
            <v>0</v>
          </cell>
          <cell r="H727">
            <v>0</v>
          </cell>
          <cell r="I727">
            <v>0</v>
          </cell>
          <cell r="J727">
            <v>0</v>
          </cell>
        </row>
        <row r="728">
          <cell r="B728" t="str">
            <v>4-2141</v>
          </cell>
          <cell r="C728" t="str">
            <v>Donasi Non Kas Pemerintah Pusa</v>
          </cell>
          <cell r="D728">
            <v>0</v>
          </cell>
          <cell r="E728">
            <v>0</v>
          </cell>
          <cell r="F728">
            <v>0</v>
          </cell>
          <cell r="G728">
            <v>0</v>
          </cell>
          <cell r="H728">
            <v>0</v>
          </cell>
          <cell r="I728">
            <v>0</v>
          </cell>
          <cell r="J728">
            <v>0</v>
          </cell>
        </row>
        <row r="729">
          <cell r="B729" t="str">
            <v>4-2142</v>
          </cell>
          <cell r="C729" t="str">
            <v>Donasi Non Kas Pemda</v>
          </cell>
          <cell r="D729">
            <v>0</v>
          </cell>
          <cell r="E729">
            <v>0</v>
          </cell>
          <cell r="F729">
            <v>0</v>
          </cell>
          <cell r="G729">
            <v>0</v>
          </cell>
          <cell r="H729">
            <v>0</v>
          </cell>
          <cell r="I729">
            <v>0</v>
          </cell>
          <cell r="J729">
            <v>0</v>
          </cell>
        </row>
        <row r="730">
          <cell r="B730" t="str">
            <v>4-2143</v>
          </cell>
          <cell r="C730" t="str">
            <v>Donasi Non Kas Lembaga Sosial</v>
          </cell>
          <cell r="D730">
            <v>0</v>
          </cell>
          <cell r="E730">
            <v>0</v>
          </cell>
          <cell r="F730">
            <v>0</v>
          </cell>
          <cell r="G730">
            <v>0</v>
          </cell>
          <cell r="H730">
            <v>0</v>
          </cell>
          <cell r="I730">
            <v>0</v>
          </cell>
          <cell r="J730">
            <v>0</v>
          </cell>
        </row>
        <row r="731">
          <cell r="B731" t="str">
            <v>4-2144</v>
          </cell>
          <cell r="C731" t="str">
            <v>Donasi Non Kas Lembaga Bisnis</v>
          </cell>
          <cell r="D731">
            <v>0</v>
          </cell>
          <cell r="E731">
            <v>0</v>
          </cell>
          <cell r="F731">
            <v>0</v>
          </cell>
          <cell r="G731">
            <v>0</v>
          </cell>
          <cell r="H731">
            <v>0</v>
          </cell>
          <cell r="I731">
            <v>0</v>
          </cell>
          <cell r="J731">
            <v>0</v>
          </cell>
        </row>
        <row r="732">
          <cell r="B732" t="str">
            <v>4-2145</v>
          </cell>
          <cell r="C732" t="str">
            <v>Donasi Non Kas Masyarakat</v>
          </cell>
          <cell r="D732">
            <v>0</v>
          </cell>
          <cell r="E732">
            <v>0</v>
          </cell>
          <cell r="F732">
            <v>0</v>
          </cell>
          <cell r="G732">
            <v>0</v>
          </cell>
          <cell r="H732">
            <v>0</v>
          </cell>
          <cell r="I732">
            <v>0</v>
          </cell>
          <cell r="J732">
            <v>0</v>
          </cell>
        </row>
        <row r="733">
          <cell r="B733" t="str">
            <v>4-2146</v>
          </cell>
          <cell r="C733" t="str">
            <v>Donasi Non Kas Wali Santri</v>
          </cell>
          <cell r="D733">
            <v>0</v>
          </cell>
          <cell r="E733">
            <v>0</v>
          </cell>
          <cell r="F733">
            <v>0</v>
          </cell>
          <cell r="G733">
            <v>0</v>
          </cell>
          <cell r="H733">
            <v>0</v>
          </cell>
          <cell r="I733">
            <v>0</v>
          </cell>
          <cell r="J733">
            <v>0</v>
          </cell>
        </row>
        <row r="734">
          <cell r="B734" t="str">
            <v>4-2147</v>
          </cell>
          <cell r="C734" t="str">
            <v>Donasi Non Kas Donatur</v>
          </cell>
          <cell r="D734">
            <v>0</v>
          </cell>
          <cell r="E734">
            <v>0</v>
          </cell>
          <cell r="F734">
            <v>0</v>
          </cell>
          <cell r="G734">
            <v>0</v>
          </cell>
          <cell r="H734">
            <v>0</v>
          </cell>
          <cell r="I734">
            <v>0</v>
          </cell>
          <cell r="J734">
            <v>0</v>
          </cell>
        </row>
        <row r="735">
          <cell r="B735" t="str">
            <v>4-2148</v>
          </cell>
          <cell r="C735" t="str">
            <v>Donasi Non Kas Pribadi</v>
          </cell>
          <cell r="D735">
            <v>0</v>
          </cell>
          <cell r="E735">
            <v>0</v>
          </cell>
          <cell r="F735">
            <v>0</v>
          </cell>
          <cell r="G735">
            <v>0</v>
          </cell>
          <cell r="H735">
            <v>0</v>
          </cell>
          <cell r="I735">
            <v>0</v>
          </cell>
          <cell r="J735">
            <v>0</v>
          </cell>
        </row>
        <row r="736">
          <cell r="B736" t="str">
            <v>4-2149</v>
          </cell>
          <cell r="C736" t="str">
            <v>Donasi Non Kas Others</v>
          </cell>
          <cell r="D736">
            <v>0</v>
          </cell>
          <cell r="E736">
            <v>0</v>
          </cell>
          <cell r="F736">
            <v>0</v>
          </cell>
          <cell r="G736">
            <v>0</v>
          </cell>
          <cell r="H736">
            <v>0</v>
          </cell>
          <cell r="I736">
            <v>0</v>
          </cell>
          <cell r="J736">
            <v>0</v>
          </cell>
        </row>
        <row r="737">
          <cell r="B737" t="str">
            <v>4-2150</v>
          </cell>
          <cell r="C737" t="str">
            <v>Bantuan Hibah Non Kas</v>
          </cell>
          <cell r="D737">
            <v>0</v>
          </cell>
          <cell r="E737">
            <v>0</v>
          </cell>
          <cell r="F737">
            <v>0</v>
          </cell>
          <cell r="G737">
            <v>0</v>
          </cell>
          <cell r="H737">
            <v>0</v>
          </cell>
          <cell r="I737">
            <v>0</v>
          </cell>
          <cell r="J737">
            <v>0</v>
          </cell>
        </row>
        <row r="738">
          <cell r="B738" t="str">
            <v>4-2151</v>
          </cell>
          <cell r="C738" t="str">
            <v>Hibah Non Kas Pemerintah pusat</v>
          </cell>
          <cell r="D738">
            <v>0</v>
          </cell>
          <cell r="E738">
            <v>0</v>
          </cell>
          <cell r="F738">
            <v>0</v>
          </cell>
          <cell r="G738">
            <v>0</v>
          </cell>
          <cell r="H738">
            <v>0</v>
          </cell>
          <cell r="I738">
            <v>0</v>
          </cell>
          <cell r="J738">
            <v>0</v>
          </cell>
        </row>
        <row r="739">
          <cell r="B739" t="str">
            <v>4-2152</v>
          </cell>
          <cell r="C739" t="str">
            <v>Hibah Non Kas Pemda</v>
          </cell>
          <cell r="D739">
            <v>0</v>
          </cell>
          <cell r="E739">
            <v>0</v>
          </cell>
          <cell r="F739">
            <v>0</v>
          </cell>
          <cell r="G739">
            <v>0</v>
          </cell>
          <cell r="H739">
            <v>0</v>
          </cell>
          <cell r="I739">
            <v>0</v>
          </cell>
          <cell r="J739">
            <v>0</v>
          </cell>
        </row>
        <row r="740">
          <cell r="B740" t="str">
            <v>4-2153</v>
          </cell>
          <cell r="C740" t="str">
            <v>Hibah Non Kas Lembaga Sosial</v>
          </cell>
          <cell r="D740">
            <v>0</v>
          </cell>
          <cell r="E740">
            <v>0</v>
          </cell>
          <cell r="F740">
            <v>0</v>
          </cell>
          <cell r="G740">
            <v>0</v>
          </cell>
          <cell r="H740">
            <v>0</v>
          </cell>
          <cell r="I740">
            <v>0</v>
          </cell>
          <cell r="J740">
            <v>0</v>
          </cell>
        </row>
        <row r="741">
          <cell r="B741" t="str">
            <v>4-2154</v>
          </cell>
          <cell r="C741" t="str">
            <v>Hibah Non Kas Lembaga Bisnis</v>
          </cell>
          <cell r="D741">
            <v>0</v>
          </cell>
          <cell r="E741">
            <v>0</v>
          </cell>
          <cell r="F741">
            <v>0</v>
          </cell>
          <cell r="G741">
            <v>0</v>
          </cell>
          <cell r="H741">
            <v>0</v>
          </cell>
          <cell r="I741">
            <v>0</v>
          </cell>
          <cell r="J741">
            <v>0</v>
          </cell>
        </row>
        <row r="742">
          <cell r="B742" t="str">
            <v>4-2155</v>
          </cell>
          <cell r="C742" t="str">
            <v>Hibah Non Kas Masyarakat</v>
          </cell>
          <cell r="D742">
            <v>0</v>
          </cell>
          <cell r="E742">
            <v>0</v>
          </cell>
          <cell r="F742">
            <v>0</v>
          </cell>
          <cell r="G742">
            <v>0</v>
          </cell>
          <cell r="H742">
            <v>0</v>
          </cell>
          <cell r="I742">
            <v>0</v>
          </cell>
          <cell r="J742">
            <v>0</v>
          </cell>
        </row>
        <row r="743">
          <cell r="B743" t="str">
            <v>4-2156</v>
          </cell>
          <cell r="C743" t="str">
            <v>Hibah Non Kas Wali Santri</v>
          </cell>
          <cell r="D743">
            <v>0</v>
          </cell>
          <cell r="E743">
            <v>0</v>
          </cell>
          <cell r="F743">
            <v>0</v>
          </cell>
          <cell r="G743">
            <v>0</v>
          </cell>
          <cell r="H743">
            <v>0</v>
          </cell>
          <cell r="I743">
            <v>0</v>
          </cell>
          <cell r="J743">
            <v>0</v>
          </cell>
        </row>
        <row r="744">
          <cell r="B744" t="str">
            <v>4-2157</v>
          </cell>
          <cell r="C744" t="str">
            <v>Hibah Non Kas Donatur</v>
          </cell>
          <cell r="D744">
            <v>0</v>
          </cell>
          <cell r="E744">
            <v>0</v>
          </cell>
          <cell r="F744">
            <v>0</v>
          </cell>
          <cell r="G744">
            <v>0</v>
          </cell>
          <cell r="H744">
            <v>0</v>
          </cell>
          <cell r="I744">
            <v>0</v>
          </cell>
          <cell r="J744">
            <v>0</v>
          </cell>
        </row>
        <row r="745">
          <cell r="B745" t="str">
            <v>4-2158</v>
          </cell>
          <cell r="C745" t="str">
            <v>Hibah Non Kas Pribadi</v>
          </cell>
          <cell r="D745">
            <v>0</v>
          </cell>
          <cell r="E745">
            <v>0</v>
          </cell>
          <cell r="F745">
            <v>0</v>
          </cell>
          <cell r="G745">
            <v>0</v>
          </cell>
          <cell r="H745">
            <v>0</v>
          </cell>
          <cell r="I745">
            <v>0</v>
          </cell>
          <cell r="J745">
            <v>0</v>
          </cell>
        </row>
        <row r="746">
          <cell r="B746" t="str">
            <v>4-2159</v>
          </cell>
          <cell r="C746" t="str">
            <v>Hibah Non Kas Others</v>
          </cell>
          <cell r="D746">
            <v>0</v>
          </cell>
          <cell r="E746">
            <v>0</v>
          </cell>
          <cell r="F746">
            <v>0</v>
          </cell>
          <cell r="G746">
            <v>0</v>
          </cell>
          <cell r="H746">
            <v>0</v>
          </cell>
          <cell r="I746">
            <v>0</v>
          </cell>
          <cell r="J746">
            <v>0</v>
          </cell>
        </row>
        <row r="747">
          <cell r="B747" t="str">
            <v>4-2160</v>
          </cell>
          <cell r="C747" t="str">
            <v>Bantuan Kontrak Non kas</v>
          </cell>
          <cell r="D747">
            <v>0</v>
          </cell>
          <cell r="E747">
            <v>0</v>
          </cell>
          <cell r="F747">
            <v>0</v>
          </cell>
          <cell r="G747">
            <v>0</v>
          </cell>
          <cell r="H747">
            <v>0</v>
          </cell>
          <cell r="I747">
            <v>0</v>
          </cell>
          <cell r="J747">
            <v>0</v>
          </cell>
        </row>
        <row r="748">
          <cell r="B748" t="str">
            <v>4-2161</v>
          </cell>
          <cell r="C748" t="str">
            <v>Kontrak Non Kas Pemerintah pus</v>
          </cell>
          <cell r="D748">
            <v>0</v>
          </cell>
          <cell r="E748">
            <v>0</v>
          </cell>
          <cell r="F748">
            <v>0</v>
          </cell>
          <cell r="G748">
            <v>0</v>
          </cell>
          <cell r="H748">
            <v>0</v>
          </cell>
          <cell r="I748">
            <v>0</v>
          </cell>
          <cell r="J748">
            <v>0</v>
          </cell>
        </row>
        <row r="749">
          <cell r="B749" t="str">
            <v>4-2162</v>
          </cell>
          <cell r="C749" t="str">
            <v>Kontrak Non Kas Pemda</v>
          </cell>
          <cell r="D749">
            <v>0</v>
          </cell>
          <cell r="E749">
            <v>0</v>
          </cell>
          <cell r="F749">
            <v>0</v>
          </cell>
          <cell r="G749">
            <v>0</v>
          </cell>
          <cell r="H749">
            <v>0</v>
          </cell>
          <cell r="I749">
            <v>0</v>
          </cell>
          <cell r="J749">
            <v>0</v>
          </cell>
        </row>
        <row r="750">
          <cell r="B750" t="str">
            <v>4-2163</v>
          </cell>
          <cell r="C750" t="str">
            <v>Kontrak Non Kas Lembaga Sosial</v>
          </cell>
          <cell r="D750">
            <v>0</v>
          </cell>
          <cell r="E750">
            <v>0</v>
          </cell>
          <cell r="F750">
            <v>0</v>
          </cell>
          <cell r="G750">
            <v>0</v>
          </cell>
          <cell r="H750">
            <v>0</v>
          </cell>
          <cell r="I750">
            <v>0</v>
          </cell>
          <cell r="J750">
            <v>0</v>
          </cell>
        </row>
        <row r="751">
          <cell r="B751" t="str">
            <v>4-2164</v>
          </cell>
          <cell r="C751" t="str">
            <v>Kontrak Non Kas Lembaga Bisnis</v>
          </cell>
          <cell r="D751">
            <v>0</v>
          </cell>
          <cell r="E751">
            <v>0</v>
          </cell>
          <cell r="F751">
            <v>0</v>
          </cell>
          <cell r="G751">
            <v>0</v>
          </cell>
          <cell r="H751">
            <v>0</v>
          </cell>
          <cell r="I751">
            <v>0</v>
          </cell>
          <cell r="J751">
            <v>0</v>
          </cell>
        </row>
        <row r="752">
          <cell r="B752" t="str">
            <v>4-2165</v>
          </cell>
          <cell r="C752" t="str">
            <v>Kontrak Non Kas Masyarakat</v>
          </cell>
          <cell r="D752">
            <v>0</v>
          </cell>
          <cell r="E752">
            <v>0</v>
          </cell>
          <cell r="F752">
            <v>0</v>
          </cell>
          <cell r="G752">
            <v>0</v>
          </cell>
          <cell r="H752">
            <v>0</v>
          </cell>
          <cell r="I752">
            <v>0</v>
          </cell>
          <cell r="J752">
            <v>0</v>
          </cell>
        </row>
        <row r="753">
          <cell r="B753" t="str">
            <v>4-2166</v>
          </cell>
          <cell r="C753" t="str">
            <v>Kontrak Non Kas Wali santri</v>
          </cell>
          <cell r="D753">
            <v>0</v>
          </cell>
          <cell r="E753">
            <v>0</v>
          </cell>
          <cell r="F753">
            <v>0</v>
          </cell>
          <cell r="G753">
            <v>0</v>
          </cell>
          <cell r="H753">
            <v>0</v>
          </cell>
          <cell r="I753">
            <v>0</v>
          </cell>
          <cell r="J753">
            <v>0</v>
          </cell>
        </row>
        <row r="754">
          <cell r="B754" t="str">
            <v>4-2167</v>
          </cell>
          <cell r="C754" t="str">
            <v>Kontrak Non Kas Donatur</v>
          </cell>
          <cell r="D754">
            <v>0</v>
          </cell>
          <cell r="E754">
            <v>0</v>
          </cell>
          <cell r="F754">
            <v>0</v>
          </cell>
          <cell r="G754">
            <v>0</v>
          </cell>
          <cell r="H754">
            <v>0</v>
          </cell>
          <cell r="I754">
            <v>0</v>
          </cell>
          <cell r="J754">
            <v>0</v>
          </cell>
        </row>
        <row r="755">
          <cell r="B755" t="str">
            <v>4-2168</v>
          </cell>
          <cell r="C755" t="str">
            <v>Kontrak Non Kas Pribadi</v>
          </cell>
          <cell r="D755">
            <v>0</v>
          </cell>
          <cell r="E755">
            <v>0</v>
          </cell>
          <cell r="F755">
            <v>0</v>
          </cell>
          <cell r="G755">
            <v>0</v>
          </cell>
          <cell r="H755">
            <v>0</v>
          </cell>
          <cell r="I755">
            <v>0</v>
          </cell>
          <cell r="J755">
            <v>0</v>
          </cell>
        </row>
        <row r="756">
          <cell r="B756" t="str">
            <v>4-2169</v>
          </cell>
          <cell r="C756" t="str">
            <v>Kontrak Non Kas Others</v>
          </cell>
          <cell r="D756">
            <v>0</v>
          </cell>
          <cell r="E756">
            <v>0</v>
          </cell>
          <cell r="F756">
            <v>0</v>
          </cell>
          <cell r="G756">
            <v>0</v>
          </cell>
          <cell r="H756">
            <v>0</v>
          </cell>
          <cell r="I756">
            <v>0</v>
          </cell>
          <cell r="J756">
            <v>0</v>
          </cell>
        </row>
        <row r="757">
          <cell r="B757" t="str">
            <v>4-2200</v>
          </cell>
          <cell r="C757" t="str">
            <v>Fund-raiser 2</v>
          </cell>
          <cell r="D757">
            <v>0</v>
          </cell>
          <cell r="E757">
            <v>0</v>
          </cell>
          <cell r="F757">
            <v>0</v>
          </cell>
          <cell r="G757">
            <v>0</v>
          </cell>
          <cell r="H757">
            <v>0</v>
          </cell>
          <cell r="I757">
            <v>0</v>
          </cell>
          <cell r="J757">
            <v>0</v>
          </cell>
        </row>
        <row r="758">
          <cell r="B758" t="str">
            <v>4-3110</v>
          </cell>
          <cell r="C758" t="str">
            <v>Education</v>
          </cell>
          <cell r="D758">
            <v>0</v>
          </cell>
          <cell r="E758">
            <v>0</v>
          </cell>
          <cell r="F758">
            <v>0</v>
          </cell>
          <cell r="G758">
            <v>0</v>
          </cell>
          <cell r="H758">
            <v>0</v>
          </cell>
          <cell r="I758">
            <v>0</v>
          </cell>
          <cell r="J758">
            <v>0</v>
          </cell>
        </row>
        <row r="759">
          <cell r="B759" t="str">
            <v>4-3111</v>
          </cell>
          <cell r="C759" t="str">
            <v>Books Sales</v>
          </cell>
          <cell r="D759" t="str">
            <v>0.00cr</v>
          </cell>
          <cell r="E759">
            <v>0</v>
          </cell>
          <cell r="F759">
            <v>0</v>
          </cell>
          <cell r="G759">
            <v>0</v>
          </cell>
          <cell r="H759">
            <v>0</v>
          </cell>
          <cell r="I759" t="str">
            <v>0.00cr</v>
          </cell>
          <cell r="J759">
            <v>0</v>
          </cell>
        </row>
        <row r="760">
          <cell r="B760" t="str">
            <v>4-3112</v>
          </cell>
          <cell r="C760" t="str">
            <v>Uniform Sales</v>
          </cell>
          <cell r="D760">
            <v>0</v>
          </cell>
          <cell r="E760">
            <v>0</v>
          </cell>
          <cell r="F760">
            <v>0</v>
          </cell>
          <cell r="G760">
            <v>0</v>
          </cell>
          <cell r="H760">
            <v>0</v>
          </cell>
          <cell r="I760">
            <v>0</v>
          </cell>
          <cell r="J760">
            <v>0</v>
          </cell>
        </row>
        <row r="761">
          <cell r="B761" t="str">
            <v>4-3119</v>
          </cell>
          <cell r="C761" t="str">
            <v>Other Sales</v>
          </cell>
          <cell r="D761">
            <v>0</v>
          </cell>
          <cell r="E761">
            <v>0</v>
          </cell>
          <cell r="F761">
            <v>0</v>
          </cell>
          <cell r="G761">
            <v>0</v>
          </cell>
          <cell r="H761">
            <v>0</v>
          </cell>
          <cell r="I761">
            <v>0</v>
          </cell>
          <cell r="J761">
            <v>0</v>
          </cell>
        </row>
        <row r="762">
          <cell r="B762" t="str">
            <v>4-3120</v>
          </cell>
          <cell r="C762" t="str">
            <v>Umum</v>
          </cell>
          <cell r="D762">
            <v>0</v>
          </cell>
          <cell r="E762">
            <v>0</v>
          </cell>
          <cell r="F762">
            <v>0</v>
          </cell>
          <cell r="G762">
            <v>0</v>
          </cell>
          <cell r="H762">
            <v>0</v>
          </cell>
          <cell r="I762">
            <v>0</v>
          </cell>
          <cell r="J762">
            <v>0</v>
          </cell>
        </row>
        <row r="763">
          <cell r="B763" t="str">
            <v>4-3121</v>
          </cell>
          <cell r="C763" t="str">
            <v>Sleeping Supplies Sales</v>
          </cell>
          <cell r="D763">
            <v>0</v>
          </cell>
          <cell r="E763">
            <v>0</v>
          </cell>
          <cell r="F763">
            <v>0</v>
          </cell>
          <cell r="G763">
            <v>0</v>
          </cell>
          <cell r="H763">
            <v>0</v>
          </cell>
          <cell r="I763">
            <v>0</v>
          </cell>
          <cell r="J763">
            <v>0</v>
          </cell>
        </row>
        <row r="764">
          <cell r="B764" t="str">
            <v>4-3122</v>
          </cell>
          <cell r="C764" t="str">
            <v>Scrub</v>
          </cell>
          <cell r="D764">
            <v>0</v>
          </cell>
          <cell r="E764">
            <v>0</v>
          </cell>
          <cell r="F764">
            <v>0</v>
          </cell>
          <cell r="G764">
            <v>0</v>
          </cell>
          <cell r="H764">
            <v>0</v>
          </cell>
          <cell r="I764">
            <v>0</v>
          </cell>
          <cell r="J764">
            <v>0</v>
          </cell>
        </row>
        <row r="765">
          <cell r="B765" t="str">
            <v>4-3123</v>
          </cell>
          <cell r="C765" t="str">
            <v>Other</v>
          </cell>
          <cell r="D765">
            <v>0</v>
          </cell>
          <cell r="E765">
            <v>0</v>
          </cell>
          <cell r="F765">
            <v>0</v>
          </cell>
          <cell r="G765">
            <v>0</v>
          </cell>
          <cell r="H765">
            <v>0</v>
          </cell>
          <cell r="I765">
            <v>0</v>
          </cell>
          <cell r="J765">
            <v>0</v>
          </cell>
        </row>
        <row r="766">
          <cell r="B766" t="str">
            <v>4-3210</v>
          </cell>
          <cell r="C766" t="str">
            <v>Tabungan</v>
          </cell>
          <cell r="D766">
            <v>0</v>
          </cell>
          <cell r="E766">
            <v>0</v>
          </cell>
          <cell r="F766">
            <v>0</v>
          </cell>
          <cell r="G766">
            <v>0</v>
          </cell>
          <cell r="H766">
            <v>0</v>
          </cell>
          <cell r="I766">
            <v>0</v>
          </cell>
          <cell r="J766">
            <v>0</v>
          </cell>
        </row>
        <row r="767">
          <cell r="B767" t="str">
            <v>4-3211</v>
          </cell>
          <cell r="C767" t="str">
            <v>Regristration Saving Fee</v>
          </cell>
          <cell r="D767">
            <v>0</v>
          </cell>
          <cell r="E767">
            <v>0</v>
          </cell>
          <cell r="F767">
            <v>0</v>
          </cell>
          <cell r="G767">
            <v>0</v>
          </cell>
          <cell r="H767">
            <v>0</v>
          </cell>
          <cell r="I767">
            <v>0</v>
          </cell>
          <cell r="J767">
            <v>0</v>
          </cell>
        </row>
        <row r="768">
          <cell r="B768" t="str">
            <v>4-3220</v>
          </cell>
          <cell r="C768" t="str">
            <v>Pengunaan Fasilitas</v>
          </cell>
          <cell r="D768">
            <v>0</v>
          </cell>
          <cell r="E768">
            <v>0</v>
          </cell>
          <cell r="F768">
            <v>0</v>
          </cell>
          <cell r="G768">
            <v>0</v>
          </cell>
          <cell r="H768">
            <v>0</v>
          </cell>
          <cell r="I768">
            <v>0</v>
          </cell>
          <cell r="J768">
            <v>0</v>
          </cell>
        </row>
        <row r="769">
          <cell r="B769" t="str">
            <v>4-3221</v>
          </cell>
          <cell r="C769" t="str">
            <v>Car Charges</v>
          </cell>
          <cell r="D769">
            <v>0</v>
          </cell>
          <cell r="E769">
            <v>0</v>
          </cell>
          <cell r="F769">
            <v>0</v>
          </cell>
          <cell r="G769">
            <v>0</v>
          </cell>
          <cell r="H769">
            <v>0</v>
          </cell>
          <cell r="I769">
            <v>0</v>
          </cell>
          <cell r="J769">
            <v>0</v>
          </cell>
        </row>
        <row r="770">
          <cell r="B770" t="str">
            <v>4-3222</v>
          </cell>
          <cell r="C770" t="str">
            <v>Foto copy Charges</v>
          </cell>
          <cell r="D770">
            <v>0</v>
          </cell>
          <cell r="E770">
            <v>0</v>
          </cell>
          <cell r="F770">
            <v>0</v>
          </cell>
          <cell r="G770">
            <v>0</v>
          </cell>
          <cell r="H770">
            <v>0</v>
          </cell>
          <cell r="I770">
            <v>0</v>
          </cell>
          <cell r="J770">
            <v>0</v>
          </cell>
        </row>
        <row r="771">
          <cell r="B771" t="str">
            <v>4-3223</v>
          </cell>
          <cell r="C771" t="str">
            <v>Telepon &amp; Fax Charges</v>
          </cell>
          <cell r="D771">
            <v>0</v>
          </cell>
          <cell r="E771">
            <v>0</v>
          </cell>
          <cell r="F771">
            <v>0</v>
          </cell>
          <cell r="G771">
            <v>0</v>
          </cell>
          <cell r="H771">
            <v>0</v>
          </cell>
          <cell r="I771">
            <v>0</v>
          </cell>
          <cell r="J771">
            <v>0</v>
          </cell>
        </row>
        <row r="772">
          <cell r="B772" t="str">
            <v>4-3224</v>
          </cell>
          <cell r="C772" t="str">
            <v>Internet Charges</v>
          </cell>
          <cell r="D772">
            <v>0</v>
          </cell>
          <cell r="E772">
            <v>0</v>
          </cell>
          <cell r="F772">
            <v>0</v>
          </cell>
          <cell r="G772">
            <v>0</v>
          </cell>
          <cell r="H772">
            <v>0</v>
          </cell>
          <cell r="I772">
            <v>0</v>
          </cell>
          <cell r="J772">
            <v>0</v>
          </cell>
        </row>
        <row r="773">
          <cell r="B773" t="str">
            <v>4-3229</v>
          </cell>
          <cell r="C773" t="str">
            <v>Other Facilities</v>
          </cell>
          <cell r="D773">
            <v>0</v>
          </cell>
          <cell r="E773">
            <v>0</v>
          </cell>
          <cell r="F773">
            <v>0</v>
          </cell>
          <cell r="G773">
            <v>100000</v>
          </cell>
          <cell r="H773" t="str">
            <v>100,000.00cr</v>
          </cell>
          <cell r="I773" t="str">
            <v>100,000.00cr</v>
          </cell>
          <cell r="J773">
            <v>0</v>
          </cell>
        </row>
        <row r="774">
          <cell r="B774" t="str">
            <v>4-3510</v>
          </cell>
          <cell r="C774" t="str">
            <v>Bequests</v>
          </cell>
          <cell r="D774">
            <v>0</v>
          </cell>
          <cell r="E774">
            <v>0</v>
          </cell>
          <cell r="F774">
            <v>0</v>
          </cell>
          <cell r="G774">
            <v>0</v>
          </cell>
          <cell r="H774">
            <v>0</v>
          </cell>
          <cell r="I774">
            <v>0</v>
          </cell>
          <cell r="J774">
            <v>0</v>
          </cell>
        </row>
        <row r="775">
          <cell r="B775" t="str">
            <v>4-3520</v>
          </cell>
          <cell r="C775" t="str">
            <v>Donations - Tax Deductible</v>
          </cell>
          <cell r="D775">
            <v>0</v>
          </cell>
          <cell r="E775">
            <v>0</v>
          </cell>
          <cell r="F775">
            <v>0</v>
          </cell>
          <cell r="G775">
            <v>0</v>
          </cell>
          <cell r="H775">
            <v>0</v>
          </cell>
          <cell r="I775">
            <v>0</v>
          </cell>
          <cell r="J775">
            <v>0</v>
          </cell>
        </row>
        <row r="776">
          <cell r="B776" t="str">
            <v>4-3530</v>
          </cell>
          <cell r="C776" t="str">
            <v>Donations - Non-Deductible</v>
          </cell>
          <cell r="D776">
            <v>0</v>
          </cell>
          <cell r="E776">
            <v>0</v>
          </cell>
          <cell r="F776">
            <v>0</v>
          </cell>
          <cell r="G776">
            <v>0</v>
          </cell>
          <cell r="H776">
            <v>0</v>
          </cell>
          <cell r="I776">
            <v>0</v>
          </cell>
          <cell r="J776">
            <v>0</v>
          </cell>
        </row>
        <row r="777">
          <cell r="B777" t="str">
            <v>4-3700</v>
          </cell>
          <cell r="C777" t="str">
            <v>Delivery Fees Collected</v>
          </cell>
          <cell r="D777">
            <v>0</v>
          </cell>
          <cell r="E777">
            <v>0</v>
          </cell>
          <cell r="F777">
            <v>0</v>
          </cell>
          <cell r="G777">
            <v>0</v>
          </cell>
          <cell r="H777">
            <v>0</v>
          </cell>
          <cell r="I777">
            <v>0</v>
          </cell>
          <cell r="J777">
            <v>0</v>
          </cell>
        </row>
        <row r="778">
          <cell r="B778" t="str">
            <v>4-3800</v>
          </cell>
          <cell r="C778" t="str">
            <v>Late Fees Collected</v>
          </cell>
          <cell r="D778">
            <v>0</v>
          </cell>
          <cell r="E778">
            <v>0</v>
          </cell>
          <cell r="F778">
            <v>0</v>
          </cell>
          <cell r="G778">
            <v>0</v>
          </cell>
          <cell r="H778">
            <v>0</v>
          </cell>
          <cell r="I778">
            <v>0</v>
          </cell>
          <cell r="J778">
            <v>0</v>
          </cell>
        </row>
        <row r="779">
          <cell r="B779" t="str">
            <v>4-6110</v>
          </cell>
          <cell r="C779" t="str">
            <v>Invetasi</v>
          </cell>
          <cell r="D779">
            <v>0</v>
          </cell>
          <cell r="E779">
            <v>0</v>
          </cell>
          <cell r="F779">
            <v>0</v>
          </cell>
          <cell r="G779">
            <v>0</v>
          </cell>
          <cell r="H779">
            <v>0</v>
          </cell>
          <cell r="I779">
            <v>0</v>
          </cell>
          <cell r="J779">
            <v>0</v>
          </cell>
        </row>
        <row r="780">
          <cell r="B780" t="str">
            <v>4-6111</v>
          </cell>
          <cell r="C780" t="str">
            <v>Investment Revenue</v>
          </cell>
          <cell r="D780">
            <v>0</v>
          </cell>
          <cell r="E780">
            <v>0</v>
          </cell>
          <cell r="F780">
            <v>0</v>
          </cell>
          <cell r="G780">
            <v>0</v>
          </cell>
          <cell r="H780">
            <v>0</v>
          </cell>
          <cell r="I780">
            <v>0</v>
          </cell>
          <cell r="J780">
            <v>0</v>
          </cell>
        </row>
        <row r="781">
          <cell r="B781" t="str">
            <v>4-6112</v>
          </cell>
          <cell r="C781" t="str">
            <v>Endowment investment income</v>
          </cell>
          <cell r="D781">
            <v>0</v>
          </cell>
          <cell r="E781">
            <v>0</v>
          </cell>
          <cell r="F781">
            <v>0</v>
          </cell>
          <cell r="G781">
            <v>0</v>
          </cell>
          <cell r="H781">
            <v>0</v>
          </cell>
          <cell r="I781">
            <v>0</v>
          </cell>
          <cell r="J781">
            <v>0</v>
          </cell>
        </row>
        <row r="782">
          <cell r="B782" t="str">
            <v>4-6120</v>
          </cell>
          <cell r="C782" t="str">
            <v>Penjualan Aktiva Tetap</v>
          </cell>
          <cell r="D782">
            <v>0</v>
          </cell>
          <cell r="E782">
            <v>0</v>
          </cell>
          <cell r="F782">
            <v>0</v>
          </cell>
          <cell r="G782">
            <v>0</v>
          </cell>
          <cell r="H782">
            <v>0</v>
          </cell>
          <cell r="I782">
            <v>0</v>
          </cell>
          <cell r="J782">
            <v>0</v>
          </cell>
        </row>
        <row r="783">
          <cell r="B783" t="str">
            <v>4-6121</v>
          </cell>
          <cell r="C783" t="str">
            <v>Gain of Fixed asset Sale</v>
          </cell>
          <cell r="D783">
            <v>0</v>
          </cell>
          <cell r="E783">
            <v>0</v>
          </cell>
          <cell r="F783">
            <v>0</v>
          </cell>
          <cell r="G783">
            <v>0</v>
          </cell>
          <cell r="H783">
            <v>0</v>
          </cell>
          <cell r="I783">
            <v>0</v>
          </cell>
          <cell r="J783">
            <v>0</v>
          </cell>
        </row>
        <row r="784">
          <cell r="B784" t="str">
            <v>4-6130</v>
          </cell>
          <cell r="C784" t="str">
            <v>Selisih kurs</v>
          </cell>
          <cell r="D784">
            <v>0</v>
          </cell>
          <cell r="E784">
            <v>0</v>
          </cell>
          <cell r="F784">
            <v>0</v>
          </cell>
          <cell r="G784">
            <v>0</v>
          </cell>
          <cell r="H784">
            <v>0</v>
          </cell>
          <cell r="I784">
            <v>0</v>
          </cell>
          <cell r="J784">
            <v>0</v>
          </cell>
        </row>
        <row r="785">
          <cell r="B785" t="str">
            <v>4-6131</v>
          </cell>
          <cell r="C785" t="str">
            <v>Gain of Foreign excange</v>
          </cell>
          <cell r="D785">
            <v>0</v>
          </cell>
          <cell r="E785">
            <v>0</v>
          </cell>
          <cell r="F785">
            <v>0</v>
          </cell>
          <cell r="G785">
            <v>0</v>
          </cell>
          <cell r="H785">
            <v>0</v>
          </cell>
          <cell r="I785">
            <v>0</v>
          </cell>
          <cell r="J785">
            <v>0</v>
          </cell>
        </row>
        <row r="786">
          <cell r="B786" t="str">
            <v>4-6160</v>
          </cell>
          <cell r="C786" t="str">
            <v>Penerimaan Piutang yg dihapus</v>
          </cell>
          <cell r="D786">
            <v>0</v>
          </cell>
          <cell r="E786">
            <v>0</v>
          </cell>
          <cell r="F786">
            <v>0</v>
          </cell>
          <cell r="G786">
            <v>0</v>
          </cell>
          <cell r="H786">
            <v>0</v>
          </cell>
          <cell r="I786">
            <v>0</v>
          </cell>
          <cell r="J786">
            <v>0</v>
          </cell>
        </row>
        <row r="787">
          <cell r="B787" t="str">
            <v>4-6161</v>
          </cell>
          <cell r="C787" t="str">
            <v>Education bad debt recovery in</v>
          </cell>
          <cell r="D787">
            <v>0</v>
          </cell>
          <cell r="E787">
            <v>0</v>
          </cell>
          <cell r="F787">
            <v>0</v>
          </cell>
          <cell r="G787">
            <v>0</v>
          </cell>
          <cell r="H787">
            <v>0</v>
          </cell>
          <cell r="I787">
            <v>0</v>
          </cell>
          <cell r="J787">
            <v>0</v>
          </cell>
        </row>
        <row r="788">
          <cell r="B788" t="str">
            <v>4-6162</v>
          </cell>
          <cell r="C788" t="str">
            <v>Contribution bad debt recovery</v>
          </cell>
          <cell r="D788">
            <v>0</v>
          </cell>
          <cell r="E788">
            <v>0</v>
          </cell>
          <cell r="F788">
            <v>0</v>
          </cell>
          <cell r="G788">
            <v>0</v>
          </cell>
          <cell r="H788">
            <v>0</v>
          </cell>
          <cell r="I788">
            <v>0</v>
          </cell>
          <cell r="J788">
            <v>0</v>
          </cell>
        </row>
        <row r="789">
          <cell r="B789" t="str">
            <v>4-6163</v>
          </cell>
          <cell r="C789" t="str">
            <v>Other bad debt recovery income</v>
          </cell>
          <cell r="D789">
            <v>0</v>
          </cell>
          <cell r="E789">
            <v>0</v>
          </cell>
          <cell r="F789">
            <v>0</v>
          </cell>
          <cell r="G789">
            <v>0</v>
          </cell>
          <cell r="H789">
            <v>0</v>
          </cell>
          <cell r="I789">
            <v>0</v>
          </cell>
          <cell r="J789">
            <v>0</v>
          </cell>
        </row>
        <row r="790">
          <cell r="B790" t="str">
            <v>4-6170</v>
          </cell>
          <cell r="C790" t="str">
            <v>Penilaian Aktiva Tetap</v>
          </cell>
          <cell r="D790">
            <v>0</v>
          </cell>
          <cell r="E790">
            <v>0</v>
          </cell>
          <cell r="F790">
            <v>0</v>
          </cell>
          <cell r="G790">
            <v>0</v>
          </cell>
          <cell r="H790">
            <v>0</v>
          </cell>
          <cell r="I790">
            <v>0</v>
          </cell>
          <cell r="J790">
            <v>0</v>
          </cell>
        </row>
        <row r="791">
          <cell r="B791" t="str">
            <v>4-6171</v>
          </cell>
          <cell r="C791" t="str">
            <v>Gain of Incremental FA Revalua</v>
          </cell>
          <cell r="D791">
            <v>0</v>
          </cell>
          <cell r="E791">
            <v>0</v>
          </cell>
          <cell r="F791">
            <v>0</v>
          </cell>
          <cell r="G791">
            <v>0</v>
          </cell>
          <cell r="H791">
            <v>0</v>
          </cell>
          <cell r="I791">
            <v>0</v>
          </cell>
          <cell r="J791">
            <v>0</v>
          </cell>
        </row>
        <row r="792">
          <cell r="B792" t="str">
            <v>4-6190</v>
          </cell>
          <cell r="C792" t="str">
            <v>Keuntungan lain-lain</v>
          </cell>
          <cell r="D792">
            <v>0</v>
          </cell>
          <cell r="E792">
            <v>0</v>
          </cell>
          <cell r="F792">
            <v>0</v>
          </cell>
          <cell r="G792">
            <v>0</v>
          </cell>
          <cell r="H792">
            <v>0</v>
          </cell>
          <cell r="I792">
            <v>0</v>
          </cell>
          <cell r="J792">
            <v>0</v>
          </cell>
        </row>
        <row r="793">
          <cell r="B793" t="str">
            <v>4-6191</v>
          </cell>
          <cell r="C793" t="str">
            <v>Excess of cash Received</v>
          </cell>
          <cell r="D793">
            <v>10673250</v>
          </cell>
          <cell r="E793">
            <v>0</v>
          </cell>
          <cell r="F793">
            <v>0</v>
          </cell>
          <cell r="G793">
            <v>0</v>
          </cell>
          <cell r="H793">
            <v>0</v>
          </cell>
          <cell r="I793">
            <v>10673250</v>
          </cell>
          <cell r="J793">
            <v>0</v>
          </cell>
        </row>
        <row r="794">
          <cell r="B794" t="str">
            <v>4-6192</v>
          </cell>
          <cell r="C794" t="str">
            <v>Excess of cash Balance</v>
          </cell>
          <cell r="D794">
            <v>0</v>
          </cell>
          <cell r="E794">
            <v>0</v>
          </cell>
          <cell r="F794">
            <v>0</v>
          </cell>
          <cell r="G794">
            <v>0</v>
          </cell>
          <cell r="H794">
            <v>0</v>
          </cell>
          <cell r="I794">
            <v>0</v>
          </cell>
          <cell r="J794">
            <v>0</v>
          </cell>
        </row>
        <row r="795">
          <cell r="B795" t="str">
            <v>4-6193</v>
          </cell>
          <cell r="C795" t="str">
            <v>Pembulatan lebih</v>
          </cell>
          <cell r="D795">
            <v>0</v>
          </cell>
          <cell r="E795">
            <v>0</v>
          </cell>
          <cell r="F795">
            <v>0</v>
          </cell>
          <cell r="G795">
            <v>0</v>
          </cell>
          <cell r="H795">
            <v>0</v>
          </cell>
          <cell r="I795">
            <v>0</v>
          </cell>
          <cell r="J795">
            <v>0</v>
          </cell>
        </row>
        <row r="796">
          <cell r="B796" t="str">
            <v>4-6194</v>
          </cell>
          <cell r="C796" t="str">
            <v>Hasil Panen Sawah</v>
          </cell>
          <cell r="D796" t="str">
            <v>1,797,400.00cr</v>
          </cell>
          <cell r="E796">
            <v>0</v>
          </cell>
          <cell r="F796">
            <v>0</v>
          </cell>
          <cell r="G796">
            <v>0</v>
          </cell>
          <cell r="H796">
            <v>0</v>
          </cell>
          <cell r="I796" t="str">
            <v>1,797,400.00cr</v>
          </cell>
          <cell r="J796">
            <v>0</v>
          </cell>
        </row>
        <row r="797">
          <cell r="B797" t="str">
            <v>4-6195</v>
          </cell>
          <cell r="C797" t="str">
            <v>Selisih lebih</v>
          </cell>
          <cell r="D797">
            <v>0</v>
          </cell>
          <cell r="E797">
            <v>0</v>
          </cell>
          <cell r="F797">
            <v>0</v>
          </cell>
          <cell r="G797">
            <v>0</v>
          </cell>
          <cell r="H797">
            <v>0</v>
          </cell>
          <cell r="I797">
            <v>0</v>
          </cell>
          <cell r="J797">
            <v>0</v>
          </cell>
        </row>
        <row r="798">
          <cell r="B798" t="str">
            <v>4-6210</v>
          </cell>
          <cell r="C798" t="str">
            <v>Sponsor Kegiatan</v>
          </cell>
          <cell r="D798">
            <v>0</v>
          </cell>
          <cell r="E798">
            <v>0</v>
          </cell>
          <cell r="F798">
            <v>0</v>
          </cell>
          <cell r="G798">
            <v>0</v>
          </cell>
          <cell r="H798">
            <v>0</v>
          </cell>
          <cell r="I798">
            <v>0</v>
          </cell>
          <cell r="J798">
            <v>0</v>
          </cell>
        </row>
        <row r="799">
          <cell r="B799" t="str">
            <v>4-6211</v>
          </cell>
          <cell r="C799" t="str">
            <v>Books Fair</v>
          </cell>
          <cell r="D799">
            <v>0</v>
          </cell>
          <cell r="E799">
            <v>0</v>
          </cell>
          <cell r="F799">
            <v>0</v>
          </cell>
          <cell r="G799">
            <v>3737000</v>
          </cell>
          <cell r="H799" t="str">
            <v>3,737,000.00cr</v>
          </cell>
          <cell r="I799" t="str">
            <v>3,737,000.00cr</v>
          </cell>
          <cell r="J799">
            <v>0</v>
          </cell>
        </row>
        <row r="800">
          <cell r="B800" t="str">
            <v>4-6220</v>
          </cell>
          <cell r="C800" t="str">
            <v>Transfer from alocation cost</v>
          </cell>
          <cell r="D800">
            <v>0</v>
          </cell>
          <cell r="E800">
            <v>0</v>
          </cell>
          <cell r="F800">
            <v>0</v>
          </cell>
          <cell r="G800">
            <v>0</v>
          </cell>
          <cell r="H800">
            <v>0</v>
          </cell>
          <cell r="I800">
            <v>0</v>
          </cell>
          <cell r="J800">
            <v>0</v>
          </cell>
        </row>
        <row r="801">
          <cell r="B801" t="str">
            <v>4-6221</v>
          </cell>
          <cell r="C801" t="str">
            <v>Penggantian Fasilitas</v>
          </cell>
          <cell r="D801" t="str">
            <v>110,000.00cr</v>
          </cell>
          <cell r="E801">
            <v>0</v>
          </cell>
          <cell r="F801">
            <v>0</v>
          </cell>
          <cell r="G801">
            <v>50000</v>
          </cell>
          <cell r="H801" t="str">
            <v>50,000.00cr</v>
          </cell>
          <cell r="I801" t="str">
            <v>160,000.00cr</v>
          </cell>
          <cell r="J801">
            <v>0</v>
          </cell>
        </row>
        <row r="802">
          <cell r="B802" t="str">
            <v>4-6310</v>
          </cell>
          <cell r="C802" t="str">
            <v>Terikat Program</v>
          </cell>
          <cell r="D802">
            <v>0</v>
          </cell>
          <cell r="E802">
            <v>0</v>
          </cell>
          <cell r="F802">
            <v>0</v>
          </cell>
          <cell r="G802">
            <v>0</v>
          </cell>
          <cell r="H802">
            <v>0</v>
          </cell>
          <cell r="I802">
            <v>0</v>
          </cell>
          <cell r="J802">
            <v>0</v>
          </cell>
        </row>
        <row r="803">
          <cell r="B803" t="str">
            <v>4-6311</v>
          </cell>
          <cell r="C803" t="str">
            <v>Release fromTR prog.academic</v>
          </cell>
          <cell r="D803" t="str">
            <v>3,145,034.00cr</v>
          </cell>
          <cell r="E803">
            <v>0</v>
          </cell>
          <cell r="F803">
            <v>0</v>
          </cell>
          <cell r="G803">
            <v>65623222</v>
          </cell>
          <cell r="H803" t="str">
            <v>65,623,222.00cr</v>
          </cell>
          <cell r="I803" t="str">
            <v>68,768,256.00cr</v>
          </cell>
          <cell r="J803">
            <v>0</v>
          </cell>
        </row>
        <row r="804">
          <cell r="B804" t="str">
            <v>4-6312</v>
          </cell>
          <cell r="C804" t="str">
            <v>Release from TR prog.Public Se</v>
          </cell>
          <cell r="D804" t="str">
            <v>88,800,000.00cr</v>
          </cell>
          <cell r="E804">
            <v>0</v>
          </cell>
          <cell r="F804">
            <v>0</v>
          </cell>
          <cell r="G804">
            <v>13650000</v>
          </cell>
          <cell r="H804" t="str">
            <v>13,650,000.00cr</v>
          </cell>
          <cell r="I804" t="str">
            <v>102,450,000.00cr</v>
          </cell>
          <cell r="J804">
            <v>0</v>
          </cell>
        </row>
        <row r="805">
          <cell r="B805" t="str">
            <v>4-6313</v>
          </cell>
          <cell r="C805" t="str">
            <v>Release from TR prog.p Support</v>
          </cell>
          <cell r="D805">
            <v>0</v>
          </cell>
          <cell r="E805">
            <v>0</v>
          </cell>
          <cell r="F805">
            <v>0</v>
          </cell>
          <cell r="G805">
            <v>188819000</v>
          </cell>
          <cell r="H805" t="str">
            <v>188,819,000.00cr</v>
          </cell>
          <cell r="I805" t="str">
            <v>188,819,000.00cr</v>
          </cell>
          <cell r="J805">
            <v>0</v>
          </cell>
        </row>
        <row r="806">
          <cell r="B806" t="str">
            <v>4-6314</v>
          </cell>
          <cell r="C806" t="str">
            <v>Release from TR prog.Student F</v>
          </cell>
          <cell r="D806">
            <v>0</v>
          </cell>
          <cell r="E806">
            <v>0</v>
          </cell>
          <cell r="F806">
            <v>0</v>
          </cell>
          <cell r="G806">
            <v>0</v>
          </cell>
          <cell r="H806">
            <v>0</v>
          </cell>
          <cell r="I806">
            <v>0</v>
          </cell>
          <cell r="J806">
            <v>0</v>
          </cell>
        </row>
        <row r="807">
          <cell r="B807" t="str">
            <v>4-6315</v>
          </cell>
          <cell r="C807" t="str">
            <v>Release from TR prog.AE</v>
          </cell>
          <cell r="D807">
            <v>0</v>
          </cell>
          <cell r="E807">
            <v>0</v>
          </cell>
          <cell r="F807">
            <v>0</v>
          </cell>
          <cell r="G807">
            <v>0</v>
          </cell>
          <cell r="H807">
            <v>0</v>
          </cell>
          <cell r="I807">
            <v>0</v>
          </cell>
          <cell r="J807">
            <v>0</v>
          </cell>
        </row>
        <row r="808">
          <cell r="B808" t="str">
            <v>4-6318</v>
          </cell>
          <cell r="C808" t="str">
            <v>Release from TR prog.other 1</v>
          </cell>
          <cell r="D808">
            <v>0</v>
          </cell>
          <cell r="E808">
            <v>0</v>
          </cell>
          <cell r="F808">
            <v>0</v>
          </cell>
          <cell r="G808">
            <v>0</v>
          </cell>
          <cell r="H808">
            <v>0</v>
          </cell>
          <cell r="I808">
            <v>0</v>
          </cell>
          <cell r="J808">
            <v>0</v>
          </cell>
        </row>
        <row r="809">
          <cell r="B809" t="str">
            <v>4-6319</v>
          </cell>
          <cell r="C809" t="str">
            <v>Release from TR prog.other 2</v>
          </cell>
          <cell r="D809">
            <v>0</v>
          </cell>
          <cell r="E809">
            <v>0</v>
          </cell>
          <cell r="F809">
            <v>0</v>
          </cell>
          <cell r="G809">
            <v>0</v>
          </cell>
          <cell r="H809">
            <v>0</v>
          </cell>
          <cell r="I809">
            <v>0</v>
          </cell>
          <cell r="J809">
            <v>0</v>
          </cell>
        </row>
        <row r="810">
          <cell r="B810" t="str">
            <v>4-6320</v>
          </cell>
          <cell r="C810" t="str">
            <v>Terikat perolehan Aktiva</v>
          </cell>
          <cell r="D810">
            <v>0</v>
          </cell>
          <cell r="E810">
            <v>0</v>
          </cell>
          <cell r="F810">
            <v>0</v>
          </cell>
          <cell r="G810">
            <v>0</v>
          </cell>
          <cell r="H810">
            <v>0</v>
          </cell>
          <cell r="I810">
            <v>0</v>
          </cell>
          <cell r="J810">
            <v>0</v>
          </cell>
        </row>
        <row r="811">
          <cell r="B811" t="str">
            <v>4-6321</v>
          </cell>
          <cell r="C811" t="str">
            <v>Release from Temporary R - FA</v>
          </cell>
          <cell r="D811">
            <v>0</v>
          </cell>
          <cell r="E811">
            <v>0</v>
          </cell>
          <cell r="F811">
            <v>0</v>
          </cell>
          <cell r="G811">
            <v>0</v>
          </cell>
          <cell r="H811">
            <v>0</v>
          </cell>
          <cell r="I811">
            <v>0</v>
          </cell>
          <cell r="J811">
            <v>0</v>
          </cell>
        </row>
        <row r="812">
          <cell r="B812" t="str">
            <v>4-6322</v>
          </cell>
          <cell r="C812" t="str">
            <v>Release from TR - FA non cash</v>
          </cell>
          <cell r="D812">
            <v>0</v>
          </cell>
          <cell r="E812">
            <v>0</v>
          </cell>
          <cell r="F812">
            <v>0</v>
          </cell>
          <cell r="G812">
            <v>0</v>
          </cell>
          <cell r="H812">
            <v>0</v>
          </cell>
          <cell r="I812">
            <v>0</v>
          </cell>
          <cell r="J812">
            <v>0</v>
          </cell>
        </row>
        <row r="813">
          <cell r="B813" t="str">
            <v>4-6330</v>
          </cell>
          <cell r="C813" t="str">
            <v>Terikat Waktu</v>
          </cell>
          <cell r="D813">
            <v>0</v>
          </cell>
          <cell r="E813">
            <v>0</v>
          </cell>
          <cell r="F813">
            <v>0</v>
          </cell>
          <cell r="G813">
            <v>0</v>
          </cell>
          <cell r="H813">
            <v>0</v>
          </cell>
          <cell r="I813">
            <v>0</v>
          </cell>
          <cell r="J813">
            <v>0</v>
          </cell>
        </row>
        <row r="814">
          <cell r="B814" t="str">
            <v>4-6331</v>
          </cell>
          <cell r="C814" t="str">
            <v>Release from TR-time-investmen</v>
          </cell>
          <cell r="D814">
            <v>0</v>
          </cell>
          <cell r="E814">
            <v>0</v>
          </cell>
          <cell r="F814">
            <v>0</v>
          </cell>
          <cell r="G814">
            <v>0</v>
          </cell>
          <cell r="H814">
            <v>0</v>
          </cell>
          <cell r="I814">
            <v>0</v>
          </cell>
          <cell r="J814">
            <v>0</v>
          </cell>
        </row>
        <row r="815">
          <cell r="B815" t="str">
            <v>4-6910</v>
          </cell>
          <cell r="C815" t="str">
            <v>Education</v>
          </cell>
          <cell r="D815">
            <v>0</v>
          </cell>
          <cell r="E815">
            <v>0</v>
          </cell>
          <cell r="F815">
            <v>0</v>
          </cell>
          <cell r="G815">
            <v>0</v>
          </cell>
          <cell r="H815">
            <v>0</v>
          </cell>
          <cell r="I815">
            <v>0</v>
          </cell>
          <cell r="J815">
            <v>0</v>
          </cell>
        </row>
        <row r="816">
          <cell r="B816" t="str">
            <v>4-6911</v>
          </cell>
          <cell r="C816" t="str">
            <v>Pengembalian SDITQ</v>
          </cell>
          <cell r="D816">
            <v>0</v>
          </cell>
          <cell r="E816">
            <v>0</v>
          </cell>
          <cell r="F816">
            <v>0</v>
          </cell>
          <cell r="G816">
            <v>0</v>
          </cell>
          <cell r="H816">
            <v>0</v>
          </cell>
          <cell r="I816">
            <v>0</v>
          </cell>
          <cell r="J816">
            <v>0</v>
          </cell>
        </row>
        <row r="817">
          <cell r="B817" t="str">
            <v>4-6912</v>
          </cell>
          <cell r="C817" t="str">
            <v>Pengembalian MTS</v>
          </cell>
          <cell r="D817">
            <v>0</v>
          </cell>
          <cell r="E817">
            <v>0</v>
          </cell>
          <cell r="F817">
            <v>0</v>
          </cell>
          <cell r="G817">
            <v>0</v>
          </cell>
          <cell r="H817">
            <v>0</v>
          </cell>
          <cell r="I817">
            <v>0</v>
          </cell>
          <cell r="J817">
            <v>0</v>
          </cell>
        </row>
        <row r="818">
          <cell r="B818" t="str">
            <v>4-6913</v>
          </cell>
          <cell r="C818" t="str">
            <v>Pengembalian IL</v>
          </cell>
          <cell r="D818">
            <v>0</v>
          </cell>
          <cell r="E818">
            <v>0</v>
          </cell>
          <cell r="F818">
            <v>0</v>
          </cell>
          <cell r="G818">
            <v>0</v>
          </cell>
          <cell r="H818">
            <v>0</v>
          </cell>
          <cell r="I818">
            <v>0</v>
          </cell>
          <cell r="J818">
            <v>0</v>
          </cell>
        </row>
        <row r="819">
          <cell r="B819" t="str">
            <v>4-6914</v>
          </cell>
          <cell r="C819" t="str">
            <v>Pengembalian MA</v>
          </cell>
          <cell r="D819">
            <v>0</v>
          </cell>
          <cell r="E819">
            <v>0</v>
          </cell>
          <cell r="F819">
            <v>0</v>
          </cell>
          <cell r="G819">
            <v>0</v>
          </cell>
          <cell r="H819">
            <v>0</v>
          </cell>
          <cell r="I819">
            <v>0</v>
          </cell>
          <cell r="J819">
            <v>0</v>
          </cell>
        </row>
        <row r="820">
          <cell r="B820" t="str">
            <v>4-6920</v>
          </cell>
          <cell r="C820" t="str">
            <v>Bantuan</v>
          </cell>
          <cell r="D820">
            <v>0</v>
          </cell>
          <cell r="E820">
            <v>0</v>
          </cell>
          <cell r="F820">
            <v>0</v>
          </cell>
          <cell r="G820">
            <v>0</v>
          </cell>
          <cell r="H820">
            <v>0</v>
          </cell>
          <cell r="I820">
            <v>0</v>
          </cell>
          <cell r="J820">
            <v>0</v>
          </cell>
        </row>
        <row r="821">
          <cell r="B821" t="str">
            <v>4-6921</v>
          </cell>
          <cell r="C821" t="str">
            <v>Pengembalian Bantuan</v>
          </cell>
          <cell r="D821">
            <v>0</v>
          </cell>
          <cell r="E821">
            <v>0</v>
          </cell>
          <cell r="F821">
            <v>0</v>
          </cell>
          <cell r="G821">
            <v>0</v>
          </cell>
          <cell r="H821">
            <v>0</v>
          </cell>
          <cell r="I821">
            <v>0</v>
          </cell>
          <cell r="J821">
            <v>0</v>
          </cell>
        </row>
        <row r="822">
          <cell r="B822" t="str">
            <v>4-6930</v>
          </cell>
          <cell r="C822" t="str">
            <v>Penjualan dan Jasa</v>
          </cell>
          <cell r="D822">
            <v>0</v>
          </cell>
          <cell r="E822">
            <v>0</v>
          </cell>
          <cell r="F822">
            <v>0</v>
          </cell>
          <cell r="G822">
            <v>0</v>
          </cell>
          <cell r="H822">
            <v>0</v>
          </cell>
          <cell r="I822">
            <v>0</v>
          </cell>
          <cell r="J822">
            <v>0</v>
          </cell>
        </row>
        <row r="823">
          <cell r="B823" t="str">
            <v>4-6931</v>
          </cell>
          <cell r="C823" t="str">
            <v>Discount Education</v>
          </cell>
          <cell r="D823">
            <v>147550000</v>
          </cell>
          <cell r="E823">
            <v>0</v>
          </cell>
          <cell r="F823">
            <v>34050000</v>
          </cell>
          <cell r="G823">
            <v>0</v>
          </cell>
          <cell r="H823">
            <v>34050000</v>
          </cell>
          <cell r="I823">
            <v>181600000</v>
          </cell>
          <cell r="J823">
            <v>0</v>
          </cell>
        </row>
        <row r="824">
          <cell r="B824" t="str">
            <v>4-6932</v>
          </cell>
          <cell r="C824" t="str">
            <v>Discount service</v>
          </cell>
          <cell r="D824">
            <v>0</v>
          </cell>
          <cell r="E824">
            <v>0</v>
          </cell>
          <cell r="F824">
            <v>0</v>
          </cell>
          <cell r="G824">
            <v>0</v>
          </cell>
          <cell r="H824">
            <v>0</v>
          </cell>
          <cell r="I824">
            <v>0</v>
          </cell>
          <cell r="J824">
            <v>0</v>
          </cell>
        </row>
        <row r="825">
          <cell r="B825" t="str">
            <v>4-9999</v>
          </cell>
          <cell r="C825" t="str">
            <v>Miscellaneous Income</v>
          </cell>
          <cell r="D825">
            <v>0</v>
          </cell>
          <cell r="E825">
            <v>0</v>
          </cell>
          <cell r="F825">
            <v>0</v>
          </cell>
          <cell r="G825">
            <v>0</v>
          </cell>
          <cell r="H825">
            <v>0</v>
          </cell>
          <cell r="I825">
            <v>0</v>
          </cell>
          <cell r="J825">
            <v>0</v>
          </cell>
        </row>
        <row r="826">
          <cell r="B826" t="str">
            <v>5-1110</v>
          </cell>
          <cell r="C826" t="str">
            <v>Personal  - Gaji</v>
          </cell>
          <cell r="D826">
            <v>0</v>
          </cell>
          <cell r="E826">
            <v>0</v>
          </cell>
          <cell r="F826">
            <v>0</v>
          </cell>
          <cell r="G826">
            <v>0</v>
          </cell>
          <cell r="H826">
            <v>0</v>
          </cell>
          <cell r="I826">
            <v>0</v>
          </cell>
          <cell r="J826">
            <v>0</v>
          </cell>
        </row>
        <row r="827">
          <cell r="B827" t="str">
            <v>5-1111</v>
          </cell>
          <cell r="C827" t="str">
            <v>Permanent Teacher Salary</v>
          </cell>
          <cell r="D827">
            <v>22410586</v>
          </cell>
          <cell r="E827">
            <v>0</v>
          </cell>
          <cell r="F827">
            <v>23779923</v>
          </cell>
          <cell r="G827">
            <v>0</v>
          </cell>
          <cell r="H827">
            <v>23779923</v>
          </cell>
          <cell r="I827">
            <v>46190509</v>
          </cell>
          <cell r="J827">
            <v>0</v>
          </cell>
        </row>
        <row r="828">
          <cell r="B828" t="str">
            <v>5-1112</v>
          </cell>
          <cell r="C828" t="str">
            <v>Temporary Teacher Salary</v>
          </cell>
          <cell r="D828">
            <v>0</v>
          </cell>
          <cell r="E828">
            <v>0</v>
          </cell>
          <cell r="F828">
            <v>0</v>
          </cell>
          <cell r="G828">
            <v>0</v>
          </cell>
          <cell r="H828">
            <v>0</v>
          </cell>
          <cell r="I828">
            <v>0</v>
          </cell>
          <cell r="J828">
            <v>0</v>
          </cell>
        </row>
        <row r="829">
          <cell r="B829" t="str">
            <v>5-1113</v>
          </cell>
          <cell r="C829" t="str">
            <v>Permanent Staff Salary</v>
          </cell>
          <cell r="D829">
            <v>6691931</v>
          </cell>
          <cell r="E829">
            <v>0</v>
          </cell>
          <cell r="F829">
            <v>6682967</v>
          </cell>
          <cell r="G829">
            <v>0</v>
          </cell>
          <cell r="H829">
            <v>6682967</v>
          </cell>
          <cell r="I829">
            <v>13374898</v>
          </cell>
          <cell r="J829">
            <v>0</v>
          </cell>
        </row>
        <row r="830">
          <cell r="B830" t="str">
            <v>5-1114</v>
          </cell>
          <cell r="C830" t="str">
            <v>Temporary Staff Salary</v>
          </cell>
          <cell r="D830">
            <v>0</v>
          </cell>
          <cell r="E830">
            <v>0</v>
          </cell>
          <cell r="F830">
            <v>0</v>
          </cell>
          <cell r="G830">
            <v>0</v>
          </cell>
          <cell r="H830">
            <v>0</v>
          </cell>
          <cell r="I830">
            <v>0</v>
          </cell>
          <cell r="J830">
            <v>0</v>
          </cell>
        </row>
        <row r="831">
          <cell r="B831" t="str">
            <v>5-1115</v>
          </cell>
          <cell r="C831" t="str">
            <v>Honorarium santri khidmah</v>
          </cell>
          <cell r="D831">
            <v>0</v>
          </cell>
          <cell r="E831">
            <v>0</v>
          </cell>
          <cell r="F831">
            <v>0</v>
          </cell>
          <cell r="G831">
            <v>0</v>
          </cell>
          <cell r="H831">
            <v>0</v>
          </cell>
          <cell r="I831">
            <v>0</v>
          </cell>
          <cell r="J831">
            <v>0</v>
          </cell>
        </row>
        <row r="832">
          <cell r="B832" t="str">
            <v>5-1116</v>
          </cell>
          <cell r="C832" t="str">
            <v>Teacher overtime</v>
          </cell>
          <cell r="D832">
            <v>66893</v>
          </cell>
          <cell r="E832">
            <v>0</v>
          </cell>
          <cell r="F832">
            <v>0</v>
          </cell>
          <cell r="G832">
            <v>0</v>
          </cell>
          <cell r="H832">
            <v>0</v>
          </cell>
          <cell r="I832">
            <v>66893</v>
          </cell>
          <cell r="J832">
            <v>0</v>
          </cell>
        </row>
        <row r="833">
          <cell r="B833" t="str">
            <v>5-1117</v>
          </cell>
          <cell r="C833" t="str">
            <v>Staff overtime</v>
          </cell>
          <cell r="D833">
            <v>0</v>
          </cell>
          <cell r="E833">
            <v>0</v>
          </cell>
          <cell r="F833">
            <v>0</v>
          </cell>
          <cell r="G833">
            <v>0</v>
          </cell>
          <cell r="H833">
            <v>0</v>
          </cell>
          <cell r="I833">
            <v>0</v>
          </cell>
          <cell r="J833">
            <v>0</v>
          </cell>
        </row>
        <row r="834">
          <cell r="B834" t="str">
            <v>5-1118</v>
          </cell>
          <cell r="C834" t="str">
            <v>Joint Salary alocation</v>
          </cell>
          <cell r="D834">
            <v>60165</v>
          </cell>
          <cell r="E834">
            <v>0</v>
          </cell>
          <cell r="F834">
            <v>60165</v>
          </cell>
          <cell r="G834">
            <v>0</v>
          </cell>
          <cell r="H834">
            <v>60165</v>
          </cell>
          <cell r="I834">
            <v>120330</v>
          </cell>
          <cell r="J834">
            <v>0</v>
          </cell>
        </row>
        <row r="835">
          <cell r="B835" t="str">
            <v>5-1119</v>
          </cell>
          <cell r="C835" t="str">
            <v>Other Salary</v>
          </cell>
          <cell r="D835">
            <v>0</v>
          </cell>
          <cell r="E835">
            <v>0</v>
          </cell>
          <cell r="F835">
            <v>0</v>
          </cell>
          <cell r="G835">
            <v>0</v>
          </cell>
          <cell r="H835">
            <v>0</v>
          </cell>
          <cell r="I835">
            <v>0</v>
          </cell>
          <cell r="J835">
            <v>0</v>
          </cell>
        </row>
        <row r="836">
          <cell r="B836" t="str">
            <v>5-1120</v>
          </cell>
          <cell r="C836" t="str">
            <v>Personal Allowance</v>
          </cell>
          <cell r="D836">
            <v>0</v>
          </cell>
          <cell r="E836">
            <v>0</v>
          </cell>
          <cell r="F836">
            <v>0</v>
          </cell>
          <cell r="G836">
            <v>0</v>
          </cell>
          <cell r="H836">
            <v>0</v>
          </cell>
          <cell r="I836">
            <v>0</v>
          </cell>
          <cell r="J836">
            <v>0</v>
          </cell>
        </row>
        <row r="837">
          <cell r="B837" t="str">
            <v>5-1121</v>
          </cell>
          <cell r="C837" t="str">
            <v>Allowance of Hulled Rice</v>
          </cell>
          <cell r="D837">
            <v>2193000</v>
          </cell>
          <cell r="E837">
            <v>0</v>
          </cell>
          <cell r="F837">
            <v>2295000</v>
          </cell>
          <cell r="G837">
            <v>0</v>
          </cell>
          <cell r="H837">
            <v>2295000</v>
          </cell>
          <cell r="I837">
            <v>4488000</v>
          </cell>
          <cell r="J837">
            <v>0</v>
          </cell>
        </row>
        <row r="838">
          <cell r="B838" t="str">
            <v>5-1122</v>
          </cell>
          <cell r="C838" t="str">
            <v>Alowance of doctor and medicin</v>
          </cell>
          <cell r="D838">
            <v>146800</v>
          </cell>
          <cell r="E838">
            <v>0</v>
          </cell>
          <cell r="F838">
            <v>877534.05</v>
          </cell>
          <cell r="G838">
            <v>0</v>
          </cell>
          <cell r="H838">
            <v>877534.05</v>
          </cell>
          <cell r="I838">
            <v>1024334.05</v>
          </cell>
          <cell r="J838">
            <v>0</v>
          </cell>
        </row>
        <row r="839">
          <cell r="B839" t="str">
            <v>5-1123</v>
          </cell>
          <cell r="C839" t="str">
            <v>Allowance of Spectacles</v>
          </cell>
          <cell r="D839">
            <v>0</v>
          </cell>
          <cell r="E839">
            <v>0</v>
          </cell>
          <cell r="F839">
            <v>0</v>
          </cell>
          <cell r="G839">
            <v>0</v>
          </cell>
          <cell r="H839">
            <v>0</v>
          </cell>
          <cell r="I839">
            <v>0</v>
          </cell>
          <cell r="J839">
            <v>0</v>
          </cell>
        </row>
        <row r="840">
          <cell r="B840" t="str">
            <v>5-1124</v>
          </cell>
          <cell r="C840" t="str">
            <v>Allowance of operation&amp;hospita</v>
          </cell>
          <cell r="D840">
            <v>0</v>
          </cell>
          <cell r="E840">
            <v>0</v>
          </cell>
          <cell r="F840">
            <v>0</v>
          </cell>
          <cell r="G840">
            <v>0</v>
          </cell>
          <cell r="H840">
            <v>0</v>
          </cell>
          <cell r="I840">
            <v>0</v>
          </cell>
          <cell r="J840">
            <v>0</v>
          </cell>
        </row>
        <row r="841">
          <cell r="B841" t="str">
            <v>5-1125</v>
          </cell>
          <cell r="C841" t="str">
            <v>Allowance of disaster &amp; die</v>
          </cell>
          <cell r="D841">
            <v>0</v>
          </cell>
          <cell r="E841">
            <v>0</v>
          </cell>
          <cell r="F841">
            <v>0</v>
          </cell>
          <cell r="G841">
            <v>0</v>
          </cell>
          <cell r="H841">
            <v>0</v>
          </cell>
          <cell r="I841">
            <v>0</v>
          </cell>
          <cell r="J841">
            <v>0</v>
          </cell>
        </row>
        <row r="842">
          <cell r="B842" t="str">
            <v>5-1126</v>
          </cell>
          <cell r="C842" t="str">
            <v>Allowance of hari raya</v>
          </cell>
          <cell r="D842">
            <v>28853376</v>
          </cell>
          <cell r="E842">
            <v>0</v>
          </cell>
          <cell r="F842">
            <v>0</v>
          </cell>
          <cell r="G842">
            <v>0</v>
          </cell>
          <cell r="H842">
            <v>0</v>
          </cell>
          <cell r="I842">
            <v>28853376</v>
          </cell>
          <cell r="J842">
            <v>0</v>
          </cell>
        </row>
        <row r="843">
          <cell r="B843" t="str">
            <v>5-1127</v>
          </cell>
          <cell r="C843" t="str">
            <v>Allowance of birth</v>
          </cell>
          <cell r="D843">
            <v>0</v>
          </cell>
          <cell r="E843">
            <v>0</v>
          </cell>
          <cell r="F843">
            <v>0</v>
          </cell>
          <cell r="G843">
            <v>0</v>
          </cell>
          <cell r="H843">
            <v>0</v>
          </cell>
          <cell r="I843">
            <v>0</v>
          </cell>
          <cell r="J843">
            <v>0</v>
          </cell>
        </row>
        <row r="844">
          <cell r="B844" t="str">
            <v>5-1128</v>
          </cell>
          <cell r="C844" t="str">
            <v>Allowance of married</v>
          </cell>
          <cell r="D844">
            <v>0</v>
          </cell>
          <cell r="E844">
            <v>0</v>
          </cell>
          <cell r="F844">
            <v>0</v>
          </cell>
          <cell r="G844">
            <v>0</v>
          </cell>
          <cell r="H844">
            <v>0</v>
          </cell>
          <cell r="I844">
            <v>0</v>
          </cell>
          <cell r="J844">
            <v>0</v>
          </cell>
        </row>
        <row r="845">
          <cell r="B845" t="str">
            <v>5-1129</v>
          </cell>
          <cell r="C845" t="str">
            <v>Allowance of house rent&amp;others</v>
          </cell>
          <cell r="D845">
            <v>0</v>
          </cell>
          <cell r="E845">
            <v>0</v>
          </cell>
          <cell r="F845">
            <v>0</v>
          </cell>
          <cell r="G845">
            <v>0</v>
          </cell>
          <cell r="H845">
            <v>0</v>
          </cell>
          <cell r="I845">
            <v>0</v>
          </cell>
          <cell r="J845">
            <v>0</v>
          </cell>
        </row>
        <row r="846">
          <cell r="B846" t="str">
            <v>5-1130</v>
          </cell>
          <cell r="C846" t="str">
            <v>Office</v>
          </cell>
          <cell r="D846">
            <v>0</v>
          </cell>
          <cell r="E846">
            <v>0</v>
          </cell>
          <cell r="F846">
            <v>0</v>
          </cell>
          <cell r="G846">
            <v>0</v>
          </cell>
          <cell r="H846">
            <v>0</v>
          </cell>
          <cell r="I846">
            <v>0</v>
          </cell>
          <cell r="J846">
            <v>0</v>
          </cell>
        </row>
        <row r="847">
          <cell r="B847" t="str">
            <v>5-1131</v>
          </cell>
          <cell r="C847" t="str">
            <v>Stationary papers</v>
          </cell>
          <cell r="D847">
            <v>0</v>
          </cell>
          <cell r="E847">
            <v>0</v>
          </cell>
          <cell r="F847">
            <v>296253.52</v>
          </cell>
          <cell r="G847">
            <v>0</v>
          </cell>
          <cell r="H847">
            <v>296253.52</v>
          </cell>
          <cell r="I847">
            <v>296253.52</v>
          </cell>
          <cell r="J847">
            <v>0</v>
          </cell>
        </row>
        <row r="848">
          <cell r="B848" t="str">
            <v>5-1132</v>
          </cell>
          <cell r="C848" t="str">
            <v>Stationary written toolls</v>
          </cell>
          <cell r="D848" t="str">
            <v>0.00cr</v>
          </cell>
          <cell r="E848">
            <v>0</v>
          </cell>
          <cell r="F848">
            <v>221960.95</v>
          </cell>
          <cell r="G848">
            <v>0</v>
          </cell>
          <cell r="H848">
            <v>221960.95</v>
          </cell>
          <cell r="I848">
            <v>221960.95</v>
          </cell>
          <cell r="J848">
            <v>0</v>
          </cell>
        </row>
        <row r="849">
          <cell r="B849" t="str">
            <v>5-1133</v>
          </cell>
          <cell r="C849" t="str">
            <v>Stationary ink</v>
          </cell>
          <cell r="D849">
            <v>150000</v>
          </cell>
          <cell r="E849">
            <v>0</v>
          </cell>
          <cell r="F849">
            <v>144156.17000000001</v>
          </cell>
          <cell r="G849">
            <v>0</v>
          </cell>
          <cell r="H849">
            <v>144156.17000000001</v>
          </cell>
          <cell r="I849">
            <v>294156.17</v>
          </cell>
          <cell r="J849">
            <v>0</v>
          </cell>
        </row>
        <row r="850">
          <cell r="B850" t="str">
            <v>5-1134</v>
          </cell>
          <cell r="C850" t="str">
            <v>Stationary Others</v>
          </cell>
          <cell r="D850">
            <v>0</v>
          </cell>
          <cell r="E850">
            <v>0</v>
          </cell>
          <cell r="F850">
            <v>0</v>
          </cell>
          <cell r="G850">
            <v>0</v>
          </cell>
          <cell r="H850">
            <v>0</v>
          </cell>
          <cell r="I850">
            <v>0</v>
          </cell>
          <cell r="J850">
            <v>0</v>
          </cell>
        </row>
        <row r="851">
          <cell r="B851" t="str">
            <v>5-1135</v>
          </cell>
          <cell r="C851" t="str">
            <v>Consumptions</v>
          </cell>
          <cell r="D851">
            <v>0</v>
          </cell>
          <cell r="E851">
            <v>0</v>
          </cell>
          <cell r="F851">
            <v>270000</v>
          </cell>
          <cell r="G851">
            <v>0</v>
          </cell>
          <cell r="H851">
            <v>270000</v>
          </cell>
          <cell r="I851">
            <v>270000</v>
          </cell>
          <cell r="J851">
            <v>0</v>
          </cell>
        </row>
        <row r="852">
          <cell r="B852" t="str">
            <v>5-1136</v>
          </cell>
          <cell r="C852" t="str">
            <v>Foto copy &amp; printing</v>
          </cell>
          <cell r="D852">
            <v>43000</v>
          </cell>
          <cell r="E852">
            <v>0</v>
          </cell>
          <cell r="F852">
            <v>2682600</v>
          </cell>
          <cell r="G852">
            <v>0</v>
          </cell>
          <cell r="H852">
            <v>2682600</v>
          </cell>
          <cell r="I852">
            <v>2725600</v>
          </cell>
          <cell r="J852">
            <v>0</v>
          </cell>
        </row>
        <row r="853">
          <cell r="B853" t="str">
            <v>5-1137</v>
          </cell>
          <cell r="C853" t="str">
            <v>Office Suplies</v>
          </cell>
          <cell r="D853">
            <v>0</v>
          </cell>
          <cell r="E853">
            <v>0</v>
          </cell>
          <cell r="F853">
            <v>163500</v>
          </cell>
          <cell r="G853">
            <v>0</v>
          </cell>
          <cell r="H853">
            <v>163500</v>
          </cell>
          <cell r="I853">
            <v>163500</v>
          </cell>
          <cell r="J853">
            <v>0</v>
          </cell>
        </row>
        <row r="854">
          <cell r="B854" t="str">
            <v>5-1138</v>
          </cell>
          <cell r="C854" t="str">
            <v>New Account</v>
          </cell>
          <cell r="D854">
            <v>0</v>
          </cell>
          <cell r="E854">
            <v>0</v>
          </cell>
          <cell r="F854">
            <v>0</v>
          </cell>
          <cell r="G854">
            <v>0</v>
          </cell>
          <cell r="H854">
            <v>0</v>
          </cell>
          <cell r="I854">
            <v>0</v>
          </cell>
          <cell r="J854">
            <v>0</v>
          </cell>
        </row>
        <row r="855">
          <cell r="B855" t="str">
            <v>5-1140</v>
          </cell>
          <cell r="C855" t="str">
            <v>Transportation&amp;Telecomunicatio</v>
          </cell>
          <cell r="D855">
            <v>0</v>
          </cell>
          <cell r="E855">
            <v>0</v>
          </cell>
          <cell r="F855">
            <v>0</v>
          </cell>
          <cell r="G855">
            <v>0</v>
          </cell>
          <cell r="H855">
            <v>0</v>
          </cell>
          <cell r="I855">
            <v>0</v>
          </cell>
          <cell r="J855">
            <v>0</v>
          </cell>
        </row>
        <row r="856">
          <cell r="B856" t="str">
            <v>5-1141</v>
          </cell>
          <cell r="C856" t="str">
            <v>Mail &amp; Shipment</v>
          </cell>
          <cell r="D856">
            <v>24000</v>
          </cell>
          <cell r="E856">
            <v>0</v>
          </cell>
          <cell r="F856">
            <v>11200</v>
          </cell>
          <cell r="G856">
            <v>0</v>
          </cell>
          <cell r="H856">
            <v>11200</v>
          </cell>
          <cell r="I856">
            <v>35200</v>
          </cell>
          <cell r="J856">
            <v>0</v>
          </cell>
        </row>
        <row r="857">
          <cell r="B857" t="str">
            <v>5-1142</v>
          </cell>
          <cell r="C857" t="str">
            <v>Telephone</v>
          </cell>
          <cell r="D857">
            <v>0</v>
          </cell>
          <cell r="E857">
            <v>0</v>
          </cell>
          <cell r="F857">
            <v>0</v>
          </cell>
          <cell r="G857">
            <v>0</v>
          </cell>
          <cell r="H857">
            <v>0</v>
          </cell>
          <cell r="I857">
            <v>0</v>
          </cell>
          <cell r="J857">
            <v>0</v>
          </cell>
        </row>
        <row r="858">
          <cell r="B858" t="str">
            <v>5-1143</v>
          </cell>
          <cell r="C858" t="str">
            <v>Fuel</v>
          </cell>
          <cell r="D858">
            <v>125000</v>
          </cell>
          <cell r="E858">
            <v>0</v>
          </cell>
          <cell r="F858">
            <v>407000</v>
          </cell>
          <cell r="G858">
            <v>0</v>
          </cell>
          <cell r="H858">
            <v>407000</v>
          </cell>
          <cell r="I858">
            <v>532000</v>
          </cell>
          <cell r="J858">
            <v>0</v>
          </cell>
        </row>
        <row r="859">
          <cell r="B859" t="str">
            <v>5-1144</v>
          </cell>
          <cell r="C859" t="str">
            <v>Accommodations</v>
          </cell>
          <cell r="D859">
            <v>30000</v>
          </cell>
          <cell r="E859">
            <v>0</v>
          </cell>
          <cell r="F859">
            <v>0</v>
          </cell>
          <cell r="G859">
            <v>0</v>
          </cell>
          <cell r="H859">
            <v>0</v>
          </cell>
          <cell r="I859">
            <v>30000</v>
          </cell>
          <cell r="J859">
            <v>0</v>
          </cell>
        </row>
        <row r="860">
          <cell r="B860" t="str">
            <v>5-1145</v>
          </cell>
          <cell r="C860" t="str">
            <v>Public Transportation</v>
          </cell>
          <cell r="D860">
            <v>0</v>
          </cell>
          <cell r="E860">
            <v>0</v>
          </cell>
          <cell r="F860">
            <v>0</v>
          </cell>
          <cell r="G860">
            <v>0</v>
          </cell>
          <cell r="H860">
            <v>0</v>
          </cell>
          <cell r="I860">
            <v>0</v>
          </cell>
          <cell r="J860">
            <v>0</v>
          </cell>
        </row>
        <row r="861">
          <cell r="B861" t="str">
            <v>5-1146</v>
          </cell>
          <cell r="C861" t="str">
            <v>Joint Transportation Allocatio</v>
          </cell>
          <cell r="D861">
            <v>0</v>
          </cell>
          <cell r="E861">
            <v>0</v>
          </cell>
          <cell r="F861">
            <v>0</v>
          </cell>
          <cell r="G861">
            <v>0</v>
          </cell>
          <cell r="H861">
            <v>0</v>
          </cell>
          <cell r="I861">
            <v>0</v>
          </cell>
          <cell r="J861">
            <v>0</v>
          </cell>
        </row>
        <row r="862">
          <cell r="B862" t="str">
            <v>5-1150</v>
          </cell>
          <cell r="C862" t="str">
            <v>Perbaikan &amp; pemeliharan</v>
          </cell>
          <cell r="D862">
            <v>0</v>
          </cell>
          <cell r="E862">
            <v>0</v>
          </cell>
          <cell r="F862">
            <v>0</v>
          </cell>
          <cell r="G862">
            <v>0</v>
          </cell>
          <cell r="H862">
            <v>0</v>
          </cell>
          <cell r="I862">
            <v>0</v>
          </cell>
          <cell r="J862">
            <v>0</v>
          </cell>
        </row>
        <row r="863">
          <cell r="B863" t="str">
            <v>5-1151</v>
          </cell>
          <cell r="C863" t="str">
            <v>R &amp; M - Computer &amp; audio visua</v>
          </cell>
          <cell r="D863">
            <v>0</v>
          </cell>
          <cell r="E863">
            <v>0</v>
          </cell>
          <cell r="F863">
            <v>0</v>
          </cell>
          <cell r="G863">
            <v>0</v>
          </cell>
          <cell r="H863">
            <v>0</v>
          </cell>
          <cell r="I863">
            <v>0</v>
          </cell>
          <cell r="J863">
            <v>0</v>
          </cell>
        </row>
        <row r="864">
          <cell r="B864" t="str">
            <v>5-1152</v>
          </cell>
          <cell r="C864" t="str">
            <v>R &amp; M - Telephone &amp; Faxs</v>
          </cell>
          <cell r="D864">
            <v>0</v>
          </cell>
          <cell r="E864">
            <v>0</v>
          </cell>
          <cell r="F864">
            <v>0</v>
          </cell>
          <cell r="G864">
            <v>0</v>
          </cell>
          <cell r="H864">
            <v>0</v>
          </cell>
          <cell r="I864">
            <v>0</v>
          </cell>
          <cell r="J864">
            <v>0</v>
          </cell>
        </row>
        <row r="865">
          <cell r="B865" t="str">
            <v>5-1153</v>
          </cell>
          <cell r="C865" t="str">
            <v>R &amp; M - Office Eqiupment</v>
          </cell>
          <cell r="D865">
            <v>0</v>
          </cell>
          <cell r="E865">
            <v>0</v>
          </cell>
          <cell r="F865">
            <v>0</v>
          </cell>
          <cell r="G865">
            <v>0</v>
          </cell>
          <cell r="H865">
            <v>0</v>
          </cell>
          <cell r="I865">
            <v>0</v>
          </cell>
          <cell r="J865">
            <v>0</v>
          </cell>
        </row>
        <row r="866">
          <cell r="B866" t="str">
            <v>5-1154</v>
          </cell>
          <cell r="C866" t="str">
            <v>R &amp; M - Teaching Eqiupment</v>
          </cell>
          <cell r="D866">
            <v>0</v>
          </cell>
          <cell r="E866">
            <v>0</v>
          </cell>
          <cell r="F866">
            <v>0</v>
          </cell>
          <cell r="G866">
            <v>0</v>
          </cell>
          <cell r="H866">
            <v>0</v>
          </cell>
          <cell r="I866">
            <v>0</v>
          </cell>
          <cell r="J866">
            <v>0</v>
          </cell>
        </row>
        <row r="867">
          <cell r="B867" t="str">
            <v>5-1155</v>
          </cell>
          <cell r="C867" t="str">
            <v>R &amp; M - Others Eqiupment</v>
          </cell>
          <cell r="D867">
            <v>0</v>
          </cell>
          <cell r="E867">
            <v>0</v>
          </cell>
          <cell r="F867">
            <v>0</v>
          </cell>
          <cell r="G867">
            <v>0</v>
          </cell>
          <cell r="H867">
            <v>0</v>
          </cell>
          <cell r="I867">
            <v>0</v>
          </cell>
          <cell r="J867">
            <v>0</v>
          </cell>
        </row>
        <row r="868">
          <cell r="B868" t="str">
            <v>5-1156</v>
          </cell>
          <cell r="C868" t="str">
            <v>R &amp; M - Table &amp; Chairs</v>
          </cell>
          <cell r="D868">
            <v>0</v>
          </cell>
          <cell r="E868">
            <v>0</v>
          </cell>
          <cell r="F868">
            <v>0</v>
          </cell>
          <cell r="G868">
            <v>0</v>
          </cell>
          <cell r="H868">
            <v>0</v>
          </cell>
          <cell r="I868">
            <v>0</v>
          </cell>
          <cell r="J868">
            <v>0</v>
          </cell>
        </row>
        <row r="869">
          <cell r="B869" t="str">
            <v>5-1157</v>
          </cell>
          <cell r="C869" t="str">
            <v>R &amp; M - Cupboard &amp; Rack</v>
          </cell>
          <cell r="D869">
            <v>0</v>
          </cell>
          <cell r="E869">
            <v>0</v>
          </cell>
          <cell r="F869">
            <v>0</v>
          </cell>
          <cell r="G869">
            <v>0</v>
          </cell>
          <cell r="H869">
            <v>0</v>
          </cell>
          <cell r="I869">
            <v>0</v>
          </cell>
          <cell r="J869">
            <v>0</v>
          </cell>
        </row>
        <row r="870">
          <cell r="B870" t="str">
            <v>5-1158</v>
          </cell>
          <cell r="C870" t="str">
            <v>R &amp; M - Other Furniture</v>
          </cell>
          <cell r="D870">
            <v>0</v>
          </cell>
          <cell r="E870">
            <v>0</v>
          </cell>
          <cell r="F870">
            <v>0</v>
          </cell>
          <cell r="G870">
            <v>0</v>
          </cell>
          <cell r="H870">
            <v>0</v>
          </cell>
          <cell r="I870">
            <v>0</v>
          </cell>
          <cell r="J870">
            <v>0</v>
          </cell>
        </row>
        <row r="871">
          <cell r="B871" t="str">
            <v>5-1159</v>
          </cell>
          <cell r="C871" t="str">
            <v>Others</v>
          </cell>
          <cell r="D871">
            <v>0</v>
          </cell>
          <cell r="E871">
            <v>0</v>
          </cell>
          <cell r="F871">
            <v>0</v>
          </cell>
          <cell r="G871">
            <v>0</v>
          </cell>
          <cell r="H871">
            <v>0</v>
          </cell>
          <cell r="I871">
            <v>0</v>
          </cell>
          <cell r="J871">
            <v>0</v>
          </cell>
        </row>
        <row r="872">
          <cell r="B872" t="str">
            <v>5-1160</v>
          </cell>
          <cell r="C872" t="str">
            <v>Media Pembelajaran</v>
          </cell>
          <cell r="D872">
            <v>0</v>
          </cell>
          <cell r="E872">
            <v>0</v>
          </cell>
          <cell r="F872">
            <v>0</v>
          </cell>
          <cell r="G872">
            <v>0</v>
          </cell>
          <cell r="H872">
            <v>0</v>
          </cell>
          <cell r="I872">
            <v>0</v>
          </cell>
          <cell r="J872">
            <v>0</v>
          </cell>
        </row>
        <row r="873">
          <cell r="B873" t="str">
            <v>5-1161</v>
          </cell>
          <cell r="C873" t="str">
            <v>Bahan Praktikum</v>
          </cell>
          <cell r="D873">
            <v>0</v>
          </cell>
          <cell r="E873">
            <v>0</v>
          </cell>
          <cell r="F873">
            <v>0</v>
          </cell>
          <cell r="G873">
            <v>0</v>
          </cell>
          <cell r="H873">
            <v>0</v>
          </cell>
          <cell r="I873">
            <v>0</v>
          </cell>
          <cell r="J873">
            <v>0</v>
          </cell>
        </row>
        <row r="874">
          <cell r="B874" t="str">
            <v>5-1162</v>
          </cell>
          <cell r="C874" t="str">
            <v>Alat Peraga</v>
          </cell>
          <cell r="D874">
            <v>0</v>
          </cell>
          <cell r="E874">
            <v>0</v>
          </cell>
          <cell r="F874">
            <v>0</v>
          </cell>
          <cell r="G874">
            <v>0</v>
          </cell>
          <cell r="H874">
            <v>0</v>
          </cell>
          <cell r="I874">
            <v>0</v>
          </cell>
          <cell r="J874">
            <v>0</v>
          </cell>
        </row>
        <row r="875">
          <cell r="B875" t="str">
            <v>5-1163</v>
          </cell>
          <cell r="C875" t="str">
            <v>Buku Panduan</v>
          </cell>
          <cell r="D875">
            <v>0</v>
          </cell>
          <cell r="E875">
            <v>0</v>
          </cell>
          <cell r="F875">
            <v>200000</v>
          </cell>
          <cell r="G875">
            <v>0</v>
          </cell>
          <cell r="H875">
            <v>200000</v>
          </cell>
          <cell r="I875">
            <v>200000</v>
          </cell>
          <cell r="J875">
            <v>0</v>
          </cell>
        </row>
        <row r="876">
          <cell r="B876" t="str">
            <v>5-1164</v>
          </cell>
          <cell r="C876" t="str">
            <v>CD Pembelajaran</v>
          </cell>
          <cell r="D876">
            <v>0</v>
          </cell>
          <cell r="E876">
            <v>0</v>
          </cell>
          <cell r="F876">
            <v>0</v>
          </cell>
          <cell r="G876">
            <v>0</v>
          </cell>
          <cell r="H876">
            <v>0</v>
          </cell>
          <cell r="I876">
            <v>0</v>
          </cell>
          <cell r="J876">
            <v>0</v>
          </cell>
        </row>
        <row r="877">
          <cell r="B877" t="str">
            <v>5-1165</v>
          </cell>
          <cell r="C877" t="str">
            <v>Perlengkapan olah raga</v>
          </cell>
          <cell r="D877">
            <v>0</v>
          </cell>
          <cell r="E877">
            <v>0</v>
          </cell>
          <cell r="F877">
            <v>420000</v>
          </cell>
          <cell r="G877">
            <v>0</v>
          </cell>
          <cell r="H877">
            <v>420000</v>
          </cell>
          <cell r="I877">
            <v>420000</v>
          </cell>
          <cell r="J877">
            <v>0</v>
          </cell>
        </row>
        <row r="878">
          <cell r="B878" t="str">
            <v>5-1166</v>
          </cell>
          <cell r="C878" t="str">
            <v>Perlengkapan lab Sains</v>
          </cell>
          <cell r="D878">
            <v>0</v>
          </cell>
          <cell r="E878">
            <v>0</v>
          </cell>
          <cell r="F878">
            <v>0</v>
          </cell>
          <cell r="G878">
            <v>0</v>
          </cell>
          <cell r="H878">
            <v>0</v>
          </cell>
          <cell r="I878">
            <v>0</v>
          </cell>
          <cell r="J878">
            <v>0</v>
          </cell>
        </row>
        <row r="879">
          <cell r="B879" t="str">
            <v>5-1167</v>
          </cell>
          <cell r="C879" t="str">
            <v>Perlengkapan Lab Komputer</v>
          </cell>
          <cell r="D879">
            <v>0</v>
          </cell>
          <cell r="E879">
            <v>0</v>
          </cell>
          <cell r="F879">
            <v>0</v>
          </cell>
          <cell r="G879">
            <v>0</v>
          </cell>
          <cell r="H879">
            <v>0</v>
          </cell>
          <cell r="I879">
            <v>0</v>
          </cell>
          <cell r="J879">
            <v>0</v>
          </cell>
        </row>
        <row r="880">
          <cell r="B880" t="str">
            <v>5-1168</v>
          </cell>
          <cell r="C880" t="str">
            <v>Perlengkapan kelas</v>
          </cell>
          <cell r="D880">
            <v>0</v>
          </cell>
          <cell r="E880">
            <v>0</v>
          </cell>
          <cell r="F880">
            <v>0</v>
          </cell>
          <cell r="G880">
            <v>0</v>
          </cell>
          <cell r="H880">
            <v>0</v>
          </cell>
          <cell r="I880">
            <v>0</v>
          </cell>
          <cell r="J880">
            <v>0</v>
          </cell>
        </row>
        <row r="881">
          <cell r="B881" t="str">
            <v>5-1169</v>
          </cell>
          <cell r="C881" t="str">
            <v>Others</v>
          </cell>
          <cell r="D881">
            <v>0</v>
          </cell>
          <cell r="E881">
            <v>0</v>
          </cell>
          <cell r="F881">
            <v>0</v>
          </cell>
          <cell r="G881">
            <v>0</v>
          </cell>
          <cell r="H881">
            <v>0</v>
          </cell>
          <cell r="I881">
            <v>0</v>
          </cell>
          <cell r="J881">
            <v>0</v>
          </cell>
        </row>
        <row r="882">
          <cell r="B882" t="str">
            <v>5-1170</v>
          </cell>
          <cell r="C882" t="str">
            <v>Pengayaan &amp; Ujian</v>
          </cell>
          <cell r="D882">
            <v>0</v>
          </cell>
          <cell r="E882">
            <v>0</v>
          </cell>
          <cell r="F882">
            <v>0</v>
          </cell>
          <cell r="G882">
            <v>0</v>
          </cell>
          <cell r="H882">
            <v>0</v>
          </cell>
          <cell r="I882">
            <v>0</v>
          </cell>
          <cell r="J882">
            <v>0</v>
          </cell>
        </row>
        <row r="883">
          <cell r="B883" t="str">
            <v>5-1171</v>
          </cell>
          <cell r="C883" t="str">
            <v>Penggandaan materi pengayaan</v>
          </cell>
          <cell r="D883">
            <v>0</v>
          </cell>
          <cell r="E883">
            <v>0</v>
          </cell>
          <cell r="F883">
            <v>103000</v>
          </cell>
          <cell r="G883">
            <v>0</v>
          </cell>
          <cell r="H883">
            <v>103000</v>
          </cell>
          <cell r="I883">
            <v>103000</v>
          </cell>
          <cell r="J883">
            <v>0</v>
          </cell>
        </row>
        <row r="884">
          <cell r="B884" t="str">
            <v>5-1172</v>
          </cell>
          <cell r="C884" t="str">
            <v>Try out</v>
          </cell>
          <cell r="D884">
            <v>0</v>
          </cell>
          <cell r="E884">
            <v>0</v>
          </cell>
          <cell r="F884">
            <v>0</v>
          </cell>
          <cell r="G884">
            <v>0</v>
          </cell>
          <cell r="H884">
            <v>0</v>
          </cell>
          <cell r="I884">
            <v>0</v>
          </cell>
          <cell r="J884">
            <v>0</v>
          </cell>
        </row>
        <row r="885">
          <cell r="B885" t="str">
            <v>5-1173</v>
          </cell>
          <cell r="C885" t="str">
            <v>Penggandaan soal ujian</v>
          </cell>
          <cell r="D885">
            <v>0</v>
          </cell>
          <cell r="E885">
            <v>0</v>
          </cell>
          <cell r="F885">
            <v>0</v>
          </cell>
          <cell r="G885">
            <v>0</v>
          </cell>
          <cell r="H885">
            <v>0</v>
          </cell>
          <cell r="I885">
            <v>0</v>
          </cell>
          <cell r="J885">
            <v>0</v>
          </cell>
        </row>
        <row r="886">
          <cell r="B886" t="str">
            <v>5-1174</v>
          </cell>
          <cell r="C886" t="str">
            <v>Consumption</v>
          </cell>
          <cell r="D886">
            <v>0</v>
          </cell>
          <cell r="E886">
            <v>0</v>
          </cell>
          <cell r="F886">
            <v>1200000</v>
          </cell>
          <cell r="G886">
            <v>0</v>
          </cell>
          <cell r="H886">
            <v>1200000</v>
          </cell>
          <cell r="I886">
            <v>1200000</v>
          </cell>
          <cell r="J886">
            <v>0</v>
          </cell>
        </row>
        <row r="887">
          <cell r="B887" t="str">
            <v>5-1175</v>
          </cell>
          <cell r="C887" t="str">
            <v>Stationary</v>
          </cell>
          <cell r="D887">
            <v>0</v>
          </cell>
          <cell r="E887">
            <v>0</v>
          </cell>
          <cell r="F887">
            <v>0</v>
          </cell>
          <cell r="G887">
            <v>0</v>
          </cell>
          <cell r="H887">
            <v>0</v>
          </cell>
          <cell r="I887">
            <v>0</v>
          </cell>
          <cell r="J887">
            <v>0</v>
          </cell>
        </row>
        <row r="888">
          <cell r="B888" t="str">
            <v>5-1176</v>
          </cell>
          <cell r="C888" t="str">
            <v>Perlengkapan</v>
          </cell>
          <cell r="D888">
            <v>0</v>
          </cell>
          <cell r="E888">
            <v>0</v>
          </cell>
          <cell r="F888">
            <v>0</v>
          </cell>
          <cell r="G888">
            <v>0</v>
          </cell>
          <cell r="H888">
            <v>0</v>
          </cell>
          <cell r="I888">
            <v>0</v>
          </cell>
          <cell r="J888">
            <v>0</v>
          </cell>
        </row>
        <row r="889">
          <cell r="B889" t="str">
            <v>5-1177</v>
          </cell>
          <cell r="C889" t="str">
            <v>Transportation</v>
          </cell>
          <cell r="D889">
            <v>0</v>
          </cell>
          <cell r="E889">
            <v>0</v>
          </cell>
          <cell r="F889">
            <v>0</v>
          </cell>
          <cell r="G889">
            <v>0</v>
          </cell>
          <cell r="H889">
            <v>0</v>
          </cell>
          <cell r="I889">
            <v>0</v>
          </cell>
          <cell r="J889">
            <v>0</v>
          </cell>
        </row>
        <row r="890">
          <cell r="B890" t="str">
            <v>5-1180</v>
          </cell>
          <cell r="C890" t="str">
            <v>New Account</v>
          </cell>
          <cell r="D890">
            <v>0</v>
          </cell>
          <cell r="E890">
            <v>0</v>
          </cell>
          <cell r="F890">
            <v>0</v>
          </cell>
          <cell r="G890">
            <v>0</v>
          </cell>
          <cell r="H890">
            <v>0</v>
          </cell>
          <cell r="I890">
            <v>0</v>
          </cell>
          <cell r="J890">
            <v>0</v>
          </cell>
        </row>
        <row r="891">
          <cell r="B891" t="str">
            <v>5-1190</v>
          </cell>
          <cell r="C891" t="str">
            <v>Lain-lain</v>
          </cell>
          <cell r="D891">
            <v>0</v>
          </cell>
          <cell r="E891">
            <v>0</v>
          </cell>
          <cell r="F891">
            <v>0</v>
          </cell>
          <cell r="G891">
            <v>0</v>
          </cell>
          <cell r="H891">
            <v>0</v>
          </cell>
          <cell r="I891">
            <v>0</v>
          </cell>
          <cell r="J891">
            <v>0</v>
          </cell>
        </row>
        <row r="892">
          <cell r="B892" t="str">
            <v>5-1191</v>
          </cell>
          <cell r="C892" t="str">
            <v>Kegiatan rapat</v>
          </cell>
          <cell r="D892">
            <v>0</v>
          </cell>
          <cell r="E892">
            <v>0</v>
          </cell>
          <cell r="F892">
            <v>320000</v>
          </cell>
          <cell r="G892">
            <v>0</v>
          </cell>
          <cell r="H892">
            <v>320000</v>
          </cell>
          <cell r="I892">
            <v>320000</v>
          </cell>
          <cell r="J892">
            <v>0</v>
          </cell>
        </row>
        <row r="893">
          <cell r="B893" t="str">
            <v>5-1192</v>
          </cell>
          <cell r="C893" t="str">
            <v>Study Banding,Rihlah,outbon</v>
          </cell>
          <cell r="D893">
            <v>0</v>
          </cell>
          <cell r="E893">
            <v>0</v>
          </cell>
          <cell r="F893">
            <v>0</v>
          </cell>
          <cell r="G893">
            <v>0</v>
          </cell>
          <cell r="H893">
            <v>0</v>
          </cell>
          <cell r="I893">
            <v>0</v>
          </cell>
          <cell r="J893">
            <v>0</v>
          </cell>
        </row>
        <row r="894">
          <cell r="B894" t="str">
            <v>5-1193</v>
          </cell>
          <cell r="C894" t="str">
            <v>Pelatihan &amp; Workshop</v>
          </cell>
          <cell r="D894">
            <v>0</v>
          </cell>
          <cell r="E894">
            <v>0</v>
          </cell>
          <cell r="F894">
            <v>950000</v>
          </cell>
          <cell r="G894">
            <v>0</v>
          </cell>
          <cell r="H894">
            <v>950000</v>
          </cell>
          <cell r="I894">
            <v>950000</v>
          </cell>
          <cell r="J894">
            <v>0</v>
          </cell>
        </row>
        <row r="895">
          <cell r="B895" t="str">
            <v>5-1194</v>
          </cell>
          <cell r="C895" t="str">
            <v>Iuran kelompok kerja lembaga</v>
          </cell>
          <cell r="D895">
            <v>0</v>
          </cell>
          <cell r="E895">
            <v>0</v>
          </cell>
          <cell r="F895">
            <v>603000</v>
          </cell>
          <cell r="G895">
            <v>0</v>
          </cell>
          <cell r="H895">
            <v>603000</v>
          </cell>
          <cell r="I895">
            <v>603000</v>
          </cell>
          <cell r="J895">
            <v>0</v>
          </cell>
        </row>
        <row r="896">
          <cell r="B896" t="str">
            <v>5-1195</v>
          </cell>
          <cell r="C896" t="str">
            <v>Lomba dan Hadiah Santri</v>
          </cell>
          <cell r="D896">
            <v>0</v>
          </cell>
          <cell r="E896">
            <v>0</v>
          </cell>
          <cell r="F896">
            <v>586600</v>
          </cell>
          <cell r="G896">
            <v>0</v>
          </cell>
          <cell r="H896">
            <v>586600</v>
          </cell>
          <cell r="I896">
            <v>586600</v>
          </cell>
          <cell r="J896">
            <v>0</v>
          </cell>
        </row>
        <row r="897">
          <cell r="B897" t="str">
            <v>5-1196</v>
          </cell>
          <cell r="C897" t="str">
            <v>MOS</v>
          </cell>
          <cell r="D897">
            <v>0</v>
          </cell>
          <cell r="E897">
            <v>0</v>
          </cell>
          <cell r="F897">
            <v>735000</v>
          </cell>
          <cell r="G897">
            <v>0</v>
          </cell>
          <cell r="H897">
            <v>735000</v>
          </cell>
          <cell r="I897">
            <v>735000</v>
          </cell>
          <cell r="J897">
            <v>0</v>
          </cell>
        </row>
        <row r="898">
          <cell r="B898" t="str">
            <v>5-1197</v>
          </cell>
          <cell r="C898" t="str">
            <v>Profesional fee</v>
          </cell>
          <cell r="D898">
            <v>0</v>
          </cell>
          <cell r="E898">
            <v>0</v>
          </cell>
          <cell r="F898">
            <v>0</v>
          </cell>
          <cell r="G898">
            <v>0</v>
          </cell>
          <cell r="H898">
            <v>0</v>
          </cell>
          <cell r="I898">
            <v>0</v>
          </cell>
          <cell r="J898">
            <v>0</v>
          </cell>
        </row>
        <row r="899">
          <cell r="B899" t="str">
            <v>5-1198</v>
          </cell>
          <cell r="C899" t="str">
            <v>Profesional fee</v>
          </cell>
          <cell r="D899">
            <v>0</v>
          </cell>
          <cell r="E899">
            <v>0</v>
          </cell>
          <cell r="F899">
            <v>0</v>
          </cell>
          <cell r="G899">
            <v>0</v>
          </cell>
          <cell r="H899">
            <v>0</v>
          </cell>
          <cell r="I899">
            <v>0</v>
          </cell>
          <cell r="J899">
            <v>0</v>
          </cell>
        </row>
        <row r="900">
          <cell r="B900" t="str">
            <v>5-1210</v>
          </cell>
          <cell r="C900" t="str">
            <v>Personal Gaji</v>
          </cell>
          <cell r="D900">
            <v>0</v>
          </cell>
          <cell r="E900">
            <v>0</v>
          </cell>
          <cell r="F900">
            <v>0</v>
          </cell>
          <cell r="G900">
            <v>0</v>
          </cell>
          <cell r="H900">
            <v>0</v>
          </cell>
          <cell r="I900">
            <v>0</v>
          </cell>
          <cell r="J900">
            <v>0</v>
          </cell>
        </row>
        <row r="901">
          <cell r="B901" t="str">
            <v>5-1211</v>
          </cell>
          <cell r="C901" t="str">
            <v>Permanent Teacher Salary</v>
          </cell>
          <cell r="D901">
            <v>84604602</v>
          </cell>
          <cell r="E901">
            <v>0</v>
          </cell>
          <cell r="F901">
            <v>95623883</v>
          </cell>
          <cell r="G901">
            <v>975087</v>
          </cell>
          <cell r="H901">
            <v>94648796</v>
          </cell>
          <cell r="I901">
            <v>179253398</v>
          </cell>
          <cell r="J901">
            <v>0</v>
          </cell>
        </row>
        <row r="902">
          <cell r="B902" t="str">
            <v>5-1212</v>
          </cell>
          <cell r="C902" t="str">
            <v>Temporary Teacher Salary</v>
          </cell>
          <cell r="D902">
            <v>2194800</v>
          </cell>
          <cell r="E902">
            <v>0</v>
          </cell>
          <cell r="F902">
            <v>11681065</v>
          </cell>
          <cell r="G902">
            <v>0</v>
          </cell>
          <cell r="H902">
            <v>11681065</v>
          </cell>
          <cell r="I902">
            <v>13875865</v>
          </cell>
          <cell r="J902">
            <v>0</v>
          </cell>
        </row>
        <row r="903">
          <cell r="B903" t="str">
            <v>5-1213</v>
          </cell>
          <cell r="C903" t="str">
            <v>Permanent Staff Salary</v>
          </cell>
          <cell r="D903">
            <v>2386543</v>
          </cell>
          <cell r="E903">
            <v>0</v>
          </cell>
          <cell r="F903">
            <v>3002554</v>
          </cell>
          <cell r="G903">
            <v>41496</v>
          </cell>
          <cell r="H903">
            <v>2961058</v>
          </cell>
          <cell r="I903">
            <v>5347601</v>
          </cell>
          <cell r="J903">
            <v>0</v>
          </cell>
        </row>
        <row r="904">
          <cell r="B904" t="str">
            <v>5-1214</v>
          </cell>
          <cell r="C904" t="str">
            <v>Temporary Staff Salary</v>
          </cell>
          <cell r="D904">
            <v>0</v>
          </cell>
          <cell r="E904">
            <v>0</v>
          </cell>
          <cell r="F904">
            <v>0</v>
          </cell>
          <cell r="G904">
            <v>0</v>
          </cell>
          <cell r="H904">
            <v>0</v>
          </cell>
          <cell r="I904">
            <v>0</v>
          </cell>
          <cell r="J904">
            <v>0</v>
          </cell>
        </row>
        <row r="905">
          <cell r="B905" t="str">
            <v>5-1215</v>
          </cell>
          <cell r="C905" t="str">
            <v>Honorarium santri khidmah</v>
          </cell>
          <cell r="D905">
            <v>0</v>
          </cell>
          <cell r="E905">
            <v>0</v>
          </cell>
          <cell r="F905">
            <v>0</v>
          </cell>
          <cell r="G905">
            <v>0</v>
          </cell>
          <cell r="H905">
            <v>0</v>
          </cell>
          <cell r="I905">
            <v>0</v>
          </cell>
          <cell r="J905">
            <v>0</v>
          </cell>
        </row>
        <row r="906">
          <cell r="B906" t="str">
            <v>5-1216</v>
          </cell>
          <cell r="C906" t="str">
            <v>Teacher overtime</v>
          </cell>
          <cell r="D906">
            <v>0</v>
          </cell>
          <cell r="E906">
            <v>0</v>
          </cell>
          <cell r="F906">
            <v>1016583</v>
          </cell>
          <cell r="G906">
            <v>0</v>
          </cell>
          <cell r="H906">
            <v>1016583</v>
          </cell>
          <cell r="I906">
            <v>1016583</v>
          </cell>
          <cell r="J906">
            <v>0</v>
          </cell>
        </row>
        <row r="907">
          <cell r="B907" t="str">
            <v>5-1217</v>
          </cell>
          <cell r="C907" t="str">
            <v>Staff overtime</v>
          </cell>
          <cell r="D907">
            <v>0</v>
          </cell>
          <cell r="E907">
            <v>0</v>
          </cell>
          <cell r="F907">
            <v>0</v>
          </cell>
          <cell r="G907">
            <v>0</v>
          </cell>
          <cell r="H907">
            <v>0</v>
          </cell>
          <cell r="I907">
            <v>0</v>
          </cell>
          <cell r="J907">
            <v>0</v>
          </cell>
        </row>
        <row r="908">
          <cell r="B908" t="str">
            <v>5-1218</v>
          </cell>
          <cell r="C908" t="str">
            <v>Joint Salary alocation</v>
          </cell>
          <cell r="D908">
            <v>360990</v>
          </cell>
          <cell r="E908">
            <v>0</v>
          </cell>
          <cell r="F908">
            <v>360990</v>
          </cell>
          <cell r="G908">
            <v>0</v>
          </cell>
          <cell r="H908">
            <v>360990</v>
          </cell>
          <cell r="I908">
            <v>721980</v>
          </cell>
          <cell r="J908">
            <v>0</v>
          </cell>
        </row>
        <row r="909">
          <cell r="B909" t="str">
            <v>5-1219</v>
          </cell>
          <cell r="C909" t="str">
            <v>Other Salary</v>
          </cell>
          <cell r="D909">
            <v>0</v>
          </cell>
          <cell r="E909">
            <v>0</v>
          </cell>
          <cell r="F909">
            <v>0</v>
          </cell>
          <cell r="G909">
            <v>0</v>
          </cell>
          <cell r="H909">
            <v>0</v>
          </cell>
          <cell r="I909">
            <v>0</v>
          </cell>
          <cell r="J909">
            <v>0</v>
          </cell>
        </row>
        <row r="910">
          <cell r="B910" t="str">
            <v>5-1220</v>
          </cell>
          <cell r="C910" t="str">
            <v>Personal Allowance</v>
          </cell>
          <cell r="D910">
            <v>0</v>
          </cell>
          <cell r="E910">
            <v>0</v>
          </cell>
          <cell r="F910">
            <v>0</v>
          </cell>
          <cell r="G910">
            <v>0</v>
          </cell>
          <cell r="H910">
            <v>0</v>
          </cell>
          <cell r="I910">
            <v>0</v>
          </cell>
          <cell r="J910">
            <v>0</v>
          </cell>
        </row>
        <row r="911">
          <cell r="B911" t="str">
            <v>5-1221</v>
          </cell>
          <cell r="C911" t="str">
            <v>Allowance of Hulled Rice</v>
          </cell>
          <cell r="D911">
            <v>5203000</v>
          </cell>
          <cell r="E911">
            <v>0</v>
          </cell>
          <cell r="F911">
            <v>5031000</v>
          </cell>
          <cell r="G911">
            <v>0</v>
          </cell>
          <cell r="H911">
            <v>5031000</v>
          </cell>
          <cell r="I911">
            <v>10234000</v>
          </cell>
          <cell r="J911">
            <v>0</v>
          </cell>
        </row>
        <row r="912">
          <cell r="B912" t="str">
            <v>5-1222</v>
          </cell>
          <cell r="C912" t="str">
            <v>Alowance of doctor and medicin</v>
          </cell>
          <cell r="D912">
            <v>1432050</v>
          </cell>
          <cell r="E912">
            <v>0</v>
          </cell>
          <cell r="F912">
            <v>1887060.2</v>
          </cell>
          <cell r="G912">
            <v>276500</v>
          </cell>
          <cell r="H912">
            <v>1610560.2</v>
          </cell>
          <cell r="I912">
            <v>3042610.2</v>
          </cell>
          <cell r="J912">
            <v>0</v>
          </cell>
        </row>
        <row r="913">
          <cell r="B913" t="str">
            <v>5-1223</v>
          </cell>
          <cell r="C913" t="str">
            <v>Allowance of Spectacles</v>
          </cell>
          <cell r="D913">
            <v>0</v>
          </cell>
          <cell r="E913">
            <v>0</v>
          </cell>
          <cell r="F913">
            <v>150000</v>
          </cell>
          <cell r="G913">
            <v>0</v>
          </cell>
          <cell r="H913">
            <v>150000</v>
          </cell>
          <cell r="I913">
            <v>150000</v>
          </cell>
          <cell r="J913">
            <v>0</v>
          </cell>
        </row>
        <row r="914">
          <cell r="B914" t="str">
            <v>5-1224</v>
          </cell>
          <cell r="C914" t="str">
            <v>Allowance of operation&amp;hospita</v>
          </cell>
          <cell r="D914">
            <v>0</v>
          </cell>
          <cell r="E914">
            <v>0</v>
          </cell>
          <cell r="F914">
            <v>0</v>
          </cell>
          <cell r="G914">
            <v>0</v>
          </cell>
          <cell r="H914">
            <v>0</v>
          </cell>
          <cell r="I914">
            <v>0</v>
          </cell>
          <cell r="J914">
            <v>0</v>
          </cell>
        </row>
        <row r="915">
          <cell r="B915" t="str">
            <v>5-1225</v>
          </cell>
          <cell r="C915" t="str">
            <v>Allowance of disaster &amp; die</v>
          </cell>
          <cell r="D915">
            <v>0</v>
          </cell>
          <cell r="E915">
            <v>0</v>
          </cell>
          <cell r="F915">
            <v>0</v>
          </cell>
          <cell r="G915">
            <v>0</v>
          </cell>
          <cell r="H915">
            <v>0</v>
          </cell>
          <cell r="I915">
            <v>0</v>
          </cell>
          <cell r="J915">
            <v>0</v>
          </cell>
        </row>
        <row r="916">
          <cell r="B916" t="str">
            <v>5-1226</v>
          </cell>
          <cell r="C916" t="str">
            <v>Allowance of hari raya</v>
          </cell>
          <cell r="D916">
            <v>88526740</v>
          </cell>
          <cell r="E916">
            <v>0</v>
          </cell>
          <cell r="F916">
            <v>0</v>
          </cell>
          <cell r="G916">
            <v>0</v>
          </cell>
          <cell r="H916">
            <v>0</v>
          </cell>
          <cell r="I916">
            <v>88526740</v>
          </cell>
          <cell r="J916">
            <v>0</v>
          </cell>
        </row>
        <row r="917">
          <cell r="B917" t="str">
            <v>5-1227</v>
          </cell>
          <cell r="C917" t="str">
            <v>Allowance of birth</v>
          </cell>
          <cell r="D917">
            <v>0</v>
          </cell>
          <cell r="E917">
            <v>0</v>
          </cell>
          <cell r="F917">
            <v>400000</v>
          </cell>
          <cell r="G917">
            <v>0</v>
          </cell>
          <cell r="H917">
            <v>400000</v>
          </cell>
          <cell r="I917">
            <v>400000</v>
          </cell>
          <cell r="J917">
            <v>0</v>
          </cell>
        </row>
        <row r="918">
          <cell r="B918" t="str">
            <v>5-1228</v>
          </cell>
          <cell r="C918" t="str">
            <v>Allowance of married</v>
          </cell>
          <cell r="D918">
            <v>0</v>
          </cell>
          <cell r="E918">
            <v>0</v>
          </cell>
          <cell r="F918">
            <v>0</v>
          </cell>
          <cell r="G918">
            <v>0</v>
          </cell>
          <cell r="H918">
            <v>0</v>
          </cell>
          <cell r="I918">
            <v>0</v>
          </cell>
          <cell r="J918">
            <v>0</v>
          </cell>
        </row>
        <row r="919">
          <cell r="B919" t="str">
            <v>5-1229</v>
          </cell>
          <cell r="C919" t="str">
            <v>Allowance of house rent&amp;others</v>
          </cell>
          <cell r="D919">
            <v>0</v>
          </cell>
          <cell r="E919">
            <v>0</v>
          </cell>
          <cell r="F919">
            <v>0</v>
          </cell>
          <cell r="G919">
            <v>0</v>
          </cell>
          <cell r="H919">
            <v>0</v>
          </cell>
          <cell r="I919">
            <v>0</v>
          </cell>
          <cell r="J919">
            <v>0</v>
          </cell>
        </row>
        <row r="920">
          <cell r="B920" t="str">
            <v>5-1230</v>
          </cell>
          <cell r="C920" t="str">
            <v>Office</v>
          </cell>
          <cell r="D920">
            <v>0</v>
          </cell>
          <cell r="E920">
            <v>0</v>
          </cell>
          <cell r="F920">
            <v>0</v>
          </cell>
          <cell r="G920">
            <v>0</v>
          </cell>
          <cell r="H920">
            <v>0</v>
          </cell>
          <cell r="I920">
            <v>0</v>
          </cell>
          <cell r="J920">
            <v>0</v>
          </cell>
        </row>
        <row r="921">
          <cell r="B921" t="str">
            <v>5-1231</v>
          </cell>
          <cell r="C921" t="str">
            <v>Stationary papers</v>
          </cell>
          <cell r="D921" t="str">
            <v>0.00cr</v>
          </cell>
          <cell r="E921">
            <v>0</v>
          </cell>
          <cell r="F921">
            <v>936493.52</v>
          </cell>
          <cell r="G921">
            <v>0</v>
          </cell>
          <cell r="H921">
            <v>936493.52</v>
          </cell>
          <cell r="I921">
            <v>936493.52</v>
          </cell>
          <cell r="J921">
            <v>0</v>
          </cell>
        </row>
        <row r="922">
          <cell r="B922" t="str">
            <v>5-1232</v>
          </cell>
          <cell r="C922" t="str">
            <v>Stationary written toolls</v>
          </cell>
          <cell r="D922">
            <v>0</v>
          </cell>
          <cell r="E922">
            <v>0</v>
          </cell>
          <cell r="F922">
            <v>1029713.04</v>
          </cell>
          <cell r="G922">
            <v>0</v>
          </cell>
          <cell r="H922">
            <v>1029713.04</v>
          </cell>
          <cell r="I922">
            <v>1029713.04</v>
          </cell>
          <cell r="J922">
            <v>0</v>
          </cell>
        </row>
        <row r="923">
          <cell r="B923" t="str">
            <v>5-1233</v>
          </cell>
          <cell r="C923" t="str">
            <v>Stationary ink</v>
          </cell>
          <cell r="D923">
            <v>0</v>
          </cell>
          <cell r="E923">
            <v>0</v>
          </cell>
          <cell r="F923">
            <v>2338062.8199999998</v>
          </cell>
          <cell r="G923">
            <v>0</v>
          </cell>
          <cell r="H923">
            <v>2338062.8199999998</v>
          </cell>
          <cell r="I923">
            <v>2338062.8199999998</v>
          </cell>
          <cell r="J923">
            <v>0</v>
          </cell>
        </row>
        <row r="924">
          <cell r="B924" t="str">
            <v>5-1234</v>
          </cell>
          <cell r="C924" t="str">
            <v>Stationary Others</v>
          </cell>
          <cell r="D924">
            <v>0</v>
          </cell>
          <cell r="E924">
            <v>0</v>
          </cell>
          <cell r="F924">
            <v>0</v>
          </cell>
          <cell r="G924">
            <v>0</v>
          </cell>
          <cell r="H924">
            <v>0</v>
          </cell>
          <cell r="I924">
            <v>0</v>
          </cell>
          <cell r="J924">
            <v>0</v>
          </cell>
        </row>
        <row r="925">
          <cell r="B925" t="str">
            <v>5-1235</v>
          </cell>
          <cell r="C925" t="str">
            <v>Consumptions</v>
          </cell>
          <cell r="D925">
            <v>0</v>
          </cell>
          <cell r="E925">
            <v>0</v>
          </cell>
          <cell r="F925">
            <v>1055778</v>
          </cell>
          <cell r="G925">
            <v>0</v>
          </cell>
          <cell r="H925">
            <v>1055778</v>
          </cell>
          <cell r="I925">
            <v>1055778</v>
          </cell>
          <cell r="J925">
            <v>0</v>
          </cell>
        </row>
        <row r="926">
          <cell r="B926" t="str">
            <v>5-1236</v>
          </cell>
          <cell r="C926" t="str">
            <v>Foto copy &amp; printing</v>
          </cell>
          <cell r="D926">
            <v>0</v>
          </cell>
          <cell r="E926">
            <v>0</v>
          </cell>
          <cell r="F926">
            <v>2199340</v>
          </cell>
          <cell r="G926">
            <v>0</v>
          </cell>
          <cell r="H926">
            <v>2199340</v>
          </cell>
          <cell r="I926">
            <v>2199340</v>
          </cell>
          <cell r="J926">
            <v>0</v>
          </cell>
        </row>
        <row r="927">
          <cell r="B927" t="str">
            <v>5-1237</v>
          </cell>
          <cell r="C927" t="str">
            <v>Office Suplies</v>
          </cell>
          <cell r="D927">
            <v>0</v>
          </cell>
          <cell r="E927">
            <v>0</v>
          </cell>
          <cell r="F927">
            <v>1244500</v>
          </cell>
          <cell r="G927">
            <v>0</v>
          </cell>
          <cell r="H927">
            <v>1244500</v>
          </cell>
          <cell r="I927">
            <v>1244500</v>
          </cell>
          <cell r="J927">
            <v>0</v>
          </cell>
        </row>
        <row r="928">
          <cell r="B928" t="str">
            <v>5-1240</v>
          </cell>
          <cell r="C928" t="str">
            <v>Transportation&amp;Telecomunicatio</v>
          </cell>
          <cell r="D928">
            <v>0</v>
          </cell>
          <cell r="E928">
            <v>0</v>
          </cell>
          <cell r="F928">
            <v>0</v>
          </cell>
          <cell r="G928">
            <v>0</v>
          </cell>
          <cell r="H928">
            <v>0</v>
          </cell>
          <cell r="I928">
            <v>0</v>
          </cell>
          <cell r="J928">
            <v>0</v>
          </cell>
        </row>
        <row r="929">
          <cell r="B929" t="str">
            <v>5-1241</v>
          </cell>
          <cell r="C929" t="str">
            <v>Mail &amp; Shipment</v>
          </cell>
          <cell r="D929">
            <v>0</v>
          </cell>
          <cell r="E929">
            <v>0</v>
          </cell>
          <cell r="F929">
            <v>701600</v>
          </cell>
          <cell r="G929">
            <v>0</v>
          </cell>
          <cell r="H929">
            <v>701600</v>
          </cell>
          <cell r="I929">
            <v>701600</v>
          </cell>
          <cell r="J929">
            <v>0</v>
          </cell>
        </row>
        <row r="930">
          <cell r="B930" t="str">
            <v>5-1242</v>
          </cell>
          <cell r="C930" t="str">
            <v>Telephone</v>
          </cell>
          <cell r="D930">
            <v>0</v>
          </cell>
          <cell r="E930">
            <v>0</v>
          </cell>
          <cell r="F930">
            <v>304796</v>
          </cell>
          <cell r="G930">
            <v>0</v>
          </cell>
          <cell r="H930">
            <v>304796</v>
          </cell>
          <cell r="I930">
            <v>304796</v>
          </cell>
          <cell r="J930">
            <v>0</v>
          </cell>
        </row>
        <row r="931">
          <cell r="B931" t="str">
            <v>5-1243</v>
          </cell>
          <cell r="C931" t="str">
            <v>Fuel</v>
          </cell>
          <cell r="D931">
            <v>0</v>
          </cell>
          <cell r="E931">
            <v>0</v>
          </cell>
          <cell r="F931">
            <v>1704954</v>
          </cell>
          <cell r="G931">
            <v>0</v>
          </cell>
          <cell r="H931">
            <v>1704954</v>
          </cell>
          <cell r="I931">
            <v>1704954</v>
          </cell>
          <cell r="J931">
            <v>0</v>
          </cell>
        </row>
        <row r="932">
          <cell r="B932" t="str">
            <v>5-1244</v>
          </cell>
          <cell r="C932" t="str">
            <v>Accommodations</v>
          </cell>
          <cell r="D932">
            <v>0</v>
          </cell>
          <cell r="E932">
            <v>0</v>
          </cell>
          <cell r="F932">
            <v>1936150</v>
          </cell>
          <cell r="G932">
            <v>0</v>
          </cell>
          <cell r="H932">
            <v>1936150</v>
          </cell>
          <cell r="I932">
            <v>1936150</v>
          </cell>
          <cell r="J932">
            <v>0</v>
          </cell>
        </row>
        <row r="933">
          <cell r="B933" t="str">
            <v>5-1245</v>
          </cell>
          <cell r="C933" t="str">
            <v>Public Transportation</v>
          </cell>
          <cell r="D933">
            <v>0</v>
          </cell>
          <cell r="E933">
            <v>0</v>
          </cell>
          <cell r="F933">
            <v>1085300</v>
          </cell>
          <cell r="G933">
            <v>0</v>
          </cell>
          <cell r="H933">
            <v>1085300</v>
          </cell>
          <cell r="I933">
            <v>1085300</v>
          </cell>
          <cell r="J933">
            <v>0</v>
          </cell>
        </row>
        <row r="934">
          <cell r="B934" t="str">
            <v>5-1246</v>
          </cell>
          <cell r="C934" t="str">
            <v>Joint Transportation Allocatio</v>
          </cell>
          <cell r="D934">
            <v>0</v>
          </cell>
          <cell r="E934">
            <v>0</v>
          </cell>
          <cell r="F934">
            <v>0</v>
          </cell>
          <cell r="G934">
            <v>0</v>
          </cell>
          <cell r="H934">
            <v>0</v>
          </cell>
          <cell r="I934">
            <v>0</v>
          </cell>
          <cell r="J934">
            <v>0</v>
          </cell>
        </row>
        <row r="935">
          <cell r="B935" t="str">
            <v>5-1249</v>
          </cell>
          <cell r="C935" t="str">
            <v>Others</v>
          </cell>
          <cell r="D935">
            <v>0</v>
          </cell>
          <cell r="E935">
            <v>0</v>
          </cell>
          <cell r="F935">
            <v>0</v>
          </cell>
          <cell r="G935">
            <v>0</v>
          </cell>
          <cell r="H935">
            <v>0</v>
          </cell>
          <cell r="I935">
            <v>0</v>
          </cell>
          <cell r="J935">
            <v>0</v>
          </cell>
        </row>
        <row r="936">
          <cell r="B936" t="str">
            <v>5-1250</v>
          </cell>
          <cell r="C936" t="str">
            <v>Perbaikan &amp; pemeliharan</v>
          </cell>
          <cell r="D936">
            <v>0</v>
          </cell>
          <cell r="E936">
            <v>0</v>
          </cell>
          <cell r="F936">
            <v>0</v>
          </cell>
          <cell r="G936">
            <v>0</v>
          </cell>
          <cell r="H936">
            <v>0</v>
          </cell>
          <cell r="I936">
            <v>0</v>
          </cell>
          <cell r="J936">
            <v>0</v>
          </cell>
        </row>
        <row r="937">
          <cell r="B937" t="str">
            <v>5-1251</v>
          </cell>
          <cell r="C937" t="str">
            <v>R &amp; M - Computer &amp; audio visua</v>
          </cell>
          <cell r="D937">
            <v>0</v>
          </cell>
          <cell r="E937">
            <v>0</v>
          </cell>
          <cell r="F937">
            <v>0</v>
          </cell>
          <cell r="G937">
            <v>0</v>
          </cell>
          <cell r="H937">
            <v>0</v>
          </cell>
          <cell r="I937">
            <v>0</v>
          </cell>
          <cell r="J937">
            <v>0</v>
          </cell>
        </row>
        <row r="938">
          <cell r="B938" t="str">
            <v>5-1252</v>
          </cell>
          <cell r="C938" t="str">
            <v>R &amp; M - Telephone &amp; Faxs</v>
          </cell>
          <cell r="D938">
            <v>0</v>
          </cell>
          <cell r="E938">
            <v>0</v>
          </cell>
          <cell r="F938">
            <v>0</v>
          </cell>
          <cell r="G938">
            <v>0</v>
          </cell>
          <cell r="H938">
            <v>0</v>
          </cell>
          <cell r="I938">
            <v>0</v>
          </cell>
          <cell r="J938">
            <v>0</v>
          </cell>
        </row>
        <row r="939">
          <cell r="B939" t="str">
            <v>5-1253</v>
          </cell>
          <cell r="C939" t="str">
            <v>R &amp; M - Office Eqiupment</v>
          </cell>
          <cell r="D939">
            <v>0</v>
          </cell>
          <cell r="E939">
            <v>0</v>
          </cell>
          <cell r="F939">
            <v>0</v>
          </cell>
          <cell r="G939">
            <v>0</v>
          </cell>
          <cell r="H939">
            <v>0</v>
          </cell>
          <cell r="I939">
            <v>0</v>
          </cell>
          <cell r="J939">
            <v>0</v>
          </cell>
        </row>
        <row r="940">
          <cell r="B940" t="str">
            <v>5-1254</v>
          </cell>
          <cell r="C940" t="str">
            <v>R &amp; M - Teaching Eqiupment</v>
          </cell>
          <cell r="D940">
            <v>0</v>
          </cell>
          <cell r="E940">
            <v>0</v>
          </cell>
          <cell r="F940">
            <v>0</v>
          </cell>
          <cell r="G940">
            <v>0</v>
          </cell>
          <cell r="H940">
            <v>0</v>
          </cell>
          <cell r="I940">
            <v>0</v>
          </cell>
          <cell r="J940">
            <v>0</v>
          </cell>
        </row>
        <row r="941">
          <cell r="B941" t="str">
            <v>5-1255</v>
          </cell>
          <cell r="C941" t="str">
            <v>R &amp; M - Others Eqiupment</v>
          </cell>
          <cell r="D941">
            <v>0</v>
          </cell>
          <cell r="E941">
            <v>0</v>
          </cell>
          <cell r="F941">
            <v>0</v>
          </cell>
          <cell r="G941">
            <v>0</v>
          </cell>
          <cell r="H941">
            <v>0</v>
          </cell>
          <cell r="I941">
            <v>0</v>
          </cell>
          <cell r="J941">
            <v>0</v>
          </cell>
        </row>
        <row r="942">
          <cell r="B942" t="str">
            <v>5-1256</v>
          </cell>
          <cell r="C942" t="str">
            <v>R &amp; M - Table &amp; Chairs</v>
          </cell>
          <cell r="D942">
            <v>0</v>
          </cell>
          <cell r="E942">
            <v>0</v>
          </cell>
          <cell r="F942">
            <v>0</v>
          </cell>
          <cell r="G942">
            <v>0</v>
          </cell>
          <cell r="H942">
            <v>0</v>
          </cell>
          <cell r="I942">
            <v>0</v>
          </cell>
          <cell r="J942">
            <v>0</v>
          </cell>
        </row>
        <row r="943">
          <cell r="B943" t="str">
            <v>5-1257</v>
          </cell>
          <cell r="C943" t="str">
            <v>R &amp; M - Cupboard &amp; Rack</v>
          </cell>
          <cell r="D943">
            <v>0</v>
          </cell>
          <cell r="E943">
            <v>0</v>
          </cell>
          <cell r="F943">
            <v>0</v>
          </cell>
          <cell r="G943">
            <v>0</v>
          </cell>
          <cell r="H943">
            <v>0</v>
          </cell>
          <cell r="I943">
            <v>0</v>
          </cell>
          <cell r="J943">
            <v>0</v>
          </cell>
        </row>
        <row r="944">
          <cell r="B944" t="str">
            <v>5-1258</v>
          </cell>
          <cell r="C944" t="str">
            <v>R &amp; M - Other Furniture</v>
          </cell>
          <cell r="D944">
            <v>0</v>
          </cell>
          <cell r="E944">
            <v>0</v>
          </cell>
          <cell r="F944">
            <v>0</v>
          </cell>
          <cell r="G944">
            <v>0</v>
          </cell>
          <cell r="H944">
            <v>0</v>
          </cell>
          <cell r="I944">
            <v>0</v>
          </cell>
          <cell r="J944">
            <v>0</v>
          </cell>
        </row>
        <row r="945">
          <cell r="B945" t="str">
            <v>5-1259</v>
          </cell>
          <cell r="C945" t="str">
            <v>Others</v>
          </cell>
          <cell r="D945">
            <v>0</v>
          </cell>
          <cell r="E945">
            <v>0</v>
          </cell>
          <cell r="F945">
            <v>0</v>
          </cell>
          <cell r="G945">
            <v>0</v>
          </cell>
          <cell r="H945">
            <v>0</v>
          </cell>
          <cell r="I945">
            <v>0</v>
          </cell>
          <cell r="J945">
            <v>0</v>
          </cell>
        </row>
        <row r="946">
          <cell r="B946" t="str">
            <v>5-1260</v>
          </cell>
          <cell r="C946" t="str">
            <v>Media Pembelajaran</v>
          </cell>
          <cell r="D946">
            <v>0</v>
          </cell>
          <cell r="E946">
            <v>0</v>
          </cell>
          <cell r="F946">
            <v>0</v>
          </cell>
          <cell r="G946">
            <v>0</v>
          </cell>
          <cell r="H946">
            <v>0</v>
          </cell>
          <cell r="I946">
            <v>0</v>
          </cell>
          <cell r="J946">
            <v>0</v>
          </cell>
        </row>
        <row r="947">
          <cell r="B947" t="str">
            <v>5-1261</v>
          </cell>
          <cell r="C947" t="str">
            <v>Bahan Praktikum</v>
          </cell>
          <cell r="D947">
            <v>0</v>
          </cell>
          <cell r="E947">
            <v>0</v>
          </cell>
          <cell r="F947">
            <v>0</v>
          </cell>
          <cell r="G947">
            <v>0</v>
          </cell>
          <cell r="H947">
            <v>0</v>
          </cell>
          <cell r="I947">
            <v>0</v>
          </cell>
          <cell r="J947">
            <v>0</v>
          </cell>
        </row>
        <row r="948">
          <cell r="B948" t="str">
            <v>5-1262</v>
          </cell>
          <cell r="C948" t="str">
            <v>Alat Peraga</v>
          </cell>
          <cell r="D948">
            <v>0</v>
          </cell>
          <cell r="E948">
            <v>0</v>
          </cell>
          <cell r="F948">
            <v>0</v>
          </cell>
          <cell r="G948">
            <v>0</v>
          </cell>
          <cell r="H948">
            <v>0</v>
          </cell>
          <cell r="I948">
            <v>0</v>
          </cell>
          <cell r="J948">
            <v>0</v>
          </cell>
        </row>
        <row r="949">
          <cell r="B949" t="str">
            <v>5-1263</v>
          </cell>
          <cell r="C949" t="str">
            <v>Buku Panduan</v>
          </cell>
          <cell r="D949">
            <v>0</v>
          </cell>
          <cell r="E949">
            <v>0</v>
          </cell>
          <cell r="F949">
            <v>2400000</v>
          </cell>
          <cell r="G949">
            <v>0</v>
          </cell>
          <cell r="H949">
            <v>2400000</v>
          </cell>
          <cell r="I949">
            <v>2400000</v>
          </cell>
          <cell r="J949">
            <v>0</v>
          </cell>
        </row>
        <row r="950">
          <cell r="B950" t="str">
            <v>5-1264</v>
          </cell>
          <cell r="C950" t="str">
            <v>CD Pembelajaran</v>
          </cell>
          <cell r="D950">
            <v>0</v>
          </cell>
          <cell r="E950">
            <v>0</v>
          </cell>
          <cell r="F950">
            <v>0</v>
          </cell>
          <cell r="G950">
            <v>0</v>
          </cell>
          <cell r="H950">
            <v>0</v>
          </cell>
          <cell r="I950">
            <v>0</v>
          </cell>
          <cell r="J950">
            <v>0</v>
          </cell>
        </row>
        <row r="951">
          <cell r="B951" t="str">
            <v>5-1265</v>
          </cell>
          <cell r="C951" t="str">
            <v>Perlengkapan olah raga</v>
          </cell>
          <cell r="D951">
            <v>0</v>
          </cell>
          <cell r="E951">
            <v>0</v>
          </cell>
          <cell r="F951">
            <v>105000</v>
          </cell>
          <cell r="G951">
            <v>0</v>
          </cell>
          <cell r="H951">
            <v>105000</v>
          </cell>
          <cell r="I951">
            <v>105000</v>
          </cell>
          <cell r="J951">
            <v>0</v>
          </cell>
        </row>
        <row r="952">
          <cell r="B952" t="str">
            <v>5-1266</v>
          </cell>
          <cell r="C952" t="str">
            <v>Perlengkapan lab Sains</v>
          </cell>
          <cell r="D952">
            <v>0</v>
          </cell>
          <cell r="E952">
            <v>0</v>
          </cell>
          <cell r="F952">
            <v>190000</v>
          </cell>
          <cell r="G952">
            <v>0</v>
          </cell>
          <cell r="H952">
            <v>190000</v>
          </cell>
          <cell r="I952">
            <v>190000</v>
          </cell>
          <cell r="J952">
            <v>0</v>
          </cell>
        </row>
        <row r="953">
          <cell r="B953" t="str">
            <v>5-1267</v>
          </cell>
          <cell r="C953" t="str">
            <v>Perlengkapan Lab Komputer</v>
          </cell>
          <cell r="D953">
            <v>0</v>
          </cell>
          <cell r="E953">
            <v>0</v>
          </cell>
          <cell r="F953">
            <v>123000</v>
          </cell>
          <cell r="G953">
            <v>0</v>
          </cell>
          <cell r="H953">
            <v>123000</v>
          </cell>
          <cell r="I953">
            <v>123000</v>
          </cell>
          <cell r="J953">
            <v>0</v>
          </cell>
        </row>
        <row r="954">
          <cell r="B954" t="str">
            <v>5-1268</v>
          </cell>
          <cell r="C954" t="str">
            <v>Perlengkapan kelas</v>
          </cell>
          <cell r="D954">
            <v>0</v>
          </cell>
          <cell r="E954">
            <v>0</v>
          </cell>
          <cell r="F954">
            <v>0</v>
          </cell>
          <cell r="G954">
            <v>0</v>
          </cell>
          <cell r="H954">
            <v>0</v>
          </cell>
          <cell r="I954">
            <v>0</v>
          </cell>
          <cell r="J954">
            <v>0</v>
          </cell>
        </row>
        <row r="955">
          <cell r="B955" t="str">
            <v>5-1269</v>
          </cell>
          <cell r="C955" t="str">
            <v>Others</v>
          </cell>
          <cell r="D955">
            <v>0</v>
          </cell>
          <cell r="E955">
            <v>0</v>
          </cell>
          <cell r="F955">
            <v>0</v>
          </cell>
          <cell r="G955">
            <v>0</v>
          </cell>
          <cell r="H955">
            <v>0</v>
          </cell>
          <cell r="I955">
            <v>0</v>
          </cell>
          <cell r="J955">
            <v>0</v>
          </cell>
        </row>
        <row r="956">
          <cell r="B956" t="str">
            <v>5-1270</v>
          </cell>
          <cell r="C956" t="str">
            <v>Pengayaan &amp; Ujian</v>
          </cell>
          <cell r="D956">
            <v>0</v>
          </cell>
          <cell r="E956">
            <v>0</v>
          </cell>
          <cell r="F956">
            <v>0</v>
          </cell>
          <cell r="G956">
            <v>0</v>
          </cell>
          <cell r="H956">
            <v>0</v>
          </cell>
          <cell r="I956">
            <v>0</v>
          </cell>
          <cell r="J956">
            <v>0</v>
          </cell>
        </row>
        <row r="957">
          <cell r="B957" t="str">
            <v>5-1271</v>
          </cell>
          <cell r="C957" t="str">
            <v>Penggandaan materi pengayaan</v>
          </cell>
          <cell r="D957">
            <v>0</v>
          </cell>
          <cell r="E957">
            <v>0</v>
          </cell>
          <cell r="F957">
            <v>112500</v>
          </cell>
          <cell r="G957">
            <v>0</v>
          </cell>
          <cell r="H957">
            <v>112500</v>
          </cell>
          <cell r="I957">
            <v>112500</v>
          </cell>
          <cell r="J957">
            <v>0</v>
          </cell>
        </row>
        <row r="958">
          <cell r="B958" t="str">
            <v>5-1272</v>
          </cell>
          <cell r="C958" t="str">
            <v>Try out</v>
          </cell>
          <cell r="D958">
            <v>0</v>
          </cell>
          <cell r="E958">
            <v>0</v>
          </cell>
          <cell r="F958">
            <v>0</v>
          </cell>
          <cell r="G958">
            <v>0</v>
          </cell>
          <cell r="H958">
            <v>0</v>
          </cell>
          <cell r="I958">
            <v>0</v>
          </cell>
          <cell r="J958">
            <v>0</v>
          </cell>
        </row>
        <row r="959">
          <cell r="B959" t="str">
            <v>5-1273</v>
          </cell>
          <cell r="C959" t="str">
            <v>Penggandaan soal ujian</v>
          </cell>
          <cell r="D959">
            <v>0</v>
          </cell>
          <cell r="E959">
            <v>0</v>
          </cell>
          <cell r="F959">
            <v>9000</v>
          </cell>
          <cell r="G959">
            <v>0</v>
          </cell>
          <cell r="H959">
            <v>9000</v>
          </cell>
          <cell r="I959">
            <v>9000</v>
          </cell>
          <cell r="J959">
            <v>0</v>
          </cell>
        </row>
        <row r="960">
          <cell r="B960" t="str">
            <v>5-1274</v>
          </cell>
          <cell r="C960" t="str">
            <v>Consumption</v>
          </cell>
          <cell r="D960">
            <v>0</v>
          </cell>
          <cell r="E960">
            <v>0</v>
          </cell>
          <cell r="F960">
            <v>195000</v>
          </cell>
          <cell r="G960">
            <v>0</v>
          </cell>
          <cell r="H960">
            <v>195000</v>
          </cell>
          <cell r="I960">
            <v>195000</v>
          </cell>
          <cell r="J960">
            <v>0</v>
          </cell>
        </row>
        <row r="961">
          <cell r="B961" t="str">
            <v>5-1275</v>
          </cell>
          <cell r="C961" t="str">
            <v>Stationary</v>
          </cell>
          <cell r="D961">
            <v>0</v>
          </cell>
          <cell r="E961">
            <v>0</v>
          </cell>
          <cell r="F961">
            <v>0</v>
          </cell>
          <cell r="G961">
            <v>0</v>
          </cell>
          <cell r="H961">
            <v>0</v>
          </cell>
          <cell r="I961">
            <v>0</v>
          </cell>
          <cell r="J961">
            <v>0</v>
          </cell>
        </row>
        <row r="962">
          <cell r="B962" t="str">
            <v>5-1276</v>
          </cell>
          <cell r="C962" t="str">
            <v>Perlengkapan</v>
          </cell>
          <cell r="D962">
            <v>0</v>
          </cell>
          <cell r="E962">
            <v>0</v>
          </cell>
          <cell r="F962">
            <v>0</v>
          </cell>
          <cell r="G962">
            <v>0</v>
          </cell>
          <cell r="H962">
            <v>0</v>
          </cell>
          <cell r="I962">
            <v>0</v>
          </cell>
          <cell r="J962">
            <v>0</v>
          </cell>
        </row>
        <row r="963">
          <cell r="B963" t="str">
            <v>5-1277</v>
          </cell>
          <cell r="C963" t="str">
            <v>Transportation</v>
          </cell>
          <cell r="D963">
            <v>0</v>
          </cell>
          <cell r="E963">
            <v>0</v>
          </cell>
          <cell r="F963">
            <v>85000</v>
          </cell>
          <cell r="G963">
            <v>0</v>
          </cell>
          <cell r="H963">
            <v>85000</v>
          </cell>
          <cell r="I963">
            <v>85000</v>
          </cell>
          <cell r="J963">
            <v>0</v>
          </cell>
        </row>
        <row r="964">
          <cell r="B964" t="str">
            <v>5-1280</v>
          </cell>
          <cell r="C964" t="str">
            <v>New Account</v>
          </cell>
          <cell r="D964">
            <v>0</v>
          </cell>
          <cell r="E964">
            <v>0</v>
          </cell>
          <cell r="F964">
            <v>0</v>
          </cell>
          <cell r="G964">
            <v>0</v>
          </cell>
          <cell r="H964">
            <v>0</v>
          </cell>
          <cell r="I964">
            <v>0</v>
          </cell>
          <cell r="J964">
            <v>0</v>
          </cell>
        </row>
        <row r="965">
          <cell r="B965" t="str">
            <v>5-1290</v>
          </cell>
          <cell r="C965" t="str">
            <v>Lain-lain</v>
          </cell>
          <cell r="D965">
            <v>0</v>
          </cell>
          <cell r="E965">
            <v>0</v>
          </cell>
          <cell r="F965">
            <v>0</v>
          </cell>
          <cell r="G965">
            <v>0</v>
          </cell>
          <cell r="H965">
            <v>0</v>
          </cell>
          <cell r="I965">
            <v>0</v>
          </cell>
          <cell r="J965">
            <v>0</v>
          </cell>
        </row>
        <row r="966">
          <cell r="B966" t="str">
            <v>5-1291</v>
          </cell>
          <cell r="C966" t="str">
            <v>Kegiatan rapat</v>
          </cell>
          <cell r="D966">
            <v>0</v>
          </cell>
          <cell r="E966">
            <v>0</v>
          </cell>
          <cell r="F966">
            <v>2482600</v>
          </cell>
          <cell r="G966">
            <v>0</v>
          </cell>
          <cell r="H966">
            <v>2482600</v>
          </cell>
          <cell r="I966">
            <v>2482600</v>
          </cell>
          <cell r="J966">
            <v>0</v>
          </cell>
        </row>
        <row r="967">
          <cell r="B967" t="str">
            <v>5-1292</v>
          </cell>
          <cell r="C967" t="str">
            <v>Study Banding/Rihlah/Outbon</v>
          </cell>
          <cell r="D967">
            <v>0</v>
          </cell>
          <cell r="E967">
            <v>0</v>
          </cell>
          <cell r="F967">
            <v>17101175</v>
          </cell>
          <cell r="G967">
            <v>0</v>
          </cell>
          <cell r="H967">
            <v>17101175</v>
          </cell>
          <cell r="I967">
            <v>17101175</v>
          </cell>
          <cell r="J967">
            <v>0</v>
          </cell>
        </row>
        <row r="968">
          <cell r="B968" t="str">
            <v>5-1293</v>
          </cell>
          <cell r="C968" t="str">
            <v>Pelatihan &amp; Workshop</v>
          </cell>
          <cell r="D968">
            <v>0</v>
          </cell>
          <cell r="E968">
            <v>0</v>
          </cell>
          <cell r="F968">
            <v>38350</v>
          </cell>
          <cell r="G968">
            <v>0</v>
          </cell>
          <cell r="H968">
            <v>38350</v>
          </cell>
          <cell r="I968">
            <v>38350</v>
          </cell>
          <cell r="J968">
            <v>0</v>
          </cell>
        </row>
        <row r="969">
          <cell r="B969" t="str">
            <v>5-1294</v>
          </cell>
          <cell r="C969" t="str">
            <v>Iuran kelompok kerja lembaga</v>
          </cell>
          <cell r="D969">
            <v>0</v>
          </cell>
          <cell r="E969">
            <v>0</v>
          </cell>
          <cell r="F969">
            <v>0</v>
          </cell>
          <cell r="G969">
            <v>0</v>
          </cell>
          <cell r="H969">
            <v>0</v>
          </cell>
          <cell r="I969">
            <v>0</v>
          </cell>
          <cell r="J969">
            <v>0</v>
          </cell>
        </row>
        <row r="970">
          <cell r="B970" t="str">
            <v>5-1295</v>
          </cell>
          <cell r="C970" t="str">
            <v>Hadiah santri</v>
          </cell>
          <cell r="D970">
            <v>0</v>
          </cell>
          <cell r="E970">
            <v>0</v>
          </cell>
          <cell r="F970">
            <v>298244</v>
          </cell>
          <cell r="G970">
            <v>0</v>
          </cell>
          <cell r="H970">
            <v>298244</v>
          </cell>
          <cell r="I970">
            <v>298244</v>
          </cell>
          <cell r="J970">
            <v>0</v>
          </cell>
        </row>
        <row r="971">
          <cell r="B971" t="str">
            <v>5-1296</v>
          </cell>
          <cell r="C971" t="str">
            <v>MOS</v>
          </cell>
          <cell r="D971">
            <v>0</v>
          </cell>
          <cell r="E971">
            <v>0</v>
          </cell>
          <cell r="F971">
            <v>0</v>
          </cell>
          <cell r="G971">
            <v>0</v>
          </cell>
          <cell r="H971">
            <v>0</v>
          </cell>
          <cell r="I971">
            <v>0</v>
          </cell>
          <cell r="J971">
            <v>0</v>
          </cell>
        </row>
        <row r="972">
          <cell r="B972" t="str">
            <v>5-1297</v>
          </cell>
          <cell r="C972" t="str">
            <v>Profesional fee</v>
          </cell>
          <cell r="D972">
            <v>0</v>
          </cell>
          <cell r="E972">
            <v>0</v>
          </cell>
          <cell r="F972">
            <v>223000</v>
          </cell>
          <cell r="G972">
            <v>0</v>
          </cell>
          <cell r="H972">
            <v>223000</v>
          </cell>
          <cell r="I972">
            <v>223000</v>
          </cell>
          <cell r="J972">
            <v>0</v>
          </cell>
        </row>
        <row r="973">
          <cell r="B973" t="str">
            <v>5-1310</v>
          </cell>
          <cell r="C973" t="str">
            <v>Personal Gaji</v>
          </cell>
          <cell r="D973">
            <v>0</v>
          </cell>
          <cell r="E973">
            <v>0</v>
          </cell>
          <cell r="F973">
            <v>0</v>
          </cell>
          <cell r="G973">
            <v>0</v>
          </cell>
          <cell r="H973">
            <v>0</v>
          </cell>
          <cell r="I973">
            <v>0</v>
          </cell>
          <cell r="J973">
            <v>0</v>
          </cell>
        </row>
        <row r="974">
          <cell r="B974" t="str">
            <v>5-1311</v>
          </cell>
          <cell r="C974" t="str">
            <v>Permanent Teacher Salary</v>
          </cell>
          <cell r="D974">
            <v>94961998</v>
          </cell>
          <cell r="E974">
            <v>0</v>
          </cell>
          <cell r="F974">
            <v>113118607</v>
          </cell>
          <cell r="G974">
            <v>0</v>
          </cell>
          <cell r="H974">
            <v>113118607</v>
          </cell>
          <cell r="I974">
            <v>208080605</v>
          </cell>
          <cell r="J974">
            <v>0</v>
          </cell>
        </row>
        <row r="975">
          <cell r="B975" t="str">
            <v>5-1312</v>
          </cell>
          <cell r="C975" t="str">
            <v>Temporary Teacher Salary</v>
          </cell>
          <cell r="D975">
            <v>1132800</v>
          </cell>
          <cell r="E975">
            <v>0</v>
          </cell>
          <cell r="F975">
            <v>12278000</v>
          </cell>
          <cell r="G975">
            <v>0</v>
          </cell>
          <cell r="H975">
            <v>12278000</v>
          </cell>
          <cell r="I975">
            <v>13410800</v>
          </cell>
          <cell r="J975">
            <v>0</v>
          </cell>
        </row>
        <row r="976">
          <cell r="B976" t="str">
            <v>5-1313</v>
          </cell>
          <cell r="C976" t="str">
            <v>Permanent Staff Salary</v>
          </cell>
          <cell r="D976">
            <v>13373362</v>
          </cell>
          <cell r="E976">
            <v>0</v>
          </cell>
          <cell r="F976">
            <v>10810889</v>
          </cell>
          <cell r="G976">
            <v>0</v>
          </cell>
          <cell r="H976">
            <v>10810889</v>
          </cell>
          <cell r="I976">
            <v>24184251</v>
          </cell>
          <cell r="J976">
            <v>0</v>
          </cell>
        </row>
        <row r="977">
          <cell r="B977" t="str">
            <v>5-1314</v>
          </cell>
          <cell r="C977" t="str">
            <v>Temporary Staff Salary</v>
          </cell>
          <cell r="D977">
            <v>0</v>
          </cell>
          <cell r="E977">
            <v>0</v>
          </cell>
          <cell r="F977">
            <v>0</v>
          </cell>
          <cell r="G977">
            <v>0</v>
          </cell>
          <cell r="H977">
            <v>0</v>
          </cell>
          <cell r="I977">
            <v>0</v>
          </cell>
          <cell r="J977">
            <v>0</v>
          </cell>
        </row>
        <row r="978">
          <cell r="B978" t="str">
            <v>5-1315</v>
          </cell>
          <cell r="C978" t="str">
            <v>Honorarium santri khidmah</v>
          </cell>
          <cell r="D978">
            <v>0</v>
          </cell>
          <cell r="E978">
            <v>0</v>
          </cell>
          <cell r="F978">
            <v>0</v>
          </cell>
          <cell r="G978">
            <v>0</v>
          </cell>
          <cell r="H978">
            <v>0</v>
          </cell>
          <cell r="I978">
            <v>0</v>
          </cell>
          <cell r="J978">
            <v>0</v>
          </cell>
        </row>
        <row r="979">
          <cell r="B979" t="str">
            <v>5-1316</v>
          </cell>
          <cell r="C979" t="str">
            <v>Teacher overtime</v>
          </cell>
          <cell r="D979">
            <v>0</v>
          </cell>
          <cell r="E979">
            <v>0</v>
          </cell>
          <cell r="F979">
            <v>0</v>
          </cell>
          <cell r="G979">
            <v>0</v>
          </cell>
          <cell r="H979">
            <v>0</v>
          </cell>
          <cell r="I979">
            <v>0</v>
          </cell>
          <cell r="J979">
            <v>0</v>
          </cell>
        </row>
        <row r="980">
          <cell r="B980" t="str">
            <v>5-1317</v>
          </cell>
          <cell r="C980" t="str">
            <v>Staff overtime</v>
          </cell>
          <cell r="D980">
            <v>0</v>
          </cell>
          <cell r="E980">
            <v>0</v>
          </cell>
          <cell r="F980">
            <v>0</v>
          </cell>
          <cell r="G980">
            <v>0</v>
          </cell>
          <cell r="H980">
            <v>0</v>
          </cell>
          <cell r="I980">
            <v>0</v>
          </cell>
          <cell r="J980">
            <v>0</v>
          </cell>
        </row>
        <row r="981">
          <cell r="B981" t="str">
            <v>5-1318</v>
          </cell>
          <cell r="C981" t="str">
            <v>Joint Salary alocation</v>
          </cell>
          <cell r="D981">
            <v>60200</v>
          </cell>
          <cell r="E981">
            <v>0</v>
          </cell>
          <cell r="F981">
            <v>60165</v>
          </cell>
          <cell r="G981">
            <v>0</v>
          </cell>
          <cell r="H981">
            <v>60165</v>
          </cell>
          <cell r="I981">
            <v>120365</v>
          </cell>
          <cell r="J981">
            <v>0</v>
          </cell>
        </row>
        <row r="982">
          <cell r="B982" t="str">
            <v>5-1319</v>
          </cell>
          <cell r="C982" t="str">
            <v>Other Salary</v>
          </cell>
          <cell r="D982">
            <v>0</v>
          </cell>
          <cell r="E982">
            <v>0</v>
          </cell>
          <cell r="F982">
            <v>0</v>
          </cell>
          <cell r="G982">
            <v>0</v>
          </cell>
          <cell r="H982">
            <v>0</v>
          </cell>
          <cell r="I982">
            <v>0</v>
          </cell>
          <cell r="J982">
            <v>0</v>
          </cell>
        </row>
        <row r="983">
          <cell r="B983" t="str">
            <v>5-1320</v>
          </cell>
          <cell r="C983" t="str">
            <v>Personal Allowance</v>
          </cell>
          <cell r="D983">
            <v>0</v>
          </cell>
          <cell r="E983">
            <v>0</v>
          </cell>
          <cell r="F983">
            <v>0</v>
          </cell>
          <cell r="G983">
            <v>0</v>
          </cell>
          <cell r="H983">
            <v>0</v>
          </cell>
          <cell r="I983">
            <v>0</v>
          </cell>
          <cell r="J983">
            <v>0</v>
          </cell>
        </row>
        <row r="984">
          <cell r="B984" t="str">
            <v>5-1321</v>
          </cell>
          <cell r="C984" t="str">
            <v>Allowance of Hulled Rice</v>
          </cell>
          <cell r="D984">
            <v>4497800</v>
          </cell>
          <cell r="E984">
            <v>0</v>
          </cell>
          <cell r="F984">
            <v>5274000</v>
          </cell>
          <cell r="G984">
            <v>0</v>
          </cell>
          <cell r="H984">
            <v>5274000</v>
          </cell>
          <cell r="I984">
            <v>9771800</v>
          </cell>
          <cell r="J984">
            <v>0</v>
          </cell>
        </row>
        <row r="985">
          <cell r="B985" t="str">
            <v>5-1322</v>
          </cell>
          <cell r="C985" t="str">
            <v>Alowance of doctor and medicin</v>
          </cell>
          <cell r="D985">
            <v>0</v>
          </cell>
          <cell r="E985">
            <v>0</v>
          </cell>
          <cell r="F985">
            <v>2691620.1</v>
          </cell>
          <cell r="G985">
            <v>245500</v>
          </cell>
          <cell r="H985">
            <v>2446120.1</v>
          </cell>
          <cell r="I985">
            <v>2446120.1</v>
          </cell>
          <cell r="J985">
            <v>0</v>
          </cell>
        </row>
        <row r="986">
          <cell r="B986" t="str">
            <v>5-1323</v>
          </cell>
          <cell r="C986" t="str">
            <v>Allowance of Spectacles</v>
          </cell>
          <cell r="D986">
            <v>0</v>
          </cell>
          <cell r="E986">
            <v>0</v>
          </cell>
          <cell r="F986">
            <v>0</v>
          </cell>
          <cell r="G986">
            <v>0</v>
          </cell>
          <cell r="H986">
            <v>0</v>
          </cell>
          <cell r="I986">
            <v>0</v>
          </cell>
          <cell r="J986">
            <v>0</v>
          </cell>
        </row>
        <row r="987">
          <cell r="B987" t="str">
            <v>5-1324</v>
          </cell>
          <cell r="C987" t="str">
            <v>Allowance of operation&amp;hospita</v>
          </cell>
          <cell r="D987">
            <v>0</v>
          </cell>
          <cell r="E987">
            <v>0</v>
          </cell>
          <cell r="F987">
            <v>0</v>
          </cell>
          <cell r="G987">
            <v>0</v>
          </cell>
          <cell r="H987">
            <v>0</v>
          </cell>
          <cell r="I987">
            <v>0</v>
          </cell>
          <cell r="J987">
            <v>0</v>
          </cell>
        </row>
        <row r="988">
          <cell r="B988" t="str">
            <v>5-1325</v>
          </cell>
          <cell r="C988" t="str">
            <v>Allowance of disaster &amp; die</v>
          </cell>
          <cell r="D988">
            <v>0</v>
          </cell>
          <cell r="E988">
            <v>0</v>
          </cell>
          <cell r="F988">
            <v>0</v>
          </cell>
          <cell r="G988">
            <v>0</v>
          </cell>
          <cell r="H988">
            <v>0</v>
          </cell>
          <cell r="I988">
            <v>0</v>
          </cell>
          <cell r="J988">
            <v>0</v>
          </cell>
        </row>
        <row r="989">
          <cell r="B989" t="str">
            <v>5-1326</v>
          </cell>
          <cell r="C989" t="str">
            <v>Allowance of hari raya</v>
          </cell>
          <cell r="D989">
            <v>108603435</v>
          </cell>
          <cell r="E989">
            <v>0</v>
          </cell>
          <cell r="F989">
            <v>0</v>
          </cell>
          <cell r="G989">
            <v>0</v>
          </cell>
          <cell r="H989">
            <v>0</v>
          </cell>
          <cell r="I989">
            <v>108603435</v>
          </cell>
          <cell r="J989">
            <v>0</v>
          </cell>
        </row>
        <row r="990">
          <cell r="B990" t="str">
            <v>5-1327</v>
          </cell>
          <cell r="C990" t="str">
            <v>Allowance of birth</v>
          </cell>
          <cell r="D990">
            <v>0</v>
          </cell>
          <cell r="E990">
            <v>0</v>
          </cell>
          <cell r="F990">
            <v>800000</v>
          </cell>
          <cell r="G990">
            <v>0</v>
          </cell>
          <cell r="H990">
            <v>800000</v>
          </cell>
          <cell r="I990">
            <v>800000</v>
          </cell>
          <cell r="J990">
            <v>0</v>
          </cell>
        </row>
        <row r="991">
          <cell r="B991" t="str">
            <v>5-1328</v>
          </cell>
          <cell r="C991" t="str">
            <v>Allowance of married</v>
          </cell>
          <cell r="D991">
            <v>0</v>
          </cell>
          <cell r="E991">
            <v>0</v>
          </cell>
          <cell r="F991">
            <v>0</v>
          </cell>
          <cell r="G991">
            <v>0</v>
          </cell>
          <cell r="H991">
            <v>0</v>
          </cell>
          <cell r="I991">
            <v>0</v>
          </cell>
          <cell r="J991">
            <v>0</v>
          </cell>
        </row>
        <row r="992">
          <cell r="B992" t="str">
            <v>5-1329</v>
          </cell>
          <cell r="C992" t="str">
            <v>Allowance of house rent&amp;others</v>
          </cell>
          <cell r="D992">
            <v>0</v>
          </cell>
          <cell r="E992">
            <v>0</v>
          </cell>
          <cell r="F992">
            <v>0</v>
          </cell>
          <cell r="G992">
            <v>0</v>
          </cell>
          <cell r="H992">
            <v>0</v>
          </cell>
          <cell r="I992">
            <v>0</v>
          </cell>
          <cell r="J992">
            <v>0</v>
          </cell>
        </row>
        <row r="993">
          <cell r="B993" t="str">
            <v>5-1330</v>
          </cell>
          <cell r="C993" t="str">
            <v>Office</v>
          </cell>
          <cell r="D993">
            <v>0</v>
          </cell>
          <cell r="E993">
            <v>0</v>
          </cell>
          <cell r="F993">
            <v>0</v>
          </cell>
          <cell r="G993">
            <v>0</v>
          </cell>
          <cell r="H993">
            <v>0</v>
          </cell>
          <cell r="I993">
            <v>0</v>
          </cell>
          <cell r="J993">
            <v>0</v>
          </cell>
        </row>
        <row r="994">
          <cell r="B994" t="str">
            <v>5-1331</v>
          </cell>
          <cell r="C994" t="str">
            <v>Stationary papers</v>
          </cell>
          <cell r="D994">
            <v>0</v>
          </cell>
          <cell r="E994">
            <v>0</v>
          </cell>
          <cell r="F994">
            <v>127974.45</v>
          </cell>
          <cell r="G994">
            <v>0</v>
          </cell>
          <cell r="H994">
            <v>127974.45</v>
          </cell>
          <cell r="I994">
            <v>127974.45</v>
          </cell>
          <cell r="J994">
            <v>0</v>
          </cell>
        </row>
        <row r="995">
          <cell r="B995" t="str">
            <v>5-1332</v>
          </cell>
          <cell r="C995" t="str">
            <v>Stationary written toolls</v>
          </cell>
          <cell r="D995">
            <v>0</v>
          </cell>
          <cell r="E995">
            <v>0</v>
          </cell>
          <cell r="F995">
            <v>238761.15</v>
          </cell>
          <cell r="G995">
            <v>0</v>
          </cell>
          <cell r="H995">
            <v>238761.15</v>
          </cell>
          <cell r="I995">
            <v>238761.15</v>
          </cell>
          <cell r="J995">
            <v>0</v>
          </cell>
        </row>
        <row r="996">
          <cell r="B996" t="str">
            <v>5-1333</v>
          </cell>
          <cell r="C996" t="str">
            <v>Stationary ink</v>
          </cell>
          <cell r="D996" t="str">
            <v>0.00cr</v>
          </cell>
          <cell r="E996">
            <v>0</v>
          </cell>
          <cell r="F996">
            <v>363249.37</v>
          </cell>
          <cell r="G996">
            <v>0</v>
          </cell>
          <cell r="H996">
            <v>363249.37</v>
          </cell>
          <cell r="I996">
            <v>363249.37</v>
          </cell>
          <cell r="J996">
            <v>0</v>
          </cell>
        </row>
        <row r="997">
          <cell r="B997" t="str">
            <v>5-1334</v>
          </cell>
          <cell r="C997" t="str">
            <v>Stationary Others</v>
          </cell>
          <cell r="D997">
            <v>0</v>
          </cell>
          <cell r="E997">
            <v>0</v>
          </cell>
          <cell r="F997">
            <v>0</v>
          </cell>
          <cell r="G997">
            <v>0</v>
          </cell>
          <cell r="H997">
            <v>0</v>
          </cell>
          <cell r="I997">
            <v>0</v>
          </cell>
          <cell r="J997">
            <v>0</v>
          </cell>
        </row>
        <row r="998">
          <cell r="B998" t="str">
            <v>5-1335</v>
          </cell>
          <cell r="C998" t="str">
            <v>Consumptions</v>
          </cell>
          <cell r="D998">
            <v>0</v>
          </cell>
          <cell r="E998">
            <v>0</v>
          </cell>
          <cell r="F998">
            <v>0</v>
          </cell>
          <cell r="G998">
            <v>0</v>
          </cell>
          <cell r="H998">
            <v>0</v>
          </cell>
          <cell r="I998">
            <v>0</v>
          </cell>
          <cell r="J998">
            <v>0</v>
          </cell>
        </row>
        <row r="999">
          <cell r="B999" t="str">
            <v>5-1336</v>
          </cell>
          <cell r="C999" t="str">
            <v>Foto copy &amp; printing</v>
          </cell>
          <cell r="D999">
            <v>0</v>
          </cell>
          <cell r="E999">
            <v>0</v>
          </cell>
          <cell r="F999">
            <v>0</v>
          </cell>
          <cell r="G999">
            <v>0</v>
          </cell>
          <cell r="H999">
            <v>0</v>
          </cell>
          <cell r="I999">
            <v>0</v>
          </cell>
          <cell r="J999">
            <v>0</v>
          </cell>
        </row>
        <row r="1000">
          <cell r="B1000" t="str">
            <v>5-1337</v>
          </cell>
          <cell r="C1000" t="str">
            <v>Office Suplies</v>
          </cell>
          <cell r="D1000">
            <v>0</v>
          </cell>
          <cell r="E1000">
            <v>0</v>
          </cell>
          <cell r="F1000">
            <v>100000</v>
          </cell>
          <cell r="G1000">
            <v>0</v>
          </cell>
          <cell r="H1000">
            <v>100000</v>
          </cell>
          <cell r="I1000">
            <v>100000</v>
          </cell>
          <cell r="J1000">
            <v>0</v>
          </cell>
        </row>
        <row r="1001">
          <cell r="B1001" t="str">
            <v>5-1340</v>
          </cell>
          <cell r="C1001" t="str">
            <v>Transportation&amp;Telecomunicatio</v>
          </cell>
          <cell r="D1001">
            <v>0</v>
          </cell>
          <cell r="E1001">
            <v>0</v>
          </cell>
          <cell r="F1001">
            <v>0</v>
          </cell>
          <cell r="G1001">
            <v>0</v>
          </cell>
          <cell r="H1001">
            <v>0</v>
          </cell>
          <cell r="I1001">
            <v>0</v>
          </cell>
          <cell r="J1001">
            <v>0</v>
          </cell>
        </row>
        <row r="1002">
          <cell r="B1002" t="str">
            <v>5-1341</v>
          </cell>
          <cell r="C1002" t="str">
            <v>Mail &amp; Shipment</v>
          </cell>
          <cell r="D1002">
            <v>0</v>
          </cell>
          <cell r="E1002">
            <v>0</v>
          </cell>
          <cell r="F1002">
            <v>0</v>
          </cell>
          <cell r="G1002">
            <v>0</v>
          </cell>
          <cell r="H1002">
            <v>0</v>
          </cell>
          <cell r="I1002">
            <v>0</v>
          </cell>
          <cell r="J1002">
            <v>0</v>
          </cell>
        </row>
        <row r="1003">
          <cell r="B1003" t="str">
            <v>5-1342</v>
          </cell>
          <cell r="C1003" t="str">
            <v>Telephone</v>
          </cell>
          <cell r="D1003">
            <v>0</v>
          </cell>
          <cell r="E1003">
            <v>0</v>
          </cell>
          <cell r="F1003">
            <v>0</v>
          </cell>
          <cell r="G1003">
            <v>0</v>
          </cell>
          <cell r="H1003">
            <v>0</v>
          </cell>
          <cell r="I1003">
            <v>0</v>
          </cell>
          <cell r="J1003">
            <v>0</v>
          </cell>
        </row>
        <row r="1004">
          <cell r="B1004" t="str">
            <v>5-1343</v>
          </cell>
          <cell r="C1004" t="str">
            <v>Fuel</v>
          </cell>
          <cell r="D1004">
            <v>0</v>
          </cell>
          <cell r="E1004">
            <v>0</v>
          </cell>
          <cell r="F1004">
            <v>0</v>
          </cell>
          <cell r="G1004">
            <v>0</v>
          </cell>
          <cell r="H1004">
            <v>0</v>
          </cell>
          <cell r="I1004">
            <v>0</v>
          </cell>
          <cell r="J1004">
            <v>0</v>
          </cell>
        </row>
        <row r="1005">
          <cell r="B1005" t="str">
            <v>5-1344</v>
          </cell>
          <cell r="C1005" t="str">
            <v>Accommodations</v>
          </cell>
          <cell r="D1005">
            <v>0</v>
          </cell>
          <cell r="E1005">
            <v>0</v>
          </cell>
          <cell r="F1005">
            <v>0</v>
          </cell>
          <cell r="G1005">
            <v>0</v>
          </cell>
          <cell r="H1005">
            <v>0</v>
          </cell>
          <cell r="I1005">
            <v>0</v>
          </cell>
          <cell r="J1005">
            <v>0</v>
          </cell>
        </row>
        <row r="1006">
          <cell r="B1006" t="str">
            <v>5-1345</v>
          </cell>
          <cell r="C1006" t="str">
            <v>Public Transportation</v>
          </cell>
          <cell r="D1006">
            <v>0</v>
          </cell>
          <cell r="E1006">
            <v>0</v>
          </cell>
          <cell r="F1006">
            <v>0</v>
          </cell>
          <cell r="G1006">
            <v>0</v>
          </cell>
          <cell r="H1006">
            <v>0</v>
          </cell>
          <cell r="I1006">
            <v>0</v>
          </cell>
          <cell r="J1006">
            <v>0</v>
          </cell>
        </row>
        <row r="1007">
          <cell r="B1007" t="str">
            <v>5-1346</v>
          </cell>
          <cell r="C1007" t="str">
            <v>Joint Transportation Allocatio</v>
          </cell>
          <cell r="D1007">
            <v>0</v>
          </cell>
          <cell r="E1007">
            <v>0</v>
          </cell>
          <cell r="F1007">
            <v>0</v>
          </cell>
          <cell r="G1007">
            <v>0</v>
          </cell>
          <cell r="H1007">
            <v>0</v>
          </cell>
          <cell r="I1007">
            <v>0</v>
          </cell>
          <cell r="J1007">
            <v>0</v>
          </cell>
        </row>
        <row r="1008">
          <cell r="B1008" t="str">
            <v>5-1349</v>
          </cell>
          <cell r="C1008" t="str">
            <v>Others</v>
          </cell>
          <cell r="D1008">
            <v>0</v>
          </cell>
          <cell r="E1008">
            <v>0</v>
          </cell>
          <cell r="F1008">
            <v>0</v>
          </cell>
          <cell r="G1008">
            <v>0</v>
          </cell>
          <cell r="H1008">
            <v>0</v>
          </cell>
          <cell r="I1008">
            <v>0</v>
          </cell>
          <cell r="J1008">
            <v>0</v>
          </cell>
        </row>
        <row r="1009">
          <cell r="B1009" t="str">
            <v>5-1350</v>
          </cell>
          <cell r="C1009" t="str">
            <v>Perbaikan &amp; pemeliharan</v>
          </cell>
          <cell r="D1009">
            <v>0</v>
          </cell>
          <cell r="E1009">
            <v>0</v>
          </cell>
          <cell r="F1009">
            <v>0</v>
          </cell>
          <cell r="G1009">
            <v>0</v>
          </cell>
          <cell r="H1009">
            <v>0</v>
          </cell>
          <cell r="I1009">
            <v>0</v>
          </cell>
          <cell r="J1009">
            <v>0</v>
          </cell>
        </row>
        <row r="1010">
          <cell r="B1010" t="str">
            <v>5-1351</v>
          </cell>
          <cell r="C1010" t="str">
            <v>R &amp; M - Computer &amp; audio visua</v>
          </cell>
          <cell r="D1010">
            <v>0</v>
          </cell>
          <cell r="E1010">
            <v>0</v>
          </cell>
          <cell r="F1010">
            <v>0</v>
          </cell>
          <cell r="G1010">
            <v>0</v>
          </cell>
          <cell r="H1010">
            <v>0</v>
          </cell>
          <cell r="I1010">
            <v>0</v>
          </cell>
          <cell r="J1010">
            <v>0</v>
          </cell>
        </row>
        <row r="1011">
          <cell r="B1011" t="str">
            <v>5-1352</v>
          </cell>
          <cell r="C1011" t="str">
            <v>R &amp; M - Telephone &amp; Faxs</v>
          </cell>
          <cell r="D1011">
            <v>0</v>
          </cell>
          <cell r="E1011">
            <v>0</v>
          </cell>
          <cell r="F1011">
            <v>0</v>
          </cell>
          <cell r="G1011">
            <v>0</v>
          </cell>
          <cell r="H1011">
            <v>0</v>
          </cell>
          <cell r="I1011">
            <v>0</v>
          </cell>
          <cell r="J1011">
            <v>0</v>
          </cell>
        </row>
        <row r="1012">
          <cell r="B1012" t="str">
            <v>5-1353</v>
          </cell>
          <cell r="C1012" t="str">
            <v>R &amp; M - Office Eqiupment</v>
          </cell>
          <cell r="D1012">
            <v>0</v>
          </cell>
          <cell r="E1012">
            <v>0</v>
          </cell>
          <cell r="F1012">
            <v>0</v>
          </cell>
          <cell r="G1012">
            <v>0</v>
          </cell>
          <cell r="H1012">
            <v>0</v>
          </cell>
          <cell r="I1012">
            <v>0</v>
          </cell>
          <cell r="J1012">
            <v>0</v>
          </cell>
        </row>
        <row r="1013">
          <cell r="B1013" t="str">
            <v>5-1354</v>
          </cell>
          <cell r="C1013" t="str">
            <v>R &amp; M - Teaching Eqiupment</v>
          </cell>
          <cell r="D1013">
            <v>0</v>
          </cell>
          <cell r="E1013">
            <v>0</v>
          </cell>
          <cell r="F1013">
            <v>0</v>
          </cell>
          <cell r="G1013">
            <v>0</v>
          </cell>
          <cell r="H1013">
            <v>0</v>
          </cell>
          <cell r="I1013">
            <v>0</v>
          </cell>
          <cell r="J1013">
            <v>0</v>
          </cell>
        </row>
        <row r="1014">
          <cell r="B1014" t="str">
            <v>5-1355</v>
          </cell>
          <cell r="C1014" t="str">
            <v>R &amp; M - Others Eqiupment</v>
          </cell>
          <cell r="D1014">
            <v>0</v>
          </cell>
          <cell r="E1014">
            <v>0</v>
          </cell>
          <cell r="F1014">
            <v>0</v>
          </cell>
          <cell r="G1014">
            <v>0</v>
          </cell>
          <cell r="H1014">
            <v>0</v>
          </cell>
          <cell r="I1014">
            <v>0</v>
          </cell>
          <cell r="J1014">
            <v>0</v>
          </cell>
        </row>
        <row r="1015">
          <cell r="B1015" t="str">
            <v>5-1356</v>
          </cell>
          <cell r="C1015" t="str">
            <v>R &amp; M - Table &amp; Chairs</v>
          </cell>
          <cell r="D1015">
            <v>0</v>
          </cell>
          <cell r="E1015">
            <v>0</v>
          </cell>
          <cell r="F1015">
            <v>0</v>
          </cell>
          <cell r="G1015">
            <v>0</v>
          </cell>
          <cell r="H1015">
            <v>0</v>
          </cell>
          <cell r="I1015">
            <v>0</v>
          </cell>
          <cell r="J1015">
            <v>0</v>
          </cell>
        </row>
        <row r="1016">
          <cell r="B1016" t="str">
            <v>5-1357</v>
          </cell>
          <cell r="C1016" t="str">
            <v>R &amp; M - Cupboard &amp; Rack</v>
          </cell>
          <cell r="D1016">
            <v>0</v>
          </cell>
          <cell r="E1016">
            <v>0</v>
          </cell>
          <cell r="F1016">
            <v>0</v>
          </cell>
          <cell r="G1016">
            <v>0</v>
          </cell>
          <cell r="H1016">
            <v>0</v>
          </cell>
          <cell r="I1016">
            <v>0</v>
          </cell>
          <cell r="J1016">
            <v>0</v>
          </cell>
        </row>
        <row r="1017">
          <cell r="B1017" t="str">
            <v>5-1358</v>
          </cell>
          <cell r="C1017" t="str">
            <v>R &amp; M - Other Furniture</v>
          </cell>
          <cell r="D1017">
            <v>0</v>
          </cell>
          <cell r="E1017">
            <v>0</v>
          </cell>
          <cell r="F1017">
            <v>0</v>
          </cell>
          <cell r="G1017">
            <v>0</v>
          </cell>
          <cell r="H1017">
            <v>0</v>
          </cell>
          <cell r="I1017">
            <v>0</v>
          </cell>
          <cell r="J1017">
            <v>0</v>
          </cell>
        </row>
        <row r="1018">
          <cell r="B1018" t="str">
            <v>5-1359</v>
          </cell>
          <cell r="C1018" t="str">
            <v>Others</v>
          </cell>
          <cell r="D1018">
            <v>0</v>
          </cell>
          <cell r="E1018">
            <v>0</v>
          </cell>
          <cell r="F1018">
            <v>0</v>
          </cell>
          <cell r="G1018">
            <v>0</v>
          </cell>
          <cell r="H1018">
            <v>0</v>
          </cell>
          <cell r="I1018">
            <v>0</v>
          </cell>
          <cell r="J1018">
            <v>0</v>
          </cell>
        </row>
        <row r="1019">
          <cell r="B1019" t="str">
            <v>5-1360</v>
          </cell>
          <cell r="C1019" t="str">
            <v>Media Pembelajaran</v>
          </cell>
          <cell r="D1019">
            <v>0</v>
          </cell>
          <cell r="E1019">
            <v>0</v>
          </cell>
          <cell r="F1019">
            <v>0</v>
          </cell>
          <cell r="G1019">
            <v>0</v>
          </cell>
          <cell r="H1019">
            <v>0</v>
          </cell>
          <cell r="I1019">
            <v>0</v>
          </cell>
          <cell r="J1019">
            <v>0</v>
          </cell>
        </row>
        <row r="1020">
          <cell r="B1020" t="str">
            <v>5-1361</v>
          </cell>
          <cell r="C1020" t="str">
            <v>Bahan Praktikum</v>
          </cell>
          <cell r="D1020">
            <v>0</v>
          </cell>
          <cell r="E1020">
            <v>0</v>
          </cell>
          <cell r="F1020">
            <v>0</v>
          </cell>
          <cell r="G1020">
            <v>0</v>
          </cell>
          <cell r="H1020">
            <v>0</v>
          </cell>
          <cell r="I1020">
            <v>0</v>
          </cell>
          <cell r="J1020">
            <v>0</v>
          </cell>
        </row>
        <row r="1021">
          <cell r="B1021" t="str">
            <v>5-1362</v>
          </cell>
          <cell r="C1021" t="str">
            <v>Alat Peraga</v>
          </cell>
          <cell r="D1021">
            <v>0</v>
          </cell>
          <cell r="E1021">
            <v>0</v>
          </cell>
          <cell r="F1021">
            <v>0</v>
          </cell>
          <cell r="G1021">
            <v>0</v>
          </cell>
          <cell r="H1021">
            <v>0</v>
          </cell>
          <cell r="I1021">
            <v>0</v>
          </cell>
          <cell r="J1021">
            <v>0</v>
          </cell>
        </row>
        <row r="1022">
          <cell r="B1022" t="str">
            <v>5-1363</v>
          </cell>
          <cell r="C1022" t="str">
            <v>Buku Panduan</v>
          </cell>
          <cell r="D1022">
            <v>0</v>
          </cell>
          <cell r="E1022">
            <v>0</v>
          </cell>
          <cell r="F1022">
            <v>0</v>
          </cell>
          <cell r="G1022">
            <v>0</v>
          </cell>
          <cell r="H1022">
            <v>0</v>
          </cell>
          <cell r="I1022">
            <v>0</v>
          </cell>
          <cell r="J1022">
            <v>0</v>
          </cell>
        </row>
        <row r="1023">
          <cell r="B1023" t="str">
            <v>5-1364</v>
          </cell>
          <cell r="C1023" t="str">
            <v>CD Pembelajaran</v>
          </cell>
          <cell r="D1023">
            <v>0</v>
          </cell>
          <cell r="E1023">
            <v>0</v>
          </cell>
          <cell r="F1023">
            <v>0</v>
          </cell>
          <cell r="G1023">
            <v>0</v>
          </cell>
          <cell r="H1023">
            <v>0</v>
          </cell>
          <cell r="I1023">
            <v>0</v>
          </cell>
          <cell r="J1023">
            <v>0</v>
          </cell>
        </row>
        <row r="1024">
          <cell r="B1024" t="str">
            <v>5-1365</v>
          </cell>
          <cell r="C1024" t="str">
            <v>Perlengkapan olah raga</v>
          </cell>
          <cell r="D1024">
            <v>0</v>
          </cell>
          <cell r="E1024">
            <v>0</v>
          </cell>
          <cell r="F1024">
            <v>0</v>
          </cell>
          <cell r="G1024">
            <v>0</v>
          </cell>
          <cell r="H1024">
            <v>0</v>
          </cell>
          <cell r="I1024">
            <v>0</v>
          </cell>
          <cell r="J1024">
            <v>0</v>
          </cell>
        </row>
        <row r="1025">
          <cell r="B1025" t="str">
            <v>5-1366</v>
          </cell>
          <cell r="C1025" t="str">
            <v>Perlengkapan lab Sains</v>
          </cell>
          <cell r="D1025">
            <v>0</v>
          </cell>
          <cell r="E1025">
            <v>0</v>
          </cell>
          <cell r="F1025">
            <v>0</v>
          </cell>
          <cell r="G1025">
            <v>0</v>
          </cell>
          <cell r="H1025">
            <v>0</v>
          </cell>
          <cell r="I1025">
            <v>0</v>
          </cell>
          <cell r="J1025">
            <v>0</v>
          </cell>
        </row>
        <row r="1026">
          <cell r="B1026" t="str">
            <v>5-1367</v>
          </cell>
          <cell r="C1026" t="str">
            <v>Perlengkapan Lab Komputer</v>
          </cell>
          <cell r="D1026">
            <v>0</v>
          </cell>
          <cell r="E1026">
            <v>0</v>
          </cell>
          <cell r="F1026">
            <v>0</v>
          </cell>
          <cell r="G1026">
            <v>0</v>
          </cell>
          <cell r="H1026">
            <v>0</v>
          </cell>
          <cell r="I1026">
            <v>0</v>
          </cell>
          <cell r="J1026">
            <v>0</v>
          </cell>
        </row>
        <row r="1027">
          <cell r="B1027" t="str">
            <v>5-1368</v>
          </cell>
          <cell r="C1027" t="str">
            <v>Perlengkapan kelas</v>
          </cell>
          <cell r="D1027">
            <v>0</v>
          </cell>
          <cell r="E1027">
            <v>0</v>
          </cell>
          <cell r="F1027">
            <v>0</v>
          </cell>
          <cell r="G1027">
            <v>0</v>
          </cell>
          <cell r="H1027">
            <v>0</v>
          </cell>
          <cell r="I1027">
            <v>0</v>
          </cell>
          <cell r="J1027">
            <v>0</v>
          </cell>
        </row>
        <row r="1028">
          <cell r="B1028" t="str">
            <v>5-1369</v>
          </cell>
          <cell r="C1028" t="str">
            <v>Others</v>
          </cell>
          <cell r="D1028">
            <v>0</v>
          </cell>
          <cell r="E1028">
            <v>0</v>
          </cell>
          <cell r="F1028">
            <v>0</v>
          </cell>
          <cell r="G1028">
            <v>0</v>
          </cell>
          <cell r="H1028">
            <v>0</v>
          </cell>
          <cell r="I1028">
            <v>0</v>
          </cell>
          <cell r="J1028">
            <v>0</v>
          </cell>
        </row>
        <row r="1029">
          <cell r="B1029" t="str">
            <v>5-1370</v>
          </cell>
          <cell r="C1029" t="str">
            <v>Pengayaan &amp; Ujian</v>
          </cell>
          <cell r="D1029">
            <v>0</v>
          </cell>
          <cell r="E1029">
            <v>0</v>
          </cell>
          <cell r="F1029">
            <v>0</v>
          </cell>
          <cell r="G1029">
            <v>0</v>
          </cell>
          <cell r="H1029">
            <v>0</v>
          </cell>
          <cell r="I1029">
            <v>0</v>
          </cell>
          <cell r="J1029">
            <v>0</v>
          </cell>
        </row>
        <row r="1030">
          <cell r="B1030" t="str">
            <v>5-1371</v>
          </cell>
          <cell r="C1030" t="str">
            <v>Penggandaan materi pengayaan</v>
          </cell>
          <cell r="D1030">
            <v>0</v>
          </cell>
          <cell r="E1030">
            <v>0</v>
          </cell>
          <cell r="F1030">
            <v>0</v>
          </cell>
          <cell r="G1030">
            <v>0</v>
          </cell>
          <cell r="H1030">
            <v>0</v>
          </cell>
          <cell r="I1030">
            <v>0</v>
          </cell>
          <cell r="J1030">
            <v>0</v>
          </cell>
        </row>
        <row r="1031">
          <cell r="B1031" t="str">
            <v>5-1372</v>
          </cell>
          <cell r="C1031" t="str">
            <v>Try out</v>
          </cell>
          <cell r="D1031">
            <v>0</v>
          </cell>
          <cell r="E1031">
            <v>0</v>
          </cell>
          <cell r="F1031">
            <v>0</v>
          </cell>
          <cell r="G1031">
            <v>0</v>
          </cell>
          <cell r="H1031">
            <v>0</v>
          </cell>
          <cell r="I1031">
            <v>0</v>
          </cell>
          <cell r="J1031">
            <v>0</v>
          </cell>
        </row>
        <row r="1032">
          <cell r="B1032" t="str">
            <v>5-1373</v>
          </cell>
          <cell r="C1032" t="str">
            <v>Penggandaan soal ujian</v>
          </cell>
          <cell r="D1032">
            <v>0</v>
          </cell>
          <cell r="E1032">
            <v>0</v>
          </cell>
          <cell r="F1032">
            <v>0</v>
          </cell>
          <cell r="G1032">
            <v>0</v>
          </cell>
          <cell r="H1032">
            <v>0</v>
          </cell>
          <cell r="I1032">
            <v>0</v>
          </cell>
          <cell r="J1032">
            <v>0</v>
          </cell>
        </row>
        <row r="1033">
          <cell r="B1033" t="str">
            <v>5-1374</v>
          </cell>
          <cell r="C1033" t="str">
            <v>Consumption</v>
          </cell>
          <cell r="D1033">
            <v>0</v>
          </cell>
          <cell r="E1033">
            <v>0</v>
          </cell>
          <cell r="F1033">
            <v>0</v>
          </cell>
          <cell r="G1033">
            <v>0</v>
          </cell>
          <cell r="H1033">
            <v>0</v>
          </cell>
          <cell r="I1033">
            <v>0</v>
          </cell>
          <cell r="J1033">
            <v>0</v>
          </cell>
        </row>
        <row r="1034">
          <cell r="B1034" t="str">
            <v>5-1375</v>
          </cell>
          <cell r="C1034" t="str">
            <v>Stationary</v>
          </cell>
          <cell r="D1034">
            <v>0</v>
          </cell>
          <cell r="E1034">
            <v>0</v>
          </cell>
          <cell r="F1034">
            <v>0</v>
          </cell>
          <cell r="G1034">
            <v>0</v>
          </cell>
          <cell r="H1034">
            <v>0</v>
          </cell>
          <cell r="I1034">
            <v>0</v>
          </cell>
          <cell r="J1034">
            <v>0</v>
          </cell>
        </row>
        <row r="1035">
          <cell r="B1035" t="str">
            <v>5-1376</v>
          </cell>
          <cell r="C1035" t="str">
            <v>Perlengkapan</v>
          </cell>
          <cell r="D1035">
            <v>0</v>
          </cell>
          <cell r="E1035">
            <v>0</v>
          </cell>
          <cell r="F1035">
            <v>0</v>
          </cell>
          <cell r="G1035">
            <v>0</v>
          </cell>
          <cell r="H1035">
            <v>0</v>
          </cell>
          <cell r="I1035">
            <v>0</v>
          </cell>
          <cell r="J1035">
            <v>0</v>
          </cell>
        </row>
        <row r="1036">
          <cell r="B1036" t="str">
            <v>5-1377</v>
          </cell>
          <cell r="C1036" t="str">
            <v>Transportation</v>
          </cell>
          <cell r="D1036">
            <v>0</v>
          </cell>
          <cell r="E1036">
            <v>0</v>
          </cell>
          <cell r="F1036">
            <v>0</v>
          </cell>
          <cell r="G1036">
            <v>0</v>
          </cell>
          <cell r="H1036">
            <v>0</v>
          </cell>
          <cell r="I1036">
            <v>0</v>
          </cell>
          <cell r="J1036">
            <v>0</v>
          </cell>
        </row>
        <row r="1037">
          <cell r="B1037" t="str">
            <v>5-1390</v>
          </cell>
          <cell r="C1037" t="str">
            <v>Lain-lain</v>
          </cell>
          <cell r="D1037">
            <v>0</v>
          </cell>
          <cell r="E1037">
            <v>0</v>
          </cell>
          <cell r="F1037">
            <v>0</v>
          </cell>
          <cell r="G1037">
            <v>0</v>
          </cell>
          <cell r="H1037">
            <v>0</v>
          </cell>
          <cell r="I1037">
            <v>0</v>
          </cell>
          <cell r="J1037">
            <v>0</v>
          </cell>
        </row>
        <row r="1038">
          <cell r="B1038" t="str">
            <v>5-1391</v>
          </cell>
          <cell r="C1038" t="str">
            <v>Kegiatan rapat</v>
          </cell>
          <cell r="D1038">
            <v>0</v>
          </cell>
          <cell r="E1038">
            <v>0</v>
          </cell>
          <cell r="F1038">
            <v>0</v>
          </cell>
          <cell r="G1038">
            <v>0</v>
          </cell>
          <cell r="H1038">
            <v>0</v>
          </cell>
          <cell r="I1038">
            <v>0</v>
          </cell>
          <cell r="J1038">
            <v>0</v>
          </cell>
        </row>
        <row r="1039">
          <cell r="B1039" t="str">
            <v>5-1392</v>
          </cell>
          <cell r="C1039" t="str">
            <v>Study Banding, rihlah, out bon</v>
          </cell>
          <cell r="D1039">
            <v>0</v>
          </cell>
          <cell r="E1039">
            <v>0</v>
          </cell>
          <cell r="F1039">
            <v>0</v>
          </cell>
          <cell r="G1039">
            <v>0</v>
          </cell>
          <cell r="H1039">
            <v>0</v>
          </cell>
          <cell r="I1039">
            <v>0</v>
          </cell>
          <cell r="J1039">
            <v>0</v>
          </cell>
        </row>
        <row r="1040">
          <cell r="B1040" t="str">
            <v>5-1393</v>
          </cell>
          <cell r="C1040" t="str">
            <v>Pelatihan &amp; Workshop</v>
          </cell>
          <cell r="D1040">
            <v>0</v>
          </cell>
          <cell r="E1040">
            <v>0</v>
          </cell>
          <cell r="F1040">
            <v>0</v>
          </cell>
          <cell r="G1040">
            <v>0</v>
          </cell>
          <cell r="H1040">
            <v>0</v>
          </cell>
          <cell r="I1040">
            <v>0</v>
          </cell>
          <cell r="J1040">
            <v>0</v>
          </cell>
        </row>
        <row r="1041">
          <cell r="B1041" t="str">
            <v>5-1394</v>
          </cell>
          <cell r="C1041" t="str">
            <v>Iuran kKM dan lomba santri</v>
          </cell>
          <cell r="D1041">
            <v>0</v>
          </cell>
          <cell r="E1041">
            <v>0</v>
          </cell>
          <cell r="F1041">
            <v>0</v>
          </cell>
          <cell r="G1041">
            <v>0</v>
          </cell>
          <cell r="H1041">
            <v>0</v>
          </cell>
          <cell r="I1041">
            <v>0</v>
          </cell>
          <cell r="J1041">
            <v>0</v>
          </cell>
        </row>
        <row r="1042">
          <cell r="B1042" t="str">
            <v>5-1395</v>
          </cell>
          <cell r="C1042" t="str">
            <v>Hadiah santri</v>
          </cell>
          <cell r="D1042">
            <v>0</v>
          </cell>
          <cell r="E1042">
            <v>0</v>
          </cell>
          <cell r="F1042">
            <v>0</v>
          </cell>
          <cell r="G1042">
            <v>0</v>
          </cell>
          <cell r="H1042">
            <v>0</v>
          </cell>
          <cell r="I1042">
            <v>0</v>
          </cell>
          <cell r="J1042">
            <v>0</v>
          </cell>
        </row>
        <row r="1043">
          <cell r="B1043" t="str">
            <v>5-1396</v>
          </cell>
          <cell r="C1043" t="str">
            <v>MOS</v>
          </cell>
          <cell r="D1043">
            <v>0</v>
          </cell>
          <cell r="E1043">
            <v>0</v>
          </cell>
          <cell r="F1043">
            <v>0</v>
          </cell>
          <cell r="G1043">
            <v>0</v>
          </cell>
          <cell r="H1043">
            <v>0</v>
          </cell>
          <cell r="I1043">
            <v>0</v>
          </cell>
          <cell r="J1043">
            <v>0</v>
          </cell>
        </row>
        <row r="1044">
          <cell r="B1044" t="str">
            <v>5-1397</v>
          </cell>
          <cell r="C1044" t="str">
            <v>Profesional fee</v>
          </cell>
          <cell r="D1044">
            <v>0</v>
          </cell>
          <cell r="E1044">
            <v>0</v>
          </cell>
          <cell r="F1044">
            <v>0</v>
          </cell>
          <cell r="G1044">
            <v>0</v>
          </cell>
          <cell r="H1044">
            <v>0</v>
          </cell>
          <cell r="I1044">
            <v>0</v>
          </cell>
          <cell r="J1044">
            <v>0</v>
          </cell>
        </row>
        <row r="1045">
          <cell r="B1045" t="str">
            <v>5-2110</v>
          </cell>
          <cell r="C1045" t="str">
            <v>Personal Gaji</v>
          </cell>
          <cell r="D1045">
            <v>0</v>
          </cell>
          <cell r="E1045">
            <v>0</v>
          </cell>
          <cell r="F1045">
            <v>0</v>
          </cell>
          <cell r="G1045">
            <v>0</v>
          </cell>
          <cell r="H1045">
            <v>0</v>
          </cell>
          <cell r="I1045">
            <v>0</v>
          </cell>
          <cell r="J1045">
            <v>0</v>
          </cell>
        </row>
        <row r="1046">
          <cell r="B1046" t="str">
            <v>5-2111</v>
          </cell>
          <cell r="C1046" t="str">
            <v>Permanent Staff Salary</v>
          </cell>
          <cell r="D1046">
            <v>5161705</v>
          </cell>
          <cell r="E1046">
            <v>0</v>
          </cell>
          <cell r="F1046">
            <v>5164070</v>
          </cell>
          <cell r="G1046">
            <v>0</v>
          </cell>
          <cell r="H1046">
            <v>5164070</v>
          </cell>
          <cell r="I1046">
            <v>10325775</v>
          </cell>
          <cell r="J1046">
            <v>0</v>
          </cell>
        </row>
        <row r="1047">
          <cell r="B1047" t="str">
            <v>5-2112</v>
          </cell>
          <cell r="C1047" t="str">
            <v>Temporary Staff Salary</v>
          </cell>
          <cell r="D1047">
            <v>0</v>
          </cell>
          <cell r="E1047">
            <v>0</v>
          </cell>
          <cell r="F1047">
            <v>0</v>
          </cell>
          <cell r="G1047">
            <v>0</v>
          </cell>
          <cell r="H1047">
            <v>0</v>
          </cell>
          <cell r="I1047">
            <v>0</v>
          </cell>
          <cell r="J1047">
            <v>0</v>
          </cell>
        </row>
        <row r="1048">
          <cell r="B1048" t="str">
            <v>5-2113</v>
          </cell>
          <cell r="C1048" t="str">
            <v>Honorarium santri Khidmah</v>
          </cell>
          <cell r="D1048">
            <v>0</v>
          </cell>
          <cell r="E1048">
            <v>0</v>
          </cell>
          <cell r="F1048">
            <v>529000</v>
          </cell>
          <cell r="G1048">
            <v>0</v>
          </cell>
          <cell r="H1048">
            <v>529000</v>
          </cell>
          <cell r="I1048">
            <v>529000</v>
          </cell>
          <cell r="J1048">
            <v>0</v>
          </cell>
        </row>
        <row r="1049">
          <cell r="B1049" t="str">
            <v>5-2114</v>
          </cell>
          <cell r="C1049" t="str">
            <v>Staff overtime</v>
          </cell>
          <cell r="D1049">
            <v>0</v>
          </cell>
          <cell r="E1049">
            <v>0</v>
          </cell>
          <cell r="F1049">
            <v>0</v>
          </cell>
          <cell r="G1049">
            <v>0</v>
          </cell>
          <cell r="H1049">
            <v>0</v>
          </cell>
          <cell r="I1049">
            <v>0</v>
          </cell>
          <cell r="J1049">
            <v>0</v>
          </cell>
        </row>
        <row r="1050">
          <cell r="B1050" t="str">
            <v>5-2115</v>
          </cell>
          <cell r="C1050" t="str">
            <v>Joint Salary Allocation</v>
          </cell>
          <cell r="D1050">
            <v>0</v>
          </cell>
          <cell r="E1050">
            <v>0</v>
          </cell>
          <cell r="F1050">
            <v>0</v>
          </cell>
          <cell r="G1050">
            <v>0</v>
          </cell>
          <cell r="H1050">
            <v>0</v>
          </cell>
          <cell r="I1050">
            <v>0</v>
          </cell>
          <cell r="J1050">
            <v>0</v>
          </cell>
        </row>
        <row r="1051">
          <cell r="B1051" t="str">
            <v>5-2119</v>
          </cell>
          <cell r="C1051" t="str">
            <v>Others Salary</v>
          </cell>
          <cell r="D1051">
            <v>0</v>
          </cell>
          <cell r="E1051">
            <v>0</v>
          </cell>
          <cell r="F1051">
            <v>0</v>
          </cell>
          <cell r="G1051">
            <v>0</v>
          </cell>
          <cell r="H1051">
            <v>0</v>
          </cell>
          <cell r="I1051">
            <v>0</v>
          </cell>
          <cell r="J1051">
            <v>0</v>
          </cell>
        </row>
        <row r="1052">
          <cell r="B1052" t="str">
            <v>5-2120</v>
          </cell>
          <cell r="C1052" t="str">
            <v>Personal Allowance of</v>
          </cell>
          <cell r="D1052">
            <v>0</v>
          </cell>
          <cell r="E1052">
            <v>0</v>
          </cell>
          <cell r="F1052">
            <v>0</v>
          </cell>
          <cell r="G1052">
            <v>0</v>
          </cell>
          <cell r="H1052">
            <v>0</v>
          </cell>
          <cell r="I1052">
            <v>0</v>
          </cell>
          <cell r="J1052">
            <v>0</v>
          </cell>
        </row>
        <row r="1053">
          <cell r="B1053" t="str">
            <v>5-2121</v>
          </cell>
          <cell r="C1053" t="str">
            <v>Allowance of Hulled Rice</v>
          </cell>
          <cell r="D1053">
            <v>378400</v>
          </cell>
          <cell r="E1053">
            <v>0</v>
          </cell>
          <cell r="F1053">
            <v>396000</v>
          </cell>
          <cell r="G1053">
            <v>0</v>
          </cell>
          <cell r="H1053">
            <v>396000</v>
          </cell>
          <cell r="I1053">
            <v>774400</v>
          </cell>
          <cell r="J1053">
            <v>0</v>
          </cell>
        </row>
        <row r="1054">
          <cell r="B1054" t="str">
            <v>5-2122</v>
          </cell>
          <cell r="C1054" t="str">
            <v>Alowance of doctor and medicin</v>
          </cell>
          <cell r="D1054" t="str">
            <v>0.00cr</v>
          </cell>
          <cell r="E1054">
            <v>0</v>
          </cell>
          <cell r="F1054">
            <v>35400</v>
          </cell>
          <cell r="G1054">
            <v>0</v>
          </cell>
          <cell r="H1054">
            <v>35400</v>
          </cell>
          <cell r="I1054">
            <v>35400</v>
          </cell>
          <cell r="J1054">
            <v>0</v>
          </cell>
        </row>
        <row r="1055">
          <cell r="B1055" t="str">
            <v>5-2123</v>
          </cell>
          <cell r="C1055" t="str">
            <v>Allowance of Spectacles</v>
          </cell>
          <cell r="D1055">
            <v>0</v>
          </cell>
          <cell r="E1055">
            <v>0</v>
          </cell>
          <cell r="F1055">
            <v>0</v>
          </cell>
          <cell r="G1055">
            <v>0</v>
          </cell>
          <cell r="H1055">
            <v>0</v>
          </cell>
          <cell r="I1055">
            <v>0</v>
          </cell>
          <cell r="J1055">
            <v>0</v>
          </cell>
        </row>
        <row r="1056">
          <cell r="B1056" t="str">
            <v>5-2124</v>
          </cell>
          <cell r="C1056" t="str">
            <v>Allowance of operation&amp;hospita</v>
          </cell>
          <cell r="D1056">
            <v>0</v>
          </cell>
          <cell r="E1056">
            <v>0</v>
          </cell>
          <cell r="F1056">
            <v>0</v>
          </cell>
          <cell r="G1056">
            <v>0</v>
          </cell>
          <cell r="H1056">
            <v>0</v>
          </cell>
          <cell r="I1056">
            <v>0</v>
          </cell>
          <cell r="J1056">
            <v>0</v>
          </cell>
        </row>
        <row r="1057">
          <cell r="B1057" t="str">
            <v>5-2125</v>
          </cell>
          <cell r="C1057" t="str">
            <v>Allowance of disaster &amp; die</v>
          </cell>
          <cell r="D1057">
            <v>0</v>
          </cell>
          <cell r="E1057">
            <v>0</v>
          </cell>
          <cell r="F1057">
            <v>0</v>
          </cell>
          <cell r="G1057">
            <v>0</v>
          </cell>
          <cell r="H1057">
            <v>0</v>
          </cell>
          <cell r="I1057">
            <v>0</v>
          </cell>
          <cell r="J1057">
            <v>0</v>
          </cell>
        </row>
        <row r="1058">
          <cell r="B1058" t="str">
            <v>5-2126</v>
          </cell>
          <cell r="C1058" t="str">
            <v>Allowance of hari raya</v>
          </cell>
          <cell r="D1058">
            <v>5153545</v>
          </cell>
          <cell r="E1058">
            <v>0</v>
          </cell>
          <cell r="F1058">
            <v>0</v>
          </cell>
          <cell r="G1058">
            <v>0</v>
          </cell>
          <cell r="H1058">
            <v>0</v>
          </cell>
          <cell r="I1058">
            <v>5153545</v>
          </cell>
          <cell r="J1058">
            <v>0</v>
          </cell>
        </row>
        <row r="1059">
          <cell r="B1059" t="str">
            <v>5-2127</v>
          </cell>
          <cell r="C1059" t="str">
            <v>Allowance of birth</v>
          </cell>
          <cell r="D1059">
            <v>0</v>
          </cell>
          <cell r="E1059">
            <v>0</v>
          </cell>
          <cell r="F1059">
            <v>0</v>
          </cell>
          <cell r="G1059">
            <v>0</v>
          </cell>
          <cell r="H1059">
            <v>0</v>
          </cell>
          <cell r="I1059">
            <v>0</v>
          </cell>
          <cell r="J1059">
            <v>0</v>
          </cell>
        </row>
        <row r="1060">
          <cell r="B1060" t="str">
            <v>5-2128</v>
          </cell>
          <cell r="C1060" t="str">
            <v>Allowance of married</v>
          </cell>
          <cell r="D1060">
            <v>0</v>
          </cell>
          <cell r="E1060">
            <v>0</v>
          </cell>
          <cell r="F1060">
            <v>0</v>
          </cell>
          <cell r="G1060">
            <v>0</v>
          </cell>
          <cell r="H1060">
            <v>0</v>
          </cell>
          <cell r="I1060">
            <v>0</v>
          </cell>
          <cell r="J1060">
            <v>0</v>
          </cell>
        </row>
        <row r="1061">
          <cell r="B1061" t="str">
            <v>5-2129</v>
          </cell>
          <cell r="C1061" t="str">
            <v>Allowance of house rent&amp;others</v>
          </cell>
          <cell r="D1061">
            <v>0</v>
          </cell>
          <cell r="E1061">
            <v>0</v>
          </cell>
          <cell r="F1061">
            <v>0</v>
          </cell>
          <cell r="G1061">
            <v>0</v>
          </cell>
          <cell r="H1061">
            <v>0</v>
          </cell>
          <cell r="I1061">
            <v>0</v>
          </cell>
          <cell r="J1061">
            <v>0</v>
          </cell>
        </row>
        <row r="1062">
          <cell r="B1062" t="str">
            <v>5-2130</v>
          </cell>
          <cell r="C1062" t="str">
            <v>Office</v>
          </cell>
          <cell r="D1062">
            <v>0</v>
          </cell>
          <cell r="E1062">
            <v>0</v>
          </cell>
          <cell r="F1062">
            <v>0</v>
          </cell>
          <cell r="G1062">
            <v>0</v>
          </cell>
          <cell r="H1062">
            <v>0</v>
          </cell>
          <cell r="I1062">
            <v>0</v>
          </cell>
          <cell r="J1062">
            <v>0</v>
          </cell>
        </row>
        <row r="1063">
          <cell r="B1063" t="str">
            <v>5-2131</v>
          </cell>
          <cell r="C1063" t="str">
            <v>Stationary papers</v>
          </cell>
          <cell r="D1063">
            <v>0</v>
          </cell>
          <cell r="E1063">
            <v>0</v>
          </cell>
          <cell r="F1063">
            <v>464925.46</v>
          </cell>
          <cell r="G1063">
            <v>0</v>
          </cell>
          <cell r="H1063">
            <v>464925.46</v>
          </cell>
          <cell r="I1063">
            <v>464925.46</v>
          </cell>
          <cell r="J1063">
            <v>0</v>
          </cell>
        </row>
        <row r="1064">
          <cell r="B1064" t="str">
            <v>5-2132</v>
          </cell>
          <cell r="C1064" t="str">
            <v>Stationary written toolls</v>
          </cell>
          <cell r="D1064" t="str">
            <v>0.00cr</v>
          </cell>
          <cell r="E1064">
            <v>0</v>
          </cell>
          <cell r="F1064">
            <v>703260.46</v>
          </cell>
          <cell r="G1064">
            <v>0</v>
          </cell>
          <cell r="H1064">
            <v>703260.46</v>
          </cell>
          <cell r="I1064">
            <v>703260.46</v>
          </cell>
          <cell r="J1064">
            <v>0</v>
          </cell>
        </row>
        <row r="1065">
          <cell r="B1065" t="str">
            <v>5-2133</v>
          </cell>
          <cell r="C1065" t="str">
            <v>Stationary ink</v>
          </cell>
          <cell r="D1065">
            <v>0</v>
          </cell>
          <cell r="E1065">
            <v>0</v>
          </cell>
          <cell r="F1065">
            <v>0</v>
          </cell>
          <cell r="G1065">
            <v>0</v>
          </cell>
          <cell r="H1065">
            <v>0</v>
          </cell>
          <cell r="I1065">
            <v>0</v>
          </cell>
          <cell r="J1065">
            <v>0</v>
          </cell>
        </row>
        <row r="1066">
          <cell r="B1066" t="str">
            <v>5-2134</v>
          </cell>
          <cell r="C1066" t="str">
            <v>Stationary Others</v>
          </cell>
          <cell r="D1066">
            <v>0</v>
          </cell>
          <cell r="E1066">
            <v>0</v>
          </cell>
          <cell r="F1066">
            <v>0</v>
          </cell>
          <cell r="G1066">
            <v>0</v>
          </cell>
          <cell r="H1066">
            <v>0</v>
          </cell>
          <cell r="I1066">
            <v>0</v>
          </cell>
          <cell r="J1066">
            <v>0</v>
          </cell>
        </row>
        <row r="1067">
          <cell r="B1067" t="str">
            <v>5-2135</v>
          </cell>
          <cell r="C1067" t="str">
            <v>Consumptions</v>
          </cell>
          <cell r="D1067">
            <v>0</v>
          </cell>
          <cell r="E1067">
            <v>0</v>
          </cell>
          <cell r="F1067">
            <v>0</v>
          </cell>
          <cell r="G1067">
            <v>0</v>
          </cell>
          <cell r="H1067">
            <v>0</v>
          </cell>
          <cell r="I1067">
            <v>0</v>
          </cell>
          <cell r="J1067">
            <v>0</v>
          </cell>
        </row>
        <row r="1068">
          <cell r="B1068" t="str">
            <v>5-2136</v>
          </cell>
          <cell r="C1068" t="str">
            <v>Foto copy &amp; printing</v>
          </cell>
          <cell r="D1068">
            <v>0</v>
          </cell>
          <cell r="E1068">
            <v>0</v>
          </cell>
          <cell r="F1068">
            <v>48000</v>
          </cell>
          <cell r="G1068">
            <v>0</v>
          </cell>
          <cell r="H1068">
            <v>48000</v>
          </cell>
          <cell r="I1068">
            <v>48000</v>
          </cell>
          <cell r="J1068">
            <v>0</v>
          </cell>
        </row>
        <row r="1069">
          <cell r="B1069" t="str">
            <v>5-2137</v>
          </cell>
          <cell r="C1069" t="str">
            <v>Office Suplies</v>
          </cell>
          <cell r="D1069">
            <v>0</v>
          </cell>
          <cell r="E1069">
            <v>0</v>
          </cell>
          <cell r="F1069">
            <v>0</v>
          </cell>
          <cell r="G1069">
            <v>0</v>
          </cell>
          <cell r="H1069">
            <v>0</v>
          </cell>
          <cell r="I1069">
            <v>0</v>
          </cell>
          <cell r="J1069">
            <v>0</v>
          </cell>
        </row>
        <row r="1070">
          <cell r="B1070" t="str">
            <v>5-2140</v>
          </cell>
          <cell r="C1070" t="str">
            <v>Transportation&amp;Telecomunicatio</v>
          </cell>
          <cell r="D1070">
            <v>0</v>
          </cell>
          <cell r="E1070">
            <v>0</v>
          </cell>
          <cell r="F1070">
            <v>0</v>
          </cell>
          <cell r="G1070">
            <v>0</v>
          </cell>
          <cell r="H1070">
            <v>0</v>
          </cell>
          <cell r="I1070">
            <v>0</v>
          </cell>
          <cell r="J1070">
            <v>0</v>
          </cell>
        </row>
        <row r="1071">
          <cell r="B1071" t="str">
            <v>5-2141</v>
          </cell>
          <cell r="C1071" t="str">
            <v>Mail &amp; Shipment</v>
          </cell>
          <cell r="D1071">
            <v>0</v>
          </cell>
          <cell r="E1071">
            <v>0</v>
          </cell>
          <cell r="F1071">
            <v>209700</v>
          </cell>
          <cell r="G1071">
            <v>0</v>
          </cell>
          <cell r="H1071">
            <v>209700</v>
          </cell>
          <cell r="I1071">
            <v>209700</v>
          </cell>
          <cell r="J1071">
            <v>0</v>
          </cell>
        </row>
        <row r="1072">
          <cell r="B1072" t="str">
            <v>5-2142</v>
          </cell>
          <cell r="C1072" t="str">
            <v>Telephone</v>
          </cell>
          <cell r="D1072">
            <v>0</v>
          </cell>
          <cell r="E1072">
            <v>0</v>
          </cell>
          <cell r="F1072">
            <v>309000</v>
          </cell>
          <cell r="G1072">
            <v>0</v>
          </cell>
          <cell r="H1072">
            <v>309000</v>
          </cell>
          <cell r="I1072">
            <v>309000</v>
          </cell>
          <cell r="J1072">
            <v>0</v>
          </cell>
        </row>
        <row r="1073">
          <cell r="B1073" t="str">
            <v>5-2143</v>
          </cell>
          <cell r="C1073" t="str">
            <v>Fuel</v>
          </cell>
          <cell r="D1073">
            <v>110000</v>
          </cell>
          <cell r="E1073">
            <v>0</v>
          </cell>
          <cell r="F1073">
            <v>125000</v>
          </cell>
          <cell r="G1073">
            <v>0</v>
          </cell>
          <cell r="H1073">
            <v>125000</v>
          </cell>
          <cell r="I1073">
            <v>235000</v>
          </cell>
          <cell r="J1073">
            <v>0</v>
          </cell>
        </row>
        <row r="1074">
          <cell r="B1074" t="str">
            <v>5-2144</v>
          </cell>
          <cell r="C1074" t="str">
            <v>Accommodations</v>
          </cell>
          <cell r="D1074">
            <v>90000</v>
          </cell>
          <cell r="E1074">
            <v>0</v>
          </cell>
          <cell r="F1074">
            <v>0</v>
          </cell>
          <cell r="G1074">
            <v>0</v>
          </cell>
          <cell r="H1074">
            <v>0</v>
          </cell>
          <cell r="I1074">
            <v>90000</v>
          </cell>
          <cell r="J1074">
            <v>0</v>
          </cell>
        </row>
        <row r="1075">
          <cell r="B1075" t="str">
            <v>5-2145</v>
          </cell>
          <cell r="C1075" t="str">
            <v>Public Transportation</v>
          </cell>
          <cell r="D1075">
            <v>0</v>
          </cell>
          <cell r="E1075">
            <v>0</v>
          </cell>
          <cell r="F1075">
            <v>0</v>
          </cell>
          <cell r="G1075">
            <v>0</v>
          </cell>
          <cell r="H1075">
            <v>0</v>
          </cell>
          <cell r="I1075">
            <v>0</v>
          </cell>
          <cell r="J1075">
            <v>0</v>
          </cell>
        </row>
        <row r="1076">
          <cell r="B1076" t="str">
            <v>5-2146</v>
          </cell>
          <cell r="C1076" t="str">
            <v>Joint Transportation Allocatio</v>
          </cell>
          <cell r="D1076">
            <v>0</v>
          </cell>
          <cell r="E1076">
            <v>0</v>
          </cell>
          <cell r="F1076">
            <v>0</v>
          </cell>
          <cell r="G1076">
            <v>0</v>
          </cell>
          <cell r="H1076">
            <v>0</v>
          </cell>
          <cell r="I1076">
            <v>0</v>
          </cell>
          <cell r="J1076">
            <v>0</v>
          </cell>
        </row>
        <row r="1077">
          <cell r="B1077" t="str">
            <v>5-2149</v>
          </cell>
          <cell r="C1077" t="str">
            <v>Others</v>
          </cell>
          <cell r="D1077">
            <v>0</v>
          </cell>
          <cell r="E1077">
            <v>0</v>
          </cell>
          <cell r="F1077">
            <v>0</v>
          </cell>
          <cell r="G1077">
            <v>0</v>
          </cell>
          <cell r="H1077">
            <v>0</v>
          </cell>
          <cell r="I1077">
            <v>0</v>
          </cell>
          <cell r="J1077">
            <v>0</v>
          </cell>
        </row>
        <row r="1078">
          <cell r="B1078" t="str">
            <v>5-2150</v>
          </cell>
          <cell r="C1078" t="str">
            <v>Repair &amp; Maintenance</v>
          </cell>
          <cell r="D1078">
            <v>0</v>
          </cell>
          <cell r="E1078">
            <v>0</v>
          </cell>
          <cell r="F1078">
            <v>0</v>
          </cell>
          <cell r="G1078">
            <v>0</v>
          </cell>
          <cell r="H1078">
            <v>0</v>
          </cell>
          <cell r="I1078">
            <v>0</v>
          </cell>
          <cell r="J1078">
            <v>0</v>
          </cell>
        </row>
        <row r="1079">
          <cell r="B1079" t="str">
            <v>5-2151</v>
          </cell>
          <cell r="C1079" t="str">
            <v>R &amp; M - Computer &amp; audio visua</v>
          </cell>
          <cell r="D1079">
            <v>0</v>
          </cell>
          <cell r="E1079">
            <v>0</v>
          </cell>
          <cell r="F1079">
            <v>0</v>
          </cell>
          <cell r="G1079">
            <v>0</v>
          </cell>
          <cell r="H1079">
            <v>0</v>
          </cell>
          <cell r="I1079">
            <v>0</v>
          </cell>
          <cell r="J1079">
            <v>0</v>
          </cell>
        </row>
        <row r="1080">
          <cell r="B1080" t="str">
            <v>5-2152</v>
          </cell>
          <cell r="C1080" t="str">
            <v>R &amp; M - Telephone &amp; Faxs</v>
          </cell>
          <cell r="D1080">
            <v>0</v>
          </cell>
          <cell r="E1080">
            <v>0</v>
          </cell>
          <cell r="F1080">
            <v>0</v>
          </cell>
          <cell r="G1080">
            <v>0</v>
          </cell>
          <cell r="H1080">
            <v>0</v>
          </cell>
          <cell r="I1080">
            <v>0</v>
          </cell>
          <cell r="J1080">
            <v>0</v>
          </cell>
        </row>
        <row r="1081">
          <cell r="B1081" t="str">
            <v>5-2153</v>
          </cell>
          <cell r="C1081" t="str">
            <v>R &amp; M - Office Eqiupment</v>
          </cell>
          <cell r="D1081">
            <v>0</v>
          </cell>
          <cell r="E1081">
            <v>0</v>
          </cell>
          <cell r="F1081">
            <v>0</v>
          </cell>
          <cell r="G1081">
            <v>0</v>
          </cell>
          <cell r="H1081">
            <v>0</v>
          </cell>
          <cell r="I1081">
            <v>0</v>
          </cell>
          <cell r="J1081">
            <v>0</v>
          </cell>
        </row>
        <row r="1082">
          <cell r="B1082" t="str">
            <v>5-2154</v>
          </cell>
          <cell r="C1082" t="str">
            <v>R &amp; M - Masjid Eqiupment</v>
          </cell>
          <cell r="D1082">
            <v>0</v>
          </cell>
          <cell r="E1082">
            <v>0</v>
          </cell>
          <cell r="F1082">
            <v>0</v>
          </cell>
          <cell r="G1082">
            <v>0</v>
          </cell>
          <cell r="H1082">
            <v>0</v>
          </cell>
          <cell r="I1082">
            <v>0</v>
          </cell>
          <cell r="J1082">
            <v>0</v>
          </cell>
        </row>
        <row r="1083">
          <cell r="B1083" t="str">
            <v>5-2155</v>
          </cell>
          <cell r="C1083" t="str">
            <v>R &amp; M - Others Eqiupment</v>
          </cell>
          <cell r="D1083">
            <v>0</v>
          </cell>
          <cell r="E1083">
            <v>0</v>
          </cell>
          <cell r="F1083">
            <v>0</v>
          </cell>
          <cell r="G1083">
            <v>0</v>
          </cell>
          <cell r="H1083">
            <v>0</v>
          </cell>
          <cell r="I1083">
            <v>0</v>
          </cell>
          <cell r="J1083">
            <v>0</v>
          </cell>
        </row>
        <row r="1084">
          <cell r="B1084" t="str">
            <v>5-2156</v>
          </cell>
          <cell r="C1084" t="str">
            <v>R &amp; M - Table &amp; Chairs</v>
          </cell>
          <cell r="D1084">
            <v>0</v>
          </cell>
          <cell r="E1084">
            <v>0</v>
          </cell>
          <cell r="F1084">
            <v>0</v>
          </cell>
          <cell r="G1084">
            <v>0</v>
          </cell>
          <cell r="H1084">
            <v>0</v>
          </cell>
          <cell r="I1084">
            <v>0</v>
          </cell>
          <cell r="J1084">
            <v>0</v>
          </cell>
        </row>
        <row r="1085">
          <cell r="B1085" t="str">
            <v>5-2157</v>
          </cell>
          <cell r="C1085" t="str">
            <v>R &amp; M - Cupboard &amp; Rack</v>
          </cell>
          <cell r="D1085">
            <v>0</v>
          </cell>
          <cell r="E1085">
            <v>0</v>
          </cell>
          <cell r="F1085">
            <v>0</v>
          </cell>
          <cell r="G1085">
            <v>0</v>
          </cell>
          <cell r="H1085">
            <v>0</v>
          </cell>
          <cell r="I1085">
            <v>0</v>
          </cell>
          <cell r="J1085">
            <v>0</v>
          </cell>
        </row>
        <row r="1086">
          <cell r="B1086" t="str">
            <v>5-2158</v>
          </cell>
          <cell r="C1086" t="str">
            <v>R &amp; M - Other Furniture</v>
          </cell>
          <cell r="D1086">
            <v>0</v>
          </cell>
          <cell r="E1086">
            <v>0</v>
          </cell>
          <cell r="F1086">
            <v>0</v>
          </cell>
          <cell r="G1086">
            <v>0</v>
          </cell>
          <cell r="H1086">
            <v>0</v>
          </cell>
          <cell r="I1086">
            <v>0</v>
          </cell>
          <cell r="J1086">
            <v>0</v>
          </cell>
        </row>
        <row r="1087">
          <cell r="B1087" t="str">
            <v>5-2159</v>
          </cell>
          <cell r="C1087" t="str">
            <v>Others</v>
          </cell>
          <cell r="D1087">
            <v>0</v>
          </cell>
          <cell r="E1087">
            <v>0</v>
          </cell>
          <cell r="F1087">
            <v>0</v>
          </cell>
          <cell r="G1087">
            <v>0</v>
          </cell>
          <cell r="H1087">
            <v>0</v>
          </cell>
          <cell r="I1087">
            <v>0</v>
          </cell>
          <cell r="J1087">
            <v>0</v>
          </cell>
        </row>
        <row r="1088">
          <cell r="B1088" t="str">
            <v>5-2160</v>
          </cell>
          <cell r="C1088" t="str">
            <v>Kajian umum</v>
          </cell>
          <cell r="D1088">
            <v>0</v>
          </cell>
          <cell r="E1088">
            <v>0</v>
          </cell>
          <cell r="F1088">
            <v>0</v>
          </cell>
          <cell r="G1088">
            <v>0</v>
          </cell>
          <cell r="H1088">
            <v>0</v>
          </cell>
          <cell r="I1088">
            <v>0</v>
          </cell>
          <cell r="J1088">
            <v>0</v>
          </cell>
        </row>
        <row r="1089">
          <cell r="B1089" t="str">
            <v>5-2161</v>
          </cell>
          <cell r="C1089" t="str">
            <v>Stationary</v>
          </cell>
          <cell r="D1089">
            <v>0</v>
          </cell>
          <cell r="E1089">
            <v>0</v>
          </cell>
          <cell r="F1089">
            <v>0</v>
          </cell>
          <cell r="G1089">
            <v>0</v>
          </cell>
          <cell r="H1089">
            <v>0</v>
          </cell>
          <cell r="I1089">
            <v>0</v>
          </cell>
          <cell r="J1089">
            <v>0</v>
          </cell>
        </row>
        <row r="1090">
          <cell r="B1090" t="str">
            <v>5-2162</v>
          </cell>
          <cell r="C1090" t="str">
            <v>Fotocopy &amp; Printing</v>
          </cell>
          <cell r="D1090">
            <v>74000</v>
          </cell>
          <cell r="E1090">
            <v>0</v>
          </cell>
          <cell r="F1090">
            <v>0</v>
          </cell>
          <cell r="G1090">
            <v>0</v>
          </cell>
          <cell r="H1090">
            <v>0</v>
          </cell>
          <cell r="I1090">
            <v>74000</v>
          </cell>
          <cell r="J1090">
            <v>0</v>
          </cell>
        </row>
        <row r="1091">
          <cell r="B1091" t="str">
            <v>5-2163</v>
          </cell>
          <cell r="C1091" t="str">
            <v>Consumptions</v>
          </cell>
          <cell r="D1091">
            <v>0</v>
          </cell>
          <cell r="E1091">
            <v>0</v>
          </cell>
          <cell r="F1091">
            <v>195400</v>
          </cell>
          <cell r="G1091">
            <v>0</v>
          </cell>
          <cell r="H1091">
            <v>195400</v>
          </cell>
          <cell r="I1091">
            <v>195400</v>
          </cell>
          <cell r="J1091">
            <v>0</v>
          </cell>
        </row>
        <row r="1092">
          <cell r="B1092" t="str">
            <v>5-2164</v>
          </cell>
          <cell r="C1092" t="str">
            <v>Honorarium Pembicara</v>
          </cell>
          <cell r="D1092">
            <v>0</v>
          </cell>
          <cell r="E1092">
            <v>0</v>
          </cell>
          <cell r="F1092">
            <v>0</v>
          </cell>
          <cell r="G1092">
            <v>0</v>
          </cell>
          <cell r="H1092">
            <v>0</v>
          </cell>
          <cell r="I1092">
            <v>0</v>
          </cell>
          <cell r="J1092">
            <v>0</v>
          </cell>
        </row>
        <row r="1093">
          <cell r="B1093" t="str">
            <v>5-2165</v>
          </cell>
          <cell r="C1093" t="str">
            <v>Perlengkapan</v>
          </cell>
          <cell r="D1093">
            <v>0</v>
          </cell>
          <cell r="E1093">
            <v>0</v>
          </cell>
          <cell r="F1093">
            <v>0</v>
          </cell>
          <cell r="G1093">
            <v>0</v>
          </cell>
          <cell r="H1093">
            <v>0</v>
          </cell>
          <cell r="I1093">
            <v>0</v>
          </cell>
          <cell r="J1093">
            <v>0</v>
          </cell>
        </row>
        <row r="1094">
          <cell r="B1094" t="str">
            <v>5-2166</v>
          </cell>
          <cell r="C1094" t="str">
            <v>Transportation</v>
          </cell>
          <cell r="D1094">
            <v>0</v>
          </cell>
          <cell r="E1094">
            <v>0</v>
          </cell>
          <cell r="F1094">
            <v>0</v>
          </cell>
          <cell r="G1094">
            <v>0</v>
          </cell>
          <cell r="H1094">
            <v>0</v>
          </cell>
          <cell r="I1094">
            <v>0</v>
          </cell>
          <cell r="J1094">
            <v>0</v>
          </cell>
        </row>
        <row r="1095">
          <cell r="B1095" t="str">
            <v>5-2169</v>
          </cell>
          <cell r="C1095" t="str">
            <v>Others</v>
          </cell>
          <cell r="D1095">
            <v>0</v>
          </cell>
          <cell r="E1095">
            <v>0</v>
          </cell>
          <cell r="F1095">
            <v>0</v>
          </cell>
          <cell r="G1095">
            <v>0</v>
          </cell>
          <cell r="H1095">
            <v>0</v>
          </cell>
          <cell r="I1095">
            <v>0</v>
          </cell>
          <cell r="J1095">
            <v>0</v>
          </cell>
        </row>
        <row r="1096">
          <cell r="B1096" t="str">
            <v>5-2190</v>
          </cell>
          <cell r="C1096" t="str">
            <v>Lain-lain Dakwah</v>
          </cell>
          <cell r="D1096">
            <v>0</v>
          </cell>
          <cell r="E1096">
            <v>0</v>
          </cell>
          <cell r="F1096">
            <v>0</v>
          </cell>
          <cell r="G1096">
            <v>0</v>
          </cell>
          <cell r="H1096">
            <v>0</v>
          </cell>
          <cell r="I1096">
            <v>0</v>
          </cell>
          <cell r="J1096">
            <v>0</v>
          </cell>
        </row>
        <row r="1097">
          <cell r="B1097" t="str">
            <v>5-2191</v>
          </cell>
          <cell r="C1097" t="str">
            <v>Sponsor kajian di luar</v>
          </cell>
          <cell r="D1097">
            <v>0</v>
          </cell>
          <cell r="E1097">
            <v>0</v>
          </cell>
          <cell r="F1097">
            <v>2647300</v>
          </cell>
          <cell r="G1097">
            <v>0</v>
          </cell>
          <cell r="H1097">
            <v>2647300</v>
          </cell>
          <cell r="I1097">
            <v>2647300</v>
          </cell>
          <cell r="J1097">
            <v>0</v>
          </cell>
        </row>
        <row r="1098">
          <cell r="B1098" t="str">
            <v>5-2192</v>
          </cell>
          <cell r="C1098" t="str">
            <v>Rent house</v>
          </cell>
          <cell r="D1098">
            <v>0</v>
          </cell>
          <cell r="E1098">
            <v>0</v>
          </cell>
          <cell r="F1098">
            <v>0</v>
          </cell>
          <cell r="G1098">
            <v>0</v>
          </cell>
          <cell r="H1098">
            <v>0</v>
          </cell>
          <cell r="I1098">
            <v>0</v>
          </cell>
          <cell r="J1098">
            <v>0</v>
          </cell>
        </row>
        <row r="1099">
          <cell r="B1099" t="str">
            <v>5-2210</v>
          </cell>
          <cell r="C1099" t="str">
            <v>Personal - Gaji</v>
          </cell>
          <cell r="D1099">
            <v>0</v>
          </cell>
          <cell r="E1099">
            <v>0</v>
          </cell>
          <cell r="F1099">
            <v>0</v>
          </cell>
          <cell r="G1099">
            <v>0</v>
          </cell>
          <cell r="H1099">
            <v>0</v>
          </cell>
          <cell r="I1099">
            <v>0</v>
          </cell>
          <cell r="J1099">
            <v>0</v>
          </cell>
        </row>
        <row r="1100">
          <cell r="B1100" t="str">
            <v>5-2211</v>
          </cell>
          <cell r="C1100" t="str">
            <v>Permanent Staff Salary</v>
          </cell>
          <cell r="D1100">
            <v>0</v>
          </cell>
          <cell r="E1100">
            <v>0</v>
          </cell>
          <cell r="F1100">
            <v>0</v>
          </cell>
          <cell r="G1100">
            <v>0</v>
          </cell>
          <cell r="H1100">
            <v>0</v>
          </cell>
          <cell r="I1100">
            <v>0</v>
          </cell>
          <cell r="J1100">
            <v>0</v>
          </cell>
        </row>
        <row r="1101">
          <cell r="B1101" t="str">
            <v>5-2212</v>
          </cell>
          <cell r="C1101" t="str">
            <v>Temporary Staff Salary</v>
          </cell>
          <cell r="D1101">
            <v>0</v>
          </cell>
          <cell r="E1101">
            <v>0</v>
          </cell>
          <cell r="F1101">
            <v>0</v>
          </cell>
          <cell r="G1101">
            <v>0</v>
          </cell>
          <cell r="H1101">
            <v>0</v>
          </cell>
          <cell r="I1101">
            <v>0</v>
          </cell>
          <cell r="J1101">
            <v>0</v>
          </cell>
        </row>
        <row r="1102">
          <cell r="B1102" t="str">
            <v>5-2213</v>
          </cell>
          <cell r="C1102" t="str">
            <v>Honorarium santri Khidmah</v>
          </cell>
          <cell r="D1102">
            <v>0</v>
          </cell>
          <cell r="E1102">
            <v>0</v>
          </cell>
          <cell r="F1102">
            <v>0</v>
          </cell>
          <cell r="G1102">
            <v>0</v>
          </cell>
          <cell r="H1102">
            <v>0</v>
          </cell>
          <cell r="I1102">
            <v>0</v>
          </cell>
          <cell r="J1102">
            <v>0</v>
          </cell>
        </row>
        <row r="1103">
          <cell r="B1103" t="str">
            <v>5-2214</v>
          </cell>
          <cell r="C1103" t="str">
            <v>Staff overtime</v>
          </cell>
          <cell r="D1103">
            <v>0</v>
          </cell>
          <cell r="E1103">
            <v>0</v>
          </cell>
          <cell r="F1103">
            <v>0</v>
          </cell>
          <cell r="G1103">
            <v>0</v>
          </cell>
          <cell r="H1103">
            <v>0</v>
          </cell>
          <cell r="I1103">
            <v>0</v>
          </cell>
          <cell r="J1103">
            <v>0</v>
          </cell>
        </row>
        <row r="1104">
          <cell r="B1104" t="str">
            <v>5-2215</v>
          </cell>
          <cell r="C1104" t="str">
            <v>Joint Salary Allocation</v>
          </cell>
          <cell r="D1104">
            <v>0</v>
          </cell>
          <cell r="E1104">
            <v>0</v>
          </cell>
          <cell r="F1104">
            <v>0</v>
          </cell>
          <cell r="G1104">
            <v>0</v>
          </cell>
          <cell r="H1104">
            <v>0</v>
          </cell>
          <cell r="I1104">
            <v>0</v>
          </cell>
          <cell r="J1104">
            <v>0</v>
          </cell>
        </row>
        <row r="1105">
          <cell r="B1105" t="str">
            <v>5-2219</v>
          </cell>
          <cell r="C1105" t="str">
            <v>Others Salary</v>
          </cell>
          <cell r="D1105">
            <v>0</v>
          </cell>
          <cell r="E1105">
            <v>0</v>
          </cell>
          <cell r="F1105">
            <v>0</v>
          </cell>
          <cell r="G1105">
            <v>0</v>
          </cell>
          <cell r="H1105">
            <v>0</v>
          </cell>
          <cell r="I1105">
            <v>0</v>
          </cell>
          <cell r="J1105">
            <v>0</v>
          </cell>
        </row>
        <row r="1106">
          <cell r="B1106" t="str">
            <v>5-2220</v>
          </cell>
          <cell r="C1106" t="str">
            <v>Personal Allowance of</v>
          </cell>
          <cell r="D1106">
            <v>0</v>
          </cell>
          <cell r="E1106">
            <v>0</v>
          </cell>
          <cell r="F1106">
            <v>0</v>
          </cell>
          <cell r="G1106">
            <v>0</v>
          </cell>
          <cell r="H1106">
            <v>0</v>
          </cell>
          <cell r="I1106">
            <v>0</v>
          </cell>
          <cell r="J1106">
            <v>0</v>
          </cell>
        </row>
        <row r="1107">
          <cell r="B1107" t="str">
            <v>5-2221</v>
          </cell>
          <cell r="C1107" t="str">
            <v>Allowance of Hulled Rice</v>
          </cell>
          <cell r="D1107">
            <v>0</v>
          </cell>
          <cell r="E1107">
            <v>0</v>
          </cell>
          <cell r="F1107">
            <v>0</v>
          </cell>
          <cell r="G1107">
            <v>0</v>
          </cell>
          <cell r="H1107">
            <v>0</v>
          </cell>
          <cell r="I1107">
            <v>0</v>
          </cell>
          <cell r="J1107">
            <v>0</v>
          </cell>
        </row>
        <row r="1108">
          <cell r="B1108" t="str">
            <v>5-2222</v>
          </cell>
          <cell r="C1108" t="str">
            <v>Alowance of doctor and medicin</v>
          </cell>
          <cell r="D1108">
            <v>0</v>
          </cell>
          <cell r="E1108">
            <v>0</v>
          </cell>
          <cell r="F1108">
            <v>0</v>
          </cell>
          <cell r="G1108">
            <v>0</v>
          </cell>
          <cell r="H1108">
            <v>0</v>
          </cell>
          <cell r="I1108">
            <v>0</v>
          </cell>
          <cell r="J1108">
            <v>0</v>
          </cell>
        </row>
        <row r="1109">
          <cell r="B1109" t="str">
            <v>5-2223</v>
          </cell>
          <cell r="C1109" t="str">
            <v>Allowance of Spectacles</v>
          </cell>
          <cell r="D1109">
            <v>0</v>
          </cell>
          <cell r="E1109">
            <v>0</v>
          </cell>
          <cell r="F1109">
            <v>0</v>
          </cell>
          <cell r="G1109">
            <v>0</v>
          </cell>
          <cell r="H1109">
            <v>0</v>
          </cell>
          <cell r="I1109">
            <v>0</v>
          </cell>
          <cell r="J1109">
            <v>0</v>
          </cell>
        </row>
        <row r="1110">
          <cell r="B1110" t="str">
            <v>5-2224</v>
          </cell>
          <cell r="C1110" t="str">
            <v>Allowance of operation&amp;hospita</v>
          </cell>
          <cell r="D1110">
            <v>0</v>
          </cell>
          <cell r="E1110">
            <v>0</v>
          </cell>
          <cell r="F1110">
            <v>0</v>
          </cell>
          <cell r="G1110">
            <v>0</v>
          </cell>
          <cell r="H1110">
            <v>0</v>
          </cell>
          <cell r="I1110">
            <v>0</v>
          </cell>
          <cell r="J1110">
            <v>0</v>
          </cell>
        </row>
        <row r="1111">
          <cell r="B1111" t="str">
            <v>5-2225</v>
          </cell>
          <cell r="C1111" t="str">
            <v>Allowance of disaster &amp; die</v>
          </cell>
          <cell r="D1111">
            <v>0</v>
          </cell>
          <cell r="E1111">
            <v>0</v>
          </cell>
          <cell r="F1111">
            <v>0</v>
          </cell>
          <cell r="G1111">
            <v>0</v>
          </cell>
          <cell r="H1111">
            <v>0</v>
          </cell>
          <cell r="I1111">
            <v>0</v>
          </cell>
          <cell r="J1111">
            <v>0</v>
          </cell>
        </row>
        <row r="1112">
          <cell r="B1112" t="str">
            <v>5-2226</v>
          </cell>
          <cell r="C1112" t="str">
            <v>Allowance of hari raya</v>
          </cell>
          <cell r="D1112">
            <v>0</v>
          </cell>
          <cell r="E1112">
            <v>0</v>
          </cell>
          <cell r="F1112">
            <v>0</v>
          </cell>
          <cell r="G1112">
            <v>0</v>
          </cell>
          <cell r="H1112">
            <v>0</v>
          </cell>
          <cell r="I1112">
            <v>0</v>
          </cell>
          <cell r="J1112">
            <v>0</v>
          </cell>
        </row>
        <row r="1113">
          <cell r="B1113" t="str">
            <v>5-2227</v>
          </cell>
          <cell r="C1113" t="str">
            <v>Allowance of birth</v>
          </cell>
          <cell r="D1113">
            <v>0</v>
          </cell>
          <cell r="E1113">
            <v>0</v>
          </cell>
          <cell r="F1113">
            <v>0</v>
          </cell>
          <cell r="G1113">
            <v>0</v>
          </cell>
          <cell r="H1113">
            <v>0</v>
          </cell>
          <cell r="I1113">
            <v>0</v>
          </cell>
          <cell r="J1113">
            <v>0</v>
          </cell>
        </row>
        <row r="1114">
          <cell r="B1114" t="str">
            <v>5-2228</v>
          </cell>
          <cell r="C1114" t="str">
            <v>Allowance of married</v>
          </cell>
          <cell r="D1114">
            <v>0</v>
          </cell>
          <cell r="E1114">
            <v>0</v>
          </cell>
          <cell r="F1114">
            <v>0</v>
          </cell>
          <cell r="G1114">
            <v>0</v>
          </cell>
          <cell r="H1114">
            <v>0</v>
          </cell>
          <cell r="I1114">
            <v>0</v>
          </cell>
          <cell r="J1114">
            <v>0</v>
          </cell>
        </row>
        <row r="1115">
          <cell r="B1115" t="str">
            <v>5-2229</v>
          </cell>
          <cell r="C1115" t="str">
            <v>Allowance of house rent&amp;others</v>
          </cell>
          <cell r="D1115">
            <v>0</v>
          </cell>
          <cell r="E1115">
            <v>0</v>
          </cell>
          <cell r="F1115">
            <v>0</v>
          </cell>
          <cell r="G1115">
            <v>0</v>
          </cell>
          <cell r="H1115">
            <v>0</v>
          </cell>
          <cell r="I1115">
            <v>0</v>
          </cell>
          <cell r="J1115">
            <v>0</v>
          </cell>
        </row>
        <row r="1116">
          <cell r="B1116" t="str">
            <v>5-2230</v>
          </cell>
          <cell r="C1116" t="str">
            <v>Office</v>
          </cell>
          <cell r="D1116">
            <v>0</v>
          </cell>
          <cell r="E1116">
            <v>0</v>
          </cell>
          <cell r="F1116">
            <v>0</v>
          </cell>
          <cell r="G1116">
            <v>0</v>
          </cell>
          <cell r="H1116">
            <v>0</v>
          </cell>
          <cell r="I1116">
            <v>0</v>
          </cell>
          <cell r="J1116">
            <v>0</v>
          </cell>
        </row>
        <row r="1117">
          <cell r="B1117" t="str">
            <v>5-2231</v>
          </cell>
          <cell r="C1117" t="str">
            <v>Stationary papers</v>
          </cell>
          <cell r="D1117">
            <v>0</v>
          </cell>
          <cell r="E1117">
            <v>0</v>
          </cell>
          <cell r="F1117">
            <v>0</v>
          </cell>
          <cell r="G1117">
            <v>0</v>
          </cell>
          <cell r="H1117">
            <v>0</v>
          </cell>
          <cell r="I1117">
            <v>0</v>
          </cell>
          <cell r="J1117">
            <v>0</v>
          </cell>
        </row>
        <row r="1118">
          <cell r="B1118" t="str">
            <v>5-2232</v>
          </cell>
          <cell r="C1118" t="str">
            <v>Stationary written toolls</v>
          </cell>
          <cell r="D1118">
            <v>0</v>
          </cell>
          <cell r="E1118">
            <v>0</v>
          </cell>
          <cell r="F1118">
            <v>0</v>
          </cell>
          <cell r="G1118">
            <v>0</v>
          </cell>
          <cell r="H1118">
            <v>0</v>
          </cell>
          <cell r="I1118">
            <v>0</v>
          </cell>
          <cell r="J1118">
            <v>0</v>
          </cell>
        </row>
        <row r="1119">
          <cell r="B1119" t="str">
            <v>5-2233</v>
          </cell>
          <cell r="C1119" t="str">
            <v>Stationary ink</v>
          </cell>
          <cell r="D1119">
            <v>0</v>
          </cell>
          <cell r="E1119">
            <v>0</v>
          </cell>
          <cell r="F1119">
            <v>0</v>
          </cell>
          <cell r="G1119">
            <v>0</v>
          </cell>
          <cell r="H1119">
            <v>0</v>
          </cell>
          <cell r="I1119">
            <v>0</v>
          </cell>
          <cell r="J1119">
            <v>0</v>
          </cell>
        </row>
        <row r="1120">
          <cell r="B1120" t="str">
            <v>5-2234</v>
          </cell>
          <cell r="C1120" t="str">
            <v>Stationary Others</v>
          </cell>
          <cell r="D1120">
            <v>0</v>
          </cell>
          <cell r="E1120">
            <v>0</v>
          </cell>
          <cell r="F1120">
            <v>0</v>
          </cell>
          <cell r="G1120">
            <v>0</v>
          </cell>
          <cell r="H1120">
            <v>0</v>
          </cell>
          <cell r="I1120">
            <v>0</v>
          </cell>
          <cell r="J1120">
            <v>0</v>
          </cell>
        </row>
        <row r="1121">
          <cell r="B1121" t="str">
            <v>5-2235</v>
          </cell>
          <cell r="C1121" t="str">
            <v>Consumptions</v>
          </cell>
          <cell r="D1121">
            <v>0</v>
          </cell>
          <cell r="E1121">
            <v>0</v>
          </cell>
          <cell r="F1121">
            <v>0</v>
          </cell>
          <cell r="G1121">
            <v>0</v>
          </cell>
          <cell r="H1121">
            <v>0</v>
          </cell>
          <cell r="I1121">
            <v>0</v>
          </cell>
          <cell r="J1121">
            <v>0</v>
          </cell>
        </row>
        <row r="1122">
          <cell r="B1122" t="str">
            <v>5-2236</v>
          </cell>
          <cell r="C1122" t="str">
            <v>Foto copy &amp; printing</v>
          </cell>
          <cell r="D1122">
            <v>0</v>
          </cell>
          <cell r="E1122">
            <v>0</v>
          </cell>
          <cell r="F1122">
            <v>0</v>
          </cell>
          <cell r="G1122">
            <v>0</v>
          </cell>
          <cell r="H1122">
            <v>0</v>
          </cell>
          <cell r="I1122">
            <v>0</v>
          </cell>
          <cell r="J1122">
            <v>0</v>
          </cell>
        </row>
        <row r="1123">
          <cell r="B1123" t="str">
            <v>5-2237</v>
          </cell>
          <cell r="C1123" t="str">
            <v>Office Suplies</v>
          </cell>
          <cell r="D1123">
            <v>0</v>
          </cell>
          <cell r="E1123">
            <v>0</v>
          </cell>
          <cell r="F1123">
            <v>137400</v>
          </cell>
          <cell r="G1123">
            <v>0</v>
          </cell>
          <cell r="H1123">
            <v>137400</v>
          </cell>
          <cell r="I1123">
            <v>137400</v>
          </cell>
          <cell r="J1123">
            <v>0</v>
          </cell>
        </row>
        <row r="1124">
          <cell r="B1124" t="str">
            <v>5-2239</v>
          </cell>
          <cell r="C1124" t="str">
            <v>Lain-lain</v>
          </cell>
          <cell r="D1124">
            <v>0</v>
          </cell>
          <cell r="E1124">
            <v>0</v>
          </cell>
          <cell r="F1124">
            <v>0</v>
          </cell>
          <cell r="G1124">
            <v>0</v>
          </cell>
          <cell r="H1124">
            <v>0</v>
          </cell>
          <cell r="I1124">
            <v>0</v>
          </cell>
          <cell r="J1124">
            <v>0</v>
          </cell>
        </row>
        <row r="1125">
          <cell r="B1125" t="str">
            <v>5-2240</v>
          </cell>
          <cell r="C1125" t="str">
            <v>Transportation&amp;Telecomunicatio</v>
          </cell>
          <cell r="D1125">
            <v>0</v>
          </cell>
          <cell r="E1125">
            <v>0</v>
          </cell>
          <cell r="F1125">
            <v>0</v>
          </cell>
          <cell r="G1125">
            <v>0</v>
          </cell>
          <cell r="H1125">
            <v>0</v>
          </cell>
          <cell r="I1125">
            <v>0</v>
          </cell>
          <cell r="J1125">
            <v>0</v>
          </cell>
        </row>
        <row r="1126">
          <cell r="B1126" t="str">
            <v>5-2241</v>
          </cell>
          <cell r="C1126" t="str">
            <v>Mail &amp; Shipment</v>
          </cell>
          <cell r="D1126">
            <v>0</v>
          </cell>
          <cell r="E1126">
            <v>0</v>
          </cell>
          <cell r="F1126">
            <v>0</v>
          </cell>
          <cell r="G1126">
            <v>0</v>
          </cell>
          <cell r="H1126">
            <v>0</v>
          </cell>
          <cell r="I1126">
            <v>0</v>
          </cell>
          <cell r="J1126">
            <v>0</v>
          </cell>
        </row>
        <row r="1127">
          <cell r="B1127" t="str">
            <v>5-2242</v>
          </cell>
          <cell r="C1127" t="str">
            <v>Telephone</v>
          </cell>
          <cell r="D1127">
            <v>0</v>
          </cell>
          <cell r="E1127">
            <v>0</v>
          </cell>
          <cell r="F1127">
            <v>0</v>
          </cell>
          <cell r="G1127">
            <v>0</v>
          </cell>
          <cell r="H1127">
            <v>0</v>
          </cell>
          <cell r="I1127">
            <v>0</v>
          </cell>
          <cell r="J1127">
            <v>0</v>
          </cell>
        </row>
        <row r="1128">
          <cell r="B1128" t="str">
            <v>5-2243</v>
          </cell>
          <cell r="C1128" t="str">
            <v>Fuel</v>
          </cell>
          <cell r="D1128">
            <v>0</v>
          </cell>
          <cell r="E1128">
            <v>0</v>
          </cell>
          <cell r="F1128">
            <v>0</v>
          </cell>
          <cell r="G1128">
            <v>0</v>
          </cell>
          <cell r="H1128">
            <v>0</v>
          </cell>
          <cell r="I1128">
            <v>0</v>
          </cell>
          <cell r="J1128">
            <v>0</v>
          </cell>
        </row>
        <row r="1129">
          <cell r="B1129" t="str">
            <v>5-2244</v>
          </cell>
          <cell r="C1129" t="str">
            <v>Accommodations</v>
          </cell>
          <cell r="D1129">
            <v>0</v>
          </cell>
          <cell r="E1129">
            <v>0</v>
          </cell>
          <cell r="F1129">
            <v>0</v>
          </cell>
          <cell r="G1129">
            <v>0</v>
          </cell>
          <cell r="H1129">
            <v>0</v>
          </cell>
          <cell r="I1129">
            <v>0</v>
          </cell>
          <cell r="J1129">
            <v>0</v>
          </cell>
        </row>
        <row r="1130">
          <cell r="B1130" t="str">
            <v>5-2245</v>
          </cell>
          <cell r="C1130" t="str">
            <v>Public Transportation</v>
          </cell>
          <cell r="D1130">
            <v>0</v>
          </cell>
          <cell r="E1130">
            <v>0</v>
          </cell>
          <cell r="F1130">
            <v>0</v>
          </cell>
          <cell r="G1130">
            <v>0</v>
          </cell>
          <cell r="H1130">
            <v>0</v>
          </cell>
          <cell r="I1130">
            <v>0</v>
          </cell>
          <cell r="J1130">
            <v>0</v>
          </cell>
        </row>
        <row r="1131">
          <cell r="B1131" t="str">
            <v>5-2246</v>
          </cell>
          <cell r="C1131" t="str">
            <v>Joint Transportation Allocatio</v>
          </cell>
          <cell r="D1131">
            <v>0</v>
          </cell>
          <cell r="E1131">
            <v>0</v>
          </cell>
          <cell r="F1131">
            <v>0</v>
          </cell>
          <cell r="G1131">
            <v>0</v>
          </cell>
          <cell r="H1131">
            <v>0</v>
          </cell>
          <cell r="I1131">
            <v>0</v>
          </cell>
          <cell r="J1131">
            <v>0</v>
          </cell>
        </row>
        <row r="1132">
          <cell r="B1132" t="str">
            <v>5-2249</v>
          </cell>
          <cell r="C1132" t="str">
            <v>Others</v>
          </cell>
          <cell r="D1132">
            <v>0</v>
          </cell>
          <cell r="E1132">
            <v>0</v>
          </cell>
          <cell r="F1132">
            <v>0</v>
          </cell>
          <cell r="G1132">
            <v>0</v>
          </cell>
          <cell r="H1132">
            <v>0</v>
          </cell>
          <cell r="I1132">
            <v>0</v>
          </cell>
          <cell r="J1132">
            <v>0</v>
          </cell>
        </row>
        <row r="1133">
          <cell r="B1133" t="str">
            <v>5-2250</v>
          </cell>
          <cell r="C1133" t="str">
            <v>Repair &amp; Maintenance</v>
          </cell>
          <cell r="D1133">
            <v>0</v>
          </cell>
          <cell r="E1133">
            <v>0</v>
          </cell>
          <cell r="F1133">
            <v>0</v>
          </cell>
          <cell r="G1133">
            <v>0</v>
          </cell>
          <cell r="H1133">
            <v>0</v>
          </cell>
          <cell r="I1133">
            <v>0</v>
          </cell>
          <cell r="J1133">
            <v>0</v>
          </cell>
        </row>
        <row r="1134">
          <cell r="B1134" t="str">
            <v>5-2251</v>
          </cell>
          <cell r="C1134" t="str">
            <v>R &amp; M - Computer &amp; audio visua</v>
          </cell>
          <cell r="D1134">
            <v>0</v>
          </cell>
          <cell r="E1134">
            <v>0</v>
          </cell>
          <cell r="F1134">
            <v>0</v>
          </cell>
          <cell r="G1134">
            <v>0</v>
          </cell>
          <cell r="H1134">
            <v>0</v>
          </cell>
          <cell r="I1134">
            <v>0</v>
          </cell>
          <cell r="J1134">
            <v>0</v>
          </cell>
        </row>
        <row r="1135">
          <cell r="B1135" t="str">
            <v>5-2252</v>
          </cell>
          <cell r="C1135" t="str">
            <v>R &amp; M - Telephone &amp; Faxs</v>
          </cell>
          <cell r="D1135">
            <v>0</v>
          </cell>
          <cell r="E1135">
            <v>0</v>
          </cell>
          <cell r="F1135">
            <v>0</v>
          </cell>
          <cell r="G1135">
            <v>0</v>
          </cell>
          <cell r="H1135">
            <v>0</v>
          </cell>
          <cell r="I1135">
            <v>0</v>
          </cell>
          <cell r="J1135">
            <v>0</v>
          </cell>
        </row>
        <row r="1136">
          <cell r="B1136" t="str">
            <v>5-2253</v>
          </cell>
          <cell r="C1136" t="str">
            <v>R &amp; M - Office Eqiupment</v>
          </cell>
          <cell r="D1136">
            <v>0</v>
          </cell>
          <cell r="E1136">
            <v>0</v>
          </cell>
          <cell r="F1136">
            <v>0</v>
          </cell>
          <cell r="G1136">
            <v>0</v>
          </cell>
          <cell r="H1136">
            <v>0</v>
          </cell>
          <cell r="I1136">
            <v>0</v>
          </cell>
          <cell r="J1136">
            <v>0</v>
          </cell>
        </row>
        <row r="1137">
          <cell r="B1137" t="str">
            <v>5-2254</v>
          </cell>
          <cell r="C1137" t="str">
            <v>R &amp; M - Others Eqiupment</v>
          </cell>
          <cell r="D1137">
            <v>0</v>
          </cell>
          <cell r="E1137">
            <v>0</v>
          </cell>
          <cell r="F1137">
            <v>0</v>
          </cell>
          <cell r="G1137">
            <v>0</v>
          </cell>
          <cell r="H1137">
            <v>0</v>
          </cell>
          <cell r="I1137">
            <v>0</v>
          </cell>
          <cell r="J1137">
            <v>0</v>
          </cell>
        </row>
        <row r="1138">
          <cell r="B1138" t="str">
            <v>5-2255</v>
          </cell>
          <cell r="C1138" t="str">
            <v>R &amp; M - Table &amp; Chairs</v>
          </cell>
          <cell r="D1138">
            <v>0</v>
          </cell>
          <cell r="E1138">
            <v>0</v>
          </cell>
          <cell r="F1138">
            <v>0</v>
          </cell>
          <cell r="G1138">
            <v>0</v>
          </cell>
          <cell r="H1138">
            <v>0</v>
          </cell>
          <cell r="I1138">
            <v>0</v>
          </cell>
          <cell r="J1138">
            <v>0</v>
          </cell>
        </row>
        <row r="1139">
          <cell r="B1139" t="str">
            <v>5-2256</v>
          </cell>
          <cell r="C1139" t="str">
            <v>R &amp; M - Cupboard &amp; Rack</v>
          </cell>
          <cell r="D1139">
            <v>0</v>
          </cell>
          <cell r="E1139">
            <v>0</v>
          </cell>
          <cell r="F1139">
            <v>0</v>
          </cell>
          <cell r="G1139">
            <v>0</v>
          </cell>
          <cell r="H1139">
            <v>0</v>
          </cell>
          <cell r="I1139">
            <v>0</v>
          </cell>
          <cell r="J1139">
            <v>0</v>
          </cell>
        </row>
        <row r="1140">
          <cell r="B1140" t="str">
            <v>5-2257</v>
          </cell>
          <cell r="C1140" t="str">
            <v>R &amp; M - Other Furniture</v>
          </cell>
          <cell r="D1140">
            <v>0</v>
          </cell>
          <cell r="E1140">
            <v>0</v>
          </cell>
          <cell r="F1140">
            <v>0</v>
          </cell>
          <cell r="G1140">
            <v>0</v>
          </cell>
          <cell r="H1140">
            <v>0</v>
          </cell>
          <cell r="I1140">
            <v>0</v>
          </cell>
          <cell r="J1140">
            <v>0</v>
          </cell>
        </row>
        <row r="1141">
          <cell r="B1141" t="str">
            <v>5-2259</v>
          </cell>
          <cell r="C1141" t="str">
            <v>Others</v>
          </cell>
          <cell r="D1141">
            <v>0</v>
          </cell>
          <cell r="E1141">
            <v>0</v>
          </cell>
          <cell r="F1141">
            <v>0</v>
          </cell>
          <cell r="G1141">
            <v>0</v>
          </cell>
          <cell r="H1141">
            <v>0</v>
          </cell>
          <cell r="I1141">
            <v>0</v>
          </cell>
          <cell r="J1141">
            <v>0</v>
          </cell>
        </row>
        <row r="1142">
          <cell r="B1142" t="str">
            <v>5-2260</v>
          </cell>
          <cell r="C1142" t="str">
            <v>Ifthor Romadlon</v>
          </cell>
          <cell r="D1142">
            <v>0</v>
          </cell>
          <cell r="E1142">
            <v>0</v>
          </cell>
          <cell r="F1142">
            <v>0</v>
          </cell>
          <cell r="G1142">
            <v>0</v>
          </cell>
          <cell r="H1142">
            <v>0</v>
          </cell>
          <cell r="I1142">
            <v>0</v>
          </cell>
          <cell r="J1142">
            <v>0</v>
          </cell>
        </row>
        <row r="1143">
          <cell r="B1143" t="str">
            <v>5-2261</v>
          </cell>
          <cell r="C1143" t="str">
            <v>Masakan Ifthor</v>
          </cell>
          <cell r="D1143">
            <v>0</v>
          </cell>
          <cell r="E1143">
            <v>0</v>
          </cell>
          <cell r="F1143">
            <v>0</v>
          </cell>
          <cell r="G1143">
            <v>0</v>
          </cell>
          <cell r="H1143">
            <v>0</v>
          </cell>
          <cell r="I1143">
            <v>0</v>
          </cell>
          <cell r="J1143">
            <v>0</v>
          </cell>
        </row>
        <row r="1144">
          <cell r="B1144" t="str">
            <v>5-2262</v>
          </cell>
          <cell r="C1144" t="str">
            <v>stationary &amp; Sapras</v>
          </cell>
          <cell r="D1144">
            <v>0</v>
          </cell>
          <cell r="E1144">
            <v>0</v>
          </cell>
          <cell r="F1144">
            <v>0</v>
          </cell>
          <cell r="G1144">
            <v>0</v>
          </cell>
          <cell r="H1144">
            <v>0</v>
          </cell>
          <cell r="I1144">
            <v>0</v>
          </cell>
          <cell r="J1144">
            <v>0</v>
          </cell>
        </row>
        <row r="1145">
          <cell r="B1145" t="str">
            <v>5-2263</v>
          </cell>
          <cell r="C1145" t="str">
            <v>Consumptions</v>
          </cell>
          <cell r="D1145">
            <v>0</v>
          </cell>
          <cell r="E1145">
            <v>0</v>
          </cell>
          <cell r="F1145">
            <v>0</v>
          </cell>
          <cell r="G1145">
            <v>0</v>
          </cell>
          <cell r="H1145">
            <v>0</v>
          </cell>
          <cell r="I1145">
            <v>0</v>
          </cell>
          <cell r="J1145">
            <v>0</v>
          </cell>
        </row>
        <row r="1146">
          <cell r="B1146" t="str">
            <v>5-2264</v>
          </cell>
          <cell r="C1146" t="str">
            <v>Documentation</v>
          </cell>
          <cell r="D1146">
            <v>0</v>
          </cell>
          <cell r="E1146">
            <v>0</v>
          </cell>
          <cell r="F1146">
            <v>0</v>
          </cell>
          <cell r="G1146">
            <v>0</v>
          </cell>
          <cell r="H1146">
            <v>0</v>
          </cell>
          <cell r="I1146">
            <v>0</v>
          </cell>
          <cell r="J1146">
            <v>0</v>
          </cell>
        </row>
        <row r="1147">
          <cell r="B1147" t="str">
            <v>5-2265</v>
          </cell>
          <cell r="C1147" t="str">
            <v>Perlengkapan</v>
          </cell>
          <cell r="D1147">
            <v>0</v>
          </cell>
          <cell r="E1147">
            <v>0</v>
          </cell>
          <cell r="F1147">
            <v>0</v>
          </cell>
          <cell r="G1147">
            <v>0</v>
          </cell>
          <cell r="H1147">
            <v>0</v>
          </cell>
          <cell r="I1147">
            <v>0</v>
          </cell>
          <cell r="J1147">
            <v>0</v>
          </cell>
        </row>
        <row r="1148">
          <cell r="B1148" t="str">
            <v>5-2266</v>
          </cell>
          <cell r="C1148" t="str">
            <v>Transportation</v>
          </cell>
          <cell r="D1148">
            <v>0</v>
          </cell>
          <cell r="E1148">
            <v>0</v>
          </cell>
          <cell r="F1148">
            <v>0</v>
          </cell>
          <cell r="G1148">
            <v>0</v>
          </cell>
          <cell r="H1148">
            <v>0</v>
          </cell>
          <cell r="I1148">
            <v>0</v>
          </cell>
          <cell r="J1148">
            <v>0</v>
          </cell>
        </row>
        <row r="1149">
          <cell r="B1149" t="str">
            <v>5-2269</v>
          </cell>
          <cell r="C1149" t="str">
            <v>Others</v>
          </cell>
          <cell r="D1149">
            <v>0</v>
          </cell>
          <cell r="E1149">
            <v>0</v>
          </cell>
          <cell r="F1149">
            <v>0</v>
          </cell>
          <cell r="G1149">
            <v>0</v>
          </cell>
          <cell r="H1149">
            <v>0</v>
          </cell>
          <cell r="I1149">
            <v>0</v>
          </cell>
          <cell r="J1149">
            <v>0</v>
          </cell>
        </row>
        <row r="1150">
          <cell r="B1150" t="str">
            <v>5-2270</v>
          </cell>
          <cell r="C1150" t="str">
            <v>Sumbangan</v>
          </cell>
          <cell r="D1150">
            <v>0</v>
          </cell>
          <cell r="E1150">
            <v>0</v>
          </cell>
          <cell r="F1150">
            <v>0</v>
          </cell>
          <cell r="G1150">
            <v>0</v>
          </cell>
          <cell r="H1150">
            <v>0</v>
          </cell>
          <cell r="I1150">
            <v>0</v>
          </cell>
          <cell r="J1150">
            <v>0</v>
          </cell>
        </row>
        <row r="1151">
          <cell r="B1151" t="str">
            <v>5-2271</v>
          </cell>
          <cell r="C1151" t="str">
            <v>Sumbangan Makanan</v>
          </cell>
          <cell r="D1151">
            <v>0</v>
          </cell>
          <cell r="E1151">
            <v>0</v>
          </cell>
          <cell r="F1151">
            <v>150000</v>
          </cell>
          <cell r="G1151">
            <v>0</v>
          </cell>
          <cell r="H1151">
            <v>150000</v>
          </cell>
          <cell r="I1151">
            <v>150000</v>
          </cell>
          <cell r="J1151">
            <v>0</v>
          </cell>
        </row>
        <row r="1152">
          <cell r="B1152" t="str">
            <v>5-2272</v>
          </cell>
          <cell r="C1152" t="str">
            <v>Sumbangan Pakaian</v>
          </cell>
          <cell r="D1152">
            <v>0</v>
          </cell>
          <cell r="E1152">
            <v>0</v>
          </cell>
          <cell r="F1152">
            <v>0</v>
          </cell>
          <cell r="G1152">
            <v>0</v>
          </cell>
          <cell r="H1152">
            <v>0</v>
          </cell>
          <cell r="I1152">
            <v>0</v>
          </cell>
          <cell r="J1152">
            <v>0</v>
          </cell>
        </row>
        <row r="1153">
          <cell r="B1153" t="str">
            <v>5-2273</v>
          </cell>
          <cell r="C1153" t="str">
            <v>Sumbangan Uang</v>
          </cell>
          <cell r="D1153">
            <v>90000000</v>
          </cell>
          <cell r="E1153">
            <v>0</v>
          </cell>
          <cell r="F1153">
            <v>400000</v>
          </cell>
          <cell r="G1153">
            <v>0</v>
          </cell>
          <cell r="H1153">
            <v>400000</v>
          </cell>
          <cell r="I1153">
            <v>90400000</v>
          </cell>
          <cell r="J1153">
            <v>0</v>
          </cell>
        </row>
        <row r="1154">
          <cell r="B1154" t="str">
            <v>5-2274</v>
          </cell>
          <cell r="C1154" t="str">
            <v>Sumbangan Program luar</v>
          </cell>
          <cell r="D1154">
            <v>0</v>
          </cell>
          <cell r="E1154">
            <v>0</v>
          </cell>
          <cell r="F1154">
            <v>0</v>
          </cell>
          <cell r="G1154">
            <v>0</v>
          </cell>
          <cell r="H1154">
            <v>0</v>
          </cell>
          <cell r="I1154">
            <v>0</v>
          </cell>
          <cell r="J1154">
            <v>0</v>
          </cell>
        </row>
        <row r="1155">
          <cell r="B1155" t="str">
            <v>5-2280</v>
          </cell>
          <cell r="C1155" t="str">
            <v>Panitia Idul Qurban</v>
          </cell>
          <cell r="D1155">
            <v>0</v>
          </cell>
          <cell r="E1155">
            <v>0</v>
          </cell>
          <cell r="F1155">
            <v>0</v>
          </cell>
          <cell r="G1155">
            <v>0</v>
          </cell>
          <cell r="H1155">
            <v>0</v>
          </cell>
          <cell r="I1155">
            <v>0</v>
          </cell>
          <cell r="J1155">
            <v>0</v>
          </cell>
        </row>
        <row r="1156">
          <cell r="B1156" t="str">
            <v>5-2281</v>
          </cell>
          <cell r="C1156" t="str">
            <v>Pembelian Kambing</v>
          </cell>
          <cell r="D1156">
            <v>0</v>
          </cell>
          <cell r="E1156">
            <v>0</v>
          </cell>
          <cell r="F1156">
            <v>0</v>
          </cell>
          <cell r="G1156">
            <v>0</v>
          </cell>
          <cell r="H1156">
            <v>0</v>
          </cell>
          <cell r="I1156">
            <v>0</v>
          </cell>
          <cell r="J1156">
            <v>0</v>
          </cell>
        </row>
        <row r="1157">
          <cell r="B1157" t="str">
            <v>5-2282</v>
          </cell>
          <cell r="C1157" t="str">
            <v>Statioanary</v>
          </cell>
          <cell r="D1157">
            <v>0</v>
          </cell>
          <cell r="E1157">
            <v>0</v>
          </cell>
          <cell r="F1157">
            <v>0</v>
          </cell>
          <cell r="G1157">
            <v>0</v>
          </cell>
          <cell r="H1157">
            <v>0</v>
          </cell>
          <cell r="I1157">
            <v>0</v>
          </cell>
          <cell r="J1157">
            <v>0</v>
          </cell>
        </row>
        <row r="1158">
          <cell r="B1158" t="str">
            <v>5-2283</v>
          </cell>
          <cell r="C1158" t="str">
            <v>Consumptions</v>
          </cell>
          <cell r="D1158">
            <v>0</v>
          </cell>
          <cell r="E1158">
            <v>0</v>
          </cell>
          <cell r="F1158">
            <v>0</v>
          </cell>
          <cell r="G1158">
            <v>0</v>
          </cell>
          <cell r="H1158">
            <v>0</v>
          </cell>
          <cell r="I1158">
            <v>0</v>
          </cell>
          <cell r="J1158">
            <v>0</v>
          </cell>
        </row>
        <row r="1159">
          <cell r="B1159" t="str">
            <v>5-2284</v>
          </cell>
          <cell r="C1159" t="str">
            <v>Documentation</v>
          </cell>
          <cell r="D1159">
            <v>0</v>
          </cell>
          <cell r="E1159">
            <v>0</v>
          </cell>
          <cell r="F1159">
            <v>13500</v>
          </cell>
          <cell r="G1159">
            <v>0</v>
          </cell>
          <cell r="H1159">
            <v>13500</v>
          </cell>
          <cell r="I1159">
            <v>13500</v>
          </cell>
          <cell r="J1159">
            <v>0</v>
          </cell>
        </row>
        <row r="1160">
          <cell r="B1160" t="str">
            <v>5-2285</v>
          </cell>
          <cell r="C1160" t="str">
            <v>Perlengkapan</v>
          </cell>
          <cell r="D1160">
            <v>0</v>
          </cell>
          <cell r="E1160">
            <v>0</v>
          </cell>
          <cell r="F1160">
            <v>0</v>
          </cell>
          <cell r="G1160">
            <v>0</v>
          </cell>
          <cell r="H1160">
            <v>0</v>
          </cell>
          <cell r="I1160">
            <v>0</v>
          </cell>
          <cell r="J1160">
            <v>0</v>
          </cell>
        </row>
        <row r="1161">
          <cell r="B1161" t="str">
            <v>5-2286</v>
          </cell>
          <cell r="C1161" t="str">
            <v>Transportation</v>
          </cell>
          <cell r="D1161">
            <v>0</v>
          </cell>
          <cell r="E1161">
            <v>0</v>
          </cell>
          <cell r="F1161">
            <v>0</v>
          </cell>
          <cell r="G1161">
            <v>0</v>
          </cell>
          <cell r="H1161">
            <v>0</v>
          </cell>
          <cell r="I1161">
            <v>0</v>
          </cell>
          <cell r="J1161">
            <v>0</v>
          </cell>
        </row>
        <row r="1162">
          <cell r="B1162" t="str">
            <v>5-2289</v>
          </cell>
          <cell r="C1162" t="str">
            <v>Others</v>
          </cell>
          <cell r="D1162">
            <v>0</v>
          </cell>
          <cell r="E1162">
            <v>0</v>
          </cell>
          <cell r="F1162">
            <v>0</v>
          </cell>
          <cell r="G1162">
            <v>0</v>
          </cell>
          <cell r="H1162">
            <v>0</v>
          </cell>
          <cell r="I1162">
            <v>0</v>
          </cell>
          <cell r="J1162">
            <v>0</v>
          </cell>
        </row>
        <row r="1163">
          <cell r="B1163" t="str">
            <v>5-2290</v>
          </cell>
          <cell r="C1163" t="str">
            <v>Lain-lain Sosial</v>
          </cell>
          <cell r="D1163">
            <v>0</v>
          </cell>
          <cell r="E1163">
            <v>0</v>
          </cell>
          <cell r="F1163">
            <v>0</v>
          </cell>
          <cell r="G1163">
            <v>0</v>
          </cell>
          <cell r="H1163">
            <v>0</v>
          </cell>
          <cell r="I1163">
            <v>0</v>
          </cell>
          <cell r="J1163">
            <v>0</v>
          </cell>
        </row>
        <row r="1164">
          <cell r="B1164" t="str">
            <v>5-2291</v>
          </cell>
          <cell r="C1164" t="str">
            <v>Event Bedah Buku</v>
          </cell>
          <cell r="D1164">
            <v>0</v>
          </cell>
          <cell r="E1164">
            <v>0</v>
          </cell>
          <cell r="F1164">
            <v>0</v>
          </cell>
          <cell r="G1164">
            <v>0</v>
          </cell>
          <cell r="H1164">
            <v>0</v>
          </cell>
          <cell r="I1164">
            <v>0</v>
          </cell>
          <cell r="J1164">
            <v>0</v>
          </cell>
        </row>
        <row r="1165">
          <cell r="B1165" t="str">
            <v>5-2292</v>
          </cell>
          <cell r="C1165" t="str">
            <v>Bakti Sosial</v>
          </cell>
          <cell r="D1165">
            <v>0</v>
          </cell>
          <cell r="E1165">
            <v>0</v>
          </cell>
          <cell r="F1165">
            <v>0</v>
          </cell>
          <cell r="G1165">
            <v>0</v>
          </cell>
          <cell r="H1165">
            <v>0</v>
          </cell>
          <cell r="I1165">
            <v>0</v>
          </cell>
          <cell r="J1165">
            <v>0</v>
          </cell>
        </row>
        <row r="1166">
          <cell r="B1166" t="str">
            <v>5-2310</v>
          </cell>
          <cell r="C1166" t="str">
            <v>Personal - gaji</v>
          </cell>
          <cell r="D1166">
            <v>0</v>
          </cell>
          <cell r="E1166">
            <v>0</v>
          </cell>
          <cell r="F1166">
            <v>0</v>
          </cell>
          <cell r="G1166">
            <v>0</v>
          </cell>
          <cell r="H1166">
            <v>0</v>
          </cell>
          <cell r="I1166">
            <v>0</v>
          </cell>
          <cell r="J1166">
            <v>0</v>
          </cell>
        </row>
        <row r="1167">
          <cell r="B1167" t="str">
            <v>5-2311</v>
          </cell>
          <cell r="C1167" t="str">
            <v>Permanent Staff Salary</v>
          </cell>
          <cell r="D1167">
            <v>6149226</v>
          </cell>
          <cell r="E1167">
            <v>0</v>
          </cell>
          <cell r="F1167">
            <v>3391126</v>
          </cell>
          <cell r="G1167">
            <v>0</v>
          </cell>
          <cell r="H1167">
            <v>3391126</v>
          </cell>
          <cell r="I1167">
            <v>9540352</v>
          </cell>
          <cell r="J1167">
            <v>0</v>
          </cell>
        </row>
        <row r="1168">
          <cell r="B1168" t="str">
            <v>5-2312</v>
          </cell>
          <cell r="C1168" t="str">
            <v>Temporary Staff Salary</v>
          </cell>
          <cell r="D1168">
            <v>0</v>
          </cell>
          <cell r="E1168">
            <v>0</v>
          </cell>
          <cell r="F1168">
            <v>0</v>
          </cell>
          <cell r="G1168">
            <v>0</v>
          </cell>
          <cell r="H1168">
            <v>0</v>
          </cell>
          <cell r="I1168">
            <v>0</v>
          </cell>
          <cell r="J1168">
            <v>0</v>
          </cell>
        </row>
        <row r="1169">
          <cell r="B1169" t="str">
            <v>5-2313</v>
          </cell>
          <cell r="C1169" t="str">
            <v>Honorarium santri Khidmah</v>
          </cell>
          <cell r="D1169">
            <v>0</v>
          </cell>
          <cell r="E1169">
            <v>0</v>
          </cell>
          <cell r="F1169">
            <v>0</v>
          </cell>
          <cell r="G1169">
            <v>0</v>
          </cell>
          <cell r="H1169">
            <v>0</v>
          </cell>
          <cell r="I1169">
            <v>0</v>
          </cell>
          <cell r="J1169">
            <v>0</v>
          </cell>
        </row>
        <row r="1170">
          <cell r="B1170" t="str">
            <v>5-2314</v>
          </cell>
          <cell r="C1170" t="str">
            <v>Staff overtime</v>
          </cell>
          <cell r="D1170">
            <v>0</v>
          </cell>
          <cell r="E1170">
            <v>0</v>
          </cell>
          <cell r="F1170">
            <v>0</v>
          </cell>
          <cell r="G1170">
            <v>0</v>
          </cell>
          <cell r="H1170">
            <v>0</v>
          </cell>
          <cell r="I1170">
            <v>0</v>
          </cell>
          <cell r="J1170">
            <v>0</v>
          </cell>
        </row>
        <row r="1171">
          <cell r="B1171" t="str">
            <v>5-2315</v>
          </cell>
          <cell r="C1171" t="str">
            <v>Joint Salary Allocation</v>
          </cell>
          <cell r="D1171">
            <v>0</v>
          </cell>
          <cell r="E1171">
            <v>0</v>
          </cell>
          <cell r="F1171">
            <v>0</v>
          </cell>
          <cell r="G1171">
            <v>0</v>
          </cell>
          <cell r="H1171">
            <v>0</v>
          </cell>
          <cell r="I1171">
            <v>0</v>
          </cell>
          <cell r="J1171">
            <v>0</v>
          </cell>
        </row>
        <row r="1172">
          <cell r="B1172" t="str">
            <v>5-2319</v>
          </cell>
          <cell r="C1172" t="str">
            <v>Others Salary</v>
          </cell>
          <cell r="D1172">
            <v>0</v>
          </cell>
          <cell r="E1172">
            <v>0</v>
          </cell>
          <cell r="F1172">
            <v>0</v>
          </cell>
          <cell r="G1172">
            <v>0</v>
          </cell>
          <cell r="H1172">
            <v>0</v>
          </cell>
          <cell r="I1172">
            <v>0</v>
          </cell>
          <cell r="J1172">
            <v>0</v>
          </cell>
        </row>
        <row r="1173">
          <cell r="B1173" t="str">
            <v>5-2320</v>
          </cell>
          <cell r="C1173" t="str">
            <v>Personal Allowance of</v>
          </cell>
          <cell r="D1173">
            <v>0</v>
          </cell>
          <cell r="E1173">
            <v>0</v>
          </cell>
          <cell r="F1173">
            <v>0</v>
          </cell>
          <cell r="G1173">
            <v>0</v>
          </cell>
          <cell r="H1173">
            <v>0</v>
          </cell>
          <cell r="I1173">
            <v>0</v>
          </cell>
          <cell r="J1173">
            <v>0</v>
          </cell>
        </row>
        <row r="1174">
          <cell r="B1174" t="str">
            <v>5-2321</v>
          </cell>
          <cell r="C1174" t="str">
            <v>Allowance of Hulled Rice</v>
          </cell>
          <cell r="D1174">
            <v>352600</v>
          </cell>
          <cell r="E1174">
            <v>0</v>
          </cell>
          <cell r="F1174">
            <v>369000</v>
          </cell>
          <cell r="G1174">
            <v>0</v>
          </cell>
          <cell r="H1174">
            <v>369000</v>
          </cell>
          <cell r="I1174">
            <v>721600</v>
          </cell>
          <cell r="J1174">
            <v>0</v>
          </cell>
        </row>
        <row r="1175">
          <cell r="B1175" t="str">
            <v>5-2322</v>
          </cell>
          <cell r="C1175" t="str">
            <v>Alowance of doctor and medicin</v>
          </cell>
          <cell r="D1175" t="str">
            <v>0.00cr</v>
          </cell>
          <cell r="E1175">
            <v>0</v>
          </cell>
          <cell r="F1175">
            <v>43400</v>
          </cell>
          <cell r="G1175">
            <v>0</v>
          </cell>
          <cell r="H1175">
            <v>43400</v>
          </cell>
          <cell r="I1175">
            <v>43400</v>
          </cell>
          <cell r="J1175">
            <v>0</v>
          </cell>
        </row>
        <row r="1176">
          <cell r="B1176" t="str">
            <v>5-2323</v>
          </cell>
          <cell r="C1176" t="str">
            <v>Allowance of doctor</v>
          </cell>
          <cell r="D1176">
            <v>0</v>
          </cell>
          <cell r="E1176">
            <v>0</v>
          </cell>
          <cell r="F1176">
            <v>0</v>
          </cell>
          <cell r="G1176">
            <v>0</v>
          </cell>
          <cell r="H1176">
            <v>0</v>
          </cell>
          <cell r="I1176">
            <v>0</v>
          </cell>
          <cell r="J1176">
            <v>0</v>
          </cell>
        </row>
        <row r="1177">
          <cell r="B1177" t="str">
            <v>5-2324</v>
          </cell>
          <cell r="C1177" t="str">
            <v>Allowance of operation&amp;hospita</v>
          </cell>
          <cell r="D1177">
            <v>0</v>
          </cell>
          <cell r="E1177">
            <v>0</v>
          </cell>
          <cell r="F1177">
            <v>0</v>
          </cell>
          <cell r="G1177">
            <v>0</v>
          </cell>
          <cell r="H1177">
            <v>0</v>
          </cell>
          <cell r="I1177">
            <v>0</v>
          </cell>
          <cell r="J1177">
            <v>0</v>
          </cell>
        </row>
        <row r="1178">
          <cell r="B1178" t="str">
            <v>5-2325</v>
          </cell>
          <cell r="C1178" t="str">
            <v>Allowance of disaster &amp; die</v>
          </cell>
          <cell r="D1178">
            <v>0</v>
          </cell>
          <cell r="E1178">
            <v>0</v>
          </cell>
          <cell r="F1178">
            <v>0</v>
          </cell>
          <cell r="G1178">
            <v>0</v>
          </cell>
          <cell r="H1178">
            <v>0</v>
          </cell>
          <cell r="I1178">
            <v>0</v>
          </cell>
          <cell r="J1178">
            <v>0</v>
          </cell>
        </row>
        <row r="1179">
          <cell r="B1179" t="str">
            <v>5-2326</v>
          </cell>
          <cell r="C1179" t="str">
            <v>Allowance of hari raya</v>
          </cell>
          <cell r="D1179">
            <v>3391126</v>
          </cell>
          <cell r="E1179">
            <v>0</v>
          </cell>
          <cell r="F1179">
            <v>0</v>
          </cell>
          <cell r="G1179">
            <v>0</v>
          </cell>
          <cell r="H1179">
            <v>0</v>
          </cell>
          <cell r="I1179">
            <v>3391126</v>
          </cell>
          <cell r="J1179">
            <v>0</v>
          </cell>
        </row>
        <row r="1180">
          <cell r="B1180" t="str">
            <v>5-2327</v>
          </cell>
          <cell r="C1180" t="str">
            <v>Allowance of birth</v>
          </cell>
          <cell r="D1180">
            <v>0</v>
          </cell>
          <cell r="E1180">
            <v>0</v>
          </cell>
          <cell r="F1180">
            <v>0</v>
          </cell>
          <cell r="G1180">
            <v>0</v>
          </cell>
          <cell r="H1180">
            <v>0</v>
          </cell>
          <cell r="I1180">
            <v>0</v>
          </cell>
          <cell r="J1180">
            <v>0</v>
          </cell>
        </row>
        <row r="1181">
          <cell r="B1181" t="str">
            <v>5-2328</v>
          </cell>
          <cell r="C1181" t="str">
            <v>Allowance of married</v>
          </cell>
          <cell r="D1181">
            <v>0</v>
          </cell>
          <cell r="E1181">
            <v>0</v>
          </cell>
          <cell r="F1181">
            <v>0</v>
          </cell>
          <cell r="G1181">
            <v>0</v>
          </cell>
          <cell r="H1181">
            <v>0</v>
          </cell>
          <cell r="I1181">
            <v>0</v>
          </cell>
          <cell r="J1181">
            <v>0</v>
          </cell>
        </row>
        <row r="1182">
          <cell r="B1182" t="str">
            <v>5-2329</v>
          </cell>
          <cell r="C1182" t="str">
            <v>Allowance of house rent&amp;others</v>
          </cell>
          <cell r="D1182">
            <v>0</v>
          </cell>
          <cell r="E1182">
            <v>0</v>
          </cell>
          <cell r="F1182">
            <v>0</v>
          </cell>
          <cell r="G1182">
            <v>0</v>
          </cell>
          <cell r="H1182">
            <v>0</v>
          </cell>
          <cell r="I1182">
            <v>0</v>
          </cell>
          <cell r="J1182">
            <v>0</v>
          </cell>
        </row>
        <row r="1183">
          <cell r="B1183" t="str">
            <v>5-2330</v>
          </cell>
          <cell r="C1183" t="str">
            <v>Office</v>
          </cell>
          <cell r="D1183">
            <v>0</v>
          </cell>
          <cell r="E1183">
            <v>0</v>
          </cell>
          <cell r="F1183">
            <v>0</v>
          </cell>
          <cell r="G1183">
            <v>0</v>
          </cell>
          <cell r="H1183">
            <v>0</v>
          </cell>
          <cell r="I1183">
            <v>0</v>
          </cell>
          <cell r="J1183">
            <v>0</v>
          </cell>
        </row>
        <row r="1184">
          <cell r="B1184" t="str">
            <v>5-2331</v>
          </cell>
          <cell r="C1184" t="str">
            <v>Stationary papers</v>
          </cell>
          <cell r="D1184">
            <v>0</v>
          </cell>
          <cell r="E1184">
            <v>0</v>
          </cell>
          <cell r="F1184">
            <v>0</v>
          </cell>
          <cell r="G1184">
            <v>0</v>
          </cell>
          <cell r="H1184">
            <v>0</v>
          </cell>
          <cell r="I1184">
            <v>0</v>
          </cell>
          <cell r="J1184">
            <v>0</v>
          </cell>
        </row>
        <row r="1185">
          <cell r="B1185" t="str">
            <v>5-2332</v>
          </cell>
          <cell r="C1185" t="str">
            <v>Stationary written toolls</v>
          </cell>
          <cell r="D1185">
            <v>0</v>
          </cell>
          <cell r="E1185">
            <v>0</v>
          </cell>
          <cell r="F1185">
            <v>0</v>
          </cell>
          <cell r="G1185">
            <v>0</v>
          </cell>
          <cell r="H1185">
            <v>0</v>
          </cell>
          <cell r="I1185">
            <v>0</v>
          </cell>
          <cell r="J1185">
            <v>0</v>
          </cell>
        </row>
        <row r="1186">
          <cell r="B1186" t="str">
            <v>5-2333</v>
          </cell>
          <cell r="C1186" t="str">
            <v>Stationary ink</v>
          </cell>
          <cell r="D1186">
            <v>0</v>
          </cell>
          <cell r="E1186">
            <v>0</v>
          </cell>
          <cell r="F1186">
            <v>0</v>
          </cell>
          <cell r="G1186">
            <v>0</v>
          </cell>
          <cell r="H1186">
            <v>0</v>
          </cell>
          <cell r="I1186">
            <v>0</v>
          </cell>
          <cell r="J1186">
            <v>0</v>
          </cell>
        </row>
        <row r="1187">
          <cell r="B1187" t="str">
            <v>5-2334</v>
          </cell>
          <cell r="C1187" t="str">
            <v>Stationary Others</v>
          </cell>
          <cell r="D1187">
            <v>0</v>
          </cell>
          <cell r="E1187">
            <v>0</v>
          </cell>
          <cell r="F1187">
            <v>0</v>
          </cell>
          <cell r="G1187">
            <v>0</v>
          </cell>
          <cell r="H1187">
            <v>0</v>
          </cell>
          <cell r="I1187">
            <v>0</v>
          </cell>
          <cell r="J1187">
            <v>0</v>
          </cell>
        </row>
        <row r="1188">
          <cell r="B1188" t="str">
            <v>5-2335</v>
          </cell>
          <cell r="C1188" t="str">
            <v>Consumptions</v>
          </cell>
          <cell r="D1188">
            <v>0</v>
          </cell>
          <cell r="E1188">
            <v>0</v>
          </cell>
          <cell r="F1188">
            <v>0</v>
          </cell>
          <cell r="G1188">
            <v>0</v>
          </cell>
          <cell r="H1188">
            <v>0</v>
          </cell>
          <cell r="I1188">
            <v>0</v>
          </cell>
          <cell r="J1188">
            <v>0</v>
          </cell>
        </row>
        <row r="1189">
          <cell r="B1189" t="str">
            <v>5-2336</v>
          </cell>
          <cell r="C1189" t="str">
            <v>Fotocopy &amp; Printing</v>
          </cell>
          <cell r="D1189">
            <v>0</v>
          </cell>
          <cell r="E1189">
            <v>0</v>
          </cell>
          <cell r="F1189">
            <v>0</v>
          </cell>
          <cell r="G1189">
            <v>0</v>
          </cell>
          <cell r="H1189">
            <v>0</v>
          </cell>
          <cell r="I1189">
            <v>0</v>
          </cell>
          <cell r="J1189">
            <v>0</v>
          </cell>
        </row>
        <row r="1190">
          <cell r="B1190" t="str">
            <v>5-2337</v>
          </cell>
          <cell r="C1190" t="str">
            <v>Office Suplies</v>
          </cell>
          <cell r="D1190">
            <v>0</v>
          </cell>
          <cell r="E1190">
            <v>0</v>
          </cell>
          <cell r="F1190">
            <v>0</v>
          </cell>
          <cell r="G1190">
            <v>0</v>
          </cell>
          <cell r="H1190">
            <v>0</v>
          </cell>
          <cell r="I1190">
            <v>0</v>
          </cell>
          <cell r="J1190">
            <v>0</v>
          </cell>
        </row>
        <row r="1191">
          <cell r="B1191" t="str">
            <v>5-2339</v>
          </cell>
          <cell r="C1191" t="str">
            <v>Others</v>
          </cell>
          <cell r="D1191">
            <v>0</v>
          </cell>
          <cell r="E1191">
            <v>0</v>
          </cell>
          <cell r="F1191">
            <v>0</v>
          </cell>
          <cell r="G1191">
            <v>0</v>
          </cell>
          <cell r="H1191">
            <v>0</v>
          </cell>
          <cell r="I1191">
            <v>0</v>
          </cell>
          <cell r="J1191">
            <v>0</v>
          </cell>
        </row>
        <row r="1192">
          <cell r="B1192" t="str">
            <v>5-2340</v>
          </cell>
          <cell r="C1192" t="str">
            <v>Transportation&amp;Telecomunicatio</v>
          </cell>
          <cell r="D1192">
            <v>0</v>
          </cell>
          <cell r="E1192">
            <v>0</v>
          </cell>
          <cell r="F1192">
            <v>0</v>
          </cell>
          <cell r="G1192">
            <v>0</v>
          </cell>
          <cell r="H1192">
            <v>0</v>
          </cell>
          <cell r="I1192">
            <v>0</v>
          </cell>
          <cell r="J1192">
            <v>0</v>
          </cell>
        </row>
        <row r="1193">
          <cell r="B1193" t="str">
            <v>5-2341</v>
          </cell>
          <cell r="C1193" t="str">
            <v>Mail &amp; Shipment</v>
          </cell>
          <cell r="D1193">
            <v>0</v>
          </cell>
          <cell r="E1193">
            <v>0</v>
          </cell>
          <cell r="F1193">
            <v>0</v>
          </cell>
          <cell r="G1193">
            <v>0</v>
          </cell>
          <cell r="H1193">
            <v>0</v>
          </cell>
          <cell r="I1193">
            <v>0</v>
          </cell>
          <cell r="J1193">
            <v>0</v>
          </cell>
        </row>
        <row r="1194">
          <cell r="B1194" t="str">
            <v>5-2342</v>
          </cell>
          <cell r="C1194" t="str">
            <v>Telephone</v>
          </cell>
          <cell r="D1194">
            <v>0</v>
          </cell>
          <cell r="E1194">
            <v>0</v>
          </cell>
          <cell r="F1194">
            <v>0</v>
          </cell>
          <cell r="G1194">
            <v>0</v>
          </cell>
          <cell r="H1194">
            <v>0</v>
          </cell>
          <cell r="I1194">
            <v>0</v>
          </cell>
          <cell r="J1194">
            <v>0</v>
          </cell>
        </row>
        <row r="1195">
          <cell r="B1195" t="str">
            <v>5-2343</v>
          </cell>
          <cell r="C1195" t="str">
            <v>Fuel</v>
          </cell>
          <cell r="D1195">
            <v>0</v>
          </cell>
          <cell r="E1195">
            <v>0</v>
          </cell>
          <cell r="F1195">
            <v>0</v>
          </cell>
          <cell r="G1195">
            <v>0</v>
          </cell>
          <cell r="H1195">
            <v>0</v>
          </cell>
          <cell r="I1195">
            <v>0</v>
          </cell>
          <cell r="J1195">
            <v>0</v>
          </cell>
        </row>
        <row r="1196">
          <cell r="B1196" t="str">
            <v>5-2344</v>
          </cell>
          <cell r="C1196" t="str">
            <v>Accommodations</v>
          </cell>
          <cell r="D1196">
            <v>0</v>
          </cell>
          <cell r="E1196">
            <v>0</v>
          </cell>
          <cell r="F1196">
            <v>0</v>
          </cell>
          <cell r="G1196">
            <v>0</v>
          </cell>
          <cell r="H1196">
            <v>0</v>
          </cell>
          <cell r="I1196">
            <v>0</v>
          </cell>
          <cell r="J1196">
            <v>0</v>
          </cell>
        </row>
        <row r="1197">
          <cell r="B1197" t="str">
            <v>5-2345</v>
          </cell>
          <cell r="C1197" t="str">
            <v>Public Transportation</v>
          </cell>
          <cell r="D1197">
            <v>0</v>
          </cell>
          <cell r="E1197">
            <v>0</v>
          </cell>
          <cell r="F1197">
            <v>0</v>
          </cell>
          <cell r="G1197">
            <v>0</v>
          </cell>
          <cell r="H1197">
            <v>0</v>
          </cell>
          <cell r="I1197">
            <v>0</v>
          </cell>
          <cell r="J1197">
            <v>0</v>
          </cell>
        </row>
        <row r="1198">
          <cell r="B1198" t="str">
            <v>5-2346</v>
          </cell>
          <cell r="C1198" t="str">
            <v>Joint Transportation Allocatio</v>
          </cell>
          <cell r="D1198">
            <v>0</v>
          </cell>
          <cell r="E1198">
            <v>0</v>
          </cell>
          <cell r="F1198">
            <v>0</v>
          </cell>
          <cell r="G1198">
            <v>0</v>
          </cell>
          <cell r="H1198">
            <v>0</v>
          </cell>
          <cell r="I1198">
            <v>0</v>
          </cell>
          <cell r="J1198">
            <v>0</v>
          </cell>
        </row>
        <row r="1199">
          <cell r="B1199" t="str">
            <v>5-2349</v>
          </cell>
          <cell r="C1199" t="str">
            <v>Others</v>
          </cell>
          <cell r="D1199">
            <v>0</v>
          </cell>
          <cell r="E1199">
            <v>0</v>
          </cell>
          <cell r="F1199">
            <v>0</v>
          </cell>
          <cell r="G1199">
            <v>0</v>
          </cell>
          <cell r="H1199">
            <v>0</v>
          </cell>
          <cell r="I1199">
            <v>0</v>
          </cell>
          <cell r="J1199">
            <v>0</v>
          </cell>
        </row>
        <row r="1200">
          <cell r="B1200" t="str">
            <v>5-2350</v>
          </cell>
          <cell r="C1200" t="str">
            <v>Repair &amp; Maintenance</v>
          </cell>
          <cell r="D1200">
            <v>0</v>
          </cell>
          <cell r="E1200">
            <v>0</v>
          </cell>
          <cell r="F1200">
            <v>0</v>
          </cell>
          <cell r="G1200">
            <v>0</v>
          </cell>
          <cell r="H1200">
            <v>0</v>
          </cell>
          <cell r="I1200">
            <v>0</v>
          </cell>
          <cell r="J1200">
            <v>0</v>
          </cell>
        </row>
        <row r="1201">
          <cell r="B1201" t="str">
            <v>5-2351</v>
          </cell>
          <cell r="C1201" t="str">
            <v>R &amp; M - Computer &amp; audio visua</v>
          </cell>
          <cell r="D1201">
            <v>0</v>
          </cell>
          <cell r="E1201">
            <v>0</v>
          </cell>
          <cell r="F1201">
            <v>0</v>
          </cell>
          <cell r="G1201">
            <v>0</v>
          </cell>
          <cell r="H1201">
            <v>0</v>
          </cell>
          <cell r="I1201">
            <v>0</v>
          </cell>
          <cell r="J1201">
            <v>0</v>
          </cell>
        </row>
        <row r="1202">
          <cell r="B1202" t="str">
            <v>5-2352</v>
          </cell>
          <cell r="C1202" t="str">
            <v>R &amp; M - Telephone &amp; Faxs</v>
          </cell>
          <cell r="D1202">
            <v>0</v>
          </cell>
          <cell r="E1202">
            <v>0</v>
          </cell>
          <cell r="F1202">
            <v>0</v>
          </cell>
          <cell r="G1202">
            <v>0</v>
          </cell>
          <cell r="H1202">
            <v>0</v>
          </cell>
          <cell r="I1202">
            <v>0</v>
          </cell>
          <cell r="J1202">
            <v>0</v>
          </cell>
        </row>
        <row r="1203">
          <cell r="B1203" t="str">
            <v>5-2353</v>
          </cell>
          <cell r="C1203" t="str">
            <v>R &amp; M - Office Eqiupment</v>
          </cell>
          <cell r="D1203">
            <v>0</v>
          </cell>
          <cell r="E1203">
            <v>0</v>
          </cell>
          <cell r="F1203">
            <v>0</v>
          </cell>
          <cell r="G1203">
            <v>0</v>
          </cell>
          <cell r="H1203">
            <v>0</v>
          </cell>
          <cell r="I1203">
            <v>0</v>
          </cell>
          <cell r="J1203">
            <v>0</v>
          </cell>
        </row>
        <row r="1204">
          <cell r="B1204" t="str">
            <v>5-2354</v>
          </cell>
          <cell r="C1204" t="str">
            <v>R &amp; M - Studio Eqiupment</v>
          </cell>
          <cell r="D1204">
            <v>0</v>
          </cell>
          <cell r="E1204">
            <v>0</v>
          </cell>
          <cell r="F1204">
            <v>0</v>
          </cell>
          <cell r="G1204">
            <v>0</v>
          </cell>
          <cell r="H1204">
            <v>0</v>
          </cell>
          <cell r="I1204">
            <v>0</v>
          </cell>
          <cell r="J1204">
            <v>0</v>
          </cell>
        </row>
        <row r="1205">
          <cell r="B1205" t="str">
            <v>5-2355</v>
          </cell>
          <cell r="C1205" t="str">
            <v>R &amp; M - Others Eqiupment</v>
          </cell>
          <cell r="D1205">
            <v>0</v>
          </cell>
          <cell r="E1205">
            <v>0</v>
          </cell>
          <cell r="F1205">
            <v>0</v>
          </cell>
          <cell r="G1205">
            <v>0</v>
          </cell>
          <cell r="H1205">
            <v>0</v>
          </cell>
          <cell r="I1205">
            <v>0</v>
          </cell>
          <cell r="J1205">
            <v>0</v>
          </cell>
        </row>
        <row r="1206">
          <cell r="B1206" t="str">
            <v>5-2356</v>
          </cell>
          <cell r="C1206" t="str">
            <v>R &amp; M - Table &amp; Chairs</v>
          </cell>
          <cell r="D1206">
            <v>0</v>
          </cell>
          <cell r="E1206">
            <v>0</v>
          </cell>
          <cell r="F1206">
            <v>0</v>
          </cell>
          <cell r="G1206">
            <v>0</v>
          </cell>
          <cell r="H1206">
            <v>0</v>
          </cell>
          <cell r="I1206">
            <v>0</v>
          </cell>
          <cell r="J1206">
            <v>0</v>
          </cell>
        </row>
        <row r="1207">
          <cell r="B1207" t="str">
            <v>5-2357</v>
          </cell>
          <cell r="C1207" t="str">
            <v>R &amp; M - Cupboard &amp; Rack</v>
          </cell>
          <cell r="D1207">
            <v>0</v>
          </cell>
          <cell r="E1207">
            <v>0</v>
          </cell>
          <cell r="F1207">
            <v>0</v>
          </cell>
          <cell r="G1207">
            <v>0</v>
          </cell>
          <cell r="H1207">
            <v>0</v>
          </cell>
          <cell r="I1207">
            <v>0</v>
          </cell>
          <cell r="J1207">
            <v>0</v>
          </cell>
        </row>
        <row r="1208">
          <cell r="B1208" t="str">
            <v>5-2358</v>
          </cell>
          <cell r="C1208" t="str">
            <v>R &amp; M - Other Furniture</v>
          </cell>
          <cell r="D1208">
            <v>0</v>
          </cell>
          <cell r="E1208">
            <v>0</v>
          </cell>
          <cell r="F1208">
            <v>0</v>
          </cell>
          <cell r="G1208">
            <v>0</v>
          </cell>
          <cell r="H1208">
            <v>0</v>
          </cell>
          <cell r="I1208">
            <v>0</v>
          </cell>
          <cell r="J1208">
            <v>0</v>
          </cell>
        </row>
        <row r="1209">
          <cell r="B1209" t="str">
            <v>5-2359</v>
          </cell>
          <cell r="C1209" t="str">
            <v>Others</v>
          </cell>
          <cell r="D1209">
            <v>0</v>
          </cell>
          <cell r="E1209">
            <v>0</v>
          </cell>
          <cell r="F1209">
            <v>0</v>
          </cell>
          <cell r="G1209">
            <v>0</v>
          </cell>
          <cell r="H1209">
            <v>0</v>
          </cell>
          <cell r="I1209">
            <v>0</v>
          </cell>
          <cell r="J1209">
            <v>0</v>
          </cell>
        </row>
        <row r="1210">
          <cell r="B1210" t="str">
            <v>5-2360</v>
          </cell>
          <cell r="C1210" t="str">
            <v>Studio</v>
          </cell>
          <cell r="D1210">
            <v>0</v>
          </cell>
          <cell r="E1210">
            <v>0</v>
          </cell>
          <cell r="F1210">
            <v>0</v>
          </cell>
          <cell r="G1210">
            <v>0</v>
          </cell>
          <cell r="H1210">
            <v>0</v>
          </cell>
          <cell r="I1210">
            <v>0</v>
          </cell>
          <cell r="J1210">
            <v>0</v>
          </cell>
        </row>
        <row r="1211">
          <cell r="B1211" t="str">
            <v>5-2361</v>
          </cell>
          <cell r="C1211" t="str">
            <v>ATK</v>
          </cell>
          <cell r="D1211">
            <v>0</v>
          </cell>
          <cell r="E1211">
            <v>0</v>
          </cell>
          <cell r="F1211">
            <v>0</v>
          </cell>
          <cell r="G1211">
            <v>0</v>
          </cell>
          <cell r="H1211">
            <v>0</v>
          </cell>
          <cell r="I1211">
            <v>0</v>
          </cell>
          <cell r="J1211">
            <v>0</v>
          </cell>
        </row>
        <row r="1212">
          <cell r="B1212" t="str">
            <v>5-2362</v>
          </cell>
          <cell r="C1212" t="str">
            <v>Perlengkapan Studio</v>
          </cell>
          <cell r="D1212">
            <v>0</v>
          </cell>
          <cell r="E1212">
            <v>0</v>
          </cell>
          <cell r="F1212">
            <v>0</v>
          </cell>
          <cell r="G1212">
            <v>0</v>
          </cell>
          <cell r="H1212">
            <v>0</v>
          </cell>
          <cell r="I1212">
            <v>0</v>
          </cell>
          <cell r="J1212">
            <v>0</v>
          </cell>
        </row>
        <row r="1213">
          <cell r="B1213" t="str">
            <v>5-2363</v>
          </cell>
          <cell r="C1213" t="str">
            <v>Bahan Siaran</v>
          </cell>
          <cell r="D1213">
            <v>0</v>
          </cell>
          <cell r="E1213">
            <v>0</v>
          </cell>
          <cell r="F1213">
            <v>0</v>
          </cell>
          <cell r="G1213">
            <v>0</v>
          </cell>
          <cell r="H1213">
            <v>0</v>
          </cell>
          <cell r="I1213">
            <v>0</v>
          </cell>
          <cell r="J1213">
            <v>0</v>
          </cell>
        </row>
        <row r="1214">
          <cell r="B1214" t="str">
            <v>5-2364</v>
          </cell>
          <cell r="C1214" t="str">
            <v>Honorarium pembicara</v>
          </cell>
          <cell r="D1214">
            <v>0</v>
          </cell>
          <cell r="E1214">
            <v>0</v>
          </cell>
          <cell r="F1214">
            <v>0</v>
          </cell>
          <cell r="G1214">
            <v>0</v>
          </cell>
          <cell r="H1214">
            <v>0</v>
          </cell>
          <cell r="I1214">
            <v>0</v>
          </cell>
          <cell r="J1214">
            <v>0</v>
          </cell>
        </row>
        <row r="1215">
          <cell r="B1215" t="str">
            <v>5-2390</v>
          </cell>
          <cell r="C1215" t="str">
            <v>Lain - lain program siaran</v>
          </cell>
          <cell r="D1215">
            <v>0</v>
          </cell>
          <cell r="E1215">
            <v>0</v>
          </cell>
          <cell r="F1215">
            <v>0</v>
          </cell>
          <cell r="G1215">
            <v>0</v>
          </cell>
          <cell r="H1215">
            <v>0</v>
          </cell>
          <cell r="I1215">
            <v>0</v>
          </cell>
          <cell r="J1215">
            <v>0</v>
          </cell>
        </row>
        <row r="1216">
          <cell r="B1216" t="str">
            <v>5-2391</v>
          </cell>
          <cell r="C1216" t="str">
            <v>Pelatihan dan workshop</v>
          </cell>
          <cell r="D1216">
            <v>0</v>
          </cell>
          <cell r="E1216">
            <v>0</v>
          </cell>
          <cell r="F1216">
            <v>0</v>
          </cell>
          <cell r="G1216">
            <v>0</v>
          </cell>
          <cell r="H1216">
            <v>0</v>
          </cell>
          <cell r="I1216">
            <v>0</v>
          </cell>
          <cell r="J1216">
            <v>0</v>
          </cell>
        </row>
        <row r="1217">
          <cell r="B1217" t="str">
            <v>5-2410</v>
          </cell>
          <cell r="C1217" t="str">
            <v>PERSONAL - GAJI</v>
          </cell>
          <cell r="D1217">
            <v>0</v>
          </cell>
          <cell r="E1217">
            <v>0</v>
          </cell>
          <cell r="F1217">
            <v>0</v>
          </cell>
          <cell r="G1217">
            <v>0</v>
          </cell>
          <cell r="H1217">
            <v>0</v>
          </cell>
          <cell r="I1217">
            <v>0</v>
          </cell>
          <cell r="J1217">
            <v>0</v>
          </cell>
        </row>
        <row r="1218">
          <cell r="B1218" t="str">
            <v>5-2411</v>
          </cell>
          <cell r="C1218" t="str">
            <v>Permanent Staff Salary</v>
          </cell>
          <cell r="D1218">
            <v>0</v>
          </cell>
          <cell r="E1218">
            <v>0</v>
          </cell>
          <cell r="F1218">
            <v>0</v>
          </cell>
          <cell r="G1218">
            <v>0</v>
          </cell>
          <cell r="H1218">
            <v>0</v>
          </cell>
          <cell r="I1218">
            <v>0</v>
          </cell>
          <cell r="J1218">
            <v>0</v>
          </cell>
        </row>
        <row r="1219">
          <cell r="B1219" t="str">
            <v>5-2412</v>
          </cell>
          <cell r="C1219" t="str">
            <v>Temporary Staff Salary</v>
          </cell>
          <cell r="D1219">
            <v>0</v>
          </cell>
          <cell r="E1219">
            <v>0</v>
          </cell>
          <cell r="F1219">
            <v>0</v>
          </cell>
          <cell r="G1219">
            <v>0</v>
          </cell>
          <cell r="H1219">
            <v>0</v>
          </cell>
          <cell r="I1219">
            <v>0</v>
          </cell>
          <cell r="J1219">
            <v>0</v>
          </cell>
        </row>
        <row r="1220">
          <cell r="B1220" t="str">
            <v>5-2413</v>
          </cell>
          <cell r="C1220" t="str">
            <v>Honorarium santri Khidmah</v>
          </cell>
          <cell r="D1220">
            <v>0</v>
          </cell>
          <cell r="E1220">
            <v>0</v>
          </cell>
          <cell r="F1220">
            <v>0</v>
          </cell>
          <cell r="G1220">
            <v>0</v>
          </cell>
          <cell r="H1220">
            <v>0</v>
          </cell>
          <cell r="I1220">
            <v>0</v>
          </cell>
          <cell r="J1220">
            <v>0</v>
          </cell>
        </row>
        <row r="1221">
          <cell r="B1221" t="str">
            <v>5-2414</v>
          </cell>
          <cell r="C1221" t="str">
            <v>Staff overtime</v>
          </cell>
          <cell r="D1221">
            <v>0</v>
          </cell>
          <cell r="E1221">
            <v>0</v>
          </cell>
          <cell r="F1221">
            <v>0</v>
          </cell>
          <cell r="G1221">
            <v>0</v>
          </cell>
          <cell r="H1221">
            <v>0</v>
          </cell>
          <cell r="I1221">
            <v>0</v>
          </cell>
          <cell r="J1221">
            <v>0</v>
          </cell>
        </row>
        <row r="1222">
          <cell r="B1222" t="str">
            <v>5-2415</v>
          </cell>
          <cell r="C1222" t="str">
            <v>Joint Salary Allocation</v>
          </cell>
          <cell r="D1222">
            <v>0</v>
          </cell>
          <cell r="E1222">
            <v>0</v>
          </cell>
          <cell r="F1222">
            <v>0</v>
          </cell>
          <cell r="G1222">
            <v>0</v>
          </cell>
          <cell r="H1222">
            <v>0</v>
          </cell>
          <cell r="I1222">
            <v>0</v>
          </cell>
          <cell r="J1222">
            <v>0</v>
          </cell>
        </row>
        <row r="1223">
          <cell r="B1223" t="str">
            <v>5-2417</v>
          </cell>
          <cell r="C1223" t="str">
            <v>New Account</v>
          </cell>
          <cell r="D1223">
            <v>0</v>
          </cell>
          <cell r="E1223">
            <v>0</v>
          </cell>
          <cell r="F1223">
            <v>0</v>
          </cell>
          <cell r="G1223">
            <v>0</v>
          </cell>
          <cell r="H1223">
            <v>0</v>
          </cell>
          <cell r="I1223">
            <v>0</v>
          </cell>
          <cell r="J1223">
            <v>0</v>
          </cell>
        </row>
        <row r="1224">
          <cell r="B1224" t="str">
            <v>5-2419</v>
          </cell>
          <cell r="C1224" t="str">
            <v>Others Salary</v>
          </cell>
          <cell r="D1224">
            <v>0</v>
          </cell>
          <cell r="E1224">
            <v>0</v>
          </cell>
          <cell r="F1224">
            <v>0</v>
          </cell>
          <cell r="G1224">
            <v>0</v>
          </cell>
          <cell r="H1224">
            <v>0</v>
          </cell>
          <cell r="I1224">
            <v>0</v>
          </cell>
          <cell r="J1224">
            <v>0</v>
          </cell>
        </row>
        <row r="1225">
          <cell r="B1225" t="str">
            <v>5-2420</v>
          </cell>
          <cell r="C1225" t="str">
            <v>PERSONAL - ALLOWANCE OF</v>
          </cell>
          <cell r="D1225">
            <v>0</v>
          </cell>
          <cell r="E1225">
            <v>0</v>
          </cell>
          <cell r="F1225">
            <v>0</v>
          </cell>
          <cell r="G1225">
            <v>0</v>
          </cell>
          <cell r="H1225">
            <v>0</v>
          </cell>
          <cell r="I1225">
            <v>0</v>
          </cell>
          <cell r="J1225">
            <v>0</v>
          </cell>
        </row>
        <row r="1226">
          <cell r="B1226" t="str">
            <v>5-2421</v>
          </cell>
          <cell r="C1226" t="str">
            <v>Allowance of Hulled Rice</v>
          </cell>
          <cell r="D1226">
            <v>0</v>
          </cell>
          <cell r="E1226">
            <v>0</v>
          </cell>
          <cell r="F1226">
            <v>0</v>
          </cell>
          <cell r="G1226">
            <v>0</v>
          </cell>
          <cell r="H1226">
            <v>0</v>
          </cell>
          <cell r="I1226">
            <v>0</v>
          </cell>
          <cell r="J1226">
            <v>0</v>
          </cell>
        </row>
        <row r="1227">
          <cell r="B1227" t="str">
            <v>5-2422</v>
          </cell>
          <cell r="C1227" t="str">
            <v>Alowance of doctor and medicin</v>
          </cell>
          <cell r="D1227">
            <v>0</v>
          </cell>
          <cell r="E1227">
            <v>0</v>
          </cell>
          <cell r="F1227">
            <v>0</v>
          </cell>
          <cell r="G1227">
            <v>0</v>
          </cell>
          <cell r="H1227">
            <v>0</v>
          </cell>
          <cell r="I1227">
            <v>0</v>
          </cell>
          <cell r="J1227">
            <v>0</v>
          </cell>
        </row>
        <row r="1228">
          <cell r="B1228" t="str">
            <v>5-2423</v>
          </cell>
          <cell r="C1228" t="str">
            <v>Alowance of spectacles</v>
          </cell>
          <cell r="D1228">
            <v>0</v>
          </cell>
          <cell r="E1228">
            <v>0</v>
          </cell>
          <cell r="F1228">
            <v>0</v>
          </cell>
          <cell r="G1228">
            <v>0</v>
          </cell>
          <cell r="H1228">
            <v>0</v>
          </cell>
          <cell r="I1228">
            <v>0</v>
          </cell>
          <cell r="J1228">
            <v>0</v>
          </cell>
        </row>
        <row r="1229">
          <cell r="B1229" t="str">
            <v>5-2424</v>
          </cell>
          <cell r="C1229" t="str">
            <v>Allowance of operation&amp;hospita</v>
          </cell>
          <cell r="D1229">
            <v>0</v>
          </cell>
          <cell r="E1229">
            <v>0</v>
          </cell>
          <cell r="F1229">
            <v>0</v>
          </cell>
          <cell r="G1229">
            <v>0</v>
          </cell>
          <cell r="H1229">
            <v>0</v>
          </cell>
          <cell r="I1229">
            <v>0</v>
          </cell>
          <cell r="J1229">
            <v>0</v>
          </cell>
        </row>
        <row r="1230">
          <cell r="B1230" t="str">
            <v>5-2425</v>
          </cell>
          <cell r="C1230" t="str">
            <v>Allowance of disaster &amp; die</v>
          </cell>
          <cell r="D1230">
            <v>0</v>
          </cell>
          <cell r="E1230">
            <v>0</v>
          </cell>
          <cell r="F1230">
            <v>0</v>
          </cell>
          <cell r="G1230">
            <v>0</v>
          </cell>
          <cell r="H1230">
            <v>0</v>
          </cell>
          <cell r="I1230">
            <v>0</v>
          </cell>
          <cell r="J1230">
            <v>0</v>
          </cell>
        </row>
        <row r="1231">
          <cell r="B1231" t="str">
            <v>5-2426</v>
          </cell>
          <cell r="C1231" t="str">
            <v>Allowance of hari raya</v>
          </cell>
          <cell r="D1231">
            <v>0</v>
          </cell>
          <cell r="E1231">
            <v>0</v>
          </cell>
          <cell r="F1231">
            <v>0</v>
          </cell>
          <cell r="G1231">
            <v>0</v>
          </cell>
          <cell r="H1231">
            <v>0</v>
          </cell>
          <cell r="I1231">
            <v>0</v>
          </cell>
          <cell r="J1231">
            <v>0</v>
          </cell>
        </row>
        <row r="1232">
          <cell r="B1232" t="str">
            <v>5-2427</v>
          </cell>
          <cell r="C1232" t="str">
            <v>Allowance of birth</v>
          </cell>
          <cell r="D1232">
            <v>0</v>
          </cell>
          <cell r="E1232">
            <v>0</v>
          </cell>
          <cell r="F1232">
            <v>0</v>
          </cell>
          <cell r="G1232">
            <v>0</v>
          </cell>
          <cell r="H1232">
            <v>0</v>
          </cell>
          <cell r="I1232">
            <v>0</v>
          </cell>
          <cell r="J1232">
            <v>0</v>
          </cell>
        </row>
        <row r="1233">
          <cell r="B1233" t="str">
            <v>5-2428</v>
          </cell>
          <cell r="C1233" t="str">
            <v>Allowance of married</v>
          </cell>
          <cell r="D1233">
            <v>0</v>
          </cell>
          <cell r="E1233">
            <v>0</v>
          </cell>
          <cell r="F1233">
            <v>0</v>
          </cell>
          <cell r="G1233">
            <v>0</v>
          </cell>
          <cell r="H1233">
            <v>0</v>
          </cell>
          <cell r="I1233">
            <v>0</v>
          </cell>
          <cell r="J1233">
            <v>0</v>
          </cell>
        </row>
        <row r="1234">
          <cell r="B1234" t="str">
            <v>5-2429</v>
          </cell>
          <cell r="C1234" t="str">
            <v>Allowance of house rent&amp;others</v>
          </cell>
          <cell r="D1234">
            <v>0</v>
          </cell>
          <cell r="E1234">
            <v>0</v>
          </cell>
          <cell r="F1234">
            <v>0</v>
          </cell>
          <cell r="G1234">
            <v>0</v>
          </cell>
          <cell r="H1234">
            <v>0</v>
          </cell>
          <cell r="I1234">
            <v>0</v>
          </cell>
          <cell r="J1234">
            <v>0</v>
          </cell>
        </row>
        <row r="1235">
          <cell r="B1235" t="str">
            <v>5-2430</v>
          </cell>
          <cell r="C1235" t="str">
            <v>OFFICE</v>
          </cell>
          <cell r="D1235">
            <v>0</v>
          </cell>
          <cell r="E1235">
            <v>0</v>
          </cell>
          <cell r="F1235">
            <v>0</v>
          </cell>
          <cell r="G1235">
            <v>0</v>
          </cell>
          <cell r="H1235">
            <v>0</v>
          </cell>
          <cell r="I1235">
            <v>0</v>
          </cell>
          <cell r="J1235">
            <v>0</v>
          </cell>
        </row>
        <row r="1236">
          <cell r="B1236" t="str">
            <v>5-2431</v>
          </cell>
          <cell r="C1236" t="str">
            <v>Stationary papers</v>
          </cell>
          <cell r="D1236">
            <v>0</v>
          </cell>
          <cell r="E1236">
            <v>0</v>
          </cell>
          <cell r="F1236">
            <v>0</v>
          </cell>
          <cell r="G1236">
            <v>0</v>
          </cell>
          <cell r="H1236">
            <v>0</v>
          </cell>
          <cell r="I1236">
            <v>0</v>
          </cell>
          <cell r="J1236">
            <v>0</v>
          </cell>
        </row>
        <row r="1237">
          <cell r="B1237" t="str">
            <v>5-2432</v>
          </cell>
          <cell r="C1237" t="str">
            <v>Stationary written toolls</v>
          </cell>
          <cell r="D1237">
            <v>0</v>
          </cell>
          <cell r="E1237">
            <v>0</v>
          </cell>
          <cell r="F1237">
            <v>0</v>
          </cell>
          <cell r="G1237">
            <v>0</v>
          </cell>
          <cell r="H1237">
            <v>0</v>
          </cell>
          <cell r="I1237">
            <v>0</v>
          </cell>
          <cell r="J1237">
            <v>0</v>
          </cell>
        </row>
        <row r="1238">
          <cell r="B1238" t="str">
            <v>5-2433</v>
          </cell>
          <cell r="C1238" t="str">
            <v>Stationary ink</v>
          </cell>
          <cell r="D1238">
            <v>0</v>
          </cell>
          <cell r="E1238">
            <v>0</v>
          </cell>
          <cell r="F1238">
            <v>0</v>
          </cell>
          <cell r="G1238">
            <v>0</v>
          </cell>
          <cell r="H1238">
            <v>0</v>
          </cell>
          <cell r="I1238">
            <v>0</v>
          </cell>
          <cell r="J1238">
            <v>0</v>
          </cell>
        </row>
        <row r="1239">
          <cell r="B1239" t="str">
            <v>5-2434</v>
          </cell>
          <cell r="C1239" t="str">
            <v>Stationary Others</v>
          </cell>
          <cell r="D1239">
            <v>0</v>
          </cell>
          <cell r="E1239">
            <v>0</v>
          </cell>
          <cell r="F1239">
            <v>0</v>
          </cell>
          <cell r="G1239">
            <v>0</v>
          </cell>
          <cell r="H1239">
            <v>0</v>
          </cell>
          <cell r="I1239">
            <v>0</v>
          </cell>
          <cell r="J1239">
            <v>0</v>
          </cell>
        </row>
        <row r="1240">
          <cell r="B1240" t="str">
            <v>5-2435</v>
          </cell>
          <cell r="C1240" t="str">
            <v>Consumptions</v>
          </cell>
          <cell r="D1240">
            <v>0</v>
          </cell>
          <cell r="E1240">
            <v>0</v>
          </cell>
          <cell r="F1240">
            <v>0</v>
          </cell>
          <cell r="G1240">
            <v>0</v>
          </cell>
          <cell r="H1240">
            <v>0</v>
          </cell>
          <cell r="I1240">
            <v>0</v>
          </cell>
          <cell r="J1240">
            <v>0</v>
          </cell>
        </row>
        <row r="1241">
          <cell r="B1241" t="str">
            <v>5-2436</v>
          </cell>
          <cell r="C1241" t="str">
            <v>Fotocopy &amp; Printing</v>
          </cell>
          <cell r="D1241">
            <v>0</v>
          </cell>
          <cell r="E1241">
            <v>0</v>
          </cell>
          <cell r="F1241">
            <v>0</v>
          </cell>
          <cell r="G1241">
            <v>0</v>
          </cell>
          <cell r="H1241">
            <v>0</v>
          </cell>
          <cell r="I1241">
            <v>0</v>
          </cell>
          <cell r="J1241">
            <v>0</v>
          </cell>
        </row>
        <row r="1242">
          <cell r="B1242" t="str">
            <v>5-2437</v>
          </cell>
          <cell r="C1242" t="str">
            <v>Office Suplies</v>
          </cell>
          <cell r="D1242">
            <v>0</v>
          </cell>
          <cell r="E1242">
            <v>0</v>
          </cell>
          <cell r="F1242">
            <v>0</v>
          </cell>
          <cell r="G1242">
            <v>0</v>
          </cell>
          <cell r="H1242">
            <v>0</v>
          </cell>
          <cell r="I1242">
            <v>0</v>
          </cell>
          <cell r="J1242">
            <v>0</v>
          </cell>
        </row>
        <row r="1243">
          <cell r="B1243" t="str">
            <v>5-2439</v>
          </cell>
          <cell r="C1243" t="str">
            <v>Others</v>
          </cell>
          <cell r="D1243">
            <v>0</v>
          </cell>
          <cell r="E1243">
            <v>0</v>
          </cell>
          <cell r="F1243">
            <v>0</v>
          </cell>
          <cell r="G1243">
            <v>0</v>
          </cell>
          <cell r="H1243">
            <v>0</v>
          </cell>
          <cell r="I1243">
            <v>0</v>
          </cell>
          <cell r="J1243">
            <v>0</v>
          </cell>
        </row>
        <row r="1244">
          <cell r="B1244" t="str">
            <v>5-2440</v>
          </cell>
          <cell r="C1244" t="str">
            <v>TRANSPORTATION &amp; TELECOMUNICAT</v>
          </cell>
          <cell r="D1244">
            <v>0</v>
          </cell>
          <cell r="E1244">
            <v>0</v>
          </cell>
          <cell r="F1244">
            <v>0</v>
          </cell>
          <cell r="G1244">
            <v>0</v>
          </cell>
          <cell r="H1244">
            <v>0</v>
          </cell>
          <cell r="I1244">
            <v>0</v>
          </cell>
          <cell r="J1244">
            <v>0</v>
          </cell>
        </row>
        <row r="1245">
          <cell r="B1245" t="str">
            <v>5-2441</v>
          </cell>
          <cell r="C1245" t="str">
            <v>Mail &amp; Shipment</v>
          </cell>
          <cell r="D1245">
            <v>0</v>
          </cell>
          <cell r="E1245">
            <v>0</v>
          </cell>
          <cell r="F1245">
            <v>0</v>
          </cell>
          <cell r="G1245">
            <v>0</v>
          </cell>
          <cell r="H1245">
            <v>0</v>
          </cell>
          <cell r="I1245">
            <v>0</v>
          </cell>
          <cell r="J1245">
            <v>0</v>
          </cell>
        </row>
        <row r="1246">
          <cell r="B1246" t="str">
            <v>5-2442</v>
          </cell>
          <cell r="C1246" t="str">
            <v>Telephone</v>
          </cell>
          <cell r="D1246">
            <v>0</v>
          </cell>
          <cell r="E1246">
            <v>0</v>
          </cell>
          <cell r="F1246">
            <v>0</v>
          </cell>
          <cell r="G1246">
            <v>0</v>
          </cell>
          <cell r="H1246">
            <v>0</v>
          </cell>
          <cell r="I1246">
            <v>0</v>
          </cell>
          <cell r="J1246">
            <v>0</v>
          </cell>
        </row>
        <row r="1247">
          <cell r="B1247" t="str">
            <v>5-2443</v>
          </cell>
          <cell r="C1247" t="str">
            <v>Fuel</v>
          </cell>
          <cell r="D1247">
            <v>0</v>
          </cell>
          <cell r="E1247">
            <v>0</v>
          </cell>
          <cell r="F1247">
            <v>0</v>
          </cell>
          <cell r="G1247">
            <v>0</v>
          </cell>
          <cell r="H1247">
            <v>0</v>
          </cell>
          <cell r="I1247">
            <v>0</v>
          </cell>
          <cell r="J1247">
            <v>0</v>
          </cell>
        </row>
        <row r="1248">
          <cell r="B1248" t="str">
            <v>5-2444</v>
          </cell>
          <cell r="C1248" t="str">
            <v>Toll &amp; Parking</v>
          </cell>
          <cell r="D1248">
            <v>0</v>
          </cell>
          <cell r="E1248">
            <v>0</v>
          </cell>
          <cell r="F1248">
            <v>0</v>
          </cell>
          <cell r="G1248">
            <v>0</v>
          </cell>
          <cell r="H1248">
            <v>0</v>
          </cell>
          <cell r="I1248">
            <v>0</v>
          </cell>
          <cell r="J1248">
            <v>0</v>
          </cell>
        </row>
        <row r="1249">
          <cell r="B1249" t="str">
            <v>5-2445</v>
          </cell>
          <cell r="C1249" t="str">
            <v>Accommodations</v>
          </cell>
          <cell r="D1249">
            <v>0</v>
          </cell>
          <cell r="E1249">
            <v>0</v>
          </cell>
          <cell r="F1249">
            <v>0</v>
          </cell>
          <cell r="G1249">
            <v>0</v>
          </cell>
          <cell r="H1249">
            <v>0</v>
          </cell>
          <cell r="I1249">
            <v>0</v>
          </cell>
          <cell r="J1249">
            <v>0</v>
          </cell>
        </row>
        <row r="1250">
          <cell r="B1250" t="str">
            <v>5-2446</v>
          </cell>
          <cell r="C1250" t="str">
            <v>Public Tranportation</v>
          </cell>
          <cell r="D1250">
            <v>0</v>
          </cell>
          <cell r="E1250">
            <v>0</v>
          </cell>
          <cell r="F1250">
            <v>0</v>
          </cell>
          <cell r="G1250">
            <v>0</v>
          </cell>
          <cell r="H1250">
            <v>0</v>
          </cell>
          <cell r="I1250">
            <v>0</v>
          </cell>
          <cell r="J1250">
            <v>0</v>
          </cell>
        </row>
        <row r="1251">
          <cell r="B1251" t="str">
            <v>5-2447</v>
          </cell>
          <cell r="C1251" t="str">
            <v>Joint Transportation Allocatio</v>
          </cell>
          <cell r="D1251">
            <v>0</v>
          </cell>
          <cell r="E1251">
            <v>0</v>
          </cell>
          <cell r="F1251">
            <v>0</v>
          </cell>
          <cell r="G1251">
            <v>0</v>
          </cell>
          <cell r="H1251">
            <v>0</v>
          </cell>
          <cell r="I1251">
            <v>0</v>
          </cell>
          <cell r="J1251">
            <v>0</v>
          </cell>
        </row>
        <row r="1252">
          <cell r="B1252" t="str">
            <v>5-2449</v>
          </cell>
          <cell r="C1252" t="str">
            <v>Others</v>
          </cell>
          <cell r="D1252">
            <v>0</v>
          </cell>
          <cell r="E1252">
            <v>0</v>
          </cell>
          <cell r="F1252">
            <v>0</v>
          </cell>
          <cell r="G1252">
            <v>0</v>
          </cell>
          <cell r="H1252">
            <v>0</v>
          </cell>
          <cell r="I1252">
            <v>0</v>
          </cell>
          <cell r="J1252">
            <v>0</v>
          </cell>
        </row>
        <row r="1253">
          <cell r="B1253" t="str">
            <v>5-2450</v>
          </cell>
          <cell r="C1253" t="str">
            <v>REPAIR &amp; MAINTENENCE</v>
          </cell>
          <cell r="D1253">
            <v>0</v>
          </cell>
          <cell r="E1253">
            <v>0</v>
          </cell>
          <cell r="F1253">
            <v>0</v>
          </cell>
          <cell r="G1253">
            <v>0</v>
          </cell>
          <cell r="H1253">
            <v>0</v>
          </cell>
          <cell r="I1253">
            <v>0</v>
          </cell>
          <cell r="J1253">
            <v>0</v>
          </cell>
        </row>
        <row r="1254">
          <cell r="B1254" t="str">
            <v>5-2451</v>
          </cell>
          <cell r="C1254" t="str">
            <v>R &amp; M - Computer &amp; audio visua</v>
          </cell>
          <cell r="D1254">
            <v>0</v>
          </cell>
          <cell r="E1254">
            <v>0</v>
          </cell>
          <cell r="F1254">
            <v>0</v>
          </cell>
          <cell r="G1254">
            <v>0</v>
          </cell>
          <cell r="H1254">
            <v>0</v>
          </cell>
          <cell r="I1254">
            <v>0</v>
          </cell>
          <cell r="J1254">
            <v>0</v>
          </cell>
        </row>
        <row r="1255">
          <cell r="B1255" t="str">
            <v>5-2452</v>
          </cell>
          <cell r="C1255" t="str">
            <v>R &amp; M - Telephone &amp; Faxs</v>
          </cell>
          <cell r="D1255">
            <v>0</v>
          </cell>
          <cell r="E1255">
            <v>0</v>
          </cell>
          <cell r="F1255">
            <v>0</v>
          </cell>
          <cell r="G1255">
            <v>0</v>
          </cell>
          <cell r="H1255">
            <v>0</v>
          </cell>
          <cell r="I1255">
            <v>0</v>
          </cell>
          <cell r="J1255">
            <v>0</v>
          </cell>
        </row>
        <row r="1256">
          <cell r="B1256" t="str">
            <v>5-2453</v>
          </cell>
          <cell r="C1256" t="str">
            <v>R &amp; M - Office Eqiupment</v>
          </cell>
          <cell r="D1256">
            <v>0</v>
          </cell>
          <cell r="E1256">
            <v>0</v>
          </cell>
          <cell r="F1256">
            <v>0</v>
          </cell>
          <cell r="G1256">
            <v>0</v>
          </cell>
          <cell r="H1256">
            <v>0</v>
          </cell>
          <cell r="I1256">
            <v>0</v>
          </cell>
          <cell r="J1256">
            <v>0</v>
          </cell>
        </row>
        <row r="1257">
          <cell r="B1257" t="str">
            <v>5-2454</v>
          </cell>
          <cell r="C1257" t="str">
            <v>R &amp; M - PR Eqiupment</v>
          </cell>
          <cell r="D1257">
            <v>0</v>
          </cell>
          <cell r="E1257">
            <v>0</v>
          </cell>
          <cell r="F1257">
            <v>0</v>
          </cell>
          <cell r="G1257">
            <v>0</v>
          </cell>
          <cell r="H1257">
            <v>0</v>
          </cell>
          <cell r="I1257">
            <v>0</v>
          </cell>
          <cell r="J1257">
            <v>0</v>
          </cell>
        </row>
        <row r="1258">
          <cell r="B1258" t="str">
            <v>5-2455</v>
          </cell>
          <cell r="C1258" t="str">
            <v>R &amp; M - Other Eqiupment</v>
          </cell>
          <cell r="D1258">
            <v>0</v>
          </cell>
          <cell r="E1258">
            <v>0</v>
          </cell>
          <cell r="F1258">
            <v>0</v>
          </cell>
          <cell r="G1258">
            <v>0</v>
          </cell>
          <cell r="H1258">
            <v>0</v>
          </cell>
          <cell r="I1258">
            <v>0</v>
          </cell>
          <cell r="J1258">
            <v>0</v>
          </cell>
        </row>
        <row r="1259">
          <cell r="B1259" t="str">
            <v>5-2456</v>
          </cell>
          <cell r="C1259" t="str">
            <v>R &amp; M - Table &amp; Chairs</v>
          </cell>
          <cell r="D1259">
            <v>0</v>
          </cell>
          <cell r="E1259">
            <v>0</v>
          </cell>
          <cell r="F1259">
            <v>0</v>
          </cell>
          <cell r="G1259">
            <v>0</v>
          </cell>
          <cell r="H1259">
            <v>0</v>
          </cell>
          <cell r="I1259">
            <v>0</v>
          </cell>
          <cell r="J1259">
            <v>0</v>
          </cell>
        </row>
        <row r="1260">
          <cell r="B1260" t="str">
            <v>5-2457</v>
          </cell>
          <cell r="C1260" t="str">
            <v>R &amp; M - Cupboard &amp; Rack</v>
          </cell>
          <cell r="D1260">
            <v>0</v>
          </cell>
          <cell r="E1260">
            <v>0</v>
          </cell>
          <cell r="F1260">
            <v>0</v>
          </cell>
          <cell r="G1260">
            <v>0</v>
          </cell>
          <cell r="H1260">
            <v>0</v>
          </cell>
          <cell r="I1260">
            <v>0</v>
          </cell>
          <cell r="J1260">
            <v>0</v>
          </cell>
        </row>
        <row r="1261">
          <cell r="B1261" t="str">
            <v>5-2458</v>
          </cell>
          <cell r="C1261" t="str">
            <v>R &amp; M - Other Furniture</v>
          </cell>
          <cell r="D1261">
            <v>0</v>
          </cell>
          <cell r="E1261">
            <v>0</v>
          </cell>
          <cell r="F1261">
            <v>0</v>
          </cell>
          <cell r="G1261">
            <v>0</v>
          </cell>
          <cell r="H1261">
            <v>0</v>
          </cell>
          <cell r="I1261">
            <v>0</v>
          </cell>
          <cell r="J1261">
            <v>0</v>
          </cell>
        </row>
        <row r="1262">
          <cell r="B1262" t="str">
            <v>5-2459</v>
          </cell>
          <cell r="C1262" t="str">
            <v>R &amp; M - Other</v>
          </cell>
          <cell r="D1262">
            <v>0</v>
          </cell>
          <cell r="E1262">
            <v>0</v>
          </cell>
          <cell r="F1262">
            <v>0</v>
          </cell>
          <cell r="G1262">
            <v>0</v>
          </cell>
          <cell r="H1262">
            <v>0</v>
          </cell>
          <cell r="I1262">
            <v>0</v>
          </cell>
          <cell r="J1262">
            <v>0</v>
          </cell>
        </row>
        <row r="1263">
          <cell r="B1263" t="str">
            <v>5-2460</v>
          </cell>
          <cell r="C1263" t="str">
            <v>PERTEMUAN MASYARAKAT</v>
          </cell>
          <cell r="D1263">
            <v>0</v>
          </cell>
          <cell r="E1263">
            <v>0</v>
          </cell>
          <cell r="F1263">
            <v>0</v>
          </cell>
          <cell r="G1263">
            <v>0</v>
          </cell>
          <cell r="H1263">
            <v>0</v>
          </cell>
          <cell r="I1263">
            <v>0</v>
          </cell>
          <cell r="J1263">
            <v>0</v>
          </cell>
        </row>
        <row r="1264">
          <cell r="B1264" t="str">
            <v>5-2461</v>
          </cell>
          <cell r="C1264" t="str">
            <v>Stationary</v>
          </cell>
          <cell r="D1264">
            <v>0</v>
          </cell>
          <cell r="E1264">
            <v>0</v>
          </cell>
          <cell r="F1264">
            <v>0</v>
          </cell>
          <cell r="G1264">
            <v>0</v>
          </cell>
          <cell r="H1264">
            <v>0</v>
          </cell>
          <cell r="I1264">
            <v>0</v>
          </cell>
          <cell r="J1264">
            <v>0</v>
          </cell>
        </row>
        <row r="1265">
          <cell r="B1265" t="str">
            <v>5-2462</v>
          </cell>
          <cell r="C1265" t="str">
            <v>Consumptions</v>
          </cell>
          <cell r="D1265">
            <v>0</v>
          </cell>
          <cell r="E1265">
            <v>0</v>
          </cell>
          <cell r="F1265">
            <v>0</v>
          </cell>
          <cell r="G1265">
            <v>0</v>
          </cell>
          <cell r="H1265">
            <v>0</v>
          </cell>
          <cell r="I1265">
            <v>0</v>
          </cell>
          <cell r="J1265">
            <v>0</v>
          </cell>
        </row>
        <row r="1266">
          <cell r="B1266" t="str">
            <v>5-2463</v>
          </cell>
          <cell r="C1266" t="str">
            <v>Fotocopy &amp; Printing</v>
          </cell>
          <cell r="D1266">
            <v>0</v>
          </cell>
          <cell r="E1266">
            <v>0</v>
          </cell>
          <cell r="F1266">
            <v>0</v>
          </cell>
          <cell r="G1266">
            <v>0</v>
          </cell>
          <cell r="H1266">
            <v>0</v>
          </cell>
          <cell r="I1266">
            <v>0</v>
          </cell>
          <cell r="J1266">
            <v>0</v>
          </cell>
        </row>
        <row r="1267">
          <cell r="B1267" t="str">
            <v>5-2464</v>
          </cell>
          <cell r="C1267" t="str">
            <v>Suplies</v>
          </cell>
          <cell r="D1267">
            <v>0</v>
          </cell>
          <cell r="E1267">
            <v>0</v>
          </cell>
          <cell r="F1267">
            <v>0</v>
          </cell>
          <cell r="G1267">
            <v>0</v>
          </cell>
          <cell r="H1267">
            <v>0</v>
          </cell>
          <cell r="I1267">
            <v>0</v>
          </cell>
          <cell r="J1267">
            <v>0</v>
          </cell>
        </row>
        <row r="1268">
          <cell r="B1268" t="str">
            <v>5-2465</v>
          </cell>
          <cell r="C1268" t="str">
            <v>Transportation</v>
          </cell>
          <cell r="D1268">
            <v>0</v>
          </cell>
          <cell r="E1268">
            <v>0</v>
          </cell>
          <cell r="F1268">
            <v>0</v>
          </cell>
          <cell r="G1268">
            <v>0</v>
          </cell>
          <cell r="H1268">
            <v>0</v>
          </cell>
          <cell r="I1268">
            <v>0</v>
          </cell>
          <cell r="J1268">
            <v>0</v>
          </cell>
        </row>
        <row r="1269">
          <cell r="B1269" t="str">
            <v>5-2466</v>
          </cell>
          <cell r="C1269" t="str">
            <v>post &amp; telecomunications</v>
          </cell>
          <cell r="D1269">
            <v>0</v>
          </cell>
          <cell r="E1269">
            <v>0</v>
          </cell>
          <cell r="F1269">
            <v>0</v>
          </cell>
          <cell r="G1269">
            <v>0</v>
          </cell>
          <cell r="H1269">
            <v>0</v>
          </cell>
          <cell r="I1269">
            <v>0</v>
          </cell>
          <cell r="J1269">
            <v>0</v>
          </cell>
        </row>
        <row r="1270">
          <cell r="B1270" t="str">
            <v>5-2467</v>
          </cell>
          <cell r="C1270" t="str">
            <v>Prize</v>
          </cell>
          <cell r="D1270">
            <v>0</v>
          </cell>
          <cell r="E1270">
            <v>0</v>
          </cell>
          <cell r="F1270">
            <v>0</v>
          </cell>
          <cell r="G1270">
            <v>0</v>
          </cell>
          <cell r="H1270">
            <v>0</v>
          </cell>
          <cell r="I1270">
            <v>0</v>
          </cell>
          <cell r="J1270">
            <v>0</v>
          </cell>
        </row>
        <row r="1271">
          <cell r="B1271" t="str">
            <v>5-2469</v>
          </cell>
          <cell r="C1271" t="str">
            <v>Others</v>
          </cell>
          <cell r="D1271">
            <v>0</v>
          </cell>
          <cell r="E1271">
            <v>0</v>
          </cell>
          <cell r="F1271">
            <v>0</v>
          </cell>
          <cell r="G1271">
            <v>0</v>
          </cell>
          <cell r="H1271">
            <v>0</v>
          </cell>
          <cell r="I1271">
            <v>0</v>
          </cell>
          <cell r="J1271">
            <v>0</v>
          </cell>
        </row>
        <row r="1272">
          <cell r="B1272" t="str">
            <v>5-2470</v>
          </cell>
          <cell r="C1272" t="str">
            <v>PENCARIAN DANA</v>
          </cell>
          <cell r="D1272">
            <v>0</v>
          </cell>
          <cell r="E1272">
            <v>0</v>
          </cell>
          <cell r="F1272">
            <v>0</v>
          </cell>
          <cell r="G1272">
            <v>0</v>
          </cell>
          <cell r="H1272">
            <v>0</v>
          </cell>
          <cell r="I1272">
            <v>0</v>
          </cell>
          <cell r="J1272">
            <v>0</v>
          </cell>
        </row>
        <row r="1273">
          <cell r="B1273" t="str">
            <v>5-2471</v>
          </cell>
          <cell r="C1273" t="str">
            <v>Stationary</v>
          </cell>
          <cell r="D1273">
            <v>0</v>
          </cell>
          <cell r="E1273">
            <v>0</v>
          </cell>
          <cell r="F1273">
            <v>0</v>
          </cell>
          <cell r="G1273">
            <v>0</v>
          </cell>
          <cell r="H1273">
            <v>0</v>
          </cell>
          <cell r="I1273">
            <v>0</v>
          </cell>
          <cell r="J1273">
            <v>0</v>
          </cell>
        </row>
        <row r="1274">
          <cell r="B1274" t="str">
            <v>5-2472</v>
          </cell>
          <cell r="C1274" t="str">
            <v>Consumptions</v>
          </cell>
          <cell r="D1274">
            <v>0</v>
          </cell>
          <cell r="E1274">
            <v>0</v>
          </cell>
          <cell r="F1274">
            <v>0</v>
          </cell>
          <cell r="G1274">
            <v>0</v>
          </cell>
          <cell r="H1274">
            <v>0</v>
          </cell>
          <cell r="I1274">
            <v>0</v>
          </cell>
          <cell r="J1274">
            <v>0</v>
          </cell>
        </row>
        <row r="1275">
          <cell r="B1275" t="str">
            <v>5-2473</v>
          </cell>
          <cell r="C1275" t="str">
            <v>Fotocopy &amp; Printing</v>
          </cell>
          <cell r="D1275">
            <v>0</v>
          </cell>
          <cell r="E1275">
            <v>0</v>
          </cell>
          <cell r="F1275">
            <v>0</v>
          </cell>
          <cell r="G1275">
            <v>0</v>
          </cell>
          <cell r="H1275">
            <v>0</v>
          </cell>
          <cell r="I1275">
            <v>0</v>
          </cell>
          <cell r="J1275">
            <v>0</v>
          </cell>
        </row>
        <row r="1276">
          <cell r="B1276" t="str">
            <v>5-2474</v>
          </cell>
          <cell r="C1276" t="str">
            <v>Suplies</v>
          </cell>
          <cell r="D1276">
            <v>0</v>
          </cell>
          <cell r="E1276">
            <v>0</v>
          </cell>
          <cell r="F1276">
            <v>0</v>
          </cell>
          <cell r="G1276">
            <v>0</v>
          </cell>
          <cell r="H1276">
            <v>0</v>
          </cell>
          <cell r="I1276">
            <v>0</v>
          </cell>
          <cell r="J1276">
            <v>0</v>
          </cell>
        </row>
        <row r="1277">
          <cell r="B1277" t="str">
            <v>5-2475</v>
          </cell>
          <cell r="C1277" t="str">
            <v>Transportation</v>
          </cell>
          <cell r="D1277">
            <v>0</v>
          </cell>
          <cell r="E1277">
            <v>0</v>
          </cell>
          <cell r="F1277">
            <v>0</v>
          </cell>
          <cell r="G1277">
            <v>0</v>
          </cell>
          <cell r="H1277">
            <v>0</v>
          </cell>
          <cell r="I1277">
            <v>0</v>
          </cell>
          <cell r="J1277">
            <v>0</v>
          </cell>
        </row>
        <row r="1278">
          <cell r="B1278" t="str">
            <v>5-2476</v>
          </cell>
          <cell r="C1278" t="str">
            <v>post &amp; telecomunications</v>
          </cell>
          <cell r="D1278">
            <v>0</v>
          </cell>
          <cell r="E1278">
            <v>0</v>
          </cell>
          <cell r="F1278">
            <v>0</v>
          </cell>
          <cell r="G1278">
            <v>0</v>
          </cell>
          <cell r="H1278">
            <v>0</v>
          </cell>
          <cell r="I1278">
            <v>0</v>
          </cell>
          <cell r="J1278">
            <v>0</v>
          </cell>
        </row>
        <row r="1279">
          <cell r="B1279" t="str">
            <v>5-2477</v>
          </cell>
          <cell r="C1279" t="str">
            <v>Prize</v>
          </cell>
          <cell r="D1279">
            <v>0</v>
          </cell>
          <cell r="E1279">
            <v>0</v>
          </cell>
          <cell r="F1279">
            <v>0</v>
          </cell>
          <cell r="G1279">
            <v>0</v>
          </cell>
          <cell r="H1279">
            <v>0</v>
          </cell>
          <cell r="I1279">
            <v>0</v>
          </cell>
          <cell r="J1279">
            <v>0</v>
          </cell>
        </row>
        <row r="1280">
          <cell r="B1280" t="str">
            <v>5-2479</v>
          </cell>
          <cell r="C1280" t="str">
            <v>Others</v>
          </cell>
          <cell r="D1280">
            <v>0</v>
          </cell>
          <cell r="E1280">
            <v>0</v>
          </cell>
          <cell r="F1280">
            <v>0</v>
          </cell>
          <cell r="G1280">
            <v>0</v>
          </cell>
          <cell r="H1280">
            <v>0</v>
          </cell>
          <cell r="I1280">
            <v>0</v>
          </cell>
          <cell r="J1280">
            <v>0</v>
          </cell>
        </row>
        <row r="1281">
          <cell r="B1281" t="str">
            <v>5-2490</v>
          </cell>
          <cell r="C1281" t="str">
            <v>LAIN-LAIN</v>
          </cell>
          <cell r="D1281">
            <v>0</v>
          </cell>
          <cell r="E1281">
            <v>0</v>
          </cell>
          <cell r="F1281">
            <v>0</v>
          </cell>
          <cell r="G1281">
            <v>0</v>
          </cell>
          <cell r="H1281">
            <v>0</v>
          </cell>
          <cell r="I1281">
            <v>0</v>
          </cell>
          <cell r="J1281">
            <v>0</v>
          </cell>
        </row>
        <row r="1282">
          <cell r="B1282" t="str">
            <v>5-2491</v>
          </cell>
          <cell r="C1282" t="str">
            <v>Training &amp; Workshop</v>
          </cell>
          <cell r="D1282">
            <v>0</v>
          </cell>
          <cell r="E1282">
            <v>0</v>
          </cell>
          <cell r="F1282">
            <v>0</v>
          </cell>
          <cell r="G1282">
            <v>0</v>
          </cell>
          <cell r="H1282">
            <v>0</v>
          </cell>
          <cell r="I1282">
            <v>0</v>
          </cell>
          <cell r="J1282">
            <v>0</v>
          </cell>
        </row>
        <row r="1283">
          <cell r="B1283" t="str">
            <v>5-3110</v>
          </cell>
          <cell r="C1283" t="str">
            <v>Personal - gaji perpustakaan</v>
          </cell>
          <cell r="D1283">
            <v>0</v>
          </cell>
          <cell r="E1283">
            <v>0</v>
          </cell>
          <cell r="F1283">
            <v>0</v>
          </cell>
          <cell r="G1283">
            <v>0</v>
          </cell>
          <cell r="H1283">
            <v>0</v>
          </cell>
          <cell r="I1283">
            <v>0</v>
          </cell>
          <cell r="J1283">
            <v>0</v>
          </cell>
        </row>
        <row r="1284">
          <cell r="B1284" t="str">
            <v>5-3111</v>
          </cell>
          <cell r="C1284" t="str">
            <v>Permanent Staff Salary</v>
          </cell>
          <cell r="D1284">
            <v>2006000</v>
          </cell>
          <cell r="E1284">
            <v>0</v>
          </cell>
          <cell r="F1284">
            <v>0</v>
          </cell>
          <cell r="G1284">
            <v>68240</v>
          </cell>
          <cell r="H1284">
            <v>-68240</v>
          </cell>
          <cell r="I1284">
            <v>1937760</v>
          </cell>
          <cell r="J1284">
            <v>0</v>
          </cell>
        </row>
        <row r="1285">
          <cell r="B1285" t="str">
            <v>5-3112</v>
          </cell>
          <cell r="C1285" t="str">
            <v>Temporary Staff Salary</v>
          </cell>
          <cell r="D1285">
            <v>0</v>
          </cell>
          <cell r="E1285">
            <v>0</v>
          </cell>
          <cell r="F1285">
            <v>0</v>
          </cell>
          <cell r="G1285">
            <v>0</v>
          </cell>
          <cell r="H1285">
            <v>0</v>
          </cell>
          <cell r="I1285">
            <v>0</v>
          </cell>
          <cell r="J1285">
            <v>0</v>
          </cell>
        </row>
        <row r="1286">
          <cell r="B1286" t="str">
            <v>5-3113</v>
          </cell>
          <cell r="C1286" t="str">
            <v>Honorarium santri Khidmah</v>
          </cell>
          <cell r="D1286">
            <v>0</v>
          </cell>
          <cell r="E1286">
            <v>0</v>
          </cell>
          <cell r="F1286">
            <v>0</v>
          </cell>
          <cell r="G1286">
            <v>0</v>
          </cell>
          <cell r="H1286">
            <v>0</v>
          </cell>
          <cell r="I1286">
            <v>0</v>
          </cell>
          <cell r="J1286">
            <v>0</v>
          </cell>
        </row>
        <row r="1287">
          <cell r="B1287" t="str">
            <v>5-3114</v>
          </cell>
          <cell r="C1287" t="str">
            <v>Staff overtime</v>
          </cell>
          <cell r="D1287">
            <v>0</v>
          </cell>
          <cell r="E1287">
            <v>0</v>
          </cell>
          <cell r="F1287">
            <v>68240</v>
          </cell>
          <cell r="G1287">
            <v>0</v>
          </cell>
          <cell r="H1287">
            <v>68240</v>
          </cell>
          <cell r="I1287">
            <v>68240</v>
          </cell>
          <cell r="J1287">
            <v>0</v>
          </cell>
        </row>
        <row r="1288">
          <cell r="B1288" t="str">
            <v>5-3115</v>
          </cell>
          <cell r="C1288" t="str">
            <v>Joint Salary Allocation</v>
          </cell>
          <cell r="D1288">
            <v>0</v>
          </cell>
          <cell r="E1288">
            <v>0</v>
          </cell>
          <cell r="F1288">
            <v>0</v>
          </cell>
          <cell r="G1288">
            <v>0</v>
          </cell>
          <cell r="H1288">
            <v>0</v>
          </cell>
          <cell r="I1288">
            <v>0</v>
          </cell>
          <cell r="J1288">
            <v>0</v>
          </cell>
        </row>
        <row r="1289">
          <cell r="B1289" t="str">
            <v>5-3119</v>
          </cell>
          <cell r="C1289" t="str">
            <v>Others Salary</v>
          </cell>
          <cell r="D1289">
            <v>0</v>
          </cell>
          <cell r="E1289">
            <v>0</v>
          </cell>
          <cell r="F1289">
            <v>0</v>
          </cell>
          <cell r="G1289">
            <v>0</v>
          </cell>
          <cell r="H1289">
            <v>0</v>
          </cell>
          <cell r="I1289">
            <v>0</v>
          </cell>
          <cell r="J1289">
            <v>0</v>
          </cell>
        </row>
        <row r="1290">
          <cell r="B1290" t="str">
            <v>5-3120</v>
          </cell>
          <cell r="C1290" t="str">
            <v>Personal Allowance of</v>
          </cell>
          <cell r="D1290">
            <v>0</v>
          </cell>
          <cell r="E1290">
            <v>0</v>
          </cell>
          <cell r="F1290">
            <v>0</v>
          </cell>
          <cell r="G1290">
            <v>0</v>
          </cell>
          <cell r="H1290">
            <v>0</v>
          </cell>
          <cell r="I1290">
            <v>0</v>
          </cell>
          <cell r="J1290">
            <v>0</v>
          </cell>
        </row>
        <row r="1291">
          <cell r="B1291" t="str">
            <v>5-3121</v>
          </cell>
          <cell r="C1291" t="str">
            <v>Allowance of Hulled Rice</v>
          </cell>
          <cell r="D1291">
            <v>137600</v>
          </cell>
          <cell r="E1291">
            <v>0</v>
          </cell>
          <cell r="F1291">
            <v>0</v>
          </cell>
          <cell r="G1291">
            <v>0</v>
          </cell>
          <cell r="H1291">
            <v>0</v>
          </cell>
          <cell r="I1291">
            <v>137600</v>
          </cell>
          <cell r="J1291">
            <v>0</v>
          </cell>
        </row>
        <row r="1292">
          <cell r="B1292" t="str">
            <v>5-3122</v>
          </cell>
          <cell r="C1292" t="str">
            <v>Alowance of doctor and medicin</v>
          </cell>
          <cell r="D1292">
            <v>0</v>
          </cell>
          <cell r="E1292">
            <v>0</v>
          </cell>
          <cell r="F1292">
            <v>0</v>
          </cell>
          <cell r="G1292">
            <v>0</v>
          </cell>
          <cell r="H1292">
            <v>0</v>
          </cell>
          <cell r="I1292">
            <v>0</v>
          </cell>
          <cell r="J1292">
            <v>0</v>
          </cell>
        </row>
        <row r="1293">
          <cell r="B1293" t="str">
            <v>5-3123</v>
          </cell>
          <cell r="C1293" t="str">
            <v>Alowance of spectacles</v>
          </cell>
          <cell r="D1293">
            <v>0</v>
          </cell>
          <cell r="E1293">
            <v>0</v>
          </cell>
          <cell r="F1293">
            <v>0</v>
          </cell>
          <cell r="G1293">
            <v>0</v>
          </cell>
          <cell r="H1293">
            <v>0</v>
          </cell>
          <cell r="I1293">
            <v>0</v>
          </cell>
          <cell r="J1293">
            <v>0</v>
          </cell>
        </row>
        <row r="1294">
          <cell r="B1294" t="str">
            <v>5-3124</v>
          </cell>
          <cell r="C1294" t="str">
            <v>Allowance of operation&amp;hospita</v>
          </cell>
          <cell r="D1294">
            <v>0</v>
          </cell>
          <cell r="E1294">
            <v>0</v>
          </cell>
          <cell r="F1294">
            <v>0</v>
          </cell>
          <cell r="G1294">
            <v>0</v>
          </cell>
          <cell r="H1294">
            <v>0</v>
          </cell>
          <cell r="I1294">
            <v>0</v>
          </cell>
          <cell r="J1294">
            <v>0</v>
          </cell>
        </row>
        <row r="1295">
          <cell r="B1295" t="str">
            <v>5-3125</v>
          </cell>
          <cell r="C1295" t="str">
            <v>Allowance of disaster &amp; die</v>
          </cell>
          <cell r="D1295">
            <v>0</v>
          </cell>
          <cell r="E1295">
            <v>0</v>
          </cell>
          <cell r="F1295">
            <v>0</v>
          </cell>
          <cell r="G1295">
            <v>0</v>
          </cell>
          <cell r="H1295">
            <v>0</v>
          </cell>
          <cell r="I1295">
            <v>0</v>
          </cell>
          <cell r="J1295">
            <v>0</v>
          </cell>
        </row>
        <row r="1296">
          <cell r="B1296" t="str">
            <v>5-3126</v>
          </cell>
          <cell r="C1296" t="str">
            <v>Allowance of hari raya</v>
          </cell>
          <cell r="D1296">
            <v>2006000</v>
          </cell>
          <cell r="E1296">
            <v>0</v>
          </cell>
          <cell r="F1296">
            <v>0</v>
          </cell>
          <cell r="G1296">
            <v>0</v>
          </cell>
          <cell r="H1296">
            <v>0</v>
          </cell>
          <cell r="I1296">
            <v>2006000</v>
          </cell>
          <cell r="J1296">
            <v>0</v>
          </cell>
        </row>
        <row r="1297">
          <cell r="B1297" t="str">
            <v>5-3127</v>
          </cell>
          <cell r="C1297" t="str">
            <v>Allowance of birth</v>
          </cell>
          <cell r="D1297">
            <v>0</v>
          </cell>
          <cell r="E1297">
            <v>0</v>
          </cell>
          <cell r="F1297">
            <v>0</v>
          </cell>
          <cell r="G1297">
            <v>0</v>
          </cell>
          <cell r="H1297">
            <v>0</v>
          </cell>
          <cell r="I1297">
            <v>0</v>
          </cell>
          <cell r="J1297">
            <v>0</v>
          </cell>
        </row>
        <row r="1298">
          <cell r="B1298" t="str">
            <v>5-3128</v>
          </cell>
          <cell r="C1298" t="str">
            <v>Allowance of married</v>
          </cell>
          <cell r="D1298">
            <v>0</v>
          </cell>
          <cell r="E1298">
            <v>0</v>
          </cell>
          <cell r="F1298">
            <v>0</v>
          </cell>
          <cell r="G1298">
            <v>0</v>
          </cell>
          <cell r="H1298">
            <v>0</v>
          </cell>
          <cell r="I1298">
            <v>0</v>
          </cell>
          <cell r="J1298">
            <v>0</v>
          </cell>
        </row>
        <row r="1299">
          <cell r="B1299" t="str">
            <v>5-3129</v>
          </cell>
          <cell r="C1299" t="str">
            <v>Allowance of house rent&amp;others</v>
          </cell>
          <cell r="D1299">
            <v>0</v>
          </cell>
          <cell r="E1299">
            <v>0</v>
          </cell>
          <cell r="F1299">
            <v>0</v>
          </cell>
          <cell r="G1299">
            <v>0</v>
          </cell>
          <cell r="H1299">
            <v>0</v>
          </cell>
          <cell r="I1299">
            <v>0</v>
          </cell>
          <cell r="J1299">
            <v>0</v>
          </cell>
        </row>
        <row r="1300">
          <cell r="B1300" t="str">
            <v>5-3130</v>
          </cell>
          <cell r="C1300" t="str">
            <v>Office</v>
          </cell>
          <cell r="D1300">
            <v>0</v>
          </cell>
          <cell r="E1300">
            <v>0</v>
          </cell>
          <cell r="F1300">
            <v>0</v>
          </cell>
          <cell r="G1300">
            <v>0</v>
          </cell>
          <cell r="H1300">
            <v>0</v>
          </cell>
          <cell r="I1300">
            <v>0</v>
          </cell>
          <cell r="J1300">
            <v>0</v>
          </cell>
        </row>
        <row r="1301">
          <cell r="B1301" t="str">
            <v>5-3131</v>
          </cell>
          <cell r="C1301" t="str">
            <v>Stationary papers</v>
          </cell>
          <cell r="D1301">
            <v>0</v>
          </cell>
          <cell r="E1301">
            <v>0</v>
          </cell>
          <cell r="F1301">
            <v>0</v>
          </cell>
          <cell r="G1301">
            <v>0</v>
          </cell>
          <cell r="H1301">
            <v>0</v>
          </cell>
          <cell r="I1301">
            <v>0</v>
          </cell>
          <cell r="J1301">
            <v>0</v>
          </cell>
        </row>
        <row r="1302">
          <cell r="B1302" t="str">
            <v>5-3132</v>
          </cell>
          <cell r="C1302" t="str">
            <v>Stationary written toolls</v>
          </cell>
          <cell r="D1302">
            <v>0</v>
          </cell>
          <cell r="E1302">
            <v>0</v>
          </cell>
          <cell r="F1302">
            <v>0</v>
          </cell>
          <cell r="G1302">
            <v>0</v>
          </cell>
          <cell r="H1302">
            <v>0</v>
          </cell>
          <cell r="I1302">
            <v>0</v>
          </cell>
          <cell r="J1302">
            <v>0</v>
          </cell>
        </row>
        <row r="1303">
          <cell r="B1303" t="str">
            <v>5-3133</v>
          </cell>
          <cell r="C1303" t="str">
            <v>Stationary ink</v>
          </cell>
          <cell r="D1303">
            <v>0</v>
          </cell>
          <cell r="E1303">
            <v>0</v>
          </cell>
          <cell r="F1303">
            <v>0</v>
          </cell>
          <cell r="G1303">
            <v>0</v>
          </cell>
          <cell r="H1303">
            <v>0</v>
          </cell>
          <cell r="I1303">
            <v>0</v>
          </cell>
          <cell r="J1303">
            <v>0</v>
          </cell>
        </row>
        <row r="1304">
          <cell r="B1304" t="str">
            <v>5-3134</v>
          </cell>
          <cell r="C1304" t="str">
            <v>Stationary Others</v>
          </cell>
          <cell r="D1304">
            <v>0</v>
          </cell>
          <cell r="E1304">
            <v>0</v>
          </cell>
          <cell r="F1304">
            <v>0</v>
          </cell>
          <cell r="G1304">
            <v>0</v>
          </cell>
          <cell r="H1304">
            <v>0</v>
          </cell>
          <cell r="I1304">
            <v>0</v>
          </cell>
          <cell r="J1304">
            <v>0</v>
          </cell>
        </row>
        <row r="1305">
          <cell r="B1305" t="str">
            <v>5-3135</v>
          </cell>
          <cell r="C1305" t="str">
            <v>Consumptions</v>
          </cell>
          <cell r="D1305">
            <v>0</v>
          </cell>
          <cell r="E1305">
            <v>0</v>
          </cell>
          <cell r="F1305">
            <v>0</v>
          </cell>
          <cell r="G1305">
            <v>0</v>
          </cell>
          <cell r="H1305">
            <v>0</v>
          </cell>
          <cell r="I1305">
            <v>0</v>
          </cell>
          <cell r="J1305">
            <v>0</v>
          </cell>
        </row>
        <row r="1306">
          <cell r="B1306" t="str">
            <v>5-3136</v>
          </cell>
          <cell r="C1306" t="str">
            <v>Fotocopy &amp; Printing</v>
          </cell>
          <cell r="D1306">
            <v>0</v>
          </cell>
          <cell r="E1306">
            <v>0</v>
          </cell>
          <cell r="F1306">
            <v>0</v>
          </cell>
          <cell r="G1306">
            <v>0</v>
          </cell>
          <cell r="H1306">
            <v>0</v>
          </cell>
          <cell r="I1306">
            <v>0</v>
          </cell>
          <cell r="J1306">
            <v>0</v>
          </cell>
        </row>
        <row r="1307">
          <cell r="B1307" t="str">
            <v>5-3137</v>
          </cell>
          <cell r="C1307" t="str">
            <v>Office Suplies</v>
          </cell>
          <cell r="D1307">
            <v>0</v>
          </cell>
          <cell r="E1307">
            <v>0</v>
          </cell>
          <cell r="F1307">
            <v>0</v>
          </cell>
          <cell r="G1307">
            <v>0</v>
          </cell>
          <cell r="H1307">
            <v>0</v>
          </cell>
          <cell r="I1307">
            <v>0</v>
          </cell>
          <cell r="J1307">
            <v>0</v>
          </cell>
        </row>
        <row r="1308">
          <cell r="B1308" t="str">
            <v>5-3139</v>
          </cell>
          <cell r="C1308" t="str">
            <v>Others</v>
          </cell>
          <cell r="D1308">
            <v>0</v>
          </cell>
          <cell r="E1308">
            <v>0</v>
          </cell>
          <cell r="F1308">
            <v>0</v>
          </cell>
          <cell r="G1308">
            <v>0</v>
          </cell>
          <cell r="H1308">
            <v>0</v>
          </cell>
          <cell r="I1308">
            <v>0</v>
          </cell>
          <cell r="J1308">
            <v>0</v>
          </cell>
        </row>
        <row r="1309">
          <cell r="B1309" t="str">
            <v>5-3140</v>
          </cell>
          <cell r="C1309" t="str">
            <v>Transportation&amp;Telecomunicatio</v>
          </cell>
          <cell r="D1309">
            <v>0</v>
          </cell>
          <cell r="E1309">
            <v>0</v>
          </cell>
          <cell r="F1309">
            <v>0</v>
          </cell>
          <cell r="G1309">
            <v>0</v>
          </cell>
          <cell r="H1309">
            <v>0</v>
          </cell>
          <cell r="I1309">
            <v>0</v>
          </cell>
          <cell r="J1309">
            <v>0</v>
          </cell>
        </row>
        <row r="1310">
          <cell r="B1310" t="str">
            <v>5-3141</v>
          </cell>
          <cell r="C1310" t="str">
            <v>Mail &amp; Shipment</v>
          </cell>
          <cell r="D1310">
            <v>0</v>
          </cell>
          <cell r="E1310">
            <v>0</v>
          </cell>
          <cell r="F1310">
            <v>0</v>
          </cell>
          <cell r="G1310">
            <v>0</v>
          </cell>
          <cell r="H1310">
            <v>0</v>
          </cell>
          <cell r="I1310">
            <v>0</v>
          </cell>
          <cell r="J1310">
            <v>0</v>
          </cell>
        </row>
        <row r="1311">
          <cell r="B1311" t="str">
            <v>5-3142</v>
          </cell>
          <cell r="C1311" t="str">
            <v>Telephone</v>
          </cell>
          <cell r="D1311">
            <v>0</v>
          </cell>
          <cell r="E1311">
            <v>0</v>
          </cell>
          <cell r="F1311">
            <v>0</v>
          </cell>
          <cell r="G1311">
            <v>0</v>
          </cell>
          <cell r="H1311">
            <v>0</v>
          </cell>
          <cell r="I1311">
            <v>0</v>
          </cell>
          <cell r="J1311">
            <v>0</v>
          </cell>
        </row>
        <row r="1312">
          <cell r="B1312" t="str">
            <v>5-3143</v>
          </cell>
          <cell r="C1312" t="str">
            <v>Fuel</v>
          </cell>
          <cell r="D1312">
            <v>0</v>
          </cell>
          <cell r="E1312">
            <v>0</v>
          </cell>
          <cell r="F1312">
            <v>0</v>
          </cell>
          <cell r="G1312">
            <v>0</v>
          </cell>
          <cell r="H1312">
            <v>0</v>
          </cell>
          <cell r="I1312">
            <v>0</v>
          </cell>
          <cell r="J1312">
            <v>0</v>
          </cell>
        </row>
        <row r="1313">
          <cell r="B1313" t="str">
            <v>5-3144</v>
          </cell>
          <cell r="C1313" t="str">
            <v>Accommodations</v>
          </cell>
          <cell r="D1313">
            <v>0</v>
          </cell>
          <cell r="E1313">
            <v>0</v>
          </cell>
          <cell r="F1313">
            <v>0</v>
          </cell>
          <cell r="G1313">
            <v>0</v>
          </cell>
          <cell r="H1313">
            <v>0</v>
          </cell>
          <cell r="I1313">
            <v>0</v>
          </cell>
          <cell r="J1313">
            <v>0</v>
          </cell>
        </row>
        <row r="1314">
          <cell r="B1314" t="str">
            <v>5-3145</v>
          </cell>
          <cell r="C1314" t="str">
            <v>Public Transportation</v>
          </cell>
          <cell r="D1314">
            <v>0</v>
          </cell>
          <cell r="E1314">
            <v>0</v>
          </cell>
          <cell r="F1314">
            <v>0</v>
          </cell>
          <cell r="G1314">
            <v>0</v>
          </cell>
          <cell r="H1314">
            <v>0</v>
          </cell>
          <cell r="I1314">
            <v>0</v>
          </cell>
          <cell r="J1314">
            <v>0</v>
          </cell>
        </row>
        <row r="1315">
          <cell r="B1315" t="str">
            <v>5-3146</v>
          </cell>
          <cell r="C1315" t="str">
            <v>Joint Transportation Allocatio</v>
          </cell>
          <cell r="D1315">
            <v>0</v>
          </cell>
          <cell r="E1315">
            <v>0</v>
          </cell>
          <cell r="F1315">
            <v>0</v>
          </cell>
          <cell r="G1315">
            <v>0</v>
          </cell>
          <cell r="H1315">
            <v>0</v>
          </cell>
          <cell r="I1315">
            <v>0</v>
          </cell>
          <cell r="J1315">
            <v>0</v>
          </cell>
        </row>
        <row r="1316">
          <cell r="B1316" t="str">
            <v>5-3149</v>
          </cell>
          <cell r="C1316" t="str">
            <v>Others</v>
          </cell>
          <cell r="D1316">
            <v>0</v>
          </cell>
          <cell r="E1316">
            <v>0</v>
          </cell>
          <cell r="F1316">
            <v>0</v>
          </cell>
          <cell r="G1316">
            <v>0</v>
          </cell>
          <cell r="H1316">
            <v>0</v>
          </cell>
          <cell r="I1316">
            <v>0</v>
          </cell>
          <cell r="J1316">
            <v>0</v>
          </cell>
        </row>
        <row r="1317">
          <cell r="B1317" t="str">
            <v>5-3150</v>
          </cell>
          <cell r="C1317" t="str">
            <v>Repair &amp; Maintenance</v>
          </cell>
          <cell r="D1317">
            <v>0</v>
          </cell>
          <cell r="E1317">
            <v>0</v>
          </cell>
          <cell r="F1317">
            <v>0</v>
          </cell>
          <cell r="G1317">
            <v>0</v>
          </cell>
          <cell r="H1317">
            <v>0</v>
          </cell>
          <cell r="I1317">
            <v>0</v>
          </cell>
          <cell r="J1317">
            <v>0</v>
          </cell>
        </row>
        <row r="1318">
          <cell r="B1318" t="str">
            <v>5-3151</v>
          </cell>
          <cell r="C1318" t="str">
            <v>R &amp; M - Computer &amp; audio visua</v>
          </cell>
          <cell r="D1318">
            <v>0</v>
          </cell>
          <cell r="E1318">
            <v>0</v>
          </cell>
          <cell r="F1318">
            <v>0</v>
          </cell>
          <cell r="G1318">
            <v>0</v>
          </cell>
          <cell r="H1318">
            <v>0</v>
          </cell>
          <cell r="I1318">
            <v>0</v>
          </cell>
          <cell r="J1318">
            <v>0</v>
          </cell>
        </row>
        <row r="1319">
          <cell r="B1319" t="str">
            <v>5-3152</v>
          </cell>
          <cell r="C1319" t="str">
            <v>R &amp; M - Telephone &amp; Faxs</v>
          </cell>
          <cell r="D1319">
            <v>0</v>
          </cell>
          <cell r="E1319">
            <v>0</v>
          </cell>
          <cell r="F1319">
            <v>0</v>
          </cell>
          <cell r="G1319">
            <v>0</v>
          </cell>
          <cell r="H1319">
            <v>0</v>
          </cell>
          <cell r="I1319">
            <v>0</v>
          </cell>
          <cell r="J1319">
            <v>0</v>
          </cell>
        </row>
        <row r="1320">
          <cell r="B1320" t="str">
            <v>5-3153</v>
          </cell>
          <cell r="C1320" t="str">
            <v>R &amp; M - Office Eqiupment</v>
          </cell>
          <cell r="D1320">
            <v>0</v>
          </cell>
          <cell r="E1320">
            <v>0</v>
          </cell>
          <cell r="F1320">
            <v>0</v>
          </cell>
          <cell r="G1320">
            <v>0</v>
          </cell>
          <cell r="H1320">
            <v>0</v>
          </cell>
          <cell r="I1320">
            <v>0</v>
          </cell>
          <cell r="J1320">
            <v>0</v>
          </cell>
        </row>
        <row r="1321">
          <cell r="B1321" t="str">
            <v>5-3154</v>
          </cell>
          <cell r="C1321" t="str">
            <v>R &amp; M - Library Eqiupment</v>
          </cell>
          <cell r="D1321">
            <v>0</v>
          </cell>
          <cell r="E1321">
            <v>0</v>
          </cell>
          <cell r="F1321">
            <v>0</v>
          </cell>
          <cell r="G1321">
            <v>0</v>
          </cell>
          <cell r="H1321">
            <v>0</v>
          </cell>
          <cell r="I1321">
            <v>0</v>
          </cell>
          <cell r="J1321">
            <v>0</v>
          </cell>
        </row>
        <row r="1322">
          <cell r="B1322" t="str">
            <v>5-3155</v>
          </cell>
          <cell r="C1322" t="str">
            <v>R &amp; M - Others Eqiupment</v>
          </cell>
          <cell r="D1322">
            <v>0</v>
          </cell>
          <cell r="E1322">
            <v>0</v>
          </cell>
          <cell r="F1322">
            <v>0</v>
          </cell>
          <cell r="G1322">
            <v>0</v>
          </cell>
          <cell r="H1322">
            <v>0</v>
          </cell>
          <cell r="I1322">
            <v>0</v>
          </cell>
          <cell r="J1322">
            <v>0</v>
          </cell>
        </row>
        <row r="1323">
          <cell r="B1323" t="str">
            <v>5-3156</v>
          </cell>
          <cell r="C1323" t="str">
            <v>R &amp; M - Table &amp; Chairs</v>
          </cell>
          <cell r="D1323">
            <v>0</v>
          </cell>
          <cell r="E1323">
            <v>0</v>
          </cell>
          <cell r="F1323">
            <v>0</v>
          </cell>
          <cell r="G1323">
            <v>0</v>
          </cell>
          <cell r="H1323">
            <v>0</v>
          </cell>
          <cell r="I1323">
            <v>0</v>
          </cell>
          <cell r="J1323">
            <v>0</v>
          </cell>
        </row>
        <row r="1324">
          <cell r="B1324" t="str">
            <v>5-3157</v>
          </cell>
          <cell r="C1324" t="str">
            <v>R &amp; M - Cupboard &amp; Rack</v>
          </cell>
          <cell r="D1324">
            <v>0</v>
          </cell>
          <cell r="E1324">
            <v>0</v>
          </cell>
          <cell r="F1324">
            <v>0</v>
          </cell>
          <cell r="G1324">
            <v>0</v>
          </cell>
          <cell r="H1324">
            <v>0</v>
          </cell>
          <cell r="I1324">
            <v>0</v>
          </cell>
          <cell r="J1324">
            <v>0</v>
          </cell>
        </row>
        <row r="1325">
          <cell r="B1325" t="str">
            <v>5-3158</v>
          </cell>
          <cell r="C1325" t="str">
            <v>R &amp; M - Other Furniture</v>
          </cell>
          <cell r="D1325">
            <v>0</v>
          </cell>
          <cell r="E1325">
            <v>0</v>
          </cell>
          <cell r="F1325">
            <v>0</v>
          </cell>
          <cell r="G1325">
            <v>0</v>
          </cell>
          <cell r="H1325">
            <v>0</v>
          </cell>
          <cell r="I1325">
            <v>0</v>
          </cell>
          <cell r="J1325">
            <v>0</v>
          </cell>
        </row>
        <row r="1326">
          <cell r="B1326" t="str">
            <v>5-3159</v>
          </cell>
          <cell r="C1326" t="str">
            <v>R &amp; M Books</v>
          </cell>
          <cell r="D1326">
            <v>0</v>
          </cell>
          <cell r="E1326">
            <v>0</v>
          </cell>
          <cell r="F1326">
            <v>0</v>
          </cell>
          <cell r="G1326">
            <v>0</v>
          </cell>
          <cell r="H1326">
            <v>0</v>
          </cell>
          <cell r="I1326">
            <v>0</v>
          </cell>
          <cell r="J1326">
            <v>0</v>
          </cell>
        </row>
        <row r="1327">
          <cell r="B1327" t="str">
            <v>5-3190</v>
          </cell>
          <cell r="C1327" t="str">
            <v>Lain-lain Perpustakaan</v>
          </cell>
          <cell r="D1327">
            <v>0</v>
          </cell>
          <cell r="E1327">
            <v>0</v>
          </cell>
          <cell r="F1327">
            <v>0</v>
          </cell>
          <cell r="G1327">
            <v>0</v>
          </cell>
          <cell r="H1327">
            <v>0</v>
          </cell>
          <cell r="I1327">
            <v>0</v>
          </cell>
          <cell r="J1327">
            <v>0</v>
          </cell>
        </row>
        <row r="1328">
          <cell r="B1328" t="str">
            <v>5-3191</v>
          </cell>
          <cell r="C1328" t="str">
            <v>Pelatihan dan Workshop</v>
          </cell>
          <cell r="D1328">
            <v>0</v>
          </cell>
          <cell r="E1328">
            <v>0</v>
          </cell>
          <cell r="F1328">
            <v>0</v>
          </cell>
          <cell r="G1328">
            <v>0</v>
          </cell>
          <cell r="H1328">
            <v>0</v>
          </cell>
          <cell r="I1328">
            <v>0</v>
          </cell>
          <cell r="J1328">
            <v>0</v>
          </cell>
        </row>
        <row r="1329">
          <cell r="B1329" t="str">
            <v>5-3210</v>
          </cell>
          <cell r="C1329" t="str">
            <v>Personal - gaji</v>
          </cell>
          <cell r="D1329">
            <v>0</v>
          </cell>
          <cell r="E1329">
            <v>0</v>
          </cell>
          <cell r="F1329">
            <v>0</v>
          </cell>
          <cell r="G1329">
            <v>0</v>
          </cell>
          <cell r="H1329">
            <v>0</v>
          </cell>
          <cell r="I1329">
            <v>0</v>
          </cell>
          <cell r="J1329">
            <v>0</v>
          </cell>
        </row>
        <row r="1330">
          <cell r="B1330" t="str">
            <v>5-3211</v>
          </cell>
          <cell r="C1330" t="str">
            <v>Permanent Staff Salary</v>
          </cell>
          <cell r="D1330">
            <v>3441658</v>
          </cell>
          <cell r="E1330">
            <v>0</v>
          </cell>
          <cell r="F1330">
            <v>3693658</v>
          </cell>
          <cell r="G1330">
            <v>0</v>
          </cell>
          <cell r="H1330">
            <v>3693658</v>
          </cell>
          <cell r="I1330">
            <v>7135316</v>
          </cell>
          <cell r="J1330">
            <v>0</v>
          </cell>
        </row>
        <row r="1331">
          <cell r="B1331" t="str">
            <v>5-3212</v>
          </cell>
          <cell r="C1331" t="str">
            <v>Temporary Staff Salary</v>
          </cell>
          <cell r="D1331">
            <v>0</v>
          </cell>
          <cell r="E1331">
            <v>0</v>
          </cell>
          <cell r="F1331">
            <v>0</v>
          </cell>
          <cell r="G1331">
            <v>0</v>
          </cell>
          <cell r="H1331">
            <v>0</v>
          </cell>
          <cell r="I1331">
            <v>0</v>
          </cell>
          <cell r="J1331">
            <v>0</v>
          </cell>
        </row>
        <row r="1332">
          <cell r="B1332" t="str">
            <v>5-3213</v>
          </cell>
          <cell r="C1332" t="str">
            <v>Honorarium santri Khidmah</v>
          </cell>
          <cell r="D1332">
            <v>0</v>
          </cell>
          <cell r="E1332">
            <v>0</v>
          </cell>
          <cell r="F1332">
            <v>0</v>
          </cell>
          <cell r="G1332">
            <v>0</v>
          </cell>
          <cell r="H1332">
            <v>0</v>
          </cell>
          <cell r="I1332">
            <v>0</v>
          </cell>
          <cell r="J1332">
            <v>0</v>
          </cell>
        </row>
        <row r="1333">
          <cell r="B1333" t="str">
            <v>5-3214</v>
          </cell>
          <cell r="C1333" t="str">
            <v>Staff overtime</v>
          </cell>
          <cell r="D1333">
            <v>0</v>
          </cell>
          <cell r="E1333">
            <v>0</v>
          </cell>
          <cell r="F1333">
            <v>0</v>
          </cell>
          <cell r="G1333">
            <v>0</v>
          </cell>
          <cell r="H1333">
            <v>0</v>
          </cell>
          <cell r="I1333">
            <v>0</v>
          </cell>
          <cell r="J1333">
            <v>0</v>
          </cell>
        </row>
        <row r="1334">
          <cell r="B1334" t="str">
            <v>5-3215</v>
          </cell>
          <cell r="C1334" t="str">
            <v>Joint Salary Allocation</v>
          </cell>
          <cell r="D1334">
            <v>0</v>
          </cell>
          <cell r="E1334">
            <v>0</v>
          </cell>
          <cell r="F1334">
            <v>0</v>
          </cell>
          <cell r="G1334">
            <v>0</v>
          </cell>
          <cell r="H1334">
            <v>0</v>
          </cell>
          <cell r="I1334">
            <v>0</v>
          </cell>
          <cell r="J1334">
            <v>0</v>
          </cell>
        </row>
        <row r="1335">
          <cell r="B1335" t="str">
            <v>5-3217</v>
          </cell>
          <cell r="C1335" t="str">
            <v>New Account</v>
          </cell>
          <cell r="D1335">
            <v>0</v>
          </cell>
          <cell r="E1335">
            <v>0</v>
          </cell>
          <cell r="F1335">
            <v>0</v>
          </cell>
          <cell r="G1335">
            <v>0</v>
          </cell>
          <cell r="H1335">
            <v>0</v>
          </cell>
          <cell r="I1335">
            <v>0</v>
          </cell>
          <cell r="J1335">
            <v>0</v>
          </cell>
        </row>
        <row r="1336">
          <cell r="B1336" t="str">
            <v>5-3219</v>
          </cell>
          <cell r="C1336" t="str">
            <v>Others Salary</v>
          </cell>
          <cell r="D1336">
            <v>0</v>
          </cell>
          <cell r="E1336">
            <v>0</v>
          </cell>
          <cell r="F1336">
            <v>0</v>
          </cell>
          <cell r="G1336">
            <v>0</v>
          </cell>
          <cell r="H1336">
            <v>0</v>
          </cell>
          <cell r="I1336">
            <v>0</v>
          </cell>
          <cell r="J1336">
            <v>0</v>
          </cell>
        </row>
        <row r="1337">
          <cell r="B1337" t="str">
            <v>5-3220</v>
          </cell>
          <cell r="C1337" t="str">
            <v>Personal Allowance of</v>
          </cell>
          <cell r="D1337">
            <v>0</v>
          </cell>
          <cell r="E1337">
            <v>0</v>
          </cell>
          <cell r="F1337">
            <v>0</v>
          </cell>
          <cell r="G1337">
            <v>0</v>
          </cell>
          <cell r="H1337">
            <v>0</v>
          </cell>
          <cell r="I1337">
            <v>0</v>
          </cell>
          <cell r="J1337">
            <v>0</v>
          </cell>
        </row>
        <row r="1338">
          <cell r="B1338" t="str">
            <v>5-3221</v>
          </cell>
          <cell r="C1338" t="str">
            <v>Allowance of Hulled Rice</v>
          </cell>
          <cell r="D1338">
            <v>240800</v>
          </cell>
          <cell r="E1338">
            <v>0</v>
          </cell>
          <cell r="F1338">
            <v>0</v>
          </cell>
          <cell r="G1338">
            <v>0</v>
          </cell>
          <cell r="H1338">
            <v>0</v>
          </cell>
          <cell r="I1338">
            <v>240800</v>
          </cell>
          <cell r="J1338">
            <v>0</v>
          </cell>
        </row>
        <row r="1339">
          <cell r="B1339" t="str">
            <v>5-3222</v>
          </cell>
          <cell r="C1339" t="str">
            <v>Alowance of doctor and medicin</v>
          </cell>
          <cell r="D1339" t="str">
            <v>0.00cr</v>
          </cell>
          <cell r="E1339">
            <v>0</v>
          </cell>
          <cell r="F1339">
            <v>14600</v>
          </cell>
          <cell r="G1339">
            <v>0</v>
          </cell>
          <cell r="H1339">
            <v>14600</v>
          </cell>
          <cell r="I1339">
            <v>14600</v>
          </cell>
          <cell r="J1339">
            <v>0</v>
          </cell>
        </row>
        <row r="1340">
          <cell r="B1340" t="str">
            <v>5-3223</v>
          </cell>
          <cell r="C1340" t="str">
            <v>Alowance of spectacles</v>
          </cell>
          <cell r="D1340">
            <v>0</v>
          </cell>
          <cell r="E1340">
            <v>0</v>
          </cell>
          <cell r="F1340">
            <v>150000</v>
          </cell>
          <cell r="G1340">
            <v>0</v>
          </cell>
          <cell r="H1340">
            <v>150000</v>
          </cell>
          <cell r="I1340">
            <v>150000</v>
          </cell>
          <cell r="J1340">
            <v>0</v>
          </cell>
        </row>
        <row r="1341">
          <cell r="B1341" t="str">
            <v>5-3224</v>
          </cell>
          <cell r="C1341" t="str">
            <v>Allowance of operation&amp;hospita</v>
          </cell>
          <cell r="D1341">
            <v>0</v>
          </cell>
          <cell r="E1341">
            <v>0</v>
          </cell>
          <cell r="F1341">
            <v>0</v>
          </cell>
          <cell r="G1341">
            <v>0</v>
          </cell>
          <cell r="H1341">
            <v>0</v>
          </cell>
          <cell r="I1341">
            <v>0</v>
          </cell>
          <cell r="J1341">
            <v>0</v>
          </cell>
        </row>
        <row r="1342">
          <cell r="B1342" t="str">
            <v>5-3225</v>
          </cell>
          <cell r="C1342" t="str">
            <v>Allowance of disaster &amp; die</v>
          </cell>
          <cell r="D1342">
            <v>0</v>
          </cell>
          <cell r="E1342">
            <v>0</v>
          </cell>
          <cell r="F1342">
            <v>0</v>
          </cell>
          <cell r="G1342">
            <v>0</v>
          </cell>
          <cell r="H1342">
            <v>0</v>
          </cell>
          <cell r="I1342">
            <v>0</v>
          </cell>
          <cell r="J1342">
            <v>0</v>
          </cell>
        </row>
        <row r="1343">
          <cell r="B1343" t="str">
            <v>5-3226</v>
          </cell>
          <cell r="C1343" t="str">
            <v>Allowance of hari raya</v>
          </cell>
          <cell r="D1343">
            <v>3441658</v>
          </cell>
          <cell r="E1343">
            <v>0</v>
          </cell>
          <cell r="F1343">
            <v>0</v>
          </cell>
          <cell r="G1343">
            <v>0</v>
          </cell>
          <cell r="H1343">
            <v>0</v>
          </cell>
          <cell r="I1343">
            <v>3441658</v>
          </cell>
          <cell r="J1343">
            <v>0</v>
          </cell>
        </row>
        <row r="1344">
          <cell r="B1344" t="str">
            <v>5-3227</v>
          </cell>
          <cell r="C1344" t="str">
            <v>Allowance of birth</v>
          </cell>
          <cell r="D1344">
            <v>0</v>
          </cell>
          <cell r="E1344">
            <v>0</v>
          </cell>
          <cell r="F1344">
            <v>0</v>
          </cell>
          <cell r="G1344">
            <v>0</v>
          </cell>
          <cell r="H1344">
            <v>0</v>
          </cell>
          <cell r="I1344">
            <v>0</v>
          </cell>
          <cell r="J1344">
            <v>0</v>
          </cell>
        </row>
        <row r="1345">
          <cell r="B1345" t="str">
            <v>5-3228</v>
          </cell>
          <cell r="C1345" t="str">
            <v>Allowance of married</v>
          </cell>
          <cell r="D1345">
            <v>0</v>
          </cell>
          <cell r="E1345">
            <v>0</v>
          </cell>
          <cell r="F1345">
            <v>0</v>
          </cell>
          <cell r="G1345">
            <v>0</v>
          </cell>
          <cell r="H1345">
            <v>0</v>
          </cell>
          <cell r="I1345">
            <v>0</v>
          </cell>
          <cell r="J1345">
            <v>0</v>
          </cell>
        </row>
        <row r="1346">
          <cell r="B1346" t="str">
            <v>5-3229</v>
          </cell>
          <cell r="C1346" t="str">
            <v>Allowance of house rent&amp;others</v>
          </cell>
          <cell r="D1346">
            <v>0</v>
          </cell>
          <cell r="E1346">
            <v>0</v>
          </cell>
          <cell r="F1346">
            <v>0</v>
          </cell>
          <cell r="G1346">
            <v>0</v>
          </cell>
          <cell r="H1346">
            <v>0</v>
          </cell>
          <cell r="I1346">
            <v>0</v>
          </cell>
          <cell r="J1346">
            <v>0</v>
          </cell>
        </row>
        <row r="1347">
          <cell r="B1347" t="str">
            <v>5-3230</v>
          </cell>
          <cell r="C1347" t="str">
            <v>Office</v>
          </cell>
          <cell r="D1347">
            <v>0</v>
          </cell>
          <cell r="E1347">
            <v>0</v>
          </cell>
          <cell r="F1347">
            <v>0</v>
          </cell>
          <cell r="G1347">
            <v>0</v>
          </cell>
          <cell r="H1347">
            <v>0</v>
          </cell>
          <cell r="I1347">
            <v>0</v>
          </cell>
          <cell r="J1347">
            <v>0</v>
          </cell>
        </row>
        <row r="1348">
          <cell r="B1348" t="str">
            <v>5-3231</v>
          </cell>
          <cell r="C1348" t="str">
            <v>Stationary papers</v>
          </cell>
          <cell r="D1348">
            <v>0</v>
          </cell>
          <cell r="E1348">
            <v>0</v>
          </cell>
          <cell r="F1348">
            <v>0</v>
          </cell>
          <cell r="G1348">
            <v>0</v>
          </cell>
          <cell r="H1348">
            <v>0</v>
          </cell>
          <cell r="I1348">
            <v>0</v>
          </cell>
          <cell r="J1348">
            <v>0</v>
          </cell>
        </row>
        <row r="1349">
          <cell r="B1349" t="str">
            <v>5-3232</v>
          </cell>
          <cell r="C1349" t="str">
            <v>Stationary written toolls</v>
          </cell>
          <cell r="D1349">
            <v>0</v>
          </cell>
          <cell r="E1349">
            <v>0</v>
          </cell>
          <cell r="F1349">
            <v>0</v>
          </cell>
          <cell r="G1349">
            <v>0</v>
          </cell>
          <cell r="H1349">
            <v>0</v>
          </cell>
          <cell r="I1349">
            <v>0</v>
          </cell>
          <cell r="J1349">
            <v>0</v>
          </cell>
        </row>
        <row r="1350">
          <cell r="B1350" t="str">
            <v>5-3233</v>
          </cell>
          <cell r="C1350" t="str">
            <v>Stationary ink</v>
          </cell>
          <cell r="D1350">
            <v>0</v>
          </cell>
          <cell r="E1350">
            <v>0</v>
          </cell>
          <cell r="F1350">
            <v>0</v>
          </cell>
          <cell r="G1350">
            <v>0</v>
          </cell>
          <cell r="H1350">
            <v>0</v>
          </cell>
          <cell r="I1350">
            <v>0</v>
          </cell>
          <cell r="J1350">
            <v>0</v>
          </cell>
        </row>
        <row r="1351">
          <cell r="B1351" t="str">
            <v>5-3234</v>
          </cell>
          <cell r="C1351" t="str">
            <v>Stationary Others</v>
          </cell>
          <cell r="D1351">
            <v>0</v>
          </cell>
          <cell r="E1351">
            <v>0</v>
          </cell>
          <cell r="F1351">
            <v>0</v>
          </cell>
          <cell r="G1351">
            <v>0</v>
          </cell>
          <cell r="H1351">
            <v>0</v>
          </cell>
          <cell r="I1351">
            <v>0</v>
          </cell>
          <cell r="J1351">
            <v>0</v>
          </cell>
        </row>
        <row r="1352">
          <cell r="B1352" t="str">
            <v>5-3235</v>
          </cell>
          <cell r="C1352" t="str">
            <v>Consumptions</v>
          </cell>
          <cell r="D1352">
            <v>0</v>
          </cell>
          <cell r="E1352">
            <v>0</v>
          </cell>
          <cell r="F1352">
            <v>68000</v>
          </cell>
          <cell r="G1352">
            <v>0</v>
          </cell>
          <cell r="H1352">
            <v>68000</v>
          </cell>
          <cell r="I1352">
            <v>68000</v>
          </cell>
          <cell r="J1352">
            <v>0</v>
          </cell>
        </row>
        <row r="1353">
          <cell r="B1353" t="str">
            <v>5-3236</v>
          </cell>
          <cell r="C1353" t="str">
            <v>Fotocopy &amp; Printing</v>
          </cell>
          <cell r="D1353">
            <v>0</v>
          </cell>
          <cell r="E1353">
            <v>0</v>
          </cell>
          <cell r="F1353">
            <v>0</v>
          </cell>
          <cell r="G1353">
            <v>0</v>
          </cell>
          <cell r="H1353">
            <v>0</v>
          </cell>
          <cell r="I1353">
            <v>0</v>
          </cell>
          <cell r="J1353">
            <v>0</v>
          </cell>
        </row>
        <row r="1354">
          <cell r="B1354" t="str">
            <v>5-3237</v>
          </cell>
          <cell r="C1354" t="str">
            <v>Office Suplies</v>
          </cell>
          <cell r="D1354">
            <v>0</v>
          </cell>
          <cell r="E1354">
            <v>0</v>
          </cell>
          <cell r="F1354">
            <v>0</v>
          </cell>
          <cell r="G1354">
            <v>0</v>
          </cell>
          <cell r="H1354">
            <v>0</v>
          </cell>
          <cell r="I1354">
            <v>0</v>
          </cell>
          <cell r="J1354">
            <v>0</v>
          </cell>
        </row>
        <row r="1355">
          <cell r="B1355" t="str">
            <v>5-3239</v>
          </cell>
          <cell r="C1355" t="str">
            <v>Others</v>
          </cell>
          <cell r="D1355">
            <v>0</v>
          </cell>
          <cell r="E1355">
            <v>0</v>
          </cell>
          <cell r="F1355">
            <v>0</v>
          </cell>
          <cell r="G1355">
            <v>0</v>
          </cell>
          <cell r="H1355">
            <v>0</v>
          </cell>
          <cell r="I1355">
            <v>0</v>
          </cell>
          <cell r="J1355">
            <v>0</v>
          </cell>
        </row>
        <row r="1356">
          <cell r="B1356" t="str">
            <v>5-3240</v>
          </cell>
          <cell r="C1356" t="str">
            <v>Transportation&amp;Telecomunicatio</v>
          </cell>
          <cell r="D1356">
            <v>0</v>
          </cell>
          <cell r="E1356">
            <v>0</v>
          </cell>
          <cell r="F1356">
            <v>0</v>
          </cell>
          <cell r="G1356">
            <v>0</v>
          </cell>
          <cell r="H1356">
            <v>0</v>
          </cell>
          <cell r="I1356">
            <v>0</v>
          </cell>
          <cell r="J1356">
            <v>0</v>
          </cell>
        </row>
        <row r="1357">
          <cell r="B1357" t="str">
            <v>5-3241</v>
          </cell>
          <cell r="C1357" t="str">
            <v>Mail &amp; Shipment</v>
          </cell>
          <cell r="D1357">
            <v>0</v>
          </cell>
          <cell r="E1357">
            <v>0</v>
          </cell>
          <cell r="F1357">
            <v>0</v>
          </cell>
          <cell r="G1357">
            <v>0</v>
          </cell>
          <cell r="H1357">
            <v>0</v>
          </cell>
          <cell r="I1357">
            <v>0</v>
          </cell>
          <cell r="J1357">
            <v>0</v>
          </cell>
        </row>
        <row r="1358">
          <cell r="B1358" t="str">
            <v>5-3242</v>
          </cell>
          <cell r="C1358" t="str">
            <v>Telephone</v>
          </cell>
          <cell r="D1358">
            <v>0</v>
          </cell>
          <cell r="E1358">
            <v>0</v>
          </cell>
          <cell r="F1358">
            <v>0</v>
          </cell>
          <cell r="G1358">
            <v>0</v>
          </cell>
          <cell r="H1358">
            <v>0</v>
          </cell>
          <cell r="I1358">
            <v>0</v>
          </cell>
          <cell r="J1358">
            <v>0</v>
          </cell>
        </row>
        <row r="1359">
          <cell r="B1359" t="str">
            <v>5-3243</v>
          </cell>
          <cell r="C1359" t="str">
            <v>Fuel</v>
          </cell>
          <cell r="D1359">
            <v>0</v>
          </cell>
          <cell r="E1359">
            <v>0</v>
          </cell>
          <cell r="F1359">
            <v>0</v>
          </cell>
          <cell r="G1359">
            <v>0</v>
          </cell>
          <cell r="H1359">
            <v>0</v>
          </cell>
          <cell r="I1359">
            <v>0</v>
          </cell>
          <cell r="J1359">
            <v>0</v>
          </cell>
        </row>
        <row r="1360">
          <cell r="B1360" t="str">
            <v>5-3244</v>
          </cell>
          <cell r="C1360" t="str">
            <v>Accommodations</v>
          </cell>
          <cell r="D1360">
            <v>0</v>
          </cell>
          <cell r="E1360">
            <v>0</v>
          </cell>
          <cell r="F1360">
            <v>0</v>
          </cell>
          <cell r="G1360">
            <v>0</v>
          </cell>
          <cell r="H1360">
            <v>0</v>
          </cell>
          <cell r="I1360">
            <v>0</v>
          </cell>
          <cell r="J1360">
            <v>0</v>
          </cell>
        </row>
        <row r="1361">
          <cell r="B1361" t="str">
            <v>5-3245</v>
          </cell>
          <cell r="C1361" t="str">
            <v>Public Transportation</v>
          </cell>
          <cell r="D1361">
            <v>0</v>
          </cell>
          <cell r="E1361">
            <v>0</v>
          </cell>
          <cell r="F1361">
            <v>0</v>
          </cell>
          <cell r="G1361">
            <v>0</v>
          </cell>
          <cell r="H1361">
            <v>0</v>
          </cell>
          <cell r="I1361">
            <v>0</v>
          </cell>
          <cell r="J1361">
            <v>0</v>
          </cell>
        </row>
        <row r="1362">
          <cell r="B1362" t="str">
            <v>5-3246</v>
          </cell>
          <cell r="C1362" t="str">
            <v>Joint Transportation Allocatio</v>
          </cell>
          <cell r="D1362">
            <v>0</v>
          </cell>
          <cell r="E1362">
            <v>0</v>
          </cell>
          <cell r="F1362">
            <v>0</v>
          </cell>
          <cell r="G1362">
            <v>0</v>
          </cell>
          <cell r="H1362">
            <v>0</v>
          </cell>
          <cell r="I1362">
            <v>0</v>
          </cell>
          <cell r="J1362">
            <v>0</v>
          </cell>
        </row>
        <row r="1363">
          <cell r="B1363" t="str">
            <v>5-3249</v>
          </cell>
          <cell r="C1363" t="str">
            <v>Others</v>
          </cell>
          <cell r="D1363">
            <v>0</v>
          </cell>
          <cell r="E1363">
            <v>0</v>
          </cell>
          <cell r="F1363">
            <v>0</v>
          </cell>
          <cell r="G1363">
            <v>0</v>
          </cell>
          <cell r="H1363">
            <v>0</v>
          </cell>
          <cell r="I1363">
            <v>0</v>
          </cell>
          <cell r="J1363">
            <v>0</v>
          </cell>
        </row>
        <row r="1364">
          <cell r="B1364" t="str">
            <v>5-3250</v>
          </cell>
          <cell r="C1364" t="str">
            <v>Repair &amp; Maintenance</v>
          </cell>
          <cell r="D1364">
            <v>0</v>
          </cell>
          <cell r="E1364">
            <v>0</v>
          </cell>
          <cell r="F1364">
            <v>0</v>
          </cell>
          <cell r="G1364">
            <v>0</v>
          </cell>
          <cell r="H1364">
            <v>0</v>
          </cell>
          <cell r="I1364">
            <v>0</v>
          </cell>
          <cell r="J1364">
            <v>0</v>
          </cell>
        </row>
        <row r="1365">
          <cell r="B1365" t="str">
            <v>5-3251</v>
          </cell>
          <cell r="C1365" t="str">
            <v>R &amp; M - Computer &amp; audio visua</v>
          </cell>
          <cell r="D1365">
            <v>0</v>
          </cell>
          <cell r="E1365">
            <v>0</v>
          </cell>
          <cell r="F1365">
            <v>0</v>
          </cell>
          <cell r="G1365">
            <v>0</v>
          </cell>
          <cell r="H1365">
            <v>0</v>
          </cell>
          <cell r="I1365">
            <v>0</v>
          </cell>
          <cell r="J1365">
            <v>0</v>
          </cell>
        </row>
        <row r="1366">
          <cell r="B1366" t="str">
            <v>5-3252</v>
          </cell>
          <cell r="C1366" t="str">
            <v>R &amp; M - Telephone &amp; Faxs</v>
          </cell>
          <cell r="D1366">
            <v>0</v>
          </cell>
          <cell r="E1366">
            <v>0</v>
          </cell>
          <cell r="F1366">
            <v>0</v>
          </cell>
          <cell r="G1366">
            <v>0</v>
          </cell>
          <cell r="H1366">
            <v>0</v>
          </cell>
          <cell r="I1366">
            <v>0</v>
          </cell>
          <cell r="J1366">
            <v>0</v>
          </cell>
        </row>
        <row r="1367">
          <cell r="B1367" t="str">
            <v>5-3253</v>
          </cell>
          <cell r="C1367" t="str">
            <v>R &amp; M - Office Eqiupment</v>
          </cell>
          <cell r="D1367">
            <v>0</v>
          </cell>
          <cell r="E1367">
            <v>0</v>
          </cell>
          <cell r="F1367">
            <v>0</v>
          </cell>
          <cell r="G1367">
            <v>0</v>
          </cell>
          <cell r="H1367">
            <v>0</v>
          </cell>
          <cell r="I1367">
            <v>0</v>
          </cell>
          <cell r="J1367">
            <v>0</v>
          </cell>
        </row>
        <row r="1368">
          <cell r="B1368" t="str">
            <v>5-3254</v>
          </cell>
          <cell r="C1368" t="str">
            <v>R &amp; M - Others Eqiupment</v>
          </cell>
          <cell r="D1368">
            <v>0</v>
          </cell>
          <cell r="E1368">
            <v>0</v>
          </cell>
          <cell r="F1368">
            <v>0</v>
          </cell>
          <cell r="G1368">
            <v>0</v>
          </cell>
          <cell r="H1368">
            <v>0</v>
          </cell>
          <cell r="I1368">
            <v>0</v>
          </cell>
          <cell r="J1368">
            <v>0</v>
          </cell>
        </row>
        <row r="1369">
          <cell r="B1369" t="str">
            <v>5-3255</v>
          </cell>
          <cell r="C1369" t="str">
            <v>R &amp; M - Table &amp; Chairs</v>
          </cell>
          <cell r="D1369">
            <v>0</v>
          </cell>
          <cell r="E1369">
            <v>0</v>
          </cell>
          <cell r="F1369">
            <v>0</v>
          </cell>
          <cell r="G1369">
            <v>0</v>
          </cell>
          <cell r="H1369">
            <v>0</v>
          </cell>
          <cell r="I1369">
            <v>0</v>
          </cell>
          <cell r="J1369">
            <v>0</v>
          </cell>
        </row>
        <row r="1370">
          <cell r="B1370" t="str">
            <v>5-3256</v>
          </cell>
          <cell r="C1370" t="str">
            <v>R &amp; M - Cupboard &amp; Rack</v>
          </cell>
          <cell r="D1370">
            <v>0</v>
          </cell>
          <cell r="E1370">
            <v>0</v>
          </cell>
          <cell r="F1370">
            <v>0</v>
          </cell>
          <cell r="G1370">
            <v>0</v>
          </cell>
          <cell r="H1370">
            <v>0</v>
          </cell>
          <cell r="I1370">
            <v>0</v>
          </cell>
          <cell r="J1370">
            <v>0</v>
          </cell>
        </row>
        <row r="1371">
          <cell r="B1371" t="str">
            <v>5-3257</v>
          </cell>
          <cell r="C1371" t="str">
            <v>R &amp; M - Other Furniture</v>
          </cell>
          <cell r="D1371">
            <v>0</v>
          </cell>
          <cell r="E1371">
            <v>0</v>
          </cell>
          <cell r="F1371">
            <v>0</v>
          </cell>
          <cell r="G1371">
            <v>0</v>
          </cell>
          <cell r="H1371">
            <v>0</v>
          </cell>
          <cell r="I1371">
            <v>0</v>
          </cell>
          <cell r="J1371">
            <v>0</v>
          </cell>
        </row>
        <row r="1372">
          <cell r="B1372" t="str">
            <v>5-3260</v>
          </cell>
          <cell r="C1372" t="str">
            <v>Audio Visual</v>
          </cell>
          <cell r="D1372">
            <v>0</v>
          </cell>
          <cell r="E1372">
            <v>0</v>
          </cell>
          <cell r="F1372">
            <v>0</v>
          </cell>
          <cell r="G1372">
            <v>0</v>
          </cell>
          <cell r="H1372">
            <v>0</v>
          </cell>
          <cell r="I1372">
            <v>0</v>
          </cell>
          <cell r="J1372">
            <v>0</v>
          </cell>
        </row>
        <row r="1373">
          <cell r="B1373" t="str">
            <v>5-3261</v>
          </cell>
          <cell r="C1373" t="str">
            <v>CD Kosong</v>
          </cell>
          <cell r="D1373">
            <v>0</v>
          </cell>
          <cell r="E1373">
            <v>0</v>
          </cell>
          <cell r="F1373">
            <v>0</v>
          </cell>
          <cell r="G1373">
            <v>0</v>
          </cell>
          <cell r="H1373">
            <v>0</v>
          </cell>
          <cell r="I1373">
            <v>0</v>
          </cell>
          <cell r="J1373">
            <v>0</v>
          </cell>
        </row>
        <row r="1374">
          <cell r="B1374" t="str">
            <v>5-3262</v>
          </cell>
          <cell r="C1374" t="str">
            <v>Cd Kajian dan Qiro'ah</v>
          </cell>
          <cell r="D1374">
            <v>0</v>
          </cell>
          <cell r="E1374">
            <v>0</v>
          </cell>
          <cell r="F1374">
            <v>0</v>
          </cell>
          <cell r="G1374">
            <v>0</v>
          </cell>
          <cell r="H1374">
            <v>0</v>
          </cell>
          <cell r="I1374">
            <v>0</v>
          </cell>
          <cell r="J1374">
            <v>0</v>
          </cell>
        </row>
        <row r="1375">
          <cell r="B1375" t="str">
            <v>5-3263</v>
          </cell>
          <cell r="C1375" t="str">
            <v>CD Film</v>
          </cell>
          <cell r="D1375">
            <v>0</v>
          </cell>
          <cell r="E1375">
            <v>0</v>
          </cell>
          <cell r="F1375">
            <v>0</v>
          </cell>
          <cell r="G1375">
            <v>0</v>
          </cell>
          <cell r="H1375">
            <v>0</v>
          </cell>
          <cell r="I1375">
            <v>0</v>
          </cell>
          <cell r="J1375">
            <v>0</v>
          </cell>
        </row>
        <row r="1376">
          <cell r="B1376" t="str">
            <v>5-3264</v>
          </cell>
          <cell r="C1376" t="str">
            <v>Kaset Rekaman</v>
          </cell>
          <cell r="D1376">
            <v>0</v>
          </cell>
          <cell r="E1376">
            <v>0</v>
          </cell>
          <cell r="F1376">
            <v>0</v>
          </cell>
          <cell r="G1376">
            <v>0</v>
          </cell>
          <cell r="H1376">
            <v>0</v>
          </cell>
          <cell r="I1376">
            <v>0</v>
          </cell>
          <cell r="J1376">
            <v>0</v>
          </cell>
        </row>
        <row r="1377">
          <cell r="B1377" t="str">
            <v>5-3290</v>
          </cell>
          <cell r="C1377" t="str">
            <v>Lain-lain Audio Visual</v>
          </cell>
          <cell r="D1377">
            <v>0</v>
          </cell>
          <cell r="E1377">
            <v>0</v>
          </cell>
          <cell r="F1377">
            <v>0</v>
          </cell>
          <cell r="G1377">
            <v>0</v>
          </cell>
          <cell r="H1377">
            <v>0</v>
          </cell>
          <cell r="I1377">
            <v>0</v>
          </cell>
          <cell r="J1377">
            <v>0</v>
          </cell>
        </row>
        <row r="1378">
          <cell r="B1378" t="str">
            <v>5-3291</v>
          </cell>
          <cell r="C1378" t="str">
            <v>Pelatihan &amp; Workshop</v>
          </cell>
          <cell r="D1378">
            <v>0</v>
          </cell>
          <cell r="E1378">
            <v>0</v>
          </cell>
          <cell r="F1378">
            <v>0</v>
          </cell>
          <cell r="G1378">
            <v>0</v>
          </cell>
          <cell r="H1378">
            <v>0</v>
          </cell>
          <cell r="I1378">
            <v>0</v>
          </cell>
          <cell r="J1378">
            <v>0</v>
          </cell>
        </row>
        <row r="1379">
          <cell r="B1379" t="str">
            <v>5-3300</v>
          </cell>
          <cell r="C1379" t="str">
            <v>Koputerisasi akacemik</v>
          </cell>
          <cell r="D1379">
            <v>0</v>
          </cell>
          <cell r="E1379">
            <v>0</v>
          </cell>
          <cell r="F1379">
            <v>0</v>
          </cell>
          <cell r="G1379">
            <v>0</v>
          </cell>
          <cell r="H1379">
            <v>0</v>
          </cell>
          <cell r="I1379">
            <v>0</v>
          </cell>
          <cell r="J1379">
            <v>0</v>
          </cell>
        </row>
        <row r="1380">
          <cell r="B1380" t="str">
            <v>5-4110</v>
          </cell>
          <cell r="C1380" t="str">
            <v>TIM INTI</v>
          </cell>
          <cell r="D1380">
            <v>0</v>
          </cell>
          <cell r="E1380">
            <v>0</v>
          </cell>
          <cell r="F1380">
            <v>0</v>
          </cell>
          <cell r="G1380">
            <v>0</v>
          </cell>
          <cell r="H1380">
            <v>0</v>
          </cell>
          <cell r="I1380">
            <v>0</v>
          </cell>
          <cell r="J1380">
            <v>0</v>
          </cell>
        </row>
        <row r="1381">
          <cell r="B1381" t="str">
            <v>5-4111</v>
          </cell>
          <cell r="C1381" t="str">
            <v>Stationary</v>
          </cell>
          <cell r="D1381">
            <v>0</v>
          </cell>
          <cell r="E1381">
            <v>0</v>
          </cell>
          <cell r="F1381">
            <v>0</v>
          </cell>
          <cell r="G1381">
            <v>0</v>
          </cell>
          <cell r="H1381">
            <v>0</v>
          </cell>
          <cell r="I1381">
            <v>0</v>
          </cell>
          <cell r="J1381">
            <v>0</v>
          </cell>
        </row>
        <row r="1382">
          <cell r="B1382" t="str">
            <v>5-4112</v>
          </cell>
          <cell r="C1382" t="str">
            <v>Fotocopy &amp; Printing</v>
          </cell>
          <cell r="D1382">
            <v>0</v>
          </cell>
          <cell r="E1382">
            <v>0</v>
          </cell>
          <cell r="F1382">
            <v>0</v>
          </cell>
          <cell r="G1382">
            <v>0</v>
          </cell>
          <cell r="H1382">
            <v>0</v>
          </cell>
          <cell r="I1382">
            <v>0</v>
          </cell>
          <cell r="J1382">
            <v>0</v>
          </cell>
        </row>
        <row r="1383">
          <cell r="B1383" t="str">
            <v>5-4113</v>
          </cell>
          <cell r="C1383" t="str">
            <v>Office Supplies</v>
          </cell>
          <cell r="D1383">
            <v>0</v>
          </cell>
          <cell r="E1383">
            <v>0</v>
          </cell>
          <cell r="F1383">
            <v>0</v>
          </cell>
          <cell r="G1383">
            <v>0</v>
          </cell>
          <cell r="H1383">
            <v>0</v>
          </cell>
          <cell r="I1383">
            <v>0</v>
          </cell>
          <cell r="J1383">
            <v>0</v>
          </cell>
        </row>
        <row r="1384">
          <cell r="B1384" t="str">
            <v>5-4114</v>
          </cell>
          <cell r="C1384" t="str">
            <v>Transportation</v>
          </cell>
          <cell r="D1384">
            <v>0</v>
          </cell>
          <cell r="E1384">
            <v>0</v>
          </cell>
          <cell r="F1384">
            <v>0</v>
          </cell>
          <cell r="G1384">
            <v>0</v>
          </cell>
          <cell r="H1384">
            <v>0</v>
          </cell>
          <cell r="I1384">
            <v>0</v>
          </cell>
          <cell r="J1384">
            <v>0</v>
          </cell>
        </row>
        <row r="1385">
          <cell r="B1385" t="str">
            <v>5-4115</v>
          </cell>
          <cell r="C1385" t="str">
            <v>Pos &amp; Telecomunication</v>
          </cell>
          <cell r="D1385">
            <v>0</v>
          </cell>
          <cell r="E1385">
            <v>0</v>
          </cell>
          <cell r="F1385">
            <v>0</v>
          </cell>
          <cell r="G1385">
            <v>0</v>
          </cell>
          <cell r="H1385">
            <v>0</v>
          </cell>
          <cell r="I1385">
            <v>0</v>
          </cell>
          <cell r="J1385">
            <v>0</v>
          </cell>
        </row>
        <row r="1386">
          <cell r="B1386" t="str">
            <v>5-4116</v>
          </cell>
          <cell r="C1386" t="str">
            <v>Transportation</v>
          </cell>
          <cell r="D1386">
            <v>0</v>
          </cell>
          <cell r="E1386">
            <v>0</v>
          </cell>
          <cell r="F1386">
            <v>0</v>
          </cell>
          <cell r="G1386">
            <v>0</v>
          </cell>
          <cell r="H1386">
            <v>0</v>
          </cell>
          <cell r="I1386">
            <v>0</v>
          </cell>
          <cell r="J1386">
            <v>0</v>
          </cell>
        </row>
        <row r="1387">
          <cell r="B1387" t="str">
            <v>5-4117</v>
          </cell>
          <cell r="C1387" t="str">
            <v>Consumption</v>
          </cell>
          <cell r="D1387">
            <v>0</v>
          </cell>
          <cell r="E1387">
            <v>0</v>
          </cell>
          <cell r="F1387">
            <v>0</v>
          </cell>
          <cell r="G1387">
            <v>0</v>
          </cell>
          <cell r="H1387">
            <v>0</v>
          </cell>
          <cell r="I1387">
            <v>0</v>
          </cell>
          <cell r="J1387">
            <v>0</v>
          </cell>
        </row>
        <row r="1388">
          <cell r="B1388" t="str">
            <v>5-4118</v>
          </cell>
          <cell r="C1388" t="str">
            <v>Repair &amp; Maintenence</v>
          </cell>
          <cell r="D1388">
            <v>0</v>
          </cell>
          <cell r="E1388">
            <v>0</v>
          </cell>
          <cell r="F1388">
            <v>0</v>
          </cell>
          <cell r="G1388">
            <v>0</v>
          </cell>
          <cell r="H1388">
            <v>0</v>
          </cell>
          <cell r="I1388">
            <v>0</v>
          </cell>
          <cell r="J1388">
            <v>0</v>
          </cell>
        </row>
        <row r="1389">
          <cell r="B1389" t="str">
            <v>5-4119</v>
          </cell>
          <cell r="C1389" t="str">
            <v>Others</v>
          </cell>
          <cell r="D1389">
            <v>0</v>
          </cell>
          <cell r="E1389">
            <v>0</v>
          </cell>
          <cell r="F1389">
            <v>0</v>
          </cell>
          <cell r="G1389">
            <v>0</v>
          </cell>
          <cell r="H1389">
            <v>0</v>
          </cell>
          <cell r="I1389">
            <v>0</v>
          </cell>
          <cell r="J1389">
            <v>0</v>
          </cell>
        </row>
        <row r="1390">
          <cell r="B1390" t="str">
            <v>5-4120</v>
          </cell>
          <cell r="C1390" t="str">
            <v>SEKSI IBADAH</v>
          </cell>
          <cell r="D1390">
            <v>0</v>
          </cell>
          <cell r="E1390">
            <v>0</v>
          </cell>
          <cell r="F1390">
            <v>0</v>
          </cell>
          <cell r="G1390">
            <v>0</v>
          </cell>
          <cell r="H1390">
            <v>0</v>
          </cell>
          <cell r="I1390">
            <v>0</v>
          </cell>
          <cell r="J1390">
            <v>0</v>
          </cell>
        </row>
        <row r="1391">
          <cell r="B1391" t="str">
            <v>5-4121</v>
          </cell>
          <cell r="C1391" t="str">
            <v>Stationary</v>
          </cell>
          <cell r="D1391">
            <v>0</v>
          </cell>
          <cell r="E1391">
            <v>0</v>
          </cell>
          <cell r="F1391">
            <v>0</v>
          </cell>
          <cell r="G1391">
            <v>0</v>
          </cell>
          <cell r="H1391">
            <v>0</v>
          </cell>
          <cell r="I1391">
            <v>0</v>
          </cell>
          <cell r="J1391">
            <v>0</v>
          </cell>
        </row>
        <row r="1392">
          <cell r="B1392" t="str">
            <v>5-4122</v>
          </cell>
          <cell r="C1392" t="str">
            <v>Supplies</v>
          </cell>
          <cell r="D1392">
            <v>0</v>
          </cell>
          <cell r="E1392">
            <v>0</v>
          </cell>
          <cell r="F1392">
            <v>0</v>
          </cell>
          <cell r="G1392">
            <v>0</v>
          </cell>
          <cell r="H1392">
            <v>0</v>
          </cell>
          <cell r="I1392">
            <v>0</v>
          </cell>
          <cell r="J1392">
            <v>0</v>
          </cell>
        </row>
        <row r="1393">
          <cell r="B1393" t="str">
            <v>5-4123</v>
          </cell>
          <cell r="C1393" t="str">
            <v>Transportation</v>
          </cell>
          <cell r="D1393">
            <v>0</v>
          </cell>
          <cell r="E1393">
            <v>0</v>
          </cell>
          <cell r="F1393">
            <v>0</v>
          </cell>
          <cell r="G1393">
            <v>0</v>
          </cell>
          <cell r="H1393">
            <v>0</v>
          </cell>
          <cell r="I1393">
            <v>0</v>
          </cell>
          <cell r="J1393">
            <v>0</v>
          </cell>
        </row>
        <row r="1394">
          <cell r="B1394" t="str">
            <v>5-4124</v>
          </cell>
          <cell r="C1394" t="str">
            <v>Prize</v>
          </cell>
          <cell r="D1394">
            <v>0</v>
          </cell>
          <cell r="E1394">
            <v>0</v>
          </cell>
          <cell r="F1394">
            <v>0</v>
          </cell>
          <cell r="G1394">
            <v>0</v>
          </cell>
          <cell r="H1394">
            <v>0</v>
          </cell>
          <cell r="I1394">
            <v>0</v>
          </cell>
          <cell r="J1394">
            <v>0</v>
          </cell>
        </row>
        <row r="1395">
          <cell r="B1395" t="str">
            <v>5-4125</v>
          </cell>
          <cell r="C1395" t="str">
            <v>Consumption</v>
          </cell>
          <cell r="D1395">
            <v>0</v>
          </cell>
          <cell r="E1395">
            <v>0</v>
          </cell>
          <cell r="F1395">
            <v>0</v>
          </cell>
          <cell r="G1395">
            <v>0</v>
          </cell>
          <cell r="H1395">
            <v>0</v>
          </cell>
          <cell r="I1395">
            <v>0</v>
          </cell>
          <cell r="J1395">
            <v>0</v>
          </cell>
        </row>
        <row r="1396">
          <cell r="B1396" t="str">
            <v>5-4126</v>
          </cell>
          <cell r="C1396" t="str">
            <v>Repair &amp; Maintenence</v>
          </cell>
          <cell r="D1396">
            <v>0</v>
          </cell>
          <cell r="E1396">
            <v>0</v>
          </cell>
          <cell r="F1396">
            <v>0</v>
          </cell>
          <cell r="G1396">
            <v>0</v>
          </cell>
          <cell r="H1396">
            <v>0</v>
          </cell>
          <cell r="I1396">
            <v>0</v>
          </cell>
          <cell r="J1396">
            <v>0</v>
          </cell>
        </row>
        <row r="1397">
          <cell r="B1397" t="str">
            <v>5-4129</v>
          </cell>
          <cell r="C1397" t="str">
            <v>Othes</v>
          </cell>
          <cell r="D1397">
            <v>0</v>
          </cell>
          <cell r="E1397">
            <v>0</v>
          </cell>
          <cell r="F1397">
            <v>0</v>
          </cell>
          <cell r="G1397">
            <v>0</v>
          </cell>
          <cell r="H1397">
            <v>0</v>
          </cell>
          <cell r="I1397">
            <v>0</v>
          </cell>
          <cell r="J1397">
            <v>0</v>
          </cell>
        </row>
        <row r="1398">
          <cell r="B1398" t="str">
            <v>5-4130</v>
          </cell>
          <cell r="C1398" t="str">
            <v>SEKSI KEAMANAN</v>
          </cell>
          <cell r="D1398">
            <v>0</v>
          </cell>
          <cell r="E1398">
            <v>0</v>
          </cell>
          <cell r="F1398">
            <v>0</v>
          </cell>
          <cell r="G1398">
            <v>0</v>
          </cell>
          <cell r="H1398">
            <v>0</v>
          </cell>
          <cell r="I1398">
            <v>0</v>
          </cell>
          <cell r="J1398">
            <v>0</v>
          </cell>
        </row>
        <row r="1399">
          <cell r="B1399" t="str">
            <v>5-4131</v>
          </cell>
          <cell r="C1399" t="str">
            <v>Stationary</v>
          </cell>
          <cell r="D1399">
            <v>0</v>
          </cell>
          <cell r="E1399">
            <v>0</v>
          </cell>
          <cell r="F1399">
            <v>0</v>
          </cell>
          <cell r="G1399">
            <v>0</v>
          </cell>
          <cell r="H1399">
            <v>0</v>
          </cell>
          <cell r="I1399">
            <v>0</v>
          </cell>
          <cell r="J1399">
            <v>0</v>
          </cell>
        </row>
        <row r="1400">
          <cell r="B1400" t="str">
            <v>5-4132</v>
          </cell>
          <cell r="C1400" t="str">
            <v>Supplies</v>
          </cell>
          <cell r="D1400">
            <v>0</v>
          </cell>
          <cell r="E1400">
            <v>0</v>
          </cell>
          <cell r="F1400">
            <v>0</v>
          </cell>
          <cell r="G1400">
            <v>0</v>
          </cell>
          <cell r="H1400">
            <v>0</v>
          </cell>
          <cell r="I1400">
            <v>0</v>
          </cell>
          <cell r="J1400">
            <v>0</v>
          </cell>
        </row>
        <row r="1401">
          <cell r="B1401" t="str">
            <v>5-4133</v>
          </cell>
          <cell r="C1401" t="str">
            <v>Transportation</v>
          </cell>
          <cell r="D1401">
            <v>0</v>
          </cell>
          <cell r="E1401">
            <v>0</v>
          </cell>
          <cell r="F1401">
            <v>0</v>
          </cell>
          <cell r="G1401">
            <v>0</v>
          </cell>
          <cell r="H1401">
            <v>0</v>
          </cell>
          <cell r="I1401">
            <v>0</v>
          </cell>
          <cell r="J1401">
            <v>0</v>
          </cell>
        </row>
        <row r="1402">
          <cell r="B1402" t="str">
            <v>5-4134</v>
          </cell>
          <cell r="C1402" t="str">
            <v>Prize</v>
          </cell>
          <cell r="D1402">
            <v>0</v>
          </cell>
          <cell r="E1402">
            <v>0</v>
          </cell>
          <cell r="F1402">
            <v>0</v>
          </cell>
          <cell r="G1402">
            <v>0</v>
          </cell>
          <cell r="H1402">
            <v>0</v>
          </cell>
          <cell r="I1402">
            <v>0</v>
          </cell>
          <cell r="J1402">
            <v>0</v>
          </cell>
        </row>
        <row r="1403">
          <cell r="B1403" t="str">
            <v>5-4135</v>
          </cell>
          <cell r="C1403" t="str">
            <v>Consumption</v>
          </cell>
          <cell r="D1403">
            <v>0</v>
          </cell>
          <cell r="E1403">
            <v>0</v>
          </cell>
          <cell r="F1403">
            <v>0</v>
          </cell>
          <cell r="G1403">
            <v>0</v>
          </cell>
          <cell r="H1403">
            <v>0</v>
          </cell>
          <cell r="I1403">
            <v>0</v>
          </cell>
          <cell r="J1403">
            <v>0</v>
          </cell>
        </row>
        <row r="1404">
          <cell r="B1404" t="str">
            <v>5-4136</v>
          </cell>
          <cell r="C1404" t="str">
            <v>Repair &amp; Maintenence</v>
          </cell>
          <cell r="D1404">
            <v>0</v>
          </cell>
          <cell r="E1404">
            <v>0</v>
          </cell>
          <cell r="F1404">
            <v>0</v>
          </cell>
          <cell r="G1404">
            <v>0</v>
          </cell>
          <cell r="H1404">
            <v>0</v>
          </cell>
          <cell r="I1404">
            <v>0</v>
          </cell>
          <cell r="J1404">
            <v>0</v>
          </cell>
        </row>
        <row r="1405">
          <cell r="B1405" t="str">
            <v>5-4139</v>
          </cell>
          <cell r="C1405" t="str">
            <v>Othes</v>
          </cell>
          <cell r="D1405">
            <v>0</v>
          </cell>
          <cell r="E1405">
            <v>0</v>
          </cell>
          <cell r="F1405">
            <v>0</v>
          </cell>
          <cell r="G1405">
            <v>0</v>
          </cell>
          <cell r="H1405">
            <v>0</v>
          </cell>
          <cell r="I1405">
            <v>0</v>
          </cell>
          <cell r="J1405">
            <v>0</v>
          </cell>
        </row>
        <row r="1406">
          <cell r="B1406" t="str">
            <v>5-4140</v>
          </cell>
          <cell r="C1406" t="str">
            <v>SEKSI KEBERSIHAN &amp; KESEHATAN</v>
          </cell>
          <cell r="D1406">
            <v>0</v>
          </cell>
          <cell r="E1406">
            <v>0</v>
          </cell>
          <cell r="F1406">
            <v>0</v>
          </cell>
          <cell r="G1406">
            <v>0</v>
          </cell>
          <cell r="H1406">
            <v>0</v>
          </cell>
          <cell r="I1406">
            <v>0</v>
          </cell>
          <cell r="J1406">
            <v>0</v>
          </cell>
        </row>
        <row r="1407">
          <cell r="B1407" t="str">
            <v>5-4141</v>
          </cell>
          <cell r="C1407" t="str">
            <v>Stationary</v>
          </cell>
          <cell r="D1407">
            <v>0</v>
          </cell>
          <cell r="E1407">
            <v>0</v>
          </cell>
          <cell r="F1407">
            <v>0</v>
          </cell>
          <cell r="G1407">
            <v>0</v>
          </cell>
          <cell r="H1407">
            <v>0</v>
          </cell>
          <cell r="I1407">
            <v>0</v>
          </cell>
          <cell r="J1407">
            <v>0</v>
          </cell>
        </row>
        <row r="1408">
          <cell r="B1408" t="str">
            <v>5-4142</v>
          </cell>
          <cell r="C1408" t="str">
            <v>Supplies</v>
          </cell>
          <cell r="D1408">
            <v>0</v>
          </cell>
          <cell r="E1408">
            <v>0</v>
          </cell>
          <cell r="F1408">
            <v>0</v>
          </cell>
          <cell r="G1408">
            <v>0</v>
          </cell>
          <cell r="H1408">
            <v>0</v>
          </cell>
          <cell r="I1408">
            <v>0</v>
          </cell>
          <cell r="J1408">
            <v>0</v>
          </cell>
        </row>
        <row r="1409">
          <cell r="B1409" t="str">
            <v>5-4143</v>
          </cell>
          <cell r="C1409" t="str">
            <v>Transportation</v>
          </cell>
          <cell r="D1409">
            <v>0</v>
          </cell>
          <cell r="E1409">
            <v>0</v>
          </cell>
          <cell r="F1409">
            <v>0</v>
          </cell>
          <cell r="G1409">
            <v>0</v>
          </cell>
          <cell r="H1409">
            <v>0</v>
          </cell>
          <cell r="I1409">
            <v>0</v>
          </cell>
          <cell r="J1409">
            <v>0</v>
          </cell>
        </row>
        <row r="1410">
          <cell r="B1410" t="str">
            <v>5-4144</v>
          </cell>
          <cell r="C1410" t="str">
            <v>Prize</v>
          </cell>
          <cell r="D1410">
            <v>0</v>
          </cell>
          <cell r="E1410">
            <v>0</v>
          </cell>
          <cell r="F1410">
            <v>0</v>
          </cell>
          <cell r="G1410">
            <v>0</v>
          </cell>
          <cell r="H1410">
            <v>0</v>
          </cell>
          <cell r="I1410">
            <v>0</v>
          </cell>
          <cell r="J1410">
            <v>0</v>
          </cell>
        </row>
        <row r="1411">
          <cell r="B1411" t="str">
            <v>5-4145</v>
          </cell>
          <cell r="C1411" t="str">
            <v>Consumption</v>
          </cell>
          <cell r="D1411">
            <v>0</v>
          </cell>
          <cell r="E1411">
            <v>0</v>
          </cell>
          <cell r="F1411">
            <v>0</v>
          </cell>
          <cell r="G1411">
            <v>0</v>
          </cell>
          <cell r="H1411">
            <v>0</v>
          </cell>
          <cell r="I1411">
            <v>0</v>
          </cell>
          <cell r="J1411">
            <v>0</v>
          </cell>
        </row>
        <row r="1412">
          <cell r="B1412" t="str">
            <v>5-4146</v>
          </cell>
          <cell r="C1412" t="str">
            <v>Repair &amp; Maintenence</v>
          </cell>
          <cell r="D1412">
            <v>0</v>
          </cell>
          <cell r="E1412">
            <v>0</v>
          </cell>
          <cell r="F1412">
            <v>0</v>
          </cell>
          <cell r="G1412">
            <v>0</v>
          </cell>
          <cell r="H1412">
            <v>0</v>
          </cell>
          <cell r="I1412">
            <v>0</v>
          </cell>
          <cell r="J1412">
            <v>0</v>
          </cell>
        </row>
        <row r="1413">
          <cell r="B1413" t="str">
            <v>5-4149</v>
          </cell>
          <cell r="C1413" t="str">
            <v>Othes</v>
          </cell>
          <cell r="D1413">
            <v>0</v>
          </cell>
          <cell r="E1413">
            <v>0</v>
          </cell>
          <cell r="F1413">
            <v>0</v>
          </cell>
          <cell r="G1413">
            <v>0</v>
          </cell>
          <cell r="H1413">
            <v>0</v>
          </cell>
          <cell r="I1413">
            <v>0</v>
          </cell>
          <cell r="J1413">
            <v>0</v>
          </cell>
        </row>
        <row r="1414">
          <cell r="B1414" t="str">
            <v>5-4150</v>
          </cell>
          <cell r="C1414" t="str">
            <v>SEKSI PERPUSTAKAAN</v>
          </cell>
          <cell r="D1414">
            <v>0</v>
          </cell>
          <cell r="E1414">
            <v>0</v>
          </cell>
          <cell r="F1414">
            <v>0</v>
          </cell>
          <cell r="G1414">
            <v>0</v>
          </cell>
          <cell r="H1414">
            <v>0</v>
          </cell>
          <cell r="I1414">
            <v>0</v>
          </cell>
          <cell r="J1414">
            <v>0</v>
          </cell>
        </row>
        <row r="1415">
          <cell r="B1415" t="str">
            <v>5-4151</v>
          </cell>
          <cell r="C1415" t="str">
            <v>Stationary</v>
          </cell>
          <cell r="D1415">
            <v>0</v>
          </cell>
          <cell r="E1415">
            <v>0</v>
          </cell>
          <cell r="F1415">
            <v>0</v>
          </cell>
          <cell r="G1415">
            <v>0</v>
          </cell>
          <cell r="H1415">
            <v>0</v>
          </cell>
          <cell r="I1415">
            <v>0</v>
          </cell>
          <cell r="J1415">
            <v>0</v>
          </cell>
        </row>
        <row r="1416">
          <cell r="B1416" t="str">
            <v>5-4152</v>
          </cell>
          <cell r="C1416" t="str">
            <v>Supplies</v>
          </cell>
          <cell r="D1416">
            <v>0</v>
          </cell>
          <cell r="E1416">
            <v>0</v>
          </cell>
          <cell r="F1416">
            <v>0</v>
          </cell>
          <cell r="G1416">
            <v>0</v>
          </cell>
          <cell r="H1416">
            <v>0</v>
          </cell>
          <cell r="I1416">
            <v>0</v>
          </cell>
          <cell r="J1416">
            <v>0</v>
          </cell>
        </row>
        <row r="1417">
          <cell r="B1417" t="str">
            <v>5-4153</v>
          </cell>
          <cell r="C1417" t="str">
            <v>Transportation</v>
          </cell>
          <cell r="D1417">
            <v>0</v>
          </cell>
          <cell r="E1417">
            <v>0</v>
          </cell>
          <cell r="F1417">
            <v>0</v>
          </cell>
          <cell r="G1417">
            <v>0</v>
          </cell>
          <cell r="H1417">
            <v>0</v>
          </cell>
          <cell r="I1417">
            <v>0</v>
          </cell>
          <cell r="J1417">
            <v>0</v>
          </cell>
        </row>
        <row r="1418">
          <cell r="B1418" t="str">
            <v>5-4154</v>
          </cell>
          <cell r="C1418" t="str">
            <v>Prize</v>
          </cell>
          <cell r="D1418">
            <v>0</v>
          </cell>
          <cell r="E1418">
            <v>0</v>
          </cell>
          <cell r="F1418">
            <v>0</v>
          </cell>
          <cell r="G1418">
            <v>0</v>
          </cell>
          <cell r="H1418">
            <v>0</v>
          </cell>
          <cell r="I1418">
            <v>0</v>
          </cell>
          <cell r="J1418">
            <v>0</v>
          </cell>
        </row>
        <row r="1419">
          <cell r="B1419" t="str">
            <v>5-4155</v>
          </cell>
          <cell r="C1419" t="str">
            <v>Consumption</v>
          </cell>
          <cell r="D1419">
            <v>0</v>
          </cell>
          <cell r="E1419">
            <v>0</v>
          </cell>
          <cell r="F1419">
            <v>0</v>
          </cell>
          <cell r="G1419">
            <v>0</v>
          </cell>
          <cell r="H1419">
            <v>0</v>
          </cell>
          <cell r="I1419">
            <v>0</v>
          </cell>
          <cell r="J1419">
            <v>0</v>
          </cell>
        </row>
        <row r="1420">
          <cell r="B1420" t="str">
            <v>5-4156</v>
          </cell>
          <cell r="C1420" t="str">
            <v>Repair &amp; Maintenence</v>
          </cell>
          <cell r="D1420">
            <v>0</v>
          </cell>
          <cell r="E1420">
            <v>0</v>
          </cell>
          <cell r="F1420">
            <v>0</v>
          </cell>
          <cell r="G1420">
            <v>0</v>
          </cell>
          <cell r="H1420">
            <v>0</v>
          </cell>
          <cell r="I1420">
            <v>0</v>
          </cell>
          <cell r="J1420">
            <v>0</v>
          </cell>
        </row>
        <row r="1421">
          <cell r="B1421" t="str">
            <v>5-4159</v>
          </cell>
          <cell r="C1421" t="str">
            <v>Othes</v>
          </cell>
          <cell r="D1421">
            <v>0</v>
          </cell>
          <cell r="E1421">
            <v>0</v>
          </cell>
          <cell r="F1421">
            <v>0</v>
          </cell>
          <cell r="G1421">
            <v>0</v>
          </cell>
          <cell r="H1421">
            <v>0</v>
          </cell>
          <cell r="I1421">
            <v>0</v>
          </cell>
          <cell r="J1421">
            <v>0</v>
          </cell>
        </row>
        <row r="1422">
          <cell r="B1422" t="str">
            <v>5-4160</v>
          </cell>
          <cell r="C1422" t="str">
            <v>SEKSI BAHASA</v>
          </cell>
          <cell r="D1422">
            <v>0</v>
          </cell>
          <cell r="E1422">
            <v>0</v>
          </cell>
          <cell r="F1422">
            <v>0</v>
          </cell>
          <cell r="G1422">
            <v>0</v>
          </cell>
          <cell r="H1422">
            <v>0</v>
          </cell>
          <cell r="I1422">
            <v>0</v>
          </cell>
          <cell r="J1422">
            <v>0</v>
          </cell>
        </row>
        <row r="1423">
          <cell r="B1423" t="str">
            <v>5-4161</v>
          </cell>
          <cell r="C1423" t="str">
            <v>Stationary</v>
          </cell>
          <cell r="D1423">
            <v>0</v>
          </cell>
          <cell r="E1423">
            <v>0</v>
          </cell>
          <cell r="F1423">
            <v>0</v>
          </cell>
          <cell r="G1423">
            <v>0</v>
          </cell>
          <cell r="H1423">
            <v>0</v>
          </cell>
          <cell r="I1423">
            <v>0</v>
          </cell>
          <cell r="J1423">
            <v>0</v>
          </cell>
        </row>
        <row r="1424">
          <cell r="B1424" t="str">
            <v>5-4162</v>
          </cell>
          <cell r="C1424" t="str">
            <v>Supplies</v>
          </cell>
          <cell r="D1424">
            <v>0</v>
          </cell>
          <cell r="E1424">
            <v>0</v>
          </cell>
          <cell r="F1424">
            <v>0</v>
          </cell>
          <cell r="G1424">
            <v>0</v>
          </cell>
          <cell r="H1424">
            <v>0</v>
          </cell>
          <cell r="I1424">
            <v>0</v>
          </cell>
          <cell r="J1424">
            <v>0</v>
          </cell>
        </row>
        <row r="1425">
          <cell r="B1425" t="str">
            <v>5-4163</v>
          </cell>
          <cell r="C1425" t="str">
            <v>Transportation</v>
          </cell>
          <cell r="D1425">
            <v>0</v>
          </cell>
          <cell r="E1425">
            <v>0</v>
          </cell>
          <cell r="F1425">
            <v>0</v>
          </cell>
          <cell r="G1425">
            <v>0</v>
          </cell>
          <cell r="H1425">
            <v>0</v>
          </cell>
          <cell r="I1425">
            <v>0</v>
          </cell>
          <cell r="J1425">
            <v>0</v>
          </cell>
        </row>
        <row r="1426">
          <cell r="B1426" t="str">
            <v>5-4164</v>
          </cell>
          <cell r="C1426" t="str">
            <v>Prize</v>
          </cell>
          <cell r="D1426">
            <v>0</v>
          </cell>
          <cell r="E1426">
            <v>0</v>
          </cell>
          <cell r="F1426">
            <v>0</v>
          </cell>
          <cell r="G1426">
            <v>0</v>
          </cell>
          <cell r="H1426">
            <v>0</v>
          </cell>
          <cell r="I1426">
            <v>0</v>
          </cell>
          <cell r="J1426">
            <v>0</v>
          </cell>
        </row>
        <row r="1427">
          <cell r="B1427" t="str">
            <v>5-4165</v>
          </cell>
          <cell r="C1427" t="str">
            <v>Consumption</v>
          </cell>
          <cell r="D1427">
            <v>0</v>
          </cell>
          <cell r="E1427">
            <v>0</v>
          </cell>
          <cell r="F1427">
            <v>0</v>
          </cell>
          <cell r="G1427">
            <v>0</v>
          </cell>
          <cell r="H1427">
            <v>0</v>
          </cell>
          <cell r="I1427">
            <v>0</v>
          </cell>
          <cell r="J1427">
            <v>0</v>
          </cell>
        </row>
        <row r="1428">
          <cell r="B1428" t="str">
            <v>5-4166</v>
          </cell>
          <cell r="C1428" t="str">
            <v>Repair &amp; Maintenence</v>
          </cell>
          <cell r="D1428">
            <v>0</v>
          </cell>
          <cell r="E1428">
            <v>0</v>
          </cell>
          <cell r="F1428">
            <v>0</v>
          </cell>
          <cell r="G1428">
            <v>0</v>
          </cell>
          <cell r="H1428">
            <v>0</v>
          </cell>
          <cell r="I1428">
            <v>0</v>
          </cell>
          <cell r="J1428">
            <v>0</v>
          </cell>
        </row>
        <row r="1429">
          <cell r="B1429" t="str">
            <v>5-4167</v>
          </cell>
          <cell r="C1429" t="str">
            <v>Consumptions for sick student</v>
          </cell>
          <cell r="D1429">
            <v>0</v>
          </cell>
          <cell r="E1429">
            <v>0</v>
          </cell>
          <cell r="F1429">
            <v>0</v>
          </cell>
          <cell r="G1429">
            <v>0</v>
          </cell>
          <cell r="H1429">
            <v>0</v>
          </cell>
          <cell r="I1429">
            <v>0</v>
          </cell>
          <cell r="J1429">
            <v>0</v>
          </cell>
        </row>
        <row r="1430">
          <cell r="B1430" t="str">
            <v>5-4169</v>
          </cell>
          <cell r="C1430" t="str">
            <v>Othes</v>
          </cell>
          <cell r="D1430">
            <v>0</v>
          </cell>
          <cell r="E1430">
            <v>0</v>
          </cell>
          <cell r="F1430">
            <v>0</v>
          </cell>
          <cell r="G1430">
            <v>0</v>
          </cell>
          <cell r="H1430">
            <v>0</v>
          </cell>
          <cell r="I1430">
            <v>0</v>
          </cell>
          <cell r="J1430">
            <v>0</v>
          </cell>
        </row>
        <row r="1431">
          <cell r="B1431" t="str">
            <v>5-4170</v>
          </cell>
          <cell r="C1431" t="str">
            <v>SEKSI TAMU</v>
          </cell>
          <cell r="D1431">
            <v>0</v>
          </cell>
          <cell r="E1431">
            <v>0</v>
          </cell>
          <cell r="F1431">
            <v>0</v>
          </cell>
          <cell r="G1431">
            <v>0</v>
          </cell>
          <cell r="H1431">
            <v>0</v>
          </cell>
          <cell r="I1431">
            <v>0</v>
          </cell>
          <cell r="J1431">
            <v>0</v>
          </cell>
        </row>
        <row r="1432">
          <cell r="B1432" t="str">
            <v>5-4171</v>
          </cell>
          <cell r="C1432" t="str">
            <v>Stationary</v>
          </cell>
          <cell r="D1432">
            <v>0</v>
          </cell>
          <cell r="E1432">
            <v>0</v>
          </cell>
          <cell r="F1432">
            <v>0</v>
          </cell>
          <cell r="G1432">
            <v>0</v>
          </cell>
          <cell r="H1432">
            <v>0</v>
          </cell>
          <cell r="I1432">
            <v>0</v>
          </cell>
          <cell r="J1432">
            <v>0</v>
          </cell>
        </row>
        <row r="1433">
          <cell r="B1433" t="str">
            <v>5-4172</v>
          </cell>
          <cell r="C1433" t="str">
            <v>Supplies</v>
          </cell>
          <cell r="D1433">
            <v>0</v>
          </cell>
          <cell r="E1433">
            <v>0</v>
          </cell>
          <cell r="F1433">
            <v>0</v>
          </cell>
          <cell r="G1433">
            <v>0</v>
          </cell>
          <cell r="H1433">
            <v>0</v>
          </cell>
          <cell r="I1433">
            <v>0</v>
          </cell>
          <cell r="J1433">
            <v>0</v>
          </cell>
        </row>
        <row r="1434">
          <cell r="B1434" t="str">
            <v>5-4173</v>
          </cell>
          <cell r="C1434" t="str">
            <v>Transportation</v>
          </cell>
          <cell r="D1434">
            <v>0</v>
          </cell>
          <cell r="E1434">
            <v>0</v>
          </cell>
          <cell r="F1434">
            <v>0</v>
          </cell>
          <cell r="G1434">
            <v>0</v>
          </cell>
          <cell r="H1434">
            <v>0</v>
          </cell>
          <cell r="I1434">
            <v>0</v>
          </cell>
          <cell r="J1434">
            <v>0</v>
          </cell>
        </row>
        <row r="1435">
          <cell r="B1435" t="str">
            <v>5-4174</v>
          </cell>
          <cell r="C1435" t="str">
            <v>Prize</v>
          </cell>
          <cell r="D1435">
            <v>0</v>
          </cell>
          <cell r="E1435">
            <v>0</v>
          </cell>
          <cell r="F1435">
            <v>0</v>
          </cell>
          <cell r="G1435">
            <v>0</v>
          </cell>
          <cell r="H1435">
            <v>0</v>
          </cell>
          <cell r="I1435">
            <v>0</v>
          </cell>
          <cell r="J1435">
            <v>0</v>
          </cell>
        </row>
        <row r="1436">
          <cell r="B1436" t="str">
            <v>5-4175</v>
          </cell>
          <cell r="C1436" t="str">
            <v>Consumption</v>
          </cell>
          <cell r="D1436">
            <v>0</v>
          </cell>
          <cell r="E1436">
            <v>0</v>
          </cell>
          <cell r="F1436">
            <v>0</v>
          </cell>
          <cell r="G1436">
            <v>0</v>
          </cell>
          <cell r="H1436">
            <v>0</v>
          </cell>
          <cell r="I1436">
            <v>0</v>
          </cell>
          <cell r="J1436">
            <v>0</v>
          </cell>
        </row>
        <row r="1437">
          <cell r="B1437" t="str">
            <v>5-4176</v>
          </cell>
          <cell r="C1437" t="str">
            <v>Repair &amp; Maintenence</v>
          </cell>
          <cell r="D1437">
            <v>0</v>
          </cell>
          <cell r="E1437">
            <v>0</v>
          </cell>
          <cell r="F1437">
            <v>0</v>
          </cell>
          <cell r="G1437">
            <v>0</v>
          </cell>
          <cell r="H1437">
            <v>0</v>
          </cell>
          <cell r="I1437">
            <v>0</v>
          </cell>
          <cell r="J1437">
            <v>0</v>
          </cell>
        </row>
        <row r="1438">
          <cell r="B1438" t="str">
            <v>5-4179</v>
          </cell>
          <cell r="C1438" t="str">
            <v>Othes</v>
          </cell>
          <cell r="D1438">
            <v>0</v>
          </cell>
          <cell r="E1438">
            <v>0</v>
          </cell>
          <cell r="F1438">
            <v>0</v>
          </cell>
          <cell r="G1438">
            <v>0</v>
          </cell>
          <cell r="H1438">
            <v>0</v>
          </cell>
          <cell r="I1438">
            <v>0</v>
          </cell>
          <cell r="J1438">
            <v>0</v>
          </cell>
        </row>
        <row r="1439">
          <cell r="B1439" t="str">
            <v>5-4180</v>
          </cell>
          <cell r="C1439" t="str">
            <v>SEKSI OLAH RAGA</v>
          </cell>
          <cell r="D1439">
            <v>0</v>
          </cell>
          <cell r="E1439">
            <v>0</v>
          </cell>
          <cell r="F1439">
            <v>0</v>
          </cell>
          <cell r="G1439">
            <v>0</v>
          </cell>
          <cell r="H1439">
            <v>0</v>
          </cell>
          <cell r="I1439">
            <v>0</v>
          </cell>
          <cell r="J1439">
            <v>0</v>
          </cell>
        </row>
        <row r="1440">
          <cell r="B1440" t="str">
            <v>5-4181</v>
          </cell>
          <cell r="C1440" t="str">
            <v>Stationary</v>
          </cell>
          <cell r="D1440">
            <v>0</v>
          </cell>
          <cell r="E1440">
            <v>0</v>
          </cell>
          <cell r="F1440">
            <v>0</v>
          </cell>
          <cell r="G1440">
            <v>0</v>
          </cell>
          <cell r="H1440">
            <v>0</v>
          </cell>
          <cell r="I1440">
            <v>0</v>
          </cell>
          <cell r="J1440">
            <v>0</v>
          </cell>
        </row>
        <row r="1441">
          <cell r="B1441" t="str">
            <v>5-4182</v>
          </cell>
          <cell r="C1441" t="str">
            <v>Supplies</v>
          </cell>
          <cell r="D1441">
            <v>0</v>
          </cell>
          <cell r="E1441">
            <v>0</v>
          </cell>
          <cell r="F1441">
            <v>0</v>
          </cell>
          <cell r="G1441">
            <v>0</v>
          </cell>
          <cell r="H1441">
            <v>0</v>
          </cell>
          <cell r="I1441">
            <v>0</v>
          </cell>
          <cell r="J1441">
            <v>0</v>
          </cell>
        </row>
        <row r="1442">
          <cell r="B1442" t="str">
            <v>5-4183</v>
          </cell>
          <cell r="C1442" t="str">
            <v>Transportation</v>
          </cell>
          <cell r="D1442">
            <v>0</v>
          </cell>
          <cell r="E1442">
            <v>0</v>
          </cell>
          <cell r="F1442">
            <v>0</v>
          </cell>
          <cell r="G1442">
            <v>0</v>
          </cell>
          <cell r="H1442">
            <v>0</v>
          </cell>
          <cell r="I1442">
            <v>0</v>
          </cell>
          <cell r="J1442">
            <v>0</v>
          </cell>
        </row>
        <row r="1443">
          <cell r="B1443" t="str">
            <v>5-4184</v>
          </cell>
          <cell r="C1443" t="str">
            <v>Prize</v>
          </cell>
          <cell r="D1443">
            <v>0</v>
          </cell>
          <cell r="E1443">
            <v>0</v>
          </cell>
          <cell r="F1443">
            <v>0</v>
          </cell>
          <cell r="G1443">
            <v>0</v>
          </cell>
          <cell r="H1443">
            <v>0</v>
          </cell>
          <cell r="I1443">
            <v>0</v>
          </cell>
          <cell r="J1443">
            <v>0</v>
          </cell>
        </row>
        <row r="1444">
          <cell r="B1444" t="str">
            <v>5-4185</v>
          </cell>
          <cell r="C1444" t="str">
            <v>Consumption</v>
          </cell>
          <cell r="D1444">
            <v>0</v>
          </cell>
          <cell r="E1444">
            <v>0</v>
          </cell>
          <cell r="F1444">
            <v>0</v>
          </cell>
          <cell r="G1444">
            <v>0</v>
          </cell>
          <cell r="H1444">
            <v>0</v>
          </cell>
          <cell r="I1444">
            <v>0</v>
          </cell>
          <cell r="J1444">
            <v>0</v>
          </cell>
        </row>
        <row r="1445">
          <cell r="B1445" t="str">
            <v>5-4186</v>
          </cell>
          <cell r="C1445" t="str">
            <v>Repair &amp; Maintenence</v>
          </cell>
          <cell r="D1445">
            <v>0</v>
          </cell>
          <cell r="E1445">
            <v>0</v>
          </cell>
          <cell r="F1445">
            <v>0</v>
          </cell>
          <cell r="G1445">
            <v>0</v>
          </cell>
          <cell r="H1445">
            <v>0</v>
          </cell>
          <cell r="I1445">
            <v>0</v>
          </cell>
          <cell r="J1445">
            <v>0</v>
          </cell>
        </row>
        <row r="1446">
          <cell r="B1446" t="str">
            <v>5-4189</v>
          </cell>
          <cell r="C1446" t="str">
            <v>Othes</v>
          </cell>
          <cell r="D1446">
            <v>0</v>
          </cell>
          <cell r="E1446">
            <v>0</v>
          </cell>
          <cell r="F1446">
            <v>0</v>
          </cell>
          <cell r="G1446">
            <v>0</v>
          </cell>
          <cell r="H1446">
            <v>0</v>
          </cell>
          <cell r="I1446">
            <v>0</v>
          </cell>
          <cell r="J1446">
            <v>0</v>
          </cell>
        </row>
        <row r="1447">
          <cell r="B1447" t="str">
            <v>5-4190</v>
          </cell>
          <cell r="C1447" t="str">
            <v>SEKSI MADING</v>
          </cell>
          <cell r="D1447">
            <v>0</v>
          </cell>
          <cell r="E1447">
            <v>0</v>
          </cell>
          <cell r="F1447">
            <v>0</v>
          </cell>
          <cell r="G1447">
            <v>0</v>
          </cell>
          <cell r="H1447">
            <v>0</v>
          </cell>
          <cell r="I1447">
            <v>0</v>
          </cell>
          <cell r="J1447">
            <v>0</v>
          </cell>
        </row>
        <row r="1448">
          <cell r="B1448" t="str">
            <v>5-4191</v>
          </cell>
          <cell r="C1448" t="str">
            <v>Stationary</v>
          </cell>
          <cell r="D1448">
            <v>0</v>
          </cell>
          <cell r="E1448">
            <v>0</v>
          </cell>
          <cell r="F1448">
            <v>0</v>
          </cell>
          <cell r="G1448">
            <v>0</v>
          </cell>
          <cell r="H1448">
            <v>0</v>
          </cell>
          <cell r="I1448">
            <v>0</v>
          </cell>
          <cell r="J1448">
            <v>0</v>
          </cell>
        </row>
        <row r="1449">
          <cell r="B1449" t="str">
            <v>5-4192</v>
          </cell>
          <cell r="C1449" t="str">
            <v>Supplies</v>
          </cell>
          <cell r="D1449">
            <v>0</v>
          </cell>
          <cell r="E1449">
            <v>0</v>
          </cell>
          <cell r="F1449">
            <v>0</v>
          </cell>
          <cell r="G1449">
            <v>0</v>
          </cell>
          <cell r="H1449">
            <v>0</v>
          </cell>
          <cell r="I1449">
            <v>0</v>
          </cell>
          <cell r="J1449">
            <v>0</v>
          </cell>
        </row>
        <row r="1450">
          <cell r="B1450" t="str">
            <v>5-4193</v>
          </cell>
          <cell r="C1450" t="str">
            <v>Transportation</v>
          </cell>
          <cell r="D1450">
            <v>0</v>
          </cell>
          <cell r="E1450">
            <v>0</v>
          </cell>
          <cell r="F1450">
            <v>0</v>
          </cell>
          <cell r="G1450">
            <v>0</v>
          </cell>
          <cell r="H1450">
            <v>0</v>
          </cell>
          <cell r="I1450">
            <v>0</v>
          </cell>
          <cell r="J1450">
            <v>0</v>
          </cell>
        </row>
        <row r="1451">
          <cell r="B1451" t="str">
            <v>5-4194</v>
          </cell>
          <cell r="C1451" t="str">
            <v>Prize</v>
          </cell>
          <cell r="D1451">
            <v>0</v>
          </cell>
          <cell r="E1451">
            <v>0</v>
          </cell>
          <cell r="F1451">
            <v>0</v>
          </cell>
          <cell r="G1451">
            <v>0</v>
          </cell>
          <cell r="H1451">
            <v>0</v>
          </cell>
          <cell r="I1451">
            <v>0</v>
          </cell>
          <cell r="J1451">
            <v>0</v>
          </cell>
        </row>
        <row r="1452">
          <cell r="B1452" t="str">
            <v>5-4195</v>
          </cell>
          <cell r="C1452" t="str">
            <v>Consumption</v>
          </cell>
          <cell r="D1452">
            <v>0</v>
          </cell>
          <cell r="E1452">
            <v>0</v>
          </cell>
          <cell r="F1452">
            <v>0</v>
          </cell>
          <cell r="G1452">
            <v>0</v>
          </cell>
          <cell r="H1452">
            <v>0</v>
          </cell>
          <cell r="I1452">
            <v>0</v>
          </cell>
          <cell r="J1452">
            <v>0</v>
          </cell>
        </row>
        <row r="1453">
          <cell r="B1453" t="str">
            <v>5-4196</v>
          </cell>
          <cell r="C1453" t="str">
            <v>Repair &amp; Maintenence</v>
          </cell>
          <cell r="D1453">
            <v>0</v>
          </cell>
          <cell r="E1453">
            <v>0</v>
          </cell>
          <cell r="F1453">
            <v>0</v>
          </cell>
          <cell r="G1453">
            <v>0</v>
          </cell>
          <cell r="H1453">
            <v>0</v>
          </cell>
          <cell r="I1453">
            <v>0</v>
          </cell>
          <cell r="J1453">
            <v>0</v>
          </cell>
        </row>
        <row r="1454">
          <cell r="B1454" t="str">
            <v>5-4199</v>
          </cell>
          <cell r="C1454" t="str">
            <v>Othes</v>
          </cell>
          <cell r="D1454">
            <v>0</v>
          </cell>
          <cell r="E1454">
            <v>0</v>
          </cell>
          <cell r="F1454">
            <v>0</v>
          </cell>
          <cell r="G1454">
            <v>0</v>
          </cell>
          <cell r="H1454">
            <v>0</v>
          </cell>
          <cell r="I1454">
            <v>0</v>
          </cell>
          <cell r="J1454">
            <v>0</v>
          </cell>
        </row>
        <row r="1455">
          <cell r="B1455" t="str">
            <v>5-4210</v>
          </cell>
          <cell r="C1455" t="str">
            <v>TIM INTI</v>
          </cell>
          <cell r="D1455">
            <v>0</v>
          </cell>
          <cell r="E1455">
            <v>0</v>
          </cell>
          <cell r="F1455">
            <v>0</v>
          </cell>
          <cell r="G1455">
            <v>0</v>
          </cell>
          <cell r="H1455">
            <v>0</v>
          </cell>
          <cell r="I1455">
            <v>0</v>
          </cell>
          <cell r="J1455">
            <v>0</v>
          </cell>
        </row>
        <row r="1456">
          <cell r="B1456" t="str">
            <v>5-4211</v>
          </cell>
          <cell r="C1456" t="str">
            <v>Stationary</v>
          </cell>
          <cell r="D1456">
            <v>0</v>
          </cell>
          <cell r="E1456">
            <v>0</v>
          </cell>
          <cell r="F1456">
            <v>0</v>
          </cell>
          <cell r="G1456">
            <v>0</v>
          </cell>
          <cell r="H1456">
            <v>0</v>
          </cell>
          <cell r="I1456">
            <v>0</v>
          </cell>
          <cell r="J1456">
            <v>0</v>
          </cell>
        </row>
        <row r="1457">
          <cell r="B1457" t="str">
            <v>5-4212</v>
          </cell>
          <cell r="C1457" t="str">
            <v>Fotocopy &amp; Printing</v>
          </cell>
          <cell r="D1457">
            <v>0</v>
          </cell>
          <cell r="E1457">
            <v>0</v>
          </cell>
          <cell r="F1457">
            <v>0</v>
          </cell>
          <cell r="G1457">
            <v>0</v>
          </cell>
          <cell r="H1457">
            <v>0</v>
          </cell>
          <cell r="I1457">
            <v>0</v>
          </cell>
          <cell r="J1457">
            <v>0</v>
          </cell>
        </row>
        <row r="1458">
          <cell r="B1458" t="str">
            <v>5-4213</v>
          </cell>
          <cell r="C1458" t="str">
            <v>Office Supplies</v>
          </cell>
          <cell r="D1458">
            <v>0</v>
          </cell>
          <cell r="E1458">
            <v>0</v>
          </cell>
          <cell r="F1458">
            <v>0</v>
          </cell>
          <cell r="G1458">
            <v>0</v>
          </cell>
          <cell r="H1458">
            <v>0</v>
          </cell>
          <cell r="I1458">
            <v>0</v>
          </cell>
          <cell r="J1458">
            <v>0</v>
          </cell>
        </row>
        <row r="1459">
          <cell r="B1459" t="str">
            <v>5-4214</v>
          </cell>
          <cell r="C1459" t="str">
            <v>Transportation</v>
          </cell>
          <cell r="D1459">
            <v>0</v>
          </cell>
          <cell r="E1459">
            <v>0</v>
          </cell>
          <cell r="F1459">
            <v>0</v>
          </cell>
          <cell r="G1459">
            <v>0</v>
          </cell>
          <cell r="H1459">
            <v>0</v>
          </cell>
          <cell r="I1459">
            <v>0</v>
          </cell>
          <cell r="J1459">
            <v>0</v>
          </cell>
        </row>
        <row r="1460">
          <cell r="B1460" t="str">
            <v>5-4215</v>
          </cell>
          <cell r="C1460" t="str">
            <v>Pos &amp; Telecomunication</v>
          </cell>
          <cell r="D1460">
            <v>0</v>
          </cell>
          <cell r="E1460">
            <v>0</v>
          </cell>
          <cell r="F1460">
            <v>0</v>
          </cell>
          <cell r="G1460">
            <v>0</v>
          </cell>
          <cell r="H1460">
            <v>0</v>
          </cell>
          <cell r="I1460">
            <v>0</v>
          </cell>
          <cell r="J1460">
            <v>0</v>
          </cell>
        </row>
        <row r="1461">
          <cell r="B1461" t="str">
            <v>5-4216</v>
          </cell>
          <cell r="C1461" t="str">
            <v>Transportation</v>
          </cell>
          <cell r="D1461">
            <v>0</v>
          </cell>
          <cell r="E1461">
            <v>0</v>
          </cell>
          <cell r="F1461">
            <v>0</v>
          </cell>
          <cell r="G1461">
            <v>0</v>
          </cell>
          <cell r="H1461">
            <v>0</v>
          </cell>
          <cell r="I1461">
            <v>0</v>
          </cell>
          <cell r="J1461">
            <v>0</v>
          </cell>
        </row>
        <row r="1462">
          <cell r="B1462" t="str">
            <v>5-4217</v>
          </cell>
          <cell r="C1462" t="str">
            <v>Consumption</v>
          </cell>
          <cell r="D1462">
            <v>0</v>
          </cell>
          <cell r="E1462">
            <v>0</v>
          </cell>
          <cell r="F1462">
            <v>0</v>
          </cell>
          <cell r="G1462">
            <v>0</v>
          </cell>
          <cell r="H1462">
            <v>0</v>
          </cell>
          <cell r="I1462">
            <v>0</v>
          </cell>
          <cell r="J1462">
            <v>0</v>
          </cell>
        </row>
        <row r="1463">
          <cell r="B1463" t="str">
            <v>5-4218</v>
          </cell>
          <cell r="C1463" t="str">
            <v>Repair &amp; Maintenence</v>
          </cell>
          <cell r="D1463">
            <v>0</v>
          </cell>
          <cell r="E1463">
            <v>0</v>
          </cell>
          <cell r="F1463">
            <v>0</v>
          </cell>
          <cell r="G1463">
            <v>0</v>
          </cell>
          <cell r="H1463">
            <v>0</v>
          </cell>
          <cell r="I1463">
            <v>0</v>
          </cell>
          <cell r="J1463">
            <v>0</v>
          </cell>
        </row>
        <row r="1464">
          <cell r="B1464" t="str">
            <v>5-4219</v>
          </cell>
          <cell r="C1464" t="str">
            <v>Others</v>
          </cell>
          <cell r="D1464">
            <v>0</v>
          </cell>
          <cell r="E1464">
            <v>0</v>
          </cell>
          <cell r="F1464">
            <v>0</v>
          </cell>
          <cell r="G1464">
            <v>0</v>
          </cell>
          <cell r="H1464">
            <v>0</v>
          </cell>
          <cell r="I1464">
            <v>0</v>
          </cell>
          <cell r="J1464">
            <v>0</v>
          </cell>
        </row>
        <row r="1465">
          <cell r="B1465" t="str">
            <v>5-4220</v>
          </cell>
          <cell r="C1465" t="str">
            <v>SEKSI IBADAH</v>
          </cell>
          <cell r="D1465">
            <v>0</v>
          </cell>
          <cell r="E1465">
            <v>0</v>
          </cell>
          <cell r="F1465">
            <v>0</v>
          </cell>
          <cell r="G1465">
            <v>0</v>
          </cell>
          <cell r="H1465">
            <v>0</v>
          </cell>
          <cell r="I1465">
            <v>0</v>
          </cell>
          <cell r="J1465">
            <v>0</v>
          </cell>
        </row>
        <row r="1466">
          <cell r="B1466" t="str">
            <v>5-4221</v>
          </cell>
          <cell r="C1466" t="str">
            <v>Stationary</v>
          </cell>
          <cell r="D1466">
            <v>0</v>
          </cell>
          <cell r="E1466">
            <v>0</v>
          </cell>
          <cell r="F1466">
            <v>0</v>
          </cell>
          <cell r="G1466">
            <v>0</v>
          </cell>
          <cell r="H1466">
            <v>0</v>
          </cell>
          <cell r="I1466">
            <v>0</v>
          </cell>
          <cell r="J1466">
            <v>0</v>
          </cell>
        </row>
        <row r="1467">
          <cell r="B1467" t="str">
            <v>5-4222</v>
          </cell>
          <cell r="C1467" t="str">
            <v>Supplies</v>
          </cell>
          <cell r="D1467">
            <v>0</v>
          </cell>
          <cell r="E1467">
            <v>0</v>
          </cell>
          <cell r="F1467">
            <v>0</v>
          </cell>
          <cell r="G1467">
            <v>0</v>
          </cell>
          <cell r="H1467">
            <v>0</v>
          </cell>
          <cell r="I1467">
            <v>0</v>
          </cell>
          <cell r="J1467">
            <v>0</v>
          </cell>
        </row>
        <row r="1468">
          <cell r="B1468" t="str">
            <v>5-4223</v>
          </cell>
          <cell r="C1468" t="str">
            <v>Transportation</v>
          </cell>
          <cell r="D1468">
            <v>0</v>
          </cell>
          <cell r="E1468">
            <v>0</v>
          </cell>
          <cell r="F1468">
            <v>0</v>
          </cell>
          <cell r="G1468">
            <v>0</v>
          </cell>
          <cell r="H1468">
            <v>0</v>
          </cell>
          <cell r="I1468">
            <v>0</v>
          </cell>
          <cell r="J1468">
            <v>0</v>
          </cell>
        </row>
        <row r="1469">
          <cell r="B1469" t="str">
            <v>5-4224</v>
          </cell>
          <cell r="C1469" t="str">
            <v>Prize</v>
          </cell>
          <cell r="D1469">
            <v>0</v>
          </cell>
          <cell r="E1469">
            <v>0</v>
          </cell>
          <cell r="F1469">
            <v>0</v>
          </cell>
          <cell r="G1469">
            <v>0</v>
          </cell>
          <cell r="H1469">
            <v>0</v>
          </cell>
          <cell r="I1469">
            <v>0</v>
          </cell>
          <cell r="J1469">
            <v>0</v>
          </cell>
        </row>
        <row r="1470">
          <cell r="B1470" t="str">
            <v>5-4225</v>
          </cell>
          <cell r="C1470" t="str">
            <v>Consumption</v>
          </cell>
          <cell r="D1470">
            <v>0</v>
          </cell>
          <cell r="E1470">
            <v>0</v>
          </cell>
          <cell r="F1470">
            <v>0</v>
          </cell>
          <cell r="G1470">
            <v>0</v>
          </cell>
          <cell r="H1470">
            <v>0</v>
          </cell>
          <cell r="I1470">
            <v>0</v>
          </cell>
          <cell r="J1470">
            <v>0</v>
          </cell>
        </row>
        <row r="1471">
          <cell r="B1471" t="str">
            <v>5-4226</v>
          </cell>
          <cell r="C1471" t="str">
            <v>Repair &amp; Maintenence</v>
          </cell>
          <cell r="D1471">
            <v>0</v>
          </cell>
          <cell r="E1471">
            <v>0</v>
          </cell>
          <cell r="F1471">
            <v>0</v>
          </cell>
          <cell r="G1471">
            <v>0</v>
          </cell>
          <cell r="H1471">
            <v>0</v>
          </cell>
          <cell r="I1471">
            <v>0</v>
          </cell>
          <cell r="J1471">
            <v>0</v>
          </cell>
        </row>
        <row r="1472">
          <cell r="B1472" t="str">
            <v>5-4229</v>
          </cell>
          <cell r="C1472" t="str">
            <v>Othes</v>
          </cell>
          <cell r="D1472">
            <v>0</v>
          </cell>
          <cell r="E1472">
            <v>0</v>
          </cell>
          <cell r="F1472">
            <v>0</v>
          </cell>
          <cell r="G1472">
            <v>0</v>
          </cell>
          <cell r="H1472">
            <v>0</v>
          </cell>
          <cell r="I1472">
            <v>0</v>
          </cell>
          <cell r="J1472">
            <v>0</v>
          </cell>
        </row>
        <row r="1473">
          <cell r="B1473" t="str">
            <v>5-4230</v>
          </cell>
          <cell r="C1473" t="str">
            <v>SEKSI KEAMANAN</v>
          </cell>
          <cell r="D1473">
            <v>0</v>
          </cell>
          <cell r="E1473">
            <v>0</v>
          </cell>
          <cell r="F1473">
            <v>0</v>
          </cell>
          <cell r="G1473">
            <v>0</v>
          </cell>
          <cell r="H1473">
            <v>0</v>
          </cell>
          <cell r="I1473">
            <v>0</v>
          </cell>
          <cell r="J1473">
            <v>0</v>
          </cell>
        </row>
        <row r="1474">
          <cell r="B1474" t="str">
            <v>5-4231</v>
          </cell>
          <cell r="C1474" t="str">
            <v>Stationary</v>
          </cell>
          <cell r="D1474">
            <v>0</v>
          </cell>
          <cell r="E1474">
            <v>0</v>
          </cell>
          <cell r="F1474">
            <v>3600650</v>
          </cell>
          <cell r="G1474">
            <v>0</v>
          </cell>
          <cell r="H1474">
            <v>3600650</v>
          </cell>
          <cell r="I1474">
            <v>3600650</v>
          </cell>
          <cell r="J1474">
            <v>0</v>
          </cell>
        </row>
        <row r="1475">
          <cell r="B1475" t="str">
            <v>5-4232</v>
          </cell>
          <cell r="C1475" t="str">
            <v>Supplies</v>
          </cell>
          <cell r="D1475">
            <v>0</v>
          </cell>
          <cell r="E1475">
            <v>0</v>
          </cell>
          <cell r="F1475">
            <v>617200</v>
          </cell>
          <cell r="G1475">
            <v>0</v>
          </cell>
          <cell r="H1475">
            <v>617200</v>
          </cell>
          <cell r="I1475">
            <v>617200</v>
          </cell>
          <cell r="J1475">
            <v>0</v>
          </cell>
        </row>
        <row r="1476">
          <cell r="B1476" t="str">
            <v>5-4233</v>
          </cell>
          <cell r="C1476" t="str">
            <v>Transportation</v>
          </cell>
          <cell r="D1476">
            <v>0</v>
          </cell>
          <cell r="E1476">
            <v>0</v>
          </cell>
          <cell r="F1476">
            <v>0</v>
          </cell>
          <cell r="G1476">
            <v>0</v>
          </cell>
          <cell r="H1476">
            <v>0</v>
          </cell>
          <cell r="I1476">
            <v>0</v>
          </cell>
          <cell r="J1476">
            <v>0</v>
          </cell>
        </row>
        <row r="1477">
          <cell r="B1477" t="str">
            <v>5-4234</v>
          </cell>
          <cell r="C1477" t="str">
            <v>Prize</v>
          </cell>
          <cell r="D1477">
            <v>0</v>
          </cell>
          <cell r="E1477">
            <v>0</v>
          </cell>
          <cell r="F1477">
            <v>4965550</v>
          </cell>
          <cell r="G1477">
            <v>0</v>
          </cell>
          <cell r="H1477">
            <v>4965550</v>
          </cell>
          <cell r="I1477">
            <v>4965550</v>
          </cell>
          <cell r="J1477">
            <v>0</v>
          </cell>
        </row>
        <row r="1478">
          <cell r="B1478" t="str">
            <v>5-4235</v>
          </cell>
          <cell r="C1478" t="str">
            <v>Consumption</v>
          </cell>
          <cell r="D1478">
            <v>0</v>
          </cell>
          <cell r="E1478">
            <v>0</v>
          </cell>
          <cell r="F1478">
            <v>3064400</v>
          </cell>
          <cell r="G1478">
            <v>0</v>
          </cell>
          <cell r="H1478">
            <v>3064400</v>
          </cell>
          <cell r="I1478">
            <v>3064400</v>
          </cell>
          <cell r="J1478">
            <v>0</v>
          </cell>
        </row>
        <row r="1479">
          <cell r="B1479" t="str">
            <v>5-4236</v>
          </cell>
          <cell r="C1479" t="str">
            <v>Repair &amp; Maintenence</v>
          </cell>
          <cell r="D1479">
            <v>0</v>
          </cell>
          <cell r="E1479">
            <v>0</v>
          </cell>
          <cell r="F1479">
            <v>0</v>
          </cell>
          <cell r="G1479">
            <v>0</v>
          </cell>
          <cell r="H1479">
            <v>0</v>
          </cell>
          <cell r="I1479">
            <v>0</v>
          </cell>
          <cell r="J1479">
            <v>0</v>
          </cell>
        </row>
        <row r="1480">
          <cell r="B1480" t="str">
            <v>5-4239</v>
          </cell>
          <cell r="C1480" t="str">
            <v>Othes</v>
          </cell>
          <cell r="D1480">
            <v>0</v>
          </cell>
          <cell r="E1480">
            <v>0</v>
          </cell>
          <cell r="F1480">
            <v>0</v>
          </cell>
          <cell r="G1480">
            <v>0</v>
          </cell>
          <cell r="H1480">
            <v>0</v>
          </cell>
          <cell r="I1480">
            <v>0</v>
          </cell>
          <cell r="J1480">
            <v>0</v>
          </cell>
        </row>
        <row r="1481">
          <cell r="B1481" t="str">
            <v>5-4240</v>
          </cell>
          <cell r="C1481" t="str">
            <v>SEKSI KEBERSIHAN &amp; KESEHATAN</v>
          </cell>
          <cell r="D1481">
            <v>0</v>
          </cell>
          <cell r="E1481">
            <v>0</v>
          </cell>
          <cell r="F1481">
            <v>0</v>
          </cell>
          <cell r="G1481">
            <v>0</v>
          </cell>
          <cell r="H1481">
            <v>0</v>
          </cell>
          <cell r="I1481">
            <v>0</v>
          </cell>
          <cell r="J1481">
            <v>0</v>
          </cell>
        </row>
        <row r="1482">
          <cell r="B1482" t="str">
            <v>5-4241</v>
          </cell>
          <cell r="C1482" t="str">
            <v>Stationary</v>
          </cell>
          <cell r="D1482">
            <v>0</v>
          </cell>
          <cell r="E1482">
            <v>0</v>
          </cell>
          <cell r="F1482">
            <v>0</v>
          </cell>
          <cell r="G1482">
            <v>0</v>
          </cell>
          <cell r="H1482">
            <v>0</v>
          </cell>
          <cell r="I1482">
            <v>0</v>
          </cell>
          <cell r="J1482">
            <v>0</v>
          </cell>
        </row>
        <row r="1483">
          <cell r="B1483" t="str">
            <v>5-4242</v>
          </cell>
          <cell r="C1483" t="str">
            <v>Supplies</v>
          </cell>
          <cell r="D1483">
            <v>0</v>
          </cell>
          <cell r="E1483">
            <v>0</v>
          </cell>
          <cell r="F1483">
            <v>0</v>
          </cell>
          <cell r="G1483">
            <v>0</v>
          </cell>
          <cell r="H1483">
            <v>0</v>
          </cell>
          <cell r="I1483">
            <v>0</v>
          </cell>
          <cell r="J1483">
            <v>0</v>
          </cell>
        </row>
        <row r="1484">
          <cell r="B1484" t="str">
            <v>5-4243</v>
          </cell>
          <cell r="C1484" t="str">
            <v>Transportation</v>
          </cell>
          <cell r="D1484">
            <v>0</v>
          </cell>
          <cell r="E1484">
            <v>0</v>
          </cell>
          <cell r="F1484">
            <v>0</v>
          </cell>
          <cell r="G1484">
            <v>0</v>
          </cell>
          <cell r="H1484">
            <v>0</v>
          </cell>
          <cell r="I1484">
            <v>0</v>
          </cell>
          <cell r="J1484">
            <v>0</v>
          </cell>
        </row>
        <row r="1485">
          <cell r="B1485" t="str">
            <v>5-4244</v>
          </cell>
          <cell r="C1485" t="str">
            <v>Prize</v>
          </cell>
          <cell r="D1485">
            <v>0</v>
          </cell>
          <cell r="E1485">
            <v>0</v>
          </cell>
          <cell r="F1485">
            <v>0</v>
          </cell>
          <cell r="G1485">
            <v>0</v>
          </cell>
          <cell r="H1485">
            <v>0</v>
          </cell>
          <cell r="I1485">
            <v>0</v>
          </cell>
          <cell r="J1485">
            <v>0</v>
          </cell>
        </row>
        <row r="1486">
          <cell r="B1486" t="str">
            <v>5-4245</v>
          </cell>
          <cell r="C1486" t="str">
            <v>Consumption</v>
          </cell>
          <cell r="D1486">
            <v>0</v>
          </cell>
          <cell r="E1486">
            <v>0</v>
          </cell>
          <cell r="F1486">
            <v>0</v>
          </cell>
          <cell r="G1486">
            <v>0</v>
          </cell>
          <cell r="H1486">
            <v>0</v>
          </cell>
          <cell r="I1486">
            <v>0</v>
          </cell>
          <cell r="J1486">
            <v>0</v>
          </cell>
        </row>
        <row r="1487">
          <cell r="B1487" t="str">
            <v>5-4246</v>
          </cell>
          <cell r="C1487" t="str">
            <v>Repair &amp; Maintenence</v>
          </cell>
          <cell r="D1487">
            <v>0</v>
          </cell>
          <cell r="E1487">
            <v>0</v>
          </cell>
          <cell r="F1487">
            <v>0</v>
          </cell>
          <cell r="G1487">
            <v>0</v>
          </cell>
          <cell r="H1487">
            <v>0</v>
          </cell>
          <cell r="I1487">
            <v>0</v>
          </cell>
          <cell r="J1487">
            <v>0</v>
          </cell>
        </row>
        <row r="1488">
          <cell r="B1488" t="str">
            <v>5-4249</v>
          </cell>
          <cell r="C1488" t="str">
            <v>Othes</v>
          </cell>
          <cell r="D1488">
            <v>0</v>
          </cell>
          <cell r="E1488">
            <v>0</v>
          </cell>
          <cell r="F1488">
            <v>0</v>
          </cell>
          <cell r="G1488">
            <v>0</v>
          </cell>
          <cell r="H1488">
            <v>0</v>
          </cell>
          <cell r="I1488">
            <v>0</v>
          </cell>
          <cell r="J1488">
            <v>0</v>
          </cell>
        </row>
        <row r="1489">
          <cell r="B1489" t="str">
            <v>5-4250</v>
          </cell>
          <cell r="C1489" t="str">
            <v>SEKSI PERPUSTAKAAN</v>
          </cell>
          <cell r="D1489">
            <v>0</v>
          </cell>
          <cell r="E1489">
            <v>0</v>
          </cell>
          <cell r="F1489">
            <v>0</v>
          </cell>
          <cell r="G1489">
            <v>0</v>
          </cell>
          <cell r="H1489">
            <v>0</v>
          </cell>
          <cell r="I1489">
            <v>0</v>
          </cell>
          <cell r="J1489">
            <v>0</v>
          </cell>
        </row>
        <row r="1490">
          <cell r="B1490" t="str">
            <v>5-4251</v>
          </cell>
          <cell r="C1490" t="str">
            <v>Stationary</v>
          </cell>
          <cell r="D1490">
            <v>0</v>
          </cell>
          <cell r="E1490">
            <v>0</v>
          </cell>
          <cell r="F1490">
            <v>0</v>
          </cell>
          <cell r="G1490">
            <v>0</v>
          </cell>
          <cell r="H1490">
            <v>0</v>
          </cell>
          <cell r="I1490">
            <v>0</v>
          </cell>
          <cell r="J1490">
            <v>0</v>
          </cell>
        </row>
        <row r="1491">
          <cell r="B1491" t="str">
            <v>5-4252</v>
          </cell>
          <cell r="C1491" t="str">
            <v>Supplies</v>
          </cell>
          <cell r="D1491">
            <v>0</v>
          </cell>
          <cell r="E1491">
            <v>0</v>
          </cell>
          <cell r="F1491">
            <v>0</v>
          </cell>
          <cell r="G1491">
            <v>0</v>
          </cell>
          <cell r="H1491">
            <v>0</v>
          </cell>
          <cell r="I1491">
            <v>0</v>
          </cell>
          <cell r="J1491">
            <v>0</v>
          </cell>
        </row>
        <row r="1492">
          <cell r="B1492" t="str">
            <v>5-4253</v>
          </cell>
          <cell r="C1492" t="str">
            <v>Transportation</v>
          </cell>
          <cell r="D1492">
            <v>0</v>
          </cell>
          <cell r="E1492">
            <v>0</v>
          </cell>
          <cell r="F1492">
            <v>0</v>
          </cell>
          <cell r="G1492">
            <v>0</v>
          </cell>
          <cell r="H1492">
            <v>0</v>
          </cell>
          <cell r="I1492">
            <v>0</v>
          </cell>
          <cell r="J1492">
            <v>0</v>
          </cell>
        </row>
        <row r="1493">
          <cell r="B1493" t="str">
            <v>5-4254</v>
          </cell>
          <cell r="C1493" t="str">
            <v>Prize</v>
          </cell>
          <cell r="D1493">
            <v>0</v>
          </cell>
          <cell r="E1493">
            <v>0</v>
          </cell>
          <cell r="F1493">
            <v>0</v>
          </cell>
          <cell r="G1493">
            <v>0</v>
          </cell>
          <cell r="H1493">
            <v>0</v>
          </cell>
          <cell r="I1493">
            <v>0</v>
          </cell>
          <cell r="J1493">
            <v>0</v>
          </cell>
        </row>
        <row r="1494">
          <cell r="B1494" t="str">
            <v>5-4255</v>
          </cell>
          <cell r="C1494" t="str">
            <v>Consumption</v>
          </cell>
          <cell r="D1494">
            <v>0</v>
          </cell>
          <cell r="E1494">
            <v>0</v>
          </cell>
          <cell r="F1494">
            <v>0</v>
          </cell>
          <cell r="G1494">
            <v>0</v>
          </cell>
          <cell r="H1494">
            <v>0</v>
          </cell>
          <cell r="I1494">
            <v>0</v>
          </cell>
          <cell r="J1494">
            <v>0</v>
          </cell>
        </row>
        <row r="1495">
          <cell r="B1495" t="str">
            <v>5-4256</v>
          </cell>
          <cell r="C1495" t="str">
            <v>Repair &amp; Maintenence</v>
          </cell>
          <cell r="D1495">
            <v>0</v>
          </cell>
          <cell r="E1495">
            <v>0</v>
          </cell>
          <cell r="F1495">
            <v>0</v>
          </cell>
          <cell r="G1495">
            <v>0</v>
          </cell>
          <cell r="H1495">
            <v>0</v>
          </cell>
          <cell r="I1495">
            <v>0</v>
          </cell>
          <cell r="J1495">
            <v>0</v>
          </cell>
        </row>
        <row r="1496">
          <cell r="B1496" t="str">
            <v>5-4259</v>
          </cell>
          <cell r="C1496" t="str">
            <v>Othes</v>
          </cell>
          <cell r="D1496">
            <v>0</v>
          </cell>
          <cell r="E1496">
            <v>0</v>
          </cell>
          <cell r="F1496">
            <v>0</v>
          </cell>
          <cell r="G1496">
            <v>0</v>
          </cell>
          <cell r="H1496">
            <v>0</v>
          </cell>
          <cell r="I1496">
            <v>0</v>
          </cell>
          <cell r="J1496">
            <v>0</v>
          </cell>
        </row>
        <row r="1497">
          <cell r="B1497" t="str">
            <v>5-4260</v>
          </cell>
          <cell r="C1497" t="str">
            <v>SEKSI BAHASA</v>
          </cell>
          <cell r="D1497">
            <v>0</v>
          </cell>
          <cell r="E1497">
            <v>0</v>
          </cell>
          <cell r="F1497">
            <v>0</v>
          </cell>
          <cell r="G1497">
            <v>0</v>
          </cell>
          <cell r="H1497">
            <v>0</v>
          </cell>
          <cell r="I1497">
            <v>0</v>
          </cell>
          <cell r="J1497">
            <v>0</v>
          </cell>
        </row>
        <row r="1498">
          <cell r="B1498" t="str">
            <v>5-4261</v>
          </cell>
          <cell r="C1498" t="str">
            <v>Stationary</v>
          </cell>
          <cell r="D1498">
            <v>0</v>
          </cell>
          <cell r="E1498">
            <v>0</v>
          </cell>
          <cell r="F1498">
            <v>0</v>
          </cell>
          <cell r="G1498">
            <v>0</v>
          </cell>
          <cell r="H1498">
            <v>0</v>
          </cell>
          <cell r="I1498">
            <v>0</v>
          </cell>
          <cell r="J1498">
            <v>0</v>
          </cell>
        </row>
        <row r="1499">
          <cell r="B1499" t="str">
            <v>5-4262</v>
          </cell>
          <cell r="C1499" t="str">
            <v>Supplies</v>
          </cell>
          <cell r="D1499">
            <v>0</v>
          </cell>
          <cell r="E1499">
            <v>0</v>
          </cell>
          <cell r="F1499">
            <v>0</v>
          </cell>
          <cell r="G1499">
            <v>0</v>
          </cell>
          <cell r="H1499">
            <v>0</v>
          </cell>
          <cell r="I1499">
            <v>0</v>
          </cell>
          <cell r="J1499">
            <v>0</v>
          </cell>
        </row>
        <row r="1500">
          <cell r="B1500" t="str">
            <v>5-4263</v>
          </cell>
          <cell r="C1500" t="str">
            <v>Transportation</v>
          </cell>
          <cell r="D1500">
            <v>0</v>
          </cell>
          <cell r="E1500">
            <v>0</v>
          </cell>
          <cell r="F1500">
            <v>0</v>
          </cell>
          <cell r="G1500">
            <v>0</v>
          </cell>
          <cell r="H1500">
            <v>0</v>
          </cell>
          <cell r="I1500">
            <v>0</v>
          </cell>
          <cell r="J1500">
            <v>0</v>
          </cell>
        </row>
        <row r="1501">
          <cell r="B1501" t="str">
            <v>5-4264</v>
          </cell>
          <cell r="C1501" t="str">
            <v>Prize</v>
          </cell>
          <cell r="D1501">
            <v>0</v>
          </cell>
          <cell r="E1501">
            <v>0</v>
          </cell>
          <cell r="F1501">
            <v>0</v>
          </cell>
          <cell r="G1501">
            <v>0</v>
          </cell>
          <cell r="H1501">
            <v>0</v>
          </cell>
          <cell r="I1501">
            <v>0</v>
          </cell>
          <cell r="J1501">
            <v>0</v>
          </cell>
        </row>
        <row r="1502">
          <cell r="B1502" t="str">
            <v>5-4265</v>
          </cell>
          <cell r="C1502" t="str">
            <v>Consumption</v>
          </cell>
          <cell r="D1502">
            <v>0</v>
          </cell>
          <cell r="E1502">
            <v>0</v>
          </cell>
          <cell r="F1502">
            <v>0</v>
          </cell>
          <cell r="G1502">
            <v>0</v>
          </cell>
          <cell r="H1502">
            <v>0</v>
          </cell>
          <cell r="I1502">
            <v>0</v>
          </cell>
          <cell r="J1502">
            <v>0</v>
          </cell>
        </row>
        <row r="1503">
          <cell r="B1503" t="str">
            <v>5-4266</v>
          </cell>
          <cell r="C1503" t="str">
            <v>Repair &amp; Maintenence</v>
          </cell>
          <cell r="D1503">
            <v>0</v>
          </cell>
          <cell r="E1503">
            <v>0</v>
          </cell>
          <cell r="F1503">
            <v>0</v>
          </cell>
          <cell r="G1503">
            <v>0</v>
          </cell>
          <cell r="H1503">
            <v>0</v>
          </cell>
          <cell r="I1503">
            <v>0</v>
          </cell>
          <cell r="J1503">
            <v>0</v>
          </cell>
        </row>
        <row r="1504">
          <cell r="B1504" t="str">
            <v>5-4267</v>
          </cell>
          <cell r="C1504" t="str">
            <v>Consumptions for sick student</v>
          </cell>
          <cell r="D1504">
            <v>0</v>
          </cell>
          <cell r="E1504">
            <v>0</v>
          </cell>
          <cell r="F1504">
            <v>0</v>
          </cell>
          <cell r="G1504">
            <v>0</v>
          </cell>
          <cell r="H1504">
            <v>0</v>
          </cell>
          <cell r="I1504">
            <v>0</v>
          </cell>
          <cell r="J1504">
            <v>0</v>
          </cell>
        </row>
        <row r="1505">
          <cell r="B1505" t="str">
            <v>5-4269</v>
          </cell>
          <cell r="C1505" t="str">
            <v>Othes</v>
          </cell>
          <cell r="D1505">
            <v>0</v>
          </cell>
          <cell r="E1505">
            <v>0</v>
          </cell>
          <cell r="F1505">
            <v>0</v>
          </cell>
          <cell r="G1505">
            <v>0</v>
          </cell>
          <cell r="H1505">
            <v>0</v>
          </cell>
          <cell r="I1505">
            <v>0</v>
          </cell>
          <cell r="J1505">
            <v>0</v>
          </cell>
        </row>
        <row r="1506">
          <cell r="B1506" t="str">
            <v>5-4270</v>
          </cell>
          <cell r="C1506" t="str">
            <v>SEKSI TAMU</v>
          </cell>
          <cell r="D1506">
            <v>0</v>
          </cell>
          <cell r="E1506">
            <v>0</v>
          </cell>
          <cell r="F1506">
            <v>0</v>
          </cell>
          <cell r="G1506">
            <v>0</v>
          </cell>
          <cell r="H1506">
            <v>0</v>
          </cell>
          <cell r="I1506">
            <v>0</v>
          </cell>
          <cell r="J1506">
            <v>0</v>
          </cell>
        </row>
        <row r="1507">
          <cell r="B1507" t="str">
            <v>5-4271</v>
          </cell>
          <cell r="C1507" t="str">
            <v>Stationary</v>
          </cell>
          <cell r="D1507">
            <v>0</v>
          </cell>
          <cell r="E1507">
            <v>0</v>
          </cell>
          <cell r="F1507">
            <v>0</v>
          </cell>
          <cell r="G1507">
            <v>0</v>
          </cell>
          <cell r="H1507">
            <v>0</v>
          </cell>
          <cell r="I1507">
            <v>0</v>
          </cell>
          <cell r="J1507">
            <v>0</v>
          </cell>
        </row>
        <row r="1508">
          <cell r="B1508" t="str">
            <v>5-4272</v>
          </cell>
          <cell r="C1508" t="str">
            <v>Supplies</v>
          </cell>
          <cell r="D1508">
            <v>0</v>
          </cell>
          <cell r="E1508">
            <v>0</v>
          </cell>
          <cell r="F1508">
            <v>0</v>
          </cell>
          <cell r="G1508">
            <v>0</v>
          </cell>
          <cell r="H1508">
            <v>0</v>
          </cell>
          <cell r="I1508">
            <v>0</v>
          </cell>
          <cell r="J1508">
            <v>0</v>
          </cell>
        </row>
        <row r="1509">
          <cell r="B1509" t="str">
            <v>5-4273</v>
          </cell>
          <cell r="C1509" t="str">
            <v>Transportation</v>
          </cell>
          <cell r="D1509">
            <v>0</v>
          </cell>
          <cell r="E1509">
            <v>0</v>
          </cell>
          <cell r="F1509">
            <v>0</v>
          </cell>
          <cell r="G1509">
            <v>0</v>
          </cell>
          <cell r="H1509">
            <v>0</v>
          </cell>
          <cell r="I1509">
            <v>0</v>
          </cell>
          <cell r="J1509">
            <v>0</v>
          </cell>
        </row>
        <row r="1510">
          <cell r="B1510" t="str">
            <v>5-4274</v>
          </cell>
          <cell r="C1510" t="str">
            <v>Prize</v>
          </cell>
          <cell r="D1510">
            <v>0</v>
          </cell>
          <cell r="E1510">
            <v>0</v>
          </cell>
          <cell r="F1510">
            <v>0</v>
          </cell>
          <cell r="G1510">
            <v>0</v>
          </cell>
          <cell r="H1510">
            <v>0</v>
          </cell>
          <cell r="I1510">
            <v>0</v>
          </cell>
          <cell r="J1510">
            <v>0</v>
          </cell>
        </row>
        <row r="1511">
          <cell r="B1511" t="str">
            <v>5-4275</v>
          </cell>
          <cell r="C1511" t="str">
            <v>Consumption</v>
          </cell>
          <cell r="D1511">
            <v>0</v>
          </cell>
          <cell r="E1511">
            <v>0</v>
          </cell>
          <cell r="F1511">
            <v>0</v>
          </cell>
          <cell r="G1511">
            <v>0</v>
          </cell>
          <cell r="H1511">
            <v>0</v>
          </cell>
          <cell r="I1511">
            <v>0</v>
          </cell>
          <cell r="J1511">
            <v>0</v>
          </cell>
        </row>
        <row r="1512">
          <cell r="B1512" t="str">
            <v>5-4276</v>
          </cell>
          <cell r="C1512" t="str">
            <v>Repair &amp; Maintenence</v>
          </cell>
          <cell r="D1512">
            <v>0</v>
          </cell>
          <cell r="E1512">
            <v>0</v>
          </cell>
          <cell r="F1512">
            <v>0</v>
          </cell>
          <cell r="G1512">
            <v>0</v>
          </cell>
          <cell r="H1512">
            <v>0</v>
          </cell>
          <cell r="I1512">
            <v>0</v>
          </cell>
          <cell r="J1512">
            <v>0</v>
          </cell>
        </row>
        <row r="1513">
          <cell r="B1513" t="str">
            <v>5-4279</v>
          </cell>
          <cell r="C1513" t="str">
            <v>Othes</v>
          </cell>
          <cell r="D1513">
            <v>0</v>
          </cell>
          <cell r="E1513">
            <v>0</v>
          </cell>
          <cell r="F1513">
            <v>0</v>
          </cell>
          <cell r="G1513">
            <v>0</v>
          </cell>
          <cell r="H1513">
            <v>0</v>
          </cell>
          <cell r="I1513">
            <v>0</v>
          </cell>
          <cell r="J1513">
            <v>0</v>
          </cell>
        </row>
        <row r="1514">
          <cell r="B1514" t="str">
            <v>5-4280</v>
          </cell>
          <cell r="C1514" t="str">
            <v>SEKSI OLAH RAGA</v>
          </cell>
          <cell r="D1514">
            <v>0</v>
          </cell>
          <cell r="E1514">
            <v>0</v>
          </cell>
          <cell r="F1514">
            <v>0</v>
          </cell>
          <cell r="G1514">
            <v>0</v>
          </cell>
          <cell r="H1514">
            <v>0</v>
          </cell>
          <cell r="I1514">
            <v>0</v>
          </cell>
          <cell r="J1514">
            <v>0</v>
          </cell>
        </row>
        <row r="1515">
          <cell r="B1515" t="str">
            <v>5-4281</v>
          </cell>
          <cell r="C1515" t="str">
            <v>Stationary</v>
          </cell>
          <cell r="D1515">
            <v>0</v>
          </cell>
          <cell r="E1515">
            <v>0</v>
          </cell>
          <cell r="F1515">
            <v>0</v>
          </cell>
          <cell r="G1515">
            <v>0</v>
          </cell>
          <cell r="H1515">
            <v>0</v>
          </cell>
          <cell r="I1515">
            <v>0</v>
          </cell>
          <cell r="J1515">
            <v>0</v>
          </cell>
        </row>
        <row r="1516">
          <cell r="B1516" t="str">
            <v>5-4282</v>
          </cell>
          <cell r="C1516" t="str">
            <v>Supplies</v>
          </cell>
          <cell r="D1516">
            <v>0</v>
          </cell>
          <cell r="E1516">
            <v>0</v>
          </cell>
          <cell r="F1516">
            <v>1639167</v>
          </cell>
          <cell r="G1516">
            <v>0</v>
          </cell>
          <cell r="H1516">
            <v>1639167</v>
          </cell>
          <cell r="I1516">
            <v>1639167</v>
          </cell>
          <cell r="J1516">
            <v>0</v>
          </cell>
        </row>
        <row r="1517">
          <cell r="B1517" t="str">
            <v>5-4283</v>
          </cell>
          <cell r="C1517" t="str">
            <v>Transportation</v>
          </cell>
          <cell r="D1517">
            <v>0</v>
          </cell>
          <cell r="E1517">
            <v>0</v>
          </cell>
          <cell r="F1517">
            <v>3278333</v>
          </cell>
          <cell r="G1517">
            <v>0</v>
          </cell>
          <cell r="H1517">
            <v>3278333</v>
          </cell>
          <cell r="I1517">
            <v>3278333</v>
          </cell>
          <cell r="J1517">
            <v>0</v>
          </cell>
        </row>
        <row r="1518">
          <cell r="B1518" t="str">
            <v>5-4284</v>
          </cell>
          <cell r="C1518" t="str">
            <v>Prize</v>
          </cell>
          <cell r="D1518">
            <v>0</v>
          </cell>
          <cell r="E1518">
            <v>0</v>
          </cell>
          <cell r="F1518">
            <v>0</v>
          </cell>
          <cell r="G1518">
            <v>0</v>
          </cell>
          <cell r="H1518">
            <v>0</v>
          </cell>
          <cell r="I1518">
            <v>0</v>
          </cell>
          <cell r="J1518">
            <v>0</v>
          </cell>
        </row>
        <row r="1519">
          <cell r="B1519" t="str">
            <v>5-4285</v>
          </cell>
          <cell r="C1519" t="str">
            <v>Consumption</v>
          </cell>
          <cell r="D1519">
            <v>0</v>
          </cell>
          <cell r="E1519">
            <v>0</v>
          </cell>
          <cell r="F1519">
            <v>0</v>
          </cell>
          <cell r="G1519">
            <v>0</v>
          </cell>
          <cell r="H1519">
            <v>0</v>
          </cell>
          <cell r="I1519">
            <v>0</v>
          </cell>
          <cell r="J1519">
            <v>0</v>
          </cell>
        </row>
        <row r="1520">
          <cell r="B1520" t="str">
            <v>5-4286</v>
          </cell>
          <cell r="C1520" t="str">
            <v>Repair &amp; Maintenence</v>
          </cell>
          <cell r="D1520">
            <v>0</v>
          </cell>
          <cell r="E1520">
            <v>0</v>
          </cell>
          <cell r="F1520">
            <v>0</v>
          </cell>
          <cell r="G1520">
            <v>0</v>
          </cell>
          <cell r="H1520">
            <v>0</v>
          </cell>
          <cell r="I1520">
            <v>0</v>
          </cell>
          <cell r="J1520">
            <v>0</v>
          </cell>
        </row>
        <row r="1521">
          <cell r="B1521" t="str">
            <v>5-4289</v>
          </cell>
          <cell r="C1521" t="str">
            <v>Othes</v>
          </cell>
          <cell r="D1521">
            <v>0</v>
          </cell>
          <cell r="E1521">
            <v>0</v>
          </cell>
          <cell r="F1521">
            <v>0</v>
          </cell>
          <cell r="G1521">
            <v>0</v>
          </cell>
          <cell r="H1521">
            <v>0</v>
          </cell>
          <cell r="I1521">
            <v>0</v>
          </cell>
          <cell r="J1521">
            <v>0</v>
          </cell>
        </row>
        <row r="1522">
          <cell r="B1522" t="str">
            <v>5-4290</v>
          </cell>
          <cell r="C1522" t="str">
            <v>SEKSI MADING</v>
          </cell>
          <cell r="D1522">
            <v>0</v>
          </cell>
          <cell r="E1522">
            <v>0</v>
          </cell>
          <cell r="F1522">
            <v>0</v>
          </cell>
          <cell r="G1522">
            <v>0</v>
          </cell>
          <cell r="H1522">
            <v>0</v>
          </cell>
          <cell r="I1522">
            <v>0</v>
          </cell>
          <cell r="J1522">
            <v>0</v>
          </cell>
        </row>
        <row r="1523">
          <cell r="B1523" t="str">
            <v>5-4291</v>
          </cell>
          <cell r="C1523" t="str">
            <v>Stationary</v>
          </cell>
          <cell r="D1523">
            <v>0</v>
          </cell>
          <cell r="E1523">
            <v>0</v>
          </cell>
          <cell r="F1523">
            <v>0</v>
          </cell>
          <cell r="G1523">
            <v>0</v>
          </cell>
          <cell r="H1523">
            <v>0</v>
          </cell>
          <cell r="I1523">
            <v>0</v>
          </cell>
          <cell r="J1523">
            <v>0</v>
          </cell>
        </row>
        <row r="1524">
          <cell r="B1524" t="str">
            <v>5-4292</v>
          </cell>
          <cell r="C1524" t="str">
            <v>Supplies</v>
          </cell>
          <cell r="D1524">
            <v>0</v>
          </cell>
          <cell r="E1524">
            <v>0</v>
          </cell>
          <cell r="F1524">
            <v>0</v>
          </cell>
          <cell r="G1524">
            <v>0</v>
          </cell>
          <cell r="H1524">
            <v>0</v>
          </cell>
          <cell r="I1524">
            <v>0</v>
          </cell>
          <cell r="J1524">
            <v>0</v>
          </cell>
        </row>
        <row r="1525">
          <cell r="B1525" t="str">
            <v>5-4293</v>
          </cell>
          <cell r="C1525" t="str">
            <v>Transportation</v>
          </cell>
          <cell r="D1525">
            <v>0</v>
          </cell>
          <cell r="E1525">
            <v>0</v>
          </cell>
          <cell r="F1525">
            <v>0</v>
          </cell>
          <cell r="G1525">
            <v>0</v>
          </cell>
          <cell r="H1525">
            <v>0</v>
          </cell>
          <cell r="I1525">
            <v>0</v>
          </cell>
          <cell r="J1525">
            <v>0</v>
          </cell>
        </row>
        <row r="1526">
          <cell r="B1526" t="str">
            <v>5-4294</v>
          </cell>
          <cell r="C1526" t="str">
            <v>Prize</v>
          </cell>
          <cell r="D1526">
            <v>0</v>
          </cell>
          <cell r="E1526">
            <v>0</v>
          </cell>
          <cell r="F1526">
            <v>0</v>
          </cell>
          <cell r="G1526">
            <v>0</v>
          </cell>
          <cell r="H1526">
            <v>0</v>
          </cell>
          <cell r="I1526">
            <v>0</v>
          </cell>
          <cell r="J1526">
            <v>0</v>
          </cell>
        </row>
        <row r="1527">
          <cell r="B1527" t="str">
            <v>5-4295</v>
          </cell>
          <cell r="C1527" t="str">
            <v>Consumption</v>
          </cell>
          <cell r="D1527">
            <v>0</v>
          </cell>
          <cell r="E1527">
            <v>0</v>
          </cell>
          <cell r="F1527">
            <v>0</v>
          </cell>
          <cell r="G1527">
            <v>0</v>
          </cell>
          <cell r="H1527">
            <v>0</v>
          </cell>
          <cell r="I1527">
            <v>0</v>
          </cell>
          <cell r="J1527">
            <v>0</v>
          </cell>
        </row>
        <row r="1528">
          <cell r="B1528" t="str">
            <v>5-4296</v>
          </cell>
          <cell r="C1528" t="str">
            <v>Repair &amp; Maintenence</v>
          </cell>
          <cell r="D1528">
            <v>0</v>
          </cell>
          <cell r="E1528">
            <v>0</v>
          </cell>
          <cell r="F1528">
            <v>0</v>
          </cell>
          <cell r="G1528">
            <v>0</v>
          </cell>
          <cell r="H1528">
            <v>0</v>
          </cell>
          <cell r="I1528">
            <v>0</v>
          </cell>
          <cell r="J1528">
            <v>0</v>
          </cell>
        </row>
        <row r="1529">
          <cell r="B1529" t="str">
            <v>5-4299</v>
          </cell>
          <cell r="C1529" t="str">
            <v>Othes</v>
          </cell>
          <cell r="D1529">
            <v>0</v>
          </cell>
          <cell r="E1529">
            <v>0</v>
          </cell>
          <cell r="F1529">
            <v>0</v>
          </cell>
          <cell r="G1529">
            <v>0</v>
          </cell>
          <cell r="H1529">
            <v>0</v>
          </cell>
          <cell r="I1529">
            <v>0</v>
          </cell>
          <cell r="J1529">
            <v>0</v>
          </cell>
        </row>
        <row r="1530">
          <cell r="B1530" t="str">
            <v>5-4310</v>
          </cell>
          <cell r="C1530" t="str">
            <v>TIM INTI</v>
          </cell>
          <cell r="D1530">
            <v>0</v>
          </cell>
          <cell r="E1530">
            <v>0</v>
          </cell>
          <cell r="F1530">
            <v>0</v>
          </cell>
          <cell r="G1530">
            <v>0</v>
          </cell>
          <cell r="H1530">
            <v>0</v>
          </cell>
          <cell r="I1530">
            <v>0</v>
          </cell>
          <cell r="J1530">
            <v>0</v>
          </cell>
        </row>
        <row r="1531">
          <cell r="B1531" t="str">
            <v>5-4311</v>
          </cell>
          <cell r="C1531" t="str">
            <v>Stationary</v>
          </cell>
          <cell r="D1531">
            <v>0</v>
          </cell>
          <cell r="E1531">
            <v>0</v>
          </cell>
          <cell r="F1531">
            <v>0</v>
          </cell>
          <cell r="G1531">
            <v>0</v>
          </cell>
          <cell r="H1531">
            <v>0</v>
          </cell>
          <cell r="I1531">
            <v>0</v>
          </cell>
          <cell r="J1531">
            <v>0</v>
          </cell>
        </row>
        <row r="1532">
          <cell r="B1532" t="str">
            <v>5-4312</v>
          </cell>
          <cell r="C1532" t="str">
            <v>Fotocopy &amp; Printing</v>
          </cell>
          <cell r="D1532">
            <v>0</v>
          </cell>
          <cell r="E1532">
            <v>0</v>
          </cell>
          <cell r="F1532">
            <v>0</v>
          </cell>
          <cell r="G1532">
            <v>0</v>
          </cell>
          <cell r="H1532">
            <v>0</v>
          </cell>
          <cell r="I1532">
            <v>0</v>
          </cell>
          <cell r="J1532">
            <v>0</v>
          </cell>
        </row>
        <row r="1533">
          <cell r="B1533" t="str">
            <v>5-4313</v>
          </cell>
          <cell r="C1533" t="str">
            <v>Office Supplies</v>
          </cell>
          <cell r="D1533">
            <v>0</v>
          </cell>
          <cell r="E1533">
            <v>0</v>
          </cell>
          <cell r="F1533">
            <v>0</v>
          </cell>
          <cell r="G1533">
            <v>0</v>
          </cell>
          <cell r="H1533">
            <v>0</v>
          </cell>
          <cell r="I1533">
            <v>0</v>
          </cell>
          <cell r="J1533">
            <v>0</v>
          </cell>
        </row>
        <row r="1534">
          <cell r="B1534" t="str">
            <v>5-4314</v>
          </cell>
          <cell r="C1534" t="str">
            <v>Transportation</v>
          </cell>
          <cell r="D1534">
            <v>0</v>
          </cell>
          <cell r="E1534">
            <v>0</v>
          </cell>
          <cell r="F1534">
            <v>0</v>
          </cell>
          <cell r="G1534">
            <v>0</v>
          </cell>
          <cell r="H1534">
            <v>0</v>
          </cell>
          <cell r="I1534">
            <v>0</v>
          </cell>
          <cell r="J1534">
            <v>0</v>
          </cell>
        </row>
        <row r="1535">
          <cell r="B1535" t="str">
            <v>5-4315</v>
          </cell>
          <cell r="C1535" t="str">
            <v>Pos &amp; Telecomunication</v>
          </cell>
          <cell r="D1535">
            <v>0</v>
          </cell>
          <cell r="E1535">
            <v>0</v>
          </cell>
          <cell r="F1535">
            <v>0</v>
          </cell>
          <cell r="G1535">
            <v>0</v>
          </cell>
          <cell r="H1535">
            <v>0</v>
          </cell>
          <cell r="I1535">
            <v>0</v>
          </cell>
          <cell r="J1535">
            <v>0</v>
          </cell>
        </row>
        <row r="1536">
          <cell r="B1536" t="str">
            <v>5-4316</v>
          </cell>
          <cell r="C1536" t="str">
            <v>Transportation</v>
          </cell>
          <cell r="D1536">
            <v>0</v>
          </cell>
          <cell r="E1536">
            <v>0</v>
          </cell>
          <cell r="F1536">
            <v>0</v>
          </cell>
          <cell r="G1536">
            <v>0</v>
          </cell>
          <cell r="H1536">
            <v>0</v>
          </cell>
          <cell r="I1536">
            <v>0</v>
          </cell>
          <cell r="J1536">
            <v>0</v>
          </cell>
        </row>
        <row r="1537">
          <cell r="B1537" t="str">
            <v>5-4317</v>
          </cell>
          <cell r="C1537" t="str">
            <v>Consumption</v>
          </cell>
          <cell r="D1537">
            <v>0</v>
          </cell>
          <cell r="E1537">
            <v>0</v>
          </cell>
          <cell r="F1537">
            <v>0</v>
          </cell>
          <cell r="G1537">
            <v>0</v>
          </cell>
          <cell r="H1537">
            <v>0</v>
          </cell>
          <cell r="I1537">
            <v>0</v>
          </cell>
          <cell r="J1537">
            <v>0</v>
          </cell>
        </row>
        <row r="1538">
          <cell r="B1538" t="str">
            <v>5-4318</v>
          </cell>
          <cell r="C1538" t="str">
            <v>Repair &amp; Maintenence</v>
          </cell>
          <cell r="D1538">
            <v>0</v>
          </cell>
          <cell r="E1538">
            <v>0</v>
          </cell>
          <cell r="F1538">
            <v>0</v>
          </cell>
          <cell r="G1538">
            <v>0</v>
          </cell>
          <cell r="H1538">
            <v>0</v>
          </cell>
          <cell r="I1538">
            <v>0</v>
          </cell>
          <cell r="J1538">
            <v>0</v>
          </cell>
        </row>
        <row r="1539">
          <cell r="B1539" t="str">
            <v>5-4319</v>
          </cell>
          <cell r="C1539" t="str">
            <v>Others</v>
          </cell>
          <cell r="D1539">
            <v>0</v>
          </cell>
          <cell r="E1539">
            <v>0</v>
          </cell>
          <cell r="F1539">
            <v>0</v>
          </cell>
          <cell r="G1539">
            <v>0</v>
          </cell>
          <cell r="H1539">
            <v>0</v>
          </cell>
          <cell r="I1539">
            <v>0</v>
          </cell>
          <cell r="J1539">
            <v>0</v>
          </cell>
        </row>
        <row r="1540">
          <cell r="B1540" t="str">
            <v>5-4320</v>
          </cell>
          <cell r="C1540" t="str">
            <v>SEKSI IBADAH</v>
          </cell>
          <cell r="D1540">
            <v>0</v>
          </cell>
          <cell r="E1540">
            <v>0</v>
          </cell>
          <cell r="F1540">
            <v>0</v>
          </cell>
          <cell r="G1540">
            <v>0</v>
          </cell>
          <cell r="H1540">
            <v>0</v>
          </cell>
          <cell r="I1540">
            <v>0</v>
          </cell>
          <cell r="J1540">
            <v>0</v>
          </cell>
        </row>
        <row r="1541">
          <cell r="B1541" t="str">
            <v>5-4321</v>
          </cell>
          <cell r="C1541" t="str">
            <v>Stationary</v>
          </cell>
          <cell r="D1541">
            <v>0</v>
          </cell>
          <cell r="E1541">
            <v>0</v>
          </cell>
          <cell r="F1541">
            <v>0</v>
          </cell>
          <cell r="G1541">
            <v>0</v>
          </cell>
          <cell r="H1541">
            <v>0</v>
          </cell>
          <cell r="I1541">
            <v>0</v>
          </cell>
          <cell r="J1541">
            <v>0</v>
          </cell>
        </row>
        <row r="1542">
          <cell r="B1542" t="str">
            <v>5-4322</v>
          </cell>
          <cell r="C1542" t="str">
            <v>Supplies</v>
          </cell>
          <cell r="D1542">
            <v>0</v>
          </cell>
          <cell r="E1542">
            <v>0</v>
          </cell>
          <cell r="F1542">
            <v>0</v>
          </cell>
          <cell r="G1542">
            <v>0</v>
          </cell>
          <cell r="H1542">
            <v>0</v>
          </cell>
          <cell r="I1542">
            <v>0</v>
          </cell>
          <cell r="J1542">
            <v>0</v>
          </cell>
        </row>
        <row r="1543">
          <cell r="B1543" t="str">
            <v>5-4323</v>
          </cell>
          <cell r="C1543" t="str">
            <v>Transportation</v>
          </cell>
          <cell r="D1543">
            <v>0</v>
          </cell>
          <cell r="E1543">
            <v>0</v>
          </cell>
          <cell r="F1543">
            <v>0</v>
          </cell>
          <cell r="G1543">
            <v>0</v>
          </cell>
          <cell r="H1543">
            <v>0</v>
          </cell>
          <cell r="I1543">
            <v>0</v>
          </cell>
          <cell r="J1543">
            <v>0</v>
          </cell>
        </row>
        <row r="1544">
          <cell r="B1544" t="str">
            <v>5-4324</v>
          </cell>
          <cell r="C1544" t="str">
            <v>Prize</v>
          </cell>
          <cell r="D1544">
            <v>0</v>
          </cell>
          <cell r="E1544">
            <v>0</v>
          </cell>
          <cell r="F1544">
            <v>0</v>
          </cell>
          <cell r="G1544">
            <v>0</v>
          </cell>
          <cell r="H1544">
            <v>0</v>
          </cell>
          <cell r="I1544">
            <v>0</v>
          </cell>
          <cell r="J1544">
            <v>0</v>
          </cell>
        </row>
        <row r="1545">
          <cell r="B1545" t="str">
            <v>5-4325</v>
          </cell>
          <cell r="C1545" t="str">
            <v>Consumption</v>
          </cell>
          <cell r="D1545">
            <v>0</v>
          </cell>
          <cell r="E1545">
            <v>0</v>
          </cell>
          <cell r="F1545">
            <v>0</v>
          </cell>
          <cell r="G1545">
            <v>0</v>
          </cell>
          <cell r="H1545">
            <v>0</v>
          </cell>
          <cell r="I1545">
            <v>0</v>
          </cell>
          <cell r="J1545">
            <v>0</v>
          </cell>
        </row>
        <row r="1546">
          <cell r="B1546" t="str">
            <v>5-4326</v>
          </cell>
          <cell r="C1546" t="str">
            <v>Repair &amp; Maintenence</v>
          </cell>
          <cell r="D1546">
            <v>0</v>
          </cell>
          <cell r="E1546">
            <v>0</v>
          </cell>
          <cell r="F1546">
            <v>0</v>
          </cell>
          <cell r="G1546">
            <v>0</v>
          </cell>
          <cell r="H1546">
            <v>0</v>
          </cell>
          <cell r="I1546">
            <v>0</v>
          </cell>
          <cell r="J1546">
            <v>0</v>
          </cell>
        </row>
        <row r="1547">
          <cell r="B1547" t="str">
            <v>5-4329</v>
          </cell>
          <cell r="C1547" t="str">
            <v>Othes</v>
          </cell>
          <cell r="D1547">
            <v>0</v>
          </cell>
          <cell r="E1547">
            <v>0</v>
          </cell>
          <cell r="F1547">
            <v>0</v>
          </cell>
          <cell r="G1547">
            <v>0</v>
          </cell>
          <cell r="H1547">
            <v>0</v>
          </cell>
          <cell r="I1547">
            <v>0</v>
          </cell>
          <cell r="J1547">
            <v>0</v>
          </cell>
        </row>
        <row r="1548">
          <cell r="B1548" t="str">
            <v>5-4330</v>
          </cell>
          <cell r="C1548" t="str">
            <v>SEKSI KEAMANAN</v>
          </cell>
          <cell r="D1548">
            <v>0</v>
          </cell>
          <cell r="E1548">
            <v>0</v>
          </cell>
          <cell r="F1548">
            <v>0</v>
          </cell>
          <cell r="G1548">
            <v>0</v>
          </cell>
          <cell r="H1548">
            <v>0</v>
          </cell>
          <cell r="I1548">
            <v>0</v>
          </cell>
          <cell r="J1548">
            <v>0</v>
          </cell>
        </row>
        <row r="1549">
          <cell r="B1549" t="str">
            <v>5-4331</v>
          </cell>
          <cell r="C1549" t="str">
            <v>Stationary</v>
          </cell>
          <cell r="D1549">
            <v>0</v>
          </cell>
          <cell r="E1549">
            <v>0</v>
          </cell>
          <cell r="F1549">
            <v>0</v>
          </cell>
          <cell r="G1549">
            <v>0</v>
          </cell>
          <cell r="H1549">
            <v>0</v>
          </cell>
          <cell r="I1549">
            <v>0</v>
          </cell>
          <cell r="J1549">
            <v>0</v>
          </cell>
        </row>
        <row r="1550">
          <cell r="B1550" t="str">
            <v>5-4332</v>
          </cell>
          <cell r="C1550" t="str">
            <v>Supplies</v>
          </cell>
          <cell r="D1550">
            <v>0</v>
          </cell>
          <cell r="E1550">
            <v>0</v>
          </cell>
          <cell r="F1550">
            <v>0</v>
          </cell>
          <cell r="G1550">
            <v>0</v>
          </cell>
          <cell r="H1550">
            <v>0</v>
          </cell>
          <cell r="I1550">
            <v>0</v>
          </cell>
          <cell r="J1550">
            <v>0</v>
          </cell>
        </row>
        <row r="1551">
          <cell r="B1551" t="str">
            <v>5-4333</v>
          </cell>
          <cell r="C1551" t="str">
            <v>Transportation</v>
          </cell>
          <cell r="D1551">
            <v>0</v>
          </cell>
          <cell r="E1551">
            <v>0</v>
          </cell>
          <cell r="F1551">
            <v>0</v>
          </cell>
          <cell r="G1551">
            <v>0</v>
          </cell>
          <cell r="H1551">
            <v>0</v>
          </cell>
          <cell r="I1551">
            <v>0</v>
          </cell>
          <cell r="J1551">
            <v>0</v>
          </cell>
        </row>
        <row r="1552">
          <cell r="B1552" t="str">
            <v>5-4334</v>
          </cell>
          <cell r="C1552" t="str">
            <v>Prize</v>
          </cell>
          <cell r="D1552">
            <v>0</v>
          </cell>
          <cell r="E1552">
            <v>0</v>
          </cell>
          <cell r="F1552">
            <v>0</v>
          </cell>
          <cell r="G1552">
            <v>0</v>
          </cell>
          <cell r="H1552">
            <v>0</v>
          </cell>
          <cell r="I1552">
            <v>0</v>
          </cell>
          <cell r="J1552">
            <v>0</v>
          </cell>
        </row>
        <row r="1553">
          <cell r="B1553" t="str">
            <v>5-4335</v>
          </cell>
          <cell r="C1553" t="str">
            <v>Consumption</v>
          </cell>
          <cell r="D1553">
            <v>0</v>
          </cell>
          <cell r="E1553">
            <v>0</v>
          </cell>
          <cell r="F1553">
            <v>0</v>
          </cell>
          <cell r="G1553">
            <v>0</v>
          </cell>
          <cell r="H1553">
            <v>0</v>
          </cell>
          <cell r="I1553">
            <v>0</v>
          </cell>
          <cell r="J1553">
            <v>0</v>
          </cell>
        </row>
        <row r="1554">
          <cell r="B1554" t="str">
            <v>5-4336</v>
          </cell>
          <cell r="C1554" t="str">
            <v>Repair &amp; Maintenence</v>
          </cell>
          <cell r="D1554">
            <v>0</v>
          </cell>
          <cell r="E1554">
            <v>0</v>
          </cell>
          <cell r="F1554">
            <v>0</v>
          </cell>
          <cell r="G1554">
            <v>0</v>
          </cell>
          <cell r="H1554">
            <v>0</v>
          </cell>
          <cell r="I1554">
            <v>0</v>
          </cell>
          <cell r="J1554">
            <v>0</v>
          </cell>
        </row>
        <row r="1555">
          <cell r="B1555" t="str">
            <v>5-4339</v>
          </cell>
          <cell r="C1555" t="str">
            <v>Othes</v>
          </cell>
          <cell r="D1555">
            <v>0</v>
          </cell>
          <cell r="E1555">
            <v>0</v>
          </cell>
          <cell r="F1555">
            <v>0</v>
          </cell>
          <cell r="G1555">
            <v>0</v>
          </cell>
          <cell r="H1555">
            <v>0</v>
          </cell>
          <cell r="I1555">
            <v>0</v>
          </cell>
          <cell r="J1555">
            <v>0</v>
          </cell>
        </row>
        <row r="1556">
          <cell r="B1556" t="str">
            <v>5-4340</v>
          </cell>
          <cell r="C1556" t="str">
            <v>SEKSI KEBERSIHAN &amp; KESEHATAN</v>
          </cell>
          <cell r="D1556">
            <v>0</v>
          </cell>
          <cell r="E1556">
            <v>0</v>
          </cell>
          <cell r="F1556">
            <v>0</v>
          </cell>
          <cell r="G1556">
            <v>0</v>
          </cell>
          <cell r="H1556">
            <v>0</v>
          </cell>
          <cell r="I1556">
            <v>0</v>
          </cell>
          <cell r="J1556">
            <v>0</v>
          </cell>
        </row>
        <row r="1557">
          <cell r="B1557" t="str">
            <v>5-4341</v>
          </cell>
          <cell r="C1557" t="str">
            <v>Stationary</v>
          </cell>
          <cell r="D1557">
            <v>0</v>
          </cell>
          <cell r="E1557">
            <v>0</v>
          </cell>
          <cell r="F1557">
            <v>0</v>
          </cell>
          <cell r="G1557">
            <v>0</v>
          </cell>
          <cell r="H1557">
            <v>0</v>
          </cell>
          <cell r="I1557">
            <v>0</v>
          </cell>
          <cell r="J1557">
            <v>0</v>
          </cell>
        </row>
        <row r="1558">
          <cell r="B1558" t="str">
            <v>5-4342</v>
          </cell>
          <cell r="C1558" t="str">
            <v>Supplies</v>
          </cell>
          <cell r="D1558">
            <v>0</v>
          </cell>
          <cell r="E1558">
            <v>0</v>
          </cell>
          <cell r="F1558">
            <v>0</v>
          </cell>
          <cell r="G1558">
            <v>0</v>
          </cell>
          <cell r="H1558">
            <v>0</v>
          </cell>
          <cell r="I1558">
            <v>0</v>
          </cell>
          <cell r="J1558">
            <v>0</v>
          </cell>
        </row>
        <row r="1559">
          <cell r="B1559" t="str">
            <v>5-4343</v>
          </cell>
          <cell r="C1559" t="str">
            <v>Transportation</v>
          </cell>
          <cell r="D1559">
            <v>0</v>
          </cell>
          <cell r="E1559">
            <v>0</v>
          </cell>
          <cell r="F1559">
            <v>0</v>
          </cell>
          <cell r="G1559">
            <v>0</v>
          </cell>
          <cell r="H1559">
            <v>0</v>
          </cell>
          <cell r="I1559">
            <v>0</v>
          </cell>
          <cell r="J1559">
            <v>0</v>
          </cell>
        </row>
        <row r="1560">
          <cell r="B1560" t="str">
            <v>5-4344</v>
          </cell>
          <cell r="C1560" t="str">
            <v>Prize</v>
          </cell>
          <cell r="D1560">
            <v>0</v>
          </cell>
          <cell r="E1560">
            <v>0</v>
          </cell>
          <cell r="F1560">
            <v>0</v>
          </cell>
          <cell r="G1560">
            <v>0</v>
          </cell>
          <cell r="H1560">
            <v>0</v>
          </cell>
          <cell r="I1560">
            <v>0</v>
          </cell>
          <cell r="J1560">
            <v>0</v>
          </cell>
        </row>
        <row r="1561">
          <cell r="B1561" t="str">
            <v>5-4345</v>
          </cell>
          <cell r="C1561" t="str">
            <v>Consumption</v>
          </cell>
          <cell r="D1561">
            <v>0</v>
          </cell>
          <cell r="E1561">
            <v>0</v>
          </cell>
          <cell r="F1561">
            <v>0</v>
          </cell>
          <cell r="G1561">
            <v>0</v>
          </cell>
          <cell r="H1561">
            <v>0</v>
          </cell>
          <cell r="I1561">
            <v>0</v>
          </cell>
          <cell r="J1561">
            <v>0</v>
          </cell>
        </row>
        <row r="1562">
          <cell r="B1562" t="str">
            <v>5-4346</v>
          </cell>
          <cell r="C1562" t="str">
            <v>Repair &amp; Maintenence</v>
          </cell>
          <cell r="D1562">
            <v>0</v>
          </cell>
          <cell r="E1562">
            <v>0</v>
          </cell>
          <cell r="F1562">
            <v>0</v>
          </cell>
          <cell r="G1562">
            <v>0</v>
          </cell>
          <cell r="H1562">
            <v>0</v>
          </cell>
          <cell r="I1562">
            <v>0</v>
          </cell>
          <cell r="J1562">
            <v>0</v>
          </cell>
        </row>
        <row r="1563">
          <cell r="B1563" t="str">
            <v>5-4349</v>
          </cell>
          <cell r="C1563" t="str">
            <v>Othes</v>
          </cell>
          <cell r="D1563">
            <v>0</v>
          </cell>
          <cell r="E1563">
            <v>0</v>
          </cell>
          <cell r="F1563">
            <v>0</v>
          </cell>
          <cell r="G1563">
            <v>0</v>
          </cell>
          <cell r="H1563">
            <v>0</v>
          </cell>
          <cell r="I1563">
            <v>0</v>
          </cell>
          <cell r="J1563">
            <v>0</v>
          </cell>
        </row>
        <row r="1564">
          <cell r="B1564" t="str">
            <v>5-4350</v>
          </cell>
          <cell r="C1564" t="str">
            <v>SEKSI PERPUSTAKAAN</v>
          </cell>
          <cell r="D1564">
            <v>0</v>
          </cell>
          <cell r="E1564">
            <v>0</v>
          </cell>
          <cell r="F1564">
            <v>0</v>
          </cell>
          <cell r="G1564">
            <v>0</v>
          </cell>
          <cell r="H1564">
            <v>0</v>
          </cell>
          <cell r="I1564">
            <v>0</v>
          </cell>
          <cell r="J1564">
            <v>0</v>
          </cell>
        </row>
        <row r="1565">
          <cell r="B1565" t="str">
            <v>5-4351</v>
          </cell>
          <cell r="C1565" t="str">
            <v>Stationary</v>
          </cell>
          <cell r="D1565">
            <v>0</v>
          </cell>
          <cell r="E1565">
            <v>0</v>
          </cell>
          <cell r="F1565">
            <v>0</v>
          </cell>
          <cell r="G1565">
            <v>0</v>
          </cell>
          <cell r="H1565">
            <v>0</v>
          </cell>
          <cell r="I1565">
            <v>0</v>
          </cell>
          <cell r="J1565">
            <v>0</v>
          </cell>
        </row>
        <row r="1566">
          <cell r="B1566" t="str">
            <v>5-4352</v>
          </cell>
          <cell r="C1566" t="str">
            <v>Supplies</v>
          </cell>
          <cell r="D1566">
            <v>0</v>
          </cell>
          <cell r="E1566">
            <v>0</v>
          </cell>
          <cell r="F1566">
            <v>0</v>
          </cell>
          <cell r="G1566">
            <v>0</v>
          </cell>
          <cell r="H1566">
            <v>0</v>
          </cell>
          <cell r="I1566">
            <v>0</v>
          </cell>
          <cell r="J1566">
            <v>0</v>
          </cell>
        </row>
        <row r="1567">
          <cell r="B1567" t="str">
            <v>5-4353</v>
          </cell>
          <cell r="C1567" t="str">
            <v>Transportation</v>
          </cell>
          <cell r="D1567">
            <v>0</v>
          </cell>
          <cell r="E1567">
            <v>0</v>
          </cell>
          <cell r="F1567">
            <v>0</v>
          </cell>
          <cell r="G1567">
            <v>0</v>
          </cell>
          <cell r="H1567">
            <v>0</v>
          </cell>
          <cell r="I1567">
            <v>0</v>
          </cell>
          <cell r="J1567">
            <v>0</v>
          </cell>
        </row>
        <row r="1568">
          <cell r="B1568" t="str">
            <v>5-4354</v>
          </cell>
          <cell r="C1568" t="str">
            <v>Prize</v>
          </cell>
          <cell r="D1568">
            <v>0</v>
          </cell>
          <cell r="E1568">
            <v>0</v>
          </cell>
          <cell r="F1568">
            <v>0</v>
          </cell>
          <cell r="G1568">
            <v>0</v>
          </cell>
          <cell r="H1568">
            <v>0</v>
          </cell>
          <cell r="I1568">
            <v>0</v>
          </cell>
          <cell r="J1568">
            <v>0</v>
          </cell>
        </row>
        <row r="1569">
          <cell r="B1569" t="str">
            <v>5-4355</v>
          </cell>
          <cell r="C1569" t="str">
            <v>Consumption</v>
          </cell>
          <cell r="D1569">
            <v>0</v>
          </cell>
          <cell r="E1569">
            <v>0</v>
          </cell>
          <cell r="F1569">
            <v>0</v>
          </cell>
          <cell r="G1569">
            <v>0</v>
          </cell>
          <cell r="H1569">
            <v>0</v>
          </cell>
          <cell r="I1569">
            <v>0</v>
          </cell>
          <cell r="J1569">
            <v>0</v>
          </cell>
        </row>
        <row r="1570">
          <cell r="B1570" t="str">
            <v>5-4356</v>
          </cell>
          <cell r="C1570" t="str">
            <v>Repair &amp; Maintenence</v>
          </cell>
          <cell r="D1570">
            <v>0</v>
          </cell>
          <cell r="E1570">
            <v>0</v>
          </cell>
          <cell r="F1570">
            <v>0</v>
          </cell>
          <cell r="G1570">
            <v>0</v>
          </cell>
          <cell r="H1570">
            <v>0</v>
          </cell>
          <cell r="I1570">
            <v>0</v>
          </cell>
          <cell r="J1570">
            <v>0</v>
          </cell>
        </row>
        <row r="1571">
          <cell r="B1571" t="str">
            <v>5-4359</v>
          </cell>
          <cell r="C1571" t="str">
            <v>Othes</v>
          </cell>
          <cell r="D1571">
            <v>0</v>
          </cell>
          <cell r="E1571">
            <v>0</v>
          </cell>
          <cell r="F1571">
            <v>0</v>
          </cell>
          <cell r="G1571">
            <v>0</v>
          </cell>
          <cell r="H1571">
            <v>0</v>
          </cell>
          <cell r="I1571">
            <v>0</v>
          </cell>
          <cell r="J1571">
            <v>0</v>
          </cell>
        </row>
        <row r="1572">
          <cell r="B1572" t="str">
            <v>5-4360</v>
          </cell>
          <cell r="C1572" t="str">
            <v>SEKSI BAHASA</v>
          </cell>
          <cell r="D1572">
            <v>0</v>
          </cell>
          <cell r="E1572">
            <v>0</v>
          </cell>
          <cell r="F1572">
            <v>0</v>
          </cell>
          <cell r="G1572">
            <v>0</v>
          </cell>
          <cell r="H1572">
            <v>0</v>
          </cell>
          <cell r="I1572">
            <v>0</v>
          </cell>
          <cell r="J1572">
            <v>0</v>
          </cell>
        </row>
        <row r="1573">
          <cell r="B1573" t="str">
            <v>5-4361</v>
          </cell>
          <cell r="C1573" t="str">
            <v>Stationary</v>
          </cell>
          <cell r="D1573">
            <v>0</v>
          </cell>
          <cell r="E1573">
            <v>0</v>
          </cell>
          <cell r="F1573">
            <v>0</v>
          </cell>
          <cell r="G1573">
            <v>0</v>
          </cell>
          <cell r="H1573">
            <v>0</v>
          </cell>
          <cell r="I1573">
            <v>0</v>
          </cell>
          <cell r="J1573">
            <v>0</v>
          </cell>
        </row>
        <row r="1574">
          <cell r="B1574" t="str">
            <v>5-4362</v>
          </cell>
          <cell r="C1574" t="str">
            <v>Supplies</v>
          </cell>
          <cell r="D1574">
            <v>0</v>
          </cell>
          <cell r="E1574">
            <v>0</v>
          </cell>
          <cell r="F1574">
            <v>0</v>
          </cell>
          <cell r="G1574">
            <v>0</v>
          </cell>
          <cell r="H1574">
            <v>0</v>
          </cell>
          <cell r="I1574">
            <v>0</v>
          </cell>
          <cell r="J1574">
            <v>0</v>
          </cell>
        </row>
        <row r="1575">
          <cell r="B1575" t="str">
            <v>5-4363</v>
          </cell>
          <cell r="C1575" t="str">
            <v>Transportation</v>
          </cell>
          <cell r="D1575">
            <v>0</v>
          </cell>
          <cell r="E1575">
            <v>0</v>
          </cell>
          <cell r="F1575">
            <v>0</v>
          </cell>
          <cell r="G1575">
            <v>0</v>
          </cell>
          <cell r="H1575">
            <v>0</v>
          </cell>
          <cell r="I1575">
            <v>0</v>
          </cell>
          <cell r="J1575">
            <v>0</v>
          </cell>
        </row>
        <row r="1576">
          <cell r="B1576" t="str">
            <v>5-4364</v>
          </cell>
          <cell r="C1576" t="str">
            <v>Prize</v>
          </cell>
          <cell r="D1576">
            <v>0</v>
          </cell>
          <cell r="E1576">
            <v>0</v>
          </cell>
          <cell r="F1576">
            <v>0</v>
          </cell>
          <cell r="G1576">
            <v>0</v>
          </cell>
          <cell r="H1576">
            <v>0</v>
          </cell>
          <cell r="I1576">
            <v>0</v>
          </cell>
          <cell r="J1576">
            <v>0</v>
          </cell>
        </row>
        <row r="1577">
          <cell r="B1577" t="str">
            <v>5-4365</v>
          </cell>
          <cell r="C1577" t="str">
            <v>Consumption</v>
          </cell>
          <cell r="D1577">
            <v>0</v>
          </cell>
          <cell r="E1577">
            <v>0</v>
          </cell>
          <cell r="F1577">
            <v>0</v>
          </cell>
          <cell r="G1577">
            <v>0</v>
          </cell>
          <cell r="H1577">
            <v>0</v>
          </cell>
          <cell r="I1577">
            <v>0</v>
          </cell>
          <cell r="J1577">
            <v>0</v>
          </cell>
        </row>
        <row r="1578">
          <cell r="B1578" t="str">
            <v>5-4366</v>
          </cell>
          <cell r="C1578" t="str">
            <v>Repair &amp; Maintenence</v>
          </cell>
          <cell r="D1578">
            <v>0</v>
          </cell>
          <cell r="E1578">
            <v>0</v>
          </cell>
          <cell r="F1578">
            <v>0</v>
          </cell>
          <cell r="G1578">
            <v>0</v>
          </cell>
          <cell r="H1578">
            <v>0</v>
          </cell>
          <cell r="I1578">
            <v>0</v>
          </cell>
          <cell r="J1578">
            <v>0</v>
          </cell>
        </row>
        <row r="1579">
          <cell r="B1579" t="str">
            <v>5-4367</v>
          </cell>
          <cell r="C1579" t="str">
            <v>Consumptions for sick student</v>
          </cell>
          <cell r="D1579">
            <v>0</v>
          </cell>
          <cell r="E1579">
            <v>0</v>
          </cell>
          <cell r="F1579">
            <v>0</v>
          </cell>
          <cell r="G1579">
            <v>0</v>
          </cell>
          <cell r="H1579">
            <v>0</v>
          </cell>
          <cell r="I1579">
            <v>0</v>
          </cell>
          <cell r="J1579">
            <v>0</v>
          </cell>
        </row>
        <row r="1580">
          <cell r="B1580" t="str">
            <v>5-4369</v>
          </cell>
          <cell r="C1580" t="str">
            <v>Othes</v>
          </cell>
          <cell r="D1580">
            <v>0</v>
          </cell>
          <cell r="E1580">
            <v>0</v>
          </cell>
          <cell r="F1580">
            <v>0</v>
          </cell>
          <cell r="G1580">
            <v>0</v>
          </cell>
          <cell r="H1580">
            <v>0</v>
          </cell>
          <cell r="I1580">
            <v>0</v>
          </cell>
          <cell r="J1580">
            <v>0</v>
          </cell>
        </row>
        <row r="1581">
          <cell r="B1581" t="str">
            <v>5-4370</v>
          </cell>
          <cell r="C1581" t="str">
            <v>SEKSI TAMU</v>
          </cell>
          <cell r="D1581">
            <v>0</v>
          </cell>
          <cell r="E1581">
            <v>0</v>
          </cell>
          <cell r="F1581">
            <v>0</v>
          </cell>
          <cell r="G1581">
            <v>0</v>
          </cell>
          <cell r="H1581">
            <v>0</v>
          </cell>
          <cell r="I1581">
            <v>0</v>
          </cell>
          <cell r="J1581">
            <v>0</v>
          </cell>
        </row>
        <row r="1582">
          <cell r="B1582" t="str">
            <v>5-4371</v>
          </cell>
          <cell r="C1582" t="str">
            <v>Stationary</v>
          </cell>
          <cell r="D1582">
            <v>0</v>
          </cell>
          <cell r="E1582">
            <v>0</v>
          </cell>
          <cell r="F1582">
            <v>0</v>
          </cell>
          <cell r="G1582">
            <v>0</v>
          </cell>
          <cell r="H1582">
            <v>0</v>
          </cell>
          <cell r="I1582">
            <v>0</v>
          </cell>
          <cell r="J1582">
            <v>0</v>
          </cell>
        </row>
        <row r="1583">
          <cell r="B1583" t="str">
            <v>5-4372</v>
          </cell>
          <cell r="C1583" t="str">
            <v>Supplies</v>
          </cell>
          <cell r="D1583">
            <v>0</v>
          </cell>
          <cell r="E1583">
            <v>0</v>
          </cell>
          <cell r="F1583">
            <v>0</v>
          </cell>
          <cell r="G1583">
            <v>0</v>
          </cell>
          <cell r="H1583">
            <v>0</v>
          </cell>
          <cell r="I1583">
            <v>0</v>
          </cell>
          <cell r="J1583">
            <v>0</v>
          </cell>
        </row>
        <row r="1584">
          <cell r="B1584" t="str">
            <v>5-4373</v>
          </cell>
          <cell r="C1584" t="str">
            <v>Transportation</v>
          </cell>
          <cell r="D1584">
            <v>0</v>
          </cell>
          <cell r="E1584">
            <v>0</v>
          </cell>
          <cell r="F1584">
            <v>0</v>
          </cell>
          <cell r="G1584">
            <v>0</v>
          </cell>
          <cell r="H1584">
            <v>0</v>
          </cell>
          <cell r="I1584">
            <v>0</v>
          </cell>
          <cell r="J1584">
            <v>0</v>
          </cell>
        </row>
        <row r="1585">
          <cell r="B1585" t="str">
            <v>5-4374</v>
          </cell>
          <cell r="C1585" t="str">
            <v>Prize</v>
          </cell>
          <cell r="D1585">
            <v>0</v>
          </cell>
          <cell r="E1585">
            <v>0</v>
          </cell>
          <cell r="F1585">
            <v>0</v>
          </cell>
          <cell r="G1585">
            <v>0</v>
          </cell>
          <cell r="H1585">
            <v>0</v>
          </cell>
          <cell r="I1585">
            <v>0</v>
          </cell>
          <cell r="J1585">
            <v>0</v>
          </cell>
        </row>
        <row r="1586">
          <cell r="B1586" t="str">
            <v>5-4375</v>
          </cell>
          <cell r="C1586" t="str">
            <v>Consumption</v>
          </cell>
          <cell r="D1586">
            <v>0</v>
          </cell>
          <cell r="E1586">
            <v>0</v>
          </cell>
          <cell r="F1586">
            <v>0</v>
          </cell>
          <cell r="G1586">
            <v>0</v>
          </cell>
          <cell r="H1586">
            <v>0</v>
          </cell>
          <cell r="I1586">
            <v>0</v>
          </cell>
          <cell r="J1586">
            <v>0</v>
          </cell>
        </row>
        <row r="1587">
          <cell r="B1587" t="str">
            <v>5-4376</v>
          </cell>
          <cell r="C1587" t="str">
            <v>Repair &amp; Maintenence</v>
          </cell>
          <cell r="D1587">
            <v>0</v>
          </cell>
          <cell r="E1587">
            <v>0</v>
          </cell>
          <cell r="F1587">
            <v>0</v>
          </cell>
          <cell r="G1587">
            <v>0</v>
          </cell>
          <cell r="H1587">
            <v>0</v>
          </cell>
          <cell r="I1587">
            <v>0</v>
          </cell>
          <cell r="J1587">
            <v>0</v>
          </cell>
        </row>
        <row r="1588">
          <cell r="B1588" t="str">
            <v>5-4379</v>
          </cell>
          <cell r="C1588" t="str">
            <v>Othes</v>
          </cell>
          <cell r="D1588">
            <v>0</v>
          </cell>
          <cell r="E1588">
            <v>0</v>
          </cell>
          <cell r="F1588">
            <v>0</v>
          </cell>
          <cell r="G1588">
            <v>0</v>
          </cell>
          <cell r="H1588">
            <v>0</v>
          </cell>
          <cell r="I1588">
            <v>0</v>
          </cell>
          <cell r="J1588">
            <v>0</v>
          </cell>
        </row>
        <row r="1589">
          <cell r="B1589" t="str">
            <v>5-4380</v>
          </cell>
          <cell r="C1589" t="str">
            <v>SEKSI OLAH RAGA</v>
          </cell>
          <cell r="D1589">
            <v>0</v>
          </cell>
          <cell r="E1589">
            <v>0</v>
          </cell>
          <cell r="F1589">
            <v>0</v>
          </cell>
          <cell r="G1589">
            <v>0</v>
          </cell>
          <cell r="H1589">
            <v>0</v>
          </cell>
          <cell r="I1589">
            <v>0</v>
          </cell>
          <cell r="J1589">
            <v>0</v>
          </cell>
        </row>
        <row r="1590">
          <cell r="B1590" t="str">
            <v>5-4381</v>
          </cell>
          <cell r="C1590" t="str">
            <v>Stationary</v>
          </cell>
          <cell r="D1590">
            <v>0</v>
          </cell>
          <cell r="E1590">
            <v>0</v>
          </cell>
          <cell r="F1590">
            <v>0</v>
          </cell>
          <cell r="G1590">
            <v>0</v>
          </cell>
          <cell r="H1590">
            <v>0</v>
          </cell>
          <cell r="I1590">
            <v>0</v>
          </cell>
          <cell r="J1590">
            <v>0</v>
          </cell>
        </row>
        <row r="1591">
          <cell r="B1591" t="str">
            <v>5-4382</v>
          </cell>
          <cell r="C1591" t="str">
            <v>Supplies</v>
          </cell>
          <cell r="D1591">
            <v>0</v>
          </cell>
          <cell r="E1591">
            <v>0</v>
          </cell>
          <cell r="F1591">
            <v>0</v>
          </cell>
          <cell r="G1591">
            <v>0</v>
          </cell>
          <cell r="H1591">
            <v>0</v>
          </cell>
          <cell r="I1591">
            <v>0</v>
          </cell>
          <cell r="J1591">
            <v>0</v>
          </cell>
        </row>
        <row r="1592">
          <cell r="B1592" t="str">
            <v>5-4383</v>
          </cell>
          <cell r="C1592" t="str">
            <v>Transportation</v>
          </cell>
          <cell r="D1592">
            <v>0</v>
          </cell>
          <cell r="E1592">
            <v>0</v>
          </cell>
          <cell r="F1592">
            <v>0</v>
          </cell>
          <cell r="G1592">
            <v>0</v>
          </cell>
          <cell r="H1592">
            <v>0</v>
          </cell>
          <cell r="I1592">
            <v>0</v>
          </cell>
          <cell r="J1592">
            <v>0</v>
          </cell>
        </row>
        <row r="1593">
          <cell r="B1593" t="str">
            <v>5-4384</v>
          </cell>
          <cell r="C1593" t="str">
            <v>Prize</v>
          </cell>
          <cell r="D1593">
            <v>0</v>
          </cell>
          <cell r="E1593">
            <v>0</v>
          </cell>
          <cell r="F1593">
            <v>0</v>
          </cell>
          <cell r="G1593">
            <v>0</v>
          </cell>
          <cell r="H1593">
            <v>0</v>
          </cell>
          <cell r="I1593">
            <v>0</v>
          </cell>
          <cell r="J1593">
            <v>0</v>
          </cell>
        </row>
        <row r="1594">
          <cell r="B1594" t="str">
            <v>5-4385</v>
          </cell>
          <cell r="C1594" t="str">
            <v>Consumption</v>
          </cell>
          <cell r="D1594">
            <v>0</v>
          </cell>
          <cell r="E1594">
            <v>0</v>
          </cell>
          <cell r="F1594">
            <v>0</v>
          </cell>
          <cell r="G1594">
            <v>0</v>
          </cell>
          <cell r="H1594">
            <v>0</v>
          </cell>
          <cell r="I1594">
            <v>0</v>
          </cell>
          <cell r="J1594">
            <v>0</v>
          </cell>
        </row>
        <row r="1595">
          <cell r="B1595" t="str">
            <v>5-4386</v>
          </cell>
          <cell r="C1595" t="str">
            <v>Repair &amp; Maintenence</v>
          </cell>
          <cell r="D1595">
            <v>0</v>
          </cell>
          <cell r="E1595">
            <v>0</v>
          </cell>
          <cell r="F1595">
            <v>0</v>
          </cell>
          <cell r="G1595">
            <v>0</v>
          </cell>
          <cell r="H1595">
            <v>0</v>
          </cell>
          <cell r="I1595">
            <v>0</v>
          </cell>
          <cell r="J1595">
            <v>0</v>
          </cell>
        </row>
        <row r="1596">
          <cell r="B1596" t="str">
            <v>5-4389</v>
          </cell>
          <cell r="C1596" t="str">
            <v>Othes</v>
          </cell>
          <cell r="D1596">
            <v>0</v>
          </cell>
          <cell r="E1596">
            <v>0</v>
          </cell>
          <cell r="F1596">
            <v>0</v>
          </cell>
          <cell r="G1596">
            <v>0</v>
          </cell>
          <cell r="H1596">
            <v>0</v>
          </cell>
          <cell r="I1596">
            <v>0</v>
          </cell>
          <cell r="J1596">
            <v>0</v>
          </cell>
        </row>
        <row r="1597">
          <cell r="B1597" t="str">
            <v>5-4390</v>
          </cell>
          <cell r="C1597" t="str">
            <v>SEKSI MADING</v>
          </cell>
          <cell r="D1597">
            <v>0</v>
          </cell>
          <cell r="E1597">
            <v>0</v>
          </cell>
          <cell r="F1597">
            <v>0</v>
          </cell>
          <cell r="G1597">
            <v>0</v>
          </cell>
          <cell r="H1597">
            <v>0</v>
          </cell>
          <cell r="I1597">
            <v>0</v>
          </cell>
          <cell r="J1597">
            <v>0</v>
          </cell>
        </row>
        <row r="1598">
          <cell r="B1598" t="str">
            <v>5-4391</v>
          </cell>
          <cell r="C1598" t="str">
            <v>Stationary</v>
          </cell>
          <cell r="D1598">
            <v>0</v>
          </cell>
          <cell r="E1598">
            <v>0</v>
          </cell>
          <cell r="F1598">
            <v>0</v>
          </cell>
          <cell r="G1598">
            <v>0</v>
          </cell>
          <cell r="H1598">
            <v>0</v>
          </cell>
          <cell r="I1598">
            <v>0</v>
          </cell>
          <cell r="J1598">
            <v>0</v>
          </cell>
        </row>
        <row r="1599">
          <cell r="B1599" t="str">
            <v>5-4392</v>
          </cell>
          <cell r="C1599" t="str">
            <v>Supplies</v>
          </cell>
          <cell r="D1599">
            <v>0</v>
          </cell>
          <cell r="E1599">
            <v>0</v>
          </cell>
          <cell r="F1599">
            <v>0</v>
          </cell>
          <cell r="G1599">
            <v>0</v>
          </cell>
          <cell r="H1599">
            <v>0</v>
          </cell>
          <cell r="I1599">
            <v>0</v>
          </cell>
          <cell r="J1599">
            <v>0</v>
          </cell>
        </row>
        <row r="1600">
          <cell r="B1600" t="str">
            <v>5-4393</v>
          </cell>
          <cell r="C1600" t="str">
            <v>Transportation</v>
          </cell>
          <cell r="D1600">
            <v>0</v>
          </cell>
          <cell r="E1600">
            <v>0</v>
          </cell>
          <cell r="F1600">
            <v>0</v>
          </cell>
          <cell r="G1600">
            <v>0</v>
          </cell>
          <cell r="H1600">
            <v>0</v>
          </cell>
          <cell r="I1600">
            <v>0</v>
          </cell>
          <cell r="J1600">
            <v>0</v>
          </cell>
        </row>
        <row r="1601">
          <cell r="B1601" t="str">
            <v>5-4394</v>
          </cell>
          <cell r="C1601" t="str">
            <v>Prize</v>
          </cell>
          <cell r="D1601">
            <v>0</v>
          </cell>
          <cell r="E1601">
            <v>0</v>
          </cell>
          <cell r="F1601">
            <v>0</v>
          </cell>
          <cell r="G1601">
            <v>0</v>
          </cell>
          <cell r="H1601">
            <v>0</v>
          </cell>
          <cell r="I1601">
            <v>0</v>
          </cell>
          <cell r="J1601">
            <v>0</v>
          </cell>
        </row>
        <row r="1602">
          <cell r="B1602" t="str">
            <v>5-4395</v>
          </cell>
          <cell r="C1602" t="str">
            <v>Consumption</v>
          </cell>
          <cell r="D1602">
            <v>0</v>
          </cell>
          <cell r="E1602">
            <v>0</v>
          </cell>
          <cell r="F1602">
            <v>0</v>
          </cell>
          <cell r="G1602">
            <v>0</v>
          </cell>
          <cell r="H1602">
            <v>0</v>
          </cell>
          <cell r="I1602">
            <v>0</v>
          </cell>
          <cell r="J1602">
            <v>0</v>
          </cell>
        </row>
        <row r="1603">
          <cell r="B1603" t="str">
            <v>5-4396</v>
          </cell>
          <cell r="C1603" t="str">
            <v>Repair &amp; Maintenence</v>
          </cell>
          <cell r="D1603">
            <v>0</v>
          </cell>
          <cell r="E1603">
            <v>0</v>
          </cell>
          <cell r="F1603">
            <v>0</v>
          </cell>
          <cell r="G1603">
            <v>0</v>
          </cell>
          <cell r="H1603">
            <v>0</v>
          </cell>
          <cell r="I1603">
            <v>0</v>
          </cell>
          <cell r="J1603">
            <v>0</v>
          </cell>
        </row>
        <row r="1604">
          <cell r="B1604" t="str">
            <v>5-4399</v>
          </cell>
          <cell r="C1604" t="str">
            <v>Othes</v>
          </cell>
          <cell r="D1604">
            <v>0</v>
          </cell>
          <cell r="E1604">
            <v>0</v>
          </cell>
          <cell r="F1604">
            <v>0</v>
          </cell>
          <cell r="G1604">
            <v>0</v>
          </cell>
          <cell r="H1604">
            <v>0</v>
          </cell>
          <cell r="I1604">
            <v>0</v>
          </cell>
          <cell r="J1604">
            <v>0</v>
          </cell>
        </row>
        <row r="1605">
          <cell r="B1605" t="str">
            <v>5-4410</v>
          </cell>
          <cell r="C1605" t="str">
            <v>PROPAGANDA</v>
          </cell>
          <cell r="D1605">
            <v>0</v>
          </cell>
          <cell r="E1605">
            <v>0</v>
          </cell>
          <cell r="F1605">
            <v>0</v>
          </cell>
          <cell r="G1605">
            <v>0</v>
          </cell>
          <cell r="H1605">
            <v>0</v>
          </cell>
          <cell r="I1605">
            <v>0</v>
          </cell>
          <cell r="J1605">
            <v>0</v>
          </cell>
        </row>
        <row r="1606">
          <cell r="B1606" t="str">
            <v>5-4411</v>
          </cell>
          <cell r="C1606" t="str">
            <v>Stationary</v>
          </cell>
          <cell r="D1606">
            <v>0</v>
          </cell>
          <cell r="E1606">
            <v>0</v>
          </cell>
          <cell r="F1606">
            <v>0</v>
          </cell>
          <cell r="G1606">
            <v>0</v>
          </cell>
          <cell r="H1606">
            <v>0</v>
          </cell>
          <cell r="I1606">
            <v>0</v>
          </cell>
          <cell r="J1606">
            <v>0</v>
          </cell>
        </row>
        <row r="1607">
          <cell r="B1607" t="str">
            <v>5-4412</v>
          </cell>
          <cell r="C1607" t="str">
            <v>Supplies</v>
          </cell>
          <cell r="D1607">
            <v>0</v>
          </cell>
          <cell r="E1607">
            <v>0</v>
          </cell>
          <cell r="F1607">
            <v>0</v>
          </cell>
          <cell r="G1607">
            <v>0</v>
          </cell>
          <cell r="H1607">
            <v>0</v>
          </cell>
          <cell r="I1607">
            <v>0</v>
          </cell>
          <cell r="J1607">
            <v>0</v>
          </cell>
        </row>
        <row r="1608">
          <cell r="B1608" t="str">
            <v>5-4413</v>
          </cell>
          <cell r="C1608" t="str">
            <v>Transportation</v>
          </cell>
          <cell r="D1608">
            <v>0</v>
          </cell>
          <cell r="E1608">
            <v>0</v>
          </cell>
          <cell r="F1608">
            <v>80000</v>
          </cell>
          <cell r="G1608">
            <v>0</v>
          </cell>
          <cell r="H1608">
            <v>80000</v>
          </cell>
          <cell r="I1608">
            <v>80000</v>
          </cell>
          <cell r="J1608">
            <v>0</v>
          </cell>
        </row>
        <row r="1609">
          <cell r="B1609" t="str">
            <v>5-4414</v>
          </cell>
          <cell r="C1609" t="str">
            <v>Prize</v>
          </cell>
          <cell r="D1609">
            <v>0</v>
          </cell>
          <cell r="E1609">
            <v>0</v>
          </cell>
          <cell r="F1609">
            <v>0</v>
          </cell>
          <cell r="G1609">
            <v>0</v>
          </cell>
          <cell r="H1609">
            <v>0</v>
          </cell>
          <cell r="I1609">
            <v>0</v>
          </cell>
          <cell r="J1609">
            <v>0</v>
          </cell>
        </row>
        <row r="1610">
          <cell r="B1610" t="str">
            <v>5-4415</v>
          </cell>
          <cell r="C1610" t="str">
            <v>Consumptions</v>
          </cell>
          <cell r="D1610">
            <v>0</v>
          </cell>
          <cell r="E1610">
            <v>0</v>
          </cell>
          <cell r="F1610">
            <v>0</v>
          </cell>
          <cell r="G1610">
            <v>0</v>
          </cell>
          <cell r="H1610">
            <v>0</v>
          </cell>
          <cell r="I1610">
            <v>0</v>
          </cell>
          <cell r="J1610">
            <v>0</v>
          </cell>
        </row>
        <row r="1611">
          <cell r="B1611" t="str">
            <v>5-4419</v>
          </cell>
          <cell r="C1611" t="str">
            <v>Lain-lain</v>
          </cell>
          <cell r="D1611">
            <v>0</v>
          </cell>
          <cell r="E1611">
            <v>0</v>
          </cell>
          <cell r="F1611">
            <v>0</v>
          </cell>
          <cell r="G1611">
            <v>0</v>
          </cell>
          <cell r="H1611">
            <v>0</v>
          </cell>
          <cell r="I1611">
            <v>0</v>
          </cell>
          <cell r="J1611">
            <v>0</v>
          </cell>
        </row>
        <row r="1612">
          <cell r="B1612" t="str">
            <v>5-4420</v>
          </cell>
          <cell r="C1612" t="str">
            <v>SPORTS</v>
          </cell>
          <cell r="D1612">
            <v>0</v>
          </cell>
          <cell r="E1612">
            <v>0</v>
          </cell>
          <cell r="F1612">
            <v>0</v>
          </cell>
          <cell r="G1612">
            <v>0</v>
          </cell>
          <cell r="H1612">
            <v>0</v>
          </cell>
          <cell r="I1612">
            <v>0</v>
          </cell>
          <cell r="J1612">
            <v>0</v>
          </cell>
        </row>
        <row r="1613">
          <cell r="B1613" t="str">
            <v>5-4421</v>
          </cell>
          <cell r="C1613" t="str">
            <v>Stationary</v>
          </cell>
          <cell r="D1613">
            <v>0</v>
          </cell>
          <cell r="E1613">
            <v>0</v>
          </cell>
          <cell r="F1613">
            <v>0</v>
          </cell>
          <cell r="G1613">
            <v>0</v>
          </cell>
          <cell r="H1613">
            <v>0</v>
          </cell>
          <cell r="I1613">
            <v>0</v>
          </cell>
          <cell r="J1613">
            <v>0</v>
          </cell>
        </row>
        <row r="1614">
          <cell r="B1614" t="str">
            <v>5-4422</v>
          </cell>
          <cell r="C1614" t="str">
            <v>Supplies</v>
          </cell>
          <cell r="D1614">
            <v>0</v>
          </cell>
          <cell r="E1614">
            <v>0</v>
          </cell>
          <cell r="F1614">
            <v>0</v>
          </cell>
          <cell r="G1614">
            <v>0</v>
          </cell>
          <cell r="H1614">
            <v>0</v>
          </cell>
          <cell r="I1614">
            <v>0</v>
          </cell>
          <cell r="J1614">
            <v>0</v>
          </cell>
        </row>
        <row r="1615">
          <cell r="B1615" t="str">
            <v>5-4423</v>
          </cell>
          <cell r="C1615" t="str">
            <v>Transportation</v>
          </cell>
          <cell r="D1615">
            <v>0</v>
          </cell>
          <cell r="E1615">
            <v>0</v>
          </cell>
          <cell r="F1615">
            <v>0</v>
          </cell>
          <cell r="G1615">
            <v>0</v>
          </cell>
          <cell r="H1615">
            <v>0</v>
          </cell>
          <cell r="I1615">
            <v>0</v>
          </cell>
          <cell r="J1615">
            <v>0</v>
          </cell>
        </row>
        <row r="1616">
          <cell r="B1616" t="str">
            <v>5-4424</v>
          </cell>
          <cell r="C1616" t="str">
            <v>Prize</v>
          </cell>
          <cell r="D1616">
            <v>0</v>
          </cell>
          <cell r="E1616">
            <v>0</v>
          </cell>
          <cell r="F1616">
            <v>0</v>
          </cell>
          <cell r="G1616">
            <v>0</v>
          </cell>
          <cell r="H1616">
            <v>0</v>
          </cell>
          <cell r="I1616">
            <v>0</v>
          </cell>
          <cell r="J1616">
            <v>0</v>
          </cell>
        </row>
        <row r="1617">
          <cell r="B1617" t="str">
            <v>5-4425</v>
          </cell>
          <cell r="C1617" t="str">
            <v>Consumptions</v>
          </cell>
          <cell r="D1617">
            <v>0</v>
          </cell>
          <cell r="E1617">
            <v>0</v>
          </cell>
          <cell r="F1617">
            <v>0</v>
          </cell>
          <cell r="G1617">
            <v>0</v>
          </cell>
          <cell r="H1617">
            <v>0</v>
          </cell>
          <cell r="I1617">
            <v>0</v>
          </cell>
          <cell r="J1617">
            <v>0</v>
          </cell>
        </row>
        <row r="1618">
          <cell r="B1618" t="str">
            <v>5-4429</v>
          </cell>
          <cell r="C1618" t="str">
            <v>Lain-lain</v>
          </cell>
          <cell r="D1618">
            <v>0</v>
          </cell>
          <cell r="E1618">
            <v>0</v>
          </cell>
          <cell r="F1618">
            <v>0</v>
          </cell>
          <cell r="G1618">
            <v>0</v>
          </cell>
          <cell r="H1618">
            <v>0</v>
          </cell>
          <cell r="I1618">
            <v>0</v>
          </cell>
          <cell r="J1618">
            <v>0</v>
          </cell>
        </row>
        <row r="1619">
          <cell r="B1619" t="str">
            <v>5-5110</v>
          </cell>
          <cell r="C1619" t="str">
            <v>PERSONAL - GAJI</v>
          </cell>
          <cell r="D1619">
            <v>0</v>
          </cell>
          <cell r="E1619">
            <v>0</v>
          </cell>
          <cell r="F1619">
            <v>0</v>
          </cell>
          <cell r="G1619">
            <v>0</v>
          </cell>
          <cell r="H1619">
            <v>0</v>
          </cell>
          <cell r="I1619">
            <v>0</v>
          </cell>
          <cell r="J1619">
            <v>0</v>
          </cell>
        </row>
        <row r="1620">
          <cell r="B1620" t="str">
            <v>5-5111</v>
          </cell>
          <cell r="C1620" t="str">
            <v>Permanent Staff Salary</v>
          </cell>
          <cell r="D1620">
            <v>13385430</v>
          </cell>
          <cell r="E1620">
            <v>0</v>
          </cell>
          <cell r="F1620">
            <v>23908348</v>
          </cell>
          <cell r="G1620">
            <v>139152</v>
          </cell>
          <cell r="H1620">
            <v>23769196</v>
          </cell>
          <cell r="I1620">
            <v>37154626</v>
          </cell>
          <cell r="J1620">
            <v>0</v>
          </cell>
        </row>
        <row r="1621">
          <cell r="B1621" t="str">
            <v>5-5112</v>
          </cell>
          <cell r="C1621" t="str">
            <v>Temporary Staff Salary</v>
          </cell>
          <cell r="D1621">
            <v>0</v>
          </cell>
          <cell r="E1621">
            <v>0</v>
          </cell>
          <cell r="F1621">
            <v>0</v>
          </cell>
          <cell r="G1621">
            <v>0</v>
          </cell>
          <cell r="H1621">
            <v>0</v>
          </cell>
          <cell r="I1621">
            <v>0</v>
          </cell>
          <cell r="J1621">
            <v>0</v>
          </cell>
        </row>
        <row r="1622">
          <cell r="B1622" t="str">
            <v>5-5113</v>
          </cell>
          <cell r="C1622" t="str">
            <v>Honorarium santri Khidmah</v>
          </cell>
          <cell r="D1622">
            <v>0</v>
          </cell>
          <cell r="E1622">
            <v>0</v>
          </cell>
          <cell r="F1622">
            <v>0</v>
          </cell>
          <cell r="G1622">
            <v>0</v>
          </cell>
          <cell r="H1622">
            <v>0</v>
          </cell>
          <cell r="I1622">
            <v>0</v>
          </cell>
          <cell r="J1622">
            <v>0</v>
          </cell>
        </row>
        <row r="1623">
          <cell r="B1623" t="str">
            <v>5-5114</v>
          </cell>
          <cell r="C1623" t="str">
            <v>Staff overtime</v>
          </cell>
          <cell r="D1623">
            <v>0</v>
          </cell>
          <cell r="E1623">
            <v>0</v>
          </cell>
          <cell r="F1623">
            <v>139152</v>
          </cell>
          <cell r="G1623">
            <v>0</v>
          </cell>
          <cell r="H1623">
            <v>139152</v>
          </cell>
          <cell r="I1623">
            <v>139152</v>
          </cell>
          <cell r="J1623">
            <v>0</v>
          </cell>
        </row>
        <row r="1624">
          <cell r="B1624" t="str">
            <v>5-5115</v>
          </cell>
          <cell r="C1624" t="str">
            <v>Joint Salary Allocation</v>
          </cell>
          <cell r="D1624">
            <v>0</v>
          </cell>
          <cell r="E1624">
            <v>0</v>
          </cell>
          <cell r="F1624">
            <v>0</v>
          </cell>
          <cell r="G1624">
            <v>0</v>
          </cell>
          <cell r="H1624">
            <v>0</v>
          </cell>
          <cell r="I1624">
            <v>0</v>
          </cell>
          <cell r="J1624">
            <v>0</v>
          </cell>
        </row>
        <row r="1625">
          <cell r="B1625" t="str">
            <v>5-5117</v>
          </cell>
          <cell r="C1625" t="str">
            <v>New Account</v>
          </cell>
          <cell r="D1625">
            <v>0</v>
          </cell>
          <cell r="E1625">
            <v>0</v>
          </cell>
          <cell r="F1625">
            <v>0</v>
          </cell>
          <cell r="G1625">
            <v>0</v>
          </cell>
          <cell r="H1625">
            <v>0</v>
          </cell>
          <cell r="I1625">
            <v>0</v>
          </cell>
          <cell r="J1625">
            <v>0</v>
          </cell>
        </row>
        <row r="1626">
          <cell r="B1626" t="str">
            <v>5-5119</v>
          </cell>
          <cell r="C1626" t="str">
            <v>Others Salary</v>
          </cell>
          <cell r="D1626">
            <v>0</v>
          </cell>
          <cell r="E1626">
            <v>0</v>
          </cell>
          <cell r="F1626">
            <v>0</v>
          </cell>
          <cell r="G1626">
            <v>0</v>
          </cell>
          <cell r="H1626">
            <v>0</v>
          </cell>
          <cell r="I1626">
            <v>0</v>
          </cell>
          <cell r="J1626">
            <v>0</v>
          </cell>
        </row>
        <row r="1627">
          <cell r="B1627" t="str">
            <v>5-5120</v>
          </cell>
          <cell r="C1627" t="str">
            <v>PERSONAL - ALLOWANCE OF</v>
          </cell>
          <cell r="D1627">
            <v>0</v>
          </cell>
          <cell r="E1627">
            <v>0</v>
          </cell>
          <cell r="F1627">
            <v>0</v>
          </cell>
          <cell r="G1627">
            <v>0</v>
          </cell>
          <cell r="H1627">
            <v>0</v>
          </cell>
          <cell r="I1627">
            <v>0</v>
          </cell>
          <cell r="J1627">
            <v>0</v>
          </cell>
        </row>
        <row r="1628">
          <cell r="B1628" t="str">
            <v>5-5121</v>
          </cell>
          <cell r="C1628" t="str">
            <v>Allowance of Hulled Rice</v>
          </cell>
          <cell r="D1628">
            <v>619200</v>
          </cell>
          <cell r="E1628">
            <v>0</v>
          </cell>
          <cell r="F1628">
            <v>648000</v>
          </cell>
          <cell r="G1628">
            <v>0</v>
          </cell>
          <cell r="H1628">
            <v>648000</v>
          </cell>
          <cell r="I1628">
            <v>1267200</v>
          </cell>
          <cell r="J1628">
            <v>0</v>
          </cell>
        </row>
        <row r="1629">
          <cell r="B1629" t="str">
            <v>5-5122</v>
          </cell>
          <cell r="C1629" t="str">
            <v>Alowance of doctor and medicin</v>
          </cell>
          <cell r="D1629">
            <v>123900</v>
          </cell>
          <cell r="E1629">
            <v>0</v>
          </cell>
          <cell r="F1629">
            <v>253100</v>
          </cell>
          <cell r="G1629">
            <v>87800</v>
          </cell>
          <cell r="H1629">
            <v>165300</v>
          </cell>
          <cell r="I1629">
            <v>289200</v>
          </cell>
          <cell r="J1629">
            <v>0</v>
          </cell>
        </row>
        <row r="1630">
          <cell r="B1630" t="str">
            <v>5-5123</v>
          </cell>
          <cell r="C1630" t="str">
            <v>Alowance of spectacles</v>
          </cell>
          <cell r="D1630">
            <v>0</v>
          </cell>
          <cell r="E1630">
            <v>0</v>
          </cell>
          <cell r="F1630">
            <v>0</v>
          </cell>
          <cell r="G1630">
            <v>0</v>
          </cell>
          <cell r="H1630">
            <v>0</v>
          </cell>
          <cell r="I1630">
            <v>0</v>
          </cell>
          <cell r="J1630">
            <v>0</v>
          </cell>
        </row>
        <row r="1631">
          <cell r="B1631" t="str">
            <v>5-5124</v>
          </cell>
          <cell r="C1631" t="str">
            <v>Allowance of operation&amp;hospita</v>
          </cell>
          <cell r="D1631">
            <v>0</v>
          </cell>
          <cell r="E1631">
            <v>0</v>
          </cell>
          <cell r="F1631">
            <v>0</v>
          </cell>
          <cell r="G1631">
            <v>0</v>
          </cell>
          <cell r="H1631">
            <v>0</v>
          </cell>
          <cell r="I1631">
            <v>0</v>
          </cell>
          <cell r="J1631">
            <v>0</v>
          </cell>
        </row>
        <row r="1632">
          <cell r="B1632" t="str">
            <v>5-5125</v>
          </cell>
          <cell r="C1632" t="str">
            <v>Allowance of disaster &amp; die</v>
          </cell>
          <cell r="D1632">
            <v>0</v>
          </cell>
          <cell r="E1632">
            <v>0</v>
          </cell>
          <cell r="F1632">
            <v>0</v>
          </cell>
          <cell r="G1632">
            <v>0</v>
          </cell>
          <cell r="H1632">
            <v>0</v>
          </cell>
          <cell r="I1632">
            <v>0</v>
          </cell>
          <cell r="J1632">
            <v>0</v>
          </cell>
        </row>
        <row r="1633">
          <cell r="B1633" t="str">
            <v>5-5126</v>
          </cell>
          <cell r="C1633" t="str">
            <v>Allowance of hari raya</v>
          </cell>
          <cell r="D1633">
            <v>13325080</v>
          </cell>
          <cell r="E1633">
            <v>0</v>
          </cell>
          <cell r="F1633">
            <v>0</v>
          </cell>
          <cell r="G1633">
            <v>0</v>
          </cell>
          <cell r="H1633">
            <v>0</v>
          </cell>
          <cell r="I1633">
            <v>13325080</v>
          </cell>
          <cell r="J1633">
            <v>0</v>
          </cell>
        </row>
        <row r="1634">
          <cell r="B1634" t="str">
            <v>5-5127</v>
          </cell>
          <cell r="C1634" t="str">
            <v>Allowance of birth</v>
          </cell>
          <cell r="D1634">
            <v>0</v>
          </cell>
          <cell r="E1634">
            <v>0</v>
          </cell>
          <cell r="F1634">
            <v>0</v>
          </cell>
          <cell r="G1634">
            <v>0</v>
          </cell>
          <cell r="H1634">
            <v>0</v>
          </cell>
          <cell r="I1634">
            <v>0</v>
          </cell>
          <cell r="J1634">
            <v>0</v>
          </cell>
        </row>
        <row r="1635">
          <cell r="B1635" t="str">
            <v>5-5128</v>
          </cell>
          <cell r="C1635" t="str">
            <v>Allowance of married</v>
          </cell>
          <cell r="D1635">
            <v>0</v>
          </cell>
          <cell r="E1635">
            <v>0</v>
          </cell>
          <cell r="F1635">
            <v>0</v>
          </cell>
          <cell r="G1635">
            <v>0</v>
          </cell>
          <cell r="H1635">
            <v>0</v>
          </cell>
          <cell r="I1635">
            <v>0</v>
          </cell>
          <cell r="J1635">
            <v>0</v>
          </cell>
        </row>
        <row r="1636">
          <cell r="B1636" t="str">
            <v>5-5129</v>
          </cell>
          <cell r="C1636" t="str">
            <v>Allowance of house rent&amp;others</v>
          </cell>
          <cell r="D1636">
            <v>0</v>
          </cell>
          <cell r="E1636">
            <v>0</v>
          </cell>
          <cell r="F1636">
            <v>0</v>
          </cell>
          <cell r="G1636">
            <v>0</v>
          </cell>
          <cell r="H1636">
            <v>0</v>
          </cell>
          <cell r="I1636">
            <v>0</v>
          </cell>
          <cell r="J1636">
            <v>0</v>
          </cell>
        </row>
        <row r="1637">
          <cell r="B1637" t="str">
            <v>5-5130</v>
          </cell>
          <cell r="C1637" t="str">
            <v>OFFICE</v>
          </cell>
          <cell r="D1637">
            <v>0</v>
          </cell>
          <cell r="E1637">
            <v>0</v>
          </cell>
          <cell r="F1637">
            <v>0</v>
          </cell>
          <cell r="G1637">
            <v>0</v>
          </cell>
          <cell r="H1637">
            <v>0</v>
          </cell>
          <cell r="I1637">
            <v>0</v>
          </cell>
          <cell r="J1637">
            <v>0</v>
          </cell>
        </row>
        <row r="1638">
          <cell r="B1638" t="str">
            <v>5-5131</v>
          </cell>
          <cell r="C1638" t="str">
            <v>Stationary papers</v>
          </cell>
          <cell r="D1638">
            <v>0</v>
          </cell>
          <cell r="E1638">
            <v>0</v>
          </cell>
          <cell r="F1638">
            <v>263339.12</v>
          </cell>
          <cell r="G1638">
            <v>0</v>
          </cell>
          <cell r="H1638">
            <v>263339.12</v>
          </cell>
          <cell r="I1638">
            <v>263339.12</v>
          </cell>
          <cell r="J1638">
            <v>0</v>
          </cell>
        </row>
        <row r="1639">
          <cell r="B1639" t="str">
            <v>5-5132</v>
          </cell>
          <cell r="C1639" t="str">
            <v>Stationary written toolls</v>
          </cell>
          <cell r="D1639" t="str">
            <v>0.00cr</v>
          </cell>
          <cell r="E1639">
            <v>0</v>
          </cell>
          <cell r="F1639">
            <v>185536.39</v>
          </cell>
          <cell r="G1639">
            <v>0</v>
          </cell>
          <cell r="H1639">
            <v>185536.39</v>
          </cell>
          <cell r="I1639">
            <v>185536.39</v>
          </cell>
          <cell r="J1639">
            <v>0</v>
          </cell>
        </row>
        <row r="1640">
          <cell r="B1640" t="str">
            <v>5-5133</v>
          </cell>
          <cell r="C1640" t="str">
            <v>Stationary ink</v>
          </cell>
          <cell r="D1640">
            <v>0</v>
          </cell>
          <cell r="E1640">
            <v>0</v>
          </cell>
          <cell r="F1640">
            <v>72649.02</v>
          </cell>
          <cell r="G1640">
            <v>0</v>
          </cell>
          <cell r="H1640">
            <v>72649.02</v>
          </cell>
          <cell r="I1640">
            <v>72649.02</v>
          </cell>
          <cell r="J1640">
            <v>0</v>
          </cell>
        </row>
        <row r="1641">
          <cell r="B1641" t="str">
            <v>5-5134</v>
          </cell>
          <cell r="C1641" t="str">
            <v>Stationary Others</v>
          </cell>
          <cell r="D1641">
            <v>0</v>
          </cell>
          <cell r="E1641">
            <v>0</v>
          </cell>
          <cell r="F1641">
            <v>0</v>
          </cell>
          <cell r="G1641">
            <v>0</v>
          </cell>
          <cell r="H1641">
            <v>0</v>
          </cell>
          <cell r="I1641">
            <v>0</v>
          </cell>
          <cell r="J1641">
            <v>0</v>
          </cell>
        </row>
        <row r="1642">
          <cell r="B1642" t="str">
            <v>5-5135</v>
          </cell>
          <cell r="C1642" t="str">
            <v>Consumptions</v>
          </cell>
          <cell r="D1642">
            <v>0</v>
          </cell>
          <cell r="E1642">
            <v>0</v>
          </cell>
          <cell r="F1642">
            <v>0</v>
          </cell>
          <cell r="G1642">
            <v>0</v>
          </cell>
          <cell r="H1642">
            <v>0</v>
          </cell>
          <cell r="I1642">
            <v>0</v>
          </cell>
          <cell r="J1642">
            <v>0</v>
          </cell>
        </row>
        <row r="1643">
          <cell r="B1643" t="str">
            <v>5-5136</v>
          </cell>
          <cell r="C1643" t="str">
            <v>Fotocopy &amp; Printing</v>
          </cell>
          <cell r="D1643">
            <v>0</v>
          </cell>
          <cell r="E1643">
            <v>0</v>
          </cell>
          <cell r="F1643">
            <v>0</v>
          </cell>
          <cell r="G1643">
            <v>0</v>
          </cell>
          <cell r="H1643">
            <v>0</v>
          </cell>
          <cell r="I1643">
            <v>0</v>
          </cell>
          <cell r="J1643">
            <v>0</v>
          </cell>
        </row>
        <row r="1644">
          <cell r="B1644" t="str">
            <v>5-5137</v>
          </cell>
          <cell r="C1644" t="str">
            <v>Office Suplies</v>
          </cell>
          <cell r="D1644">
            <v>0</v>
          </cell>
          <cell r="E1644">
            <v>0</v>
          </cell>
          <cell r="F1644">
            <v>0</v>
          </cell>
          <cell r="G1644">
            <v>0</v>
          </cell>
          <cell r="H1644">
            <v>0</v>
          </cell>
          <cell r="I1644">
            <v>0</v>
          </cell>
          <cell r="J1644">
            <v>0</v>
          </cell>
        </row>
        <row r="1645">
          <cell r="B1645" t="str">
            <v>5-5139</v>
          </cell>
          <cell r="C1645" t="str">
            <v>Others</v>
          </cell>
          <cell r="D1645">
            <v>0</v>
          </cell>
          <cell r="E1645">
            <v>0</v>
          </cell>
          <cell r="F1645">
            <v>0</v>
          </cell>
          <cell r="G1645">
            <v>0</v>
          </cell>
          <cell r="H1645">
            <v>0</v>
          </cell>
          <cell r="I1645">
            <v>0</v>
          </cell>
          <cell r="J1645">
            <v>0</v>
          </cell>
        </row>
        <row r="1646">
          <cell r="B1646" t="str">
            <v>5-5140</v>
          </cell>
          <cell r="C1646" t="str">
            <v>TRANSPORTATION &amp; TELECOMUNICAT</v>
          </cell>
          <cell r="D1646">
            <v>0</v>
          </cell>
          <cell r="E1646">
            <v>0</v>
          </cell>
          <cell r="F1646">
            <v>0</v>
          </cell>
          <cell r="G1646">
            <v>0</v>
          </cell>
          <cell r="H1646">
            <v>0</v>
          </cell>
          <cell r="I1646">
            <v>0</v>
          </cell>
          <cell r="J1646">
            <v>0</v>
          </cell>
        </row>
        <row r="1647">
          <cell r="B1647" t="str">
            <v>5-5141</v>
          </cell>
          <cell r="C1647" t="str">
            <v>Mail &amp; Shipment</v>
          </cell>
          <cell r="D1647">
            <v>0</v>
          </cell>
          <cell r="E1647">
            <v>0</v>
          </cell>
          <cell r="F1647">
            <v>0</v>
          </cell>
          <cell r="G1647">
            <v>0</v>
          </cell>
          <cell r="H1647">
            <v>0</v>
          </cell>
          <cell r="I1647">
            <v>0</v>
          </cell>
          <cell r="J1647">
            <v>0</v>
          </cell>
        </row>
        <row r="1648">
          <cell r="B1648" t="str">
            <v>5-5142</v>
          </cell>
          <cell r="C1648" t="str">
            <v>Telephone</v>
          </cell>
          <cell r="D1648">
            <v>0</v>
          </cell>
          <cell r="E1648">
            <v>0</v>
          </cell>
          <cell r="F1648">
            <v>0</v>
          </cell>
          <cell r="G1648">
            <v>0</v>
          </cell>
          <cell r="H1648">
            <v>0</v>
          </cell>
          <cell r="I1648">
            <v>0</v>
          </cell>
          <cell r="J1648">
            <v>0</v>
          </cell>
        </row>
        <row r="1649">
          <cell r="B1649" t="str">
            <v>5-5143</v>
          </cell>
          <cell r="C1649" t="str">
            <v>Fuel</v>
          </cell>
          <cell r="D1649">
            <v>0</v>
          </cell>
          <cell r="E1649">
            <v>0</v>
          </cell>
          <cell r="F1649">
            <v>0</v>
          </cell>
          <cell r="G1649">
            <v>0</v>
          </cell>
          <cell r="H1649">
            <v>0</v>
          </cell>
          <cell r="I1649">
            <v>0</v>
          </cell>
          <cell r="J1649">
            <v>0</v>
          </cell>
        </row>
        <row r="1650">
          <cell r="B1650" t="str">
            <v>5-5144</v>
          </cell>
          <cell r="C1650" t="str">
            <v>Accommodations</v>
          </cell>
          <cell r="D1650">
            <v>0</v>
          </cell>
          <cell r="E1650">
            <v>0</v>
          </cell>
          <cell r="F1650">
            <v>0</v>
          </cell>
          <cell r="G1650">
            <v>0</v>
          </cell>
          <cell r="H1650">
            <v>0</v>
          </cell>
          <cell r="I1650">
            <v>0</v>
          </cell>
          <cell r="J1650">
            <v>0</v>
          </cell>
        </row>
        <row r="1651">
          <cell r="B1651" t="str">
            <v>5-5145</v>
          </cell>
          <cell r="C1651" t="str">
            <v>Public Transportation</v>
          </cell>
          <cell r="D1651">
            <v>0</v>
          </cell>
          <cell r="E1651">
            <v>0</v>
          </cell>
          <cell r="F1651">
            <v>0</v>
          </cell>
          <cell r="G1651">
            <v>0</v>
          </cell>
          <cell r="H1651">
            <v>0</v>
          </cell>
          <cell r="I1651">
            <v>0</v>
          </cell>
          <cell r="J1651">
            <v>0</v>
          </cell>
        </row>
        <row r="1652">
          <cell r="B1652" t="str">
            <v>5-5146</v>
          </cell>
          <cell r="C1652" t="str">
            <v>Joint Transportation Allocatio</v>
          </cell>
          <cell r="D1652">
            <v>0</v>
          </cell>
          <cell r="E1652">
            <v>0</v>
          </cell>
          <cell r="F1652">
            <v>0</v>
          </cell>
          <cell r="G1652">
            <v>0</v>
          </cell>
          <cell r="H1652">
            <v>0</v>
          </cell>
          <cell r="I1652">
            <v>0</v>
          </cell>
          <cell r="J1652">
            <v>0</v>
          </cell>
        </row>
        <row r="1653">
          <cell r="B1653" t="str">
            <v>5-5149</v>
          </cell>
          <cell r="C1653" t="str">
            <v>Others</v>
          </cell>
          <cell r="D1653">
            <v>0</v>
          </cell>
          <cell r="E1653">
            <v>0</v>
          </cell>
          <cell r="F1653">
            <v>0</v>
          </cell>
          <cell r="G1653">
            <v>0</v>
          </cell>
          <cell r="H1653">
            <v>0</v>
          </cell>
          <cell r="I1653">
            <v>0</v>
          </cell>
          <cell r="J1653">
            <v>0</v>
          </cell>
        </row>
        <row r="1654">
          <cell r="B1654" t="str">
            <v>5-5150</v>
          </cell>
          <cell r="C1654" t="str">
            <v>REPAIR &amp; MAINTENENCE</v>
          </cell>
          <cell r="D1654">
            <v>0</v>
          </cell>
          <cell r="E1654">
            <v>0</v>
          </cell>
          <cell r="F1654">
            <v>0</v>
          </cell>
          <cell r="G1654">
            <v>0</v>
          </cell>
          <cell r="H1654">
            <v>0</v>
          </cell>
          <cell r="I1654">
            <v>0</v>
          </cell>
          <cell r="J1654">
            <v>0</v>
          </cell>
        </row>
        <row r="1655">
          <cell r="B1655" t="str">
            <v>5-5151</v>
          </cell>
          <cell r="C1655" t="str">
            <v>R &amp; M - Computer &amp; audio visua</v>
          </cell>
          <cell r="D1655">
            <v>0</v>
          </cell>
          <cell r="E1655">
            <v>0</v>
          </cell>
          <cell r="F1655">
            <v>0</v>
          </cell>
          <cell r="G1655">
            <v>0</v>
          </cell>
          <cell r="H1655">
            <v>0</v>
          </cell>
          <cell r="I1655">
            <v>0</v>
          </cell>
          <cell r="J1655">
            <v>0</v>
          </cell>
        </row>
        <row r="1656">
          <cell r="B1656" t="str">
            <v>5-5152</v>
          </cell>
          <cell r="C1656" t="str">
            <v>R &amp; M - Telephone &amp; Faxs</v>
          </cell>
          <cell r="D1656">
            <v>0</v>
          </cell>
          <cell r="E1656">
            <v>0</v>
          </cell>
          <cell r="F1656">
            <v>0</v>
          </cell>
          <cell r="G1656">
            <v>0</v>
          </cell>
          <cell r="H1656">
            <v>0</v>
          </cell>
          <cell r="I1656">
            <v>0</v>
          </cell>
          <cell r="J1656">
            <v>0</v>
          </cell>
        </row>
        <row r="1657">
          <cell r="B1657" t="str">
            <v>5-5153</v>
          </cell>
          <cell r="C1657" t="str">
            <v>R &amp; M - Office Eqiupment</v>
          </cell>
          <cell r="D1657">
            <v>0</v>
          </cell>
          <cell r="E1657">
            <v>0</v>
          </cell>
          <cell r="F1657">
            <v>0</v>
          </cell>
          <cell r="G1657">
            <v>0</v>
          </cell>
          <cell r="H1657">
            <v>0</v>
          </cell>
          <cell r="I1657">
            <v>0</v>
          </cell>
          <cell r="J1657">
            <v>0</v>
          </cell>
        </row>
        <row r="1658">
          <cell r="B1658" t="str">
            <v>5-5154</v>
          </cell>
          <cell r="C1658" t="str">
            <v>R &amp; M - Teaching Eqiupment</v>
          </cell>
          <cell r="D1658">
            <v>0</v>
          </cell>
          <cell r="E1658">
            <v>0</v>
          </cell>
          <cell r="F1658">
            <v>0</v>
          </cell>
          <cell r="G1658">
            <v>0</v>
          </cell>
          <cell r="H1658">
            <v>0</v>
          </cell>
          <cell r="I1658">
            <v>0</v>
          </cell>
          <cell r="J1658">
            <v>0</v>
          </cell>
        </row>
        <row r="1659">
          <cell r="B1659" t="str">
            <v>5-5155</v>
          </cell>
          <cell r="C1659" t="str">
            <v>R &amp; M - Other Eqiupment</v>
          </cell>
          <cell r="D1659">
            <v>0</v>
          </cell>
          <cell r="E1659">
            <v>0</v>
          </cell>
          <cell r="F1659">
            <v>0</v>
          </cell>
          <cell r="G1659">
            <v>0</v>
          </cell>
          <cell r="H1659">
            <v>0</v>
          </cell>
          <cell r="I1659">
            <v>0</v>
          </cell>
          <cell r="J1659">
            <v>0</v>
          </cell>
        </row>
        <row r="1660">
          <cell r="B1660" t="str">
            <v>5-5156</v>
          </cell>
          <cell r="C1660" t="str">
            <v>R &amp; M - Table &amp; Chairs</v>
          </cell>
          <cell r="D1660">
            <v>0</v>
          </cell>
          <cell r="E1660">
            <v>0</v>
          </cell>
          <cell r="F1660">
            <v>0</v>
          </cell>
          <cell r="G1660">
            <v>0</v>
          </cell>
          <cell r="H1660">
            <v>0</v>
          </cell>
          <cell r="I1660">
            <v>0</v>
          </cell>
          <cell r="J1660">
            <v>0</v>
          </cell>
        </row>
        <row r="1661">
          <cell r="B1661" t="str">
            <v>5-5157</v>
          </cell>
          <cell r="C1661" t="str">
            <v>R &amp; M - Cupboard &amp; Rack</v>
          </cell>
          <cell r="D1661">
            <v>0</v>
          </cell>
          <cell r="E1661">
            <v>0</v>
          </cell>
          <cell r="F1661">
            <v>0</v>
          </cell>
          <cell r="G1661">
            <v>0</v>
          </cell>
          <cell r="H1661">
            <v>0</v>
          </cell>
          <cell r="I1661">
            <v>0</v>
          </cell>
          <cell r="J1661">
            <v>0</v>
          </cell>
        </row>
        <row r="1662">
          <cell r="B1662" t="str">
            <v>5-5158</v>
          </cell>
          <cell r="C1662" t="str">
            <v>R &amp; M - Other Furniture</v>
          </cell>
          <cell r="D1662">
            <v>0</v>
          </cell>
          <cell r="E1662">
            <v>0</v>
          </cell>
          <cell r="F1662">
            <v>0</v>
          </cell>
          <cell r="G1662">
            <v>0</v>
          </cell>
          <cell r="H1662">
            <v>0</v>
          </cell>
          <cell r="I1662">
            <v>0</v>
          </cell>
          <cell r="J1662">
            <v>0</v>
          </cell>
        </row>
        <row r="1663">
          <cell r="B1663" t="str">
            <v>5-5159</v>
          </cell>
          <cell r="C1663" t="str">
            <v>R &amp; M - Other</v>
          </cell>
          <cell r="D1663">
            <v>0</v>
          </cell>
          <cell r="E1663">
            <v>0</v>
          </cell>
          <cell r="F1663">
            <v>0</v>
          </cell>
          <cell r="G1663">
            <v>0</v>
          </cell>
          <cell r="H1663">
            <v>0</v>
          </cell>
          <cell r="I1663">
            <v>0</v>
          </cell>
          <cell r="J1663">
            <v>0</v>
          </cell>
        </row>
        <row r="1664">
          <cell r="B1664" t="str">
            <v>5-5190</v>
          </cell>
          <cell r="C1664" t="str">
            <v>LAIN-LAIN</v>
          </cell>
          <cell r="D1664">
            <v>0</v>
          </cell>
          <cell r="E1664">
            <v>0</v>
          </cell>
          <cell r="F1664">
            <v>0</v>
          </cell>
          <cell r="G1664">
            <v>0</v>
          </cell>
          <cell r="H1664">
            <v>0</v>
          </cell>
          <cell r="I1664">
            <v>0</v>
          </cell>
          <cell r="J1664">
            <v>0</v>
          </cell>
        </row>
        <row r="1665">
          <cell r="B1665" t="str">
            <v>5-5191</v>
          </cell>
          <cell r="C1665" t="str">
            <v>Traning &amp; Workshop</v>
          </cell>
          <cell r="D1665">
            <v>0</v>
          </cell>
          <cell r="E1665">
            <v>0</v>
          </cell>
          <cell r="F1665">
            <v>0</v>
          </cell>
          <cell r="G1665">
            <v>0</v>
          </cell>
          <cell r="H1665">
            <v>0</v>
          </cell>
          <cell r="I1665">
            <v>0</v>
          </cell>
          <cell r="J1665">
            <v>0</v>
          </cell>
        </row>
        <row r="1666">
          <cell r="B1666" t="str">
            <v>5-5210</v>
          </cell>
          <cell r="C1666" t="str">
            <v>PERSONAL - GAJI</v>
          </cell>
          <cell r="D1666">
            <v>0</v>
          </cell>
          <cell r="E1666">
            <v>0</v>
          </cell>
          <cell r="F1666">
            <v>0</v>
          </cell>
          <cell r="G1666">
            <v>0</v>
          </cell>
          <cell r="H1666">
            <v>0</v>
          </cell>
          <cell r="I1666">
            <v>0</v>
          </cell>
          <cell r="J1666">
            <v>0</v>
          </cell>
        </row>
        <row r="1667">
          <cell r="B1667" t="str">
            <v>5-5211</v>
          </cell>
          <cell r="C1667" t="str">
            <v>Permanent Staff Salary</v>
          </cell>
          <cell r="D1667">
            <v>7964077</v>
          </cell>
          <cell r="E1667">
            <v>0</v>
          </cell>
          <cell r="F1667">
            <v>8079924</v>
          </cell>
          <cell r="G1667">
            <v>0</v>
          </cell>
          <cell r="H1667">
            <v>8079924</v>
          </cell>
          <cell r="I1667">
            <v>16044001</v>
          </cell>
          <cell r="J1667">
            <v>0</v>
          </cell>
        </row>
        <row r="1668">
          <cell r="B1668" t="str">
            <v>5-5212</v>
          </cell>
          <cell r="C1668" t="str">
            <v>Temporary Staff Salary</v>
          </cell>
          <cell r="D1668">
            <v>0</v>
          </cell>
          <cell r="E1668">
            <v>0</v>
          </cell>
          <cell r="F1668">
            <v>0</v>
          </cell>
          <cell r="G1668">
            <v>0</v>
          </cell>
          <cell r="H1668">
            <v>0</v>
          </cell>
          <cell r="I1668">
            <v>0</v>
          </cell>
          <cell r="J1668">
            <v>0</v>
          </cell>
        </row>
        <row r="1669">
          <cell r="B1669" t="str">
            <v>5-5213</v>
          </cell>
          <cell r="C1669" t="str">
            <v>Honorarium santri Khidmah</v>
          </cell>
          <cell r="D1669">
            <v>0</v>
          </cell>
          <cell r="E1669">
            <v>0</v>
          </cell>
          <cell r="F1669">
            <v>0</v>
          </cell>
          <cell r="G1669">
            <v>0</v>
          </cell>
          <cell r="H1669">
            <v>0</v>
          </cell>
          <cell r="I1669">
            <v>0</v>
          </cell>
          <cell r="J1669">
            <v>0</v>
          </cell>
        </row>
        <row r="1670">
          <cell r="B1670" t="str">
            <v>5-5214</v>
          </cell>
          <cell r="C1670" t="str">
            <v>Staff overtime</v>
          </cell>
          <cell r="D1670">
            <v>0</v>
          </cell>
          <cell r="E1670">
            <v>0</v>
          </cell>
          <cell r="F1670">
            <v>0</v>
          </cell>
          <cell r="G1670">
            <v>0</v>
          </cell>
          <cell r="H1670">
            <v>0</v>
          </cell>
          <cell r="I1670">
            <v>0</v>
          </cell>
          <cell r="J1670">
            <v>0</v>
          </cell>
        </row>
        <row r="1671">
          <cell r="B1671" t="str">
            <v>5-5215</v>
          </cell>
          <cell r="C1671" t="str">
            <v>Joint Salary Allocation</v>
          </cell>
          <cell r="D1671">
            <v>0</v>
          </cell>
          <cell r="E1671">
            <v>0</v>
          </cell>
          <cell r="F1671">
            <v>0</v>
          </cell>
          <cell r="G1671">
            <v>0</v>
          </cell>
          <cell r="H1671">
            <v>0</v>
          </cell>
          <cell r="I1671">
            <v>0</v>
          </cell>
          <cell r="J1671">
            <v>0</v>
          </cell>
        </row>
        <row r="1672">
          <cell r="B1672" t="str">
            <v>5-5219</v>
          </cell>
          <cell r="C1672" t="str">
            <v>Others Salary</v>
          </cell>
          <cell r="D1672">
            <v>0</v>
          </cell>
          <cell r="E1672">
            <v>0</v>
          </cell>
          <cell r="F1672">
            <v>0</v>
          </cell>
          <cell r="G1672">
            <v>0</v>
          </cell>
          <cell r="H1672">
            <v>0</v>
          </cell>
          <cell r="I1672">
            <v>0</v>
          </cell>
          <cell r="J1672">
            <v>0</v>
          </cell>
        </row>
        <row r="1673">
          <cell r="B1673" t="str">
            <v>5-5220</v>
          </cell>
          <cell r="C1673" t="str">
            <v>PERSONAL - ALLOWANCE OF</v>
          </cell>
          <cell r="D1673">
            <v>0</v>
          </cell>
          <cell r="E1673">
            <v>0</v>
          </cell>
          <cell r="F1673">
            <v>0</v>
          </cell>
          <cell r="G1673">
            <v>0</v>
          </cell>
          <cell r="H1673">
            <v>0</v>
          </cell>
          <cell r="I1673">
            <v>0</v>
          </cell>
          <cell r="J1673">
            <v>0</v>
          </cell>
        </row>
        <row r="1674">
          <cell r="B1674" t="str">
            <v>5-5221</v>
          </cell>
          <cell r="C1674" t="str">
            <v>Allowance of Hulled Rice</v>
          </cell>
          <cell r="D1674">
            <v>275200</v>
          </cell>
          <cell r="E1674">
            <v>0</v>
          </cell>
          <cell r="F1674">
            <v>0</v>
          </cell>
          <cell r="G1674">
            <v>0</v>
          </cell>
          <cell r="H1674">
            <v>0</v>
          </cell>
          <cell r="I1674">
            <v>275200</v>
          </cell>
          <cell r="J1674">
            <v>0</v>
          </cell>
        </row>
        <row r="1675">
          <cell r="B1675" t="str">
            <v>5-5222</v>
          </cell>
          <cell r="C1675" t="str">
            <v>Alowance of doctor and medicin</v>
          </cell>
          <cell r="D1675">
            <v>0</v>
          </cell>
          <cell r="E1675">
            <v>0</v>
          </cell>
          <cell r="F1675">
            <v>0</v>
          </cell>
          <cell r="G1675">
            <v>0</v>
          </cell>
          <cell r="H1675">
            <v>0</v>
          </cell>
          <cell r="I1675">
            <v>0</v>
          </cell>
          <cell r="J1675">
            <v>0</v>
          </cell>
        </row>
        <row r="1676">
          <cell r="B1676" t="str">
            <v>5-5223</v>
          </cell>
          <cell r="C1676" t="str">
            <v>Alowance of spectacles</v>
          </cell>
          <cell r="D1676">
            <v>0</v>
          </cell>
          <cell r="E1676">
            <v>0</v>
          </cell>
          <cell r="F1676">
            <v>0</v>
          </cell>
          <cell r="G1676">
            <v>0</v>
          </cell>
          <cell r="H1676">
            <v>0</v>
          </cell>
          <cell r="I1676">
            <v>0</v>
          </cell>
          <cell r="J1676">
            <v>0</v>
          </cell>
        </row>
        <row r="1677">
          <cell r="B1677" t="str">
            <v>5-5224</v>
          </cell>
          <cell r="C1677" t="str">
            <v>Allowance of operation&amp;hospita</v>
          </cell>
          <cell r="D1677">
            <v>0</v>
          </cell>
          <cell r="E1677">
            <v>0</v>
          </cell>
          <cell r="F1677">
            <v>0</v>
          </cell>
          <cell r="G1677">
            <v>0</v>
          </cell>
          <cell r="H1677">
            <v>0</v>
          </cell>
          <cell r="I1677">
            <v>0</v>
          </cell>
          <cell r="J1677">
            <v>0</v>
          </cell>
        </row>
        <row r="1678">
          <cell r="B1678" t="str">
            <v>5-5225</v>
          </cell>
          <cell r="C1678" t="str">
            <v>Allowance of disaster &amp; die</v>
          </cell>
          <cell r="D1678">
            <v>0</v>
          </cell>
          <cell r="E1678">
            <v>0</v>
          </cell>
          <cell r="F1678">
            <v>0</v>
          </cell>
          <cell r="G1678">
            <v>0</v>
          </cell>
          <cell r="H1678">
            <v>0</v>
          </cell>
          <cell r="I1678">
            <v>0</v>
          </cell>
          <cell r="J1678">
            <v>0</v>
          </cell>
        </row>
        <row r="1679">
          <cell r="B1679" t="str">
            <v>5-5226</v>
          </cell>
          <cell r="C1679" t="str">
            <v>Allowance of hari raya</v>
          </cell>
          <cell r="D1679">
            <v>7848797</v>
          </cell>
          <cell r="E1679">
            <v>0</v>
          </cell>
          <cell r="F1679">
            <v>0</v>
          </cell>
          <cell r="G1679">
            <v>0</v>
          </cell>
          <cell r="H1679">
            <v>0</v>
          </cell>
          <cell r="I1679">
            <v>7848797</v>
          </cell>
          <cell r="J1679">
            <v>0</v>
          </cell>
        </row>
        <row r="1680">
          <cell r="B1680" t="str">
            <v>5-5227</v>
          </cell>
          <cell r="C1680" t="str">
            <v>Allowance of birth</v>
          </cell>
          <cell r="D1680">
            <v>0</v>
          </cell>
          <cell r="E1680">
            <v>0</v>
          </cell>
          <cell r="F1680">
            <v>0</v>
          </cell>
          <cell r="G1680">
            <v>0</v>
          </cell>
          <cell r="H1680">
            <v>0</v>
          </cell>
          <cell r="I1680">
            <v>0</v>
          </cell>
          <cell r="J1680">
            <v>0</v>
          </cell>
        </row>
        <row r="1681">
          <cell r="B1681" t="str">
            <v>5-5228</v>
          </cell>
          <cell r="C1681" t="str">
            <v>Allowance of married</v>
          </cell>
          <cell r="D1681">
            <v>0</v>
          </cell>
          <cell r="E1681">
            <v>0</v>
          </cell>
          <cell r="F1681">
            <v>0</v>
          </cell>
          <cell r="G1681">
            <v>0</v>
          </cell>
          <cell r="H1681">
            <v>0</v>
          </cell>
          <cell r="I1681">
            <v>0</v>
          </cell>
          <cell r="J1681">
            <v>0</v>
          </cell>
        </row>
        <row r="1682">
          <cell r="B1682" t="str">
            <v>5-5229</v>
          </cell>
          <cell r="C1682" t="str">
            <v>Allowance of house rent&amp;others</v>
          </cell>
          <cell r="D1682">
            <v>0</v>
          </cell>
          <cell r="E1682">
            <v>0</v>
          </cell>
          <cell r="F1682">
            <v>0</v>
          </cell>
          <cell r="G1682">
            <v>0</v>
          </cell>
          <cell r="H1682">
            <v>0</v>
          </cell>
          <cell r="I1682">
            <v>0</v>
          </cell>
          <cell r="J1682">
            <v>0</v>
          </cell>
        </row>
        <row r="1683">
          <cell r="B1683" t="str">
            <v>5-5230</v>
          </cell>
          <cell r="C1683" t="str">
            <v>OFFICE</v>
          </cell>
          <cell r="D1683">
            <v>0</v>
          </cell>
          <cell r="E1683">
            <v>0</v>
          </cell>
          <cell r="F1683">
            <v>0</v>
          </cell>
          <cell r="G1683">
            <v>0</v>
          </cell>
          <cell r="H1683">
            <v>0</v>
          </cell>
          <cell r="I1683">
            <v>0</v>
          </cell>
          <cell r="J1683">
            <v>0</v>
          </cell>
        </row>
        <row r="1684">
          <cell r="B1684" t="str">
            <v>5-5231</v>
          </cell>
          <cell r="C1684" t="str">
            <v>Stationary papers</v>
          </cell>
          <cell r="D1684">
            <v>0</v>
          </cell>
          <cell r="E1684">
            <v>0</v>
          </cell>
          <cell r="F1684">
            <v>0</v>
          </cell>
          <cell r="G1684">
            <v>0</v>
          </cell>
          <cell r="H1684">
            <v>0</v>
          </cell>
          <cell r="I1684">
            <v>0</v>
          </cell>
          <cell r="J1684">
            <v>0</v>
          </cell>
        </row>
        <row r="1685">
          <cell r="B1685" t="str">
            <v>5-5232</v>
          </cell>
          <cell r="C1685" t="str">
            <v>Stationary written toolls</v>
          </cell>
          <cell r="D1685">
            <v>0</v>
          </cell>
          <cell r="E1685">
            <v>0</v>
          </cell>
          <cell r="F1685">
            <v>0</v>
          </cell>
          <cell r="G1685">
            <v>0</v>
          </cell>
          <cell r="H1685">
            <v>0</v>
          </cell>
          <cell r="I1685">
            <v>0</v>
          </cell>
          <cell r="J1685">
            <v>0</v>
          </cell>
        </row>
        <row r="1686">
          <cell r="B1686" t="str">
            <v>5-5233</v>
          </cell>
          <cell r="C1686" t="str">
            <v>Stationary ink</v>
          </cell>
          <cell r="D1686">
            <v>0</v>
          </cell>
          <cell r="E1686">
            <v>0</v>
          </cell>
          <cell r="F1686">
            <v>0</v>
          </cell>
          <cell r="G1686">
            <v>0</v>
          </cell>
          <cell r="H1686">
            <v>0</v>
          </cell>
          <cell r="I1686">
            <v>0</v>
          </cell>
          <cell r="J1686">
            <v>0</v>
          </cell>
        </row>
        <row r="1687">
          <cell r="B1687" t="str">
            <v>5-5234</v>
          </cell>
          <cell r="C1687" t="str">
            <v>Stationary Others</v>
          </cell>
          <cell r="D1687">
            <v>0</v>
          </cell>
          <cell r="E1687">
            <v>0</v>
          </cell>
          <cell r="F1687">
            <v>0</v>
          </cell>
          <cell r="G1687">
            <v>0</v>
          </cell>
          <cell r="H1687">
            <v>0</v>
          </cell>
          <cell r="I1687">
            <v>0</v>
          </cell>
          <cell r="J1687">
            <v>0</v>
          </cell>
        </row>
        <row r="1688">
          <cell r="B1688" t="str">
            <v>5-5235</v>
          </cell>
          <cell r="C1688" t="str">
            <v>Consumptions</v>
          </cell>
          <cell r="D1688">
            <v>0</v>
          </cell>
          <cell r="E1688">
            <v>0</v>
          </cell>
          <cell r="F1688">
            <v>0</v>
          </cell>
          <cell r="G1688">
            <v>0</v>
          </cell>
          <cell r="H1688">
            <v>0</v>
          </cell>
          <cell r="I1688">
            <v>0</v>
          </cell>
          <cell r="J1688">
            <v>0</v>
          </cell>
        </row>
        <row r="1689">
          <cell r="B1689" t="str">
            <v>5-5236</v>
          </cell>
          <cell r="C1689" t="str">
            <v>Fotocopy &amp; Printing</v>
          </cell>
          <cell r="D1689">
            <v>0</v>
          </cell>
          <cell r="E1689">
            <v>0</v>
          </cell>
          <cell r="F1689">
            <v>0</v>
          </cell>
          <cell r="G1689">
            <v>0</v>
          </cell>
          <cell r="H1689">
            <v>0</v>
          </cell>
          <cell r="I1689">
            <v>0</v>
          </cell>
          <cell r="J1689">
            <v>0</v>
          </cell>
        </row>
        <row r="1690">
          <cell r="B1690" t="str">
            <v>5-5237</v>
          </cell>
          <cell r="C1690" t="str">
            <v>Consumptions</v>
          </cell>
          <cell r="D1690">
            <v>0</v>
          </cell>
          <cell r="E1690">
            <v>0</v>
          </cell>
          <cell r="F1690">
            <v>0</v>
          </cell>
          <cell r="G1690">
            <v>0</v>
          </cell>
          <cell r="H1690">
            <v>0</v>
          </cell>
          <cell r="I1690">
            <v>0</v>
          </cell>
          <cell r="J1690">
            <v>0</v>
          </cell>
        </row>
        <row r="1691">
          <cell r="B1691" t="str">
            <v>5-5238</v>
          </cell>
          <cell r="C1691" t="str">
            <v>Office Suplies</v>
          </cell>
          <cell r="D1691">
            <v>0</v>
          </cell>
          <cell r="E1691">
            <v>0</v>
          </cell>
          <cell r="F1691">
            <v>0</v>
          </cell>
          <cell r="G1691">
            <v>0</v>
          </cell>
          <cell r="H1691">
            <v>0</v>
          </cell>
          <cell r="I1691">
            <v>0</v>
          </cell>
          <cell r="J1691">
            <v>0</v>
          </cell>
        </row>
        <row r="1692">
          <cell r="B1692" t="str">
            <v>5-5239</v>
          </cell>
          <cell r="C1692" t="str">
            <v>Others</v>
          </cell>
          <cell r="D1692">
            <v>0</v>
          </cell>
          <cell r="E1692">
            <v>0</v>
          </cell>
          <cell r="F1692">
            <v>0</v>
          </cell>
          <cell r="G1692">
            <v>0</v>
          </cell>
          <cell r="H1692">
            <v>0</v>
          </cell>
          <cell r="I1692">
            <v>0</v>
          </cell>
          <cell r="J1692">
            <v>0</v>
          </cell>
        </row>
        <row r="1693">
          <cell r="B1693" t="str">
            <v>5-5240</v>
          </cell>
          <cell r="C1693" t="str">
            <v>TRANSPORTATION &amp; TELECOMUNICAT</v>
          </cell>
          <cell r="D1693">
            <v>0</v>
          </cell>
          <cell r="E1693">
            <v>0</v>
          </cell>
          <cell r="F1693">
            <v>0</v>
          </cell>
          <cell r="G1693">
            <v>0</v>
          </cell>
          <cell r="H1693">
            <v>0</v>
          </cell>
          <cell r="I1693">
            <v>0</v>
          </cell>
          <cell r="J1693">
            <v>0</v>
          </cell>
        </row>
        <row r="1694">
          <cell r="B1694" t="str">
            <v>5-5241</v>
          </cell>
          <cell r="C1694" t="str">
            <v>Mail &amp; Shipment</v>
          </cell>
          <cell r="D1694">
            <v>0</v>
          </cell>
          <cell r="E1694">
            <v>0</v>
          </cell>
          <cell r="F1694">
            <v>0</v>
          </cell>
          <cell r="G1694">
            <v>0</v>
          </cell>
          <cell r="H1694">
            <v>0</v>
          </cell>
          <cell r="I1694">
            <v>0</v>
          </cell>
          <cell r="J1694">
            <v>0</v>
          </cell>
        </row>
        <row r="1695">
          <cell r="B1695" t="str">
            <v>5-5242</v>
          </cell>
          <cell r="C1695" t="str">
            <v>Telephone</v>
          </cell>
          <cell r="D1695">
            <v>0</v>
          </cell>
          <cell r="E1695">
            <v>0</v>
          </cell>
          <cell r="F1695">
            <v>0</v>
          </cell>
          <cell r="G1695">
            <v>0</v>
          </cell>
          <cell r="H1695">
            <v>0</v>
          </cell>
          <cell r="I1695">
            <v>0</v>
          </cell>
          <cell r="J1695">
            <v>0</v>
          </cell>
        </row>
        <row r="1696">
          <cell r="B1696" t="str">
            <v>5-5243</v>
          </cell>
          <cell r="C1696" t="str">
            <v>Fuel</v>
          </cell>
          <cell r="D1696">
            <v>0</v>
          </cell>
          <cell r="E1696">
            <v>0</v>
          </cell>
          <cell r="F1696">
            <v>0</v>
          </cell>
          <cell r="G1696">
            <v>0</v>
          </cell>
          <cell r="H1696">
            <v>0</v>
          </cell>
          <cell r="I1696">
            <v>0</v>
          </cell>
          <cell r="J1696">
            <v>0</v>
          </cell>
        </row>
        <row r="1697">
          <cell r="B1697" t="str">
            <v>5-5244</v>
          </cell>
          <cell r="C1697" t="str">
            <v>Accommodations</v>
          </cell>
          <cell r="D1697">
            <v>0</v>
          </cell>
          <cell r="E1697">
            <v>0</v>
          </cell>
          <cell r="F1697">
            <v>0</v>
          </cell>
          <cell r="G1697">
            <v>0</v>
          </cell>
          <cell r="H1697">
            <v>0</v>
          </cell>
          <cell r="I1697">
            <v>0</v>
          </cell>
          <cell r="J1697">
            <v>0</v>
          </cell>
        </row>
        <row r="1698">
          <cell r="B1698" t="str">
            <v>5-5245</v>
          </cell>
          <cell r="C1698" t="str">
            <v>Public Transportation</v>
          </cell>
          <cell r="D1698">
            <v>0</v>
          </cell>
          <cell r="E1698">
            <v>0</v>
          </cell>
          <cell r="F1698">
            <v>0</v>
          </cell>
          <cell r="G1698">
            <v>0</v>
          </cell>
          <cell r="H1698">
            <v>0</v>
          </cell>
          <cell r="I1698">
            <v>0</v>
          </cell>
          <cell r="J1698">
            <v>0</v>
          </cell>
        </row>
        <row r="1699">
          <cell r="B1699" t="str">
            <v>5-5246</v>
          </cell>
          <cell r="C1699" t="str">
            <v>Joint Transportation Allocatio</v>
          </cell>
          <cell r="D1699">
            <v>0</v>
          </cell>
          <cell r="E1699">
            <v>0</v>
          </cell>
          <cell r="F1699">
            <v>0</v>
          </cell>
          <cell r="G1699">
            <v>0</v>
          </cell>
          <cell r="H1699">
            <v>0</v>
          </cell>
          <cell r="I1699">
            <v>0</v>
          </cell>
          <cell r="J1699">
            <v>0</v>
          </cell>
        </row>
        <row r="1700">
          <cell r="B1700" t="str">
            <v>5-5249</v>
          </cell>
          <cell r="C1700" t="str">
            <v>Others</v>
          </cell>
          <cell r="D1700">
            <v>0</v>
          </cell>
          <cell r="E1700">
            <v>0</v>
          </cell>
          <cell r="F1700">
            <v>0</v>
          </cell>
          <cell r="G1700">
            <v>0</v>
          </cell>
          <cell r="H1700">
            <v>0</v>
          </cell>
          <cell r="I1700">
            <v>0</v>
          </cell>
          <cell r="J1700">
            <v>0</v>
          </cell>
        </row>
        <row r="1701">
          <cell r="B1701" t="str">
            <v>5-5250</v>
          </cell>
          <cell r="C1701" t="str">
            <v>REPAIR &amp; MAINTENENCE</v>
          </cell>
          <cell r="D1701">
            <v>0</v>
          </cell>
          <cell r="E1701">
            <v>0</v>
          </cell>
          <cell r="F1701">
            <v>0</v>
          </cell>
          <cell r="G1701">
            <v>0</v>
          </cell>
          <cell r="H1701">
            <v>0</v>
          </cell>
          <cell r="I1701">
            <v>0</v>
          </cell>
          <cell r="J1701">
            <v>0</v>
          </cell>
        </row>
        <row r="1702">
          <cell r="B1702" t="str">
            <v>5-5251</v>
          </cell>
          <cell r="C1702" t="str">
            <v>R &amp; M - Computer &amp; audio visua</v>
          </cell>
          <cell r="D1702">
            <v>0</v>
          </cell>
          <cell r="E1702">
            <v>0</v>
          </cell>
          <cell r="F1702">
            <v>0</v>
          </cell>
          <cell r="G1702">
            <v>0</v>
          </cell>
          <cell r="H1702">
            <v>0</v>
          </cell>
          <cell r="I1702">
            <v>0</v>
          </cell>
          <cell r="J1702">
            <v>0</v>
          </cell>
        </row>
        <row r="1703">
          <cell r="B1703" t="str">
            <v>5-5252</v>
          </cell>
          <cell r="C1703" t="str">
            <v>R &amp; M - Telephone &amp; Faxs</v>
          </cell>
          <cell r="D1703">
            <v>0</v>
          </cell>
          <cell r="E1703">
            <v>0</v>
          </cell>
          <cell r="F1703">
            <v>0</v>
          </cell>
          <cell r="G1703">
            <v>0</v>
          </cell>
          <cell r="H1703">
            <v>0</v>
          </cell>
          <cell r="I1703">
            <v>0</v>
          </cell>
          <cell r="J1703">
            <v>0</v>
          </cell>
        </row>
        <row r="1704">
          <cell r="B1704" t="str">
            <v>5-5253</v>
          </cell>
          <cell r="C1704" t="str">
            <v>R &amp; M - Office Eqiupment</v>
          </cell>
          <cell r="D1704">
            <v>0</v>
          </cell>
          <cell r="E1704">
            <v>0</v>
          </cell>
          <cell r="F1704">
            <v>0</v>
          </cell>
          <cell r="G1704">
            <v>0</v>
          </cell>
          <cell r="H1704">
            <v>0</v>
          </cell>
          <cell r="I1704">
            <v>0</v>
          </cell>
          <cell r="J1704">
            <v>0</v>
          </cell>
        </row>
        <row r="1705">
          <cell r="B1705" t="str">
            <v>5-5254</v>
          </cell>
          <cell r="C1705" t="str">
            <v>R &amp; M - Counseling Eqiupment</v>
          </cell>
          <cell r="D1705">
            <v>0</v>
          </cell>
          <cell r="E1705">
            <v>0</v>
          </cell>
          <cell r="F1705">
            <v>0</v>
          </cell>
          <cell r="G1705">
            <v>0</v>
          </cell>
          <cell r="H1705">
            <v>0</v>
          </cell>
          <cell r="I1705">
            <v>0</v>
          </cell>
          <cell r="J1705">
            <v>0</v>
          </cell>
        </row>
        <row r="1706">
          <cell r="B1706" t="str">
            <v>5-5255</v>
          </cell>
          <cell r="C1706" t="str">
            <v>R &amp; M - Other Eqiupment</v>
          </cell>
          <cell r="D1706">
            <v>0</v>
          </cell>
          <cell r="E1706">
            <v>0</v>
          </cell>
          <cell r="F1706">
            <v>0</v>
          </cell>
          <cell r="G1706">
            <v>0</v>
          </cell>
          <cell r="H1706">
            <v>0</v>
          </cell>
          <cell r="I1706">
            <v>0</v>
          </cell>
          <cell r="J1706">
            <v>0</v>
          </cell>
        </row>
        <row r="1707">
          <cell r="B1707" t="str">
            <v>5-5256</v>
          </cell>
          <cell r="C1707" t="str">
            <v>R &amp; M - Table &amp; Chairs</v>
          </cell>
          <cell r="D1707">
            <v>0</v>
          </cell>
          <cell r="E1707">
            <v>0</v>
          </cell>
          <cell r="F1707">
            <v>0</v>
          </cell>
          <cell r="G1707">
            <v>0</v>
          </cell>
          <cell r="H1707">
            <v>0</v>
          </cell>
          <cell r="I1707">
            <v>0</v>
          </cell>
          <cell r="J1707">
            <v>0</v>
          </cell>
        </row>
        <row r="1708">
          <cell r="B1708" t="str">
            <v>5-5257</v>
          </cell>
          <cell r="C1708" t="str">
            <v>R &amp; M - Cupboard &amp; Rack</v>
          </cell>
          <cell r="D1708">
            <v>0</v>
          </cell>
          <cell r="E1708">
            <v>0</v>
          </cell>
          <cell r="F1708">
            <v>0</v>
          </cell>
          <cell r="G1708">
            <v>0</v>
          </cell>
          <cell r="H1708">
            <v>0</v>
          </cell>
          <cell r="I1708">
            <v>0</v>
          </cell>
          <cell r="J1708">
            <v>0</v>
          </cell>
        </row>
        <row r="1709">
          <cell r="B1709" t="str">
            <v>5-5258</v>
          </cell>
          <cell r="C1709" t="str">
            <v>R &amp; M - Other Furniture</v>
          </cell>
          <cell r="D1709">
            <v>0</v>
          </cell>
          <cell r="E1709">
            <v>0</v>
          </cell>
          <cell r="F1709">
            <v>0</v>
          </cell>
          <cell r="G1709">
            <v>0</v>
          </cell>
          <cell r="H1709">
            <v>0</v>
          </cell>
          <cell r="I1709">
            <v>0</v>
          </cell>
          <cell r="J1709">
            <v>0</v>
          </cell>
        </row>
        <row r="1710">
          <cell r="B1710" t="str">
            <v>5-5259</v>
          </cell>
          <cell r="C1710" t="str">
            <v>R &amp; M - Other</v>
          </cell>
          <cell r="D1710">
            <v>0</v>
          </cell>
          <cell r="E1710">
            <v>0</v>
          </cell>
          <cell r="F1710">
            <v>0</v>
          </cell>
          <cell r="G1710">
            <v>0</v>
          </cell>
          <cell r="H1710">
            <v>0</v>
          </cell>
          <cell r="I1710">
            <v>0</v>
          </cell>
          <cell r="J1710">
            <v>0</v>
          </cell>
        </row>
        <row r="1711">
          <cell r="B1711" t="str">
            <v>5-5290</v>
          </cell>
          <cell r="C1711" t="str">
            <v>LAIN-LAIN</v>
          </cell>
          <cell r="D1711">
            <v>0</v>
          </cell>
          <cell r="E1711">
            <v>0</v>
          </cell>
          <cell r="F1711">
            <v>0</v>
          </cell>
          <cell r="G1711">
            <v>0</v>
          </cell>
          <cell r="H1711">
            <v>0</v>
          </cell>
          <cell r="I1711">
            <v>0</v>
          </cell>
          <cell r="J1711">
            <v>0</v>
          </cell>
        </row>
        <row r="1712">
          <cell r="B1712" t="str">
            <v>5-5291</v>
          </cell>
          <cell r="C1712" t="str">
            <v>Traning &amp; Workshop</v>
          </cell>
          <cell r="D1712">
            <v>0</v>
          </cell>
          <cell r="E1712">
            <v>0</v>
          </cell>
          <cell r="F1712">
            <v>0</v>
          </cell>
          <cell r="G1712">
            <v>0</v>
          </cell>
          <cell r="H1712">
            <v>0</v>
          </cell>
          <cell r="I1712">
            <v>0</v>
          </cell>
          <cell r="J1712">
            <v>0</v>
          </cell>
        </row>
        <row r="1713">
          <cell r="B1713" t="str">
            <v>5-5310</v>
          </cell>
          <cell r="C1713" t="str">
            <v>PERSONAL - GAJI</v>
          </cell>
          <cell r="D1713">
            <v>0</v>
          </cell>
          <cell r="E1713">
            <v>0</v>
          </cell>
          <cell r="F1713">
            <v>0</v>
          </cell>
          <cell r="G1713">
            <v>0</v>
          </cell>
          <cell r="H1713">
            <v>0</v>
          </cell>
          <cell r="I1713">
            <v>0</v>
          </cell>
          <cell r="J1713">
            <v>0</v>
          </cell>
        </row>
        <row r="1714">
          <cell r="B1714" t="str">
            <v>5-5311</v>
          </cell>
          <cell r="C1714" t="str">
            <v>Permanent Staff Salary</v>
          </cell>
          <cell r="D1714">
            <v>0</v>
          </cell>
          <cell r="E1714">
            <v>0</v>
          </cell>
          <cell r="F1714">
            <v>0</v>
          </cell>
          <cell r="G1714">
            <v>0</v>
          </cell>
          <cell r="H1714">
            <v>0</v>
          </cell>
          <cell r="I1714">
            <v>0</v>
          </cell>
          <cell r="J1714">
            <v>0</v>
          </cell>
        </row>
        <row r="1715">
          <cell r="B1715" t="str">
            <v>5-5312</v>
          </cell>
          <cell r="C1715" t="str">
            <v>Temporary Staff Salary</v>
          </cell>
          <cell r="D1715">
            <v>0</v>
          </cell>
          <cell r="E1715">
            <v>0</v>
          </cell>
          <cell r="F1715">
            <v>0</v>
          </cell>
          <cell r="G1715">
            <v>0</v>
          </cell>
          <cell r="H1715">
            <v>0</v>
          </cell>
          <cell r="I1715">
            <v>0</v>
          </cell>
          <cell r="J1715">
            <v>0</v>
          </cell>
        </row>
        <row r="1716">
          <cell r="B1716" t="str">
            <v>5-5313</v>
          </cell>
          <cell r="C1716" t="str">
            <v>Honorarium santri Khidmah</v>
          </cell>
          <cell r="D1716">
            <v>0</v>
          </cell>
          <cell r="E1716">
            <v>0</v>
          </cell>
          <cell r="F1716">
            <v>0</v>
          </cell>
          <cell r="G1716">
            <v>0</v>
          </cell>
          <cell r="H1716">
            <v>0</v>
          </cell>
          <cell r="I1716">
            <v>0</v>
          </cell>
          <cell r="J1716">
            <v>0</v>
          </cell>
        </row>
        <row r="1717">
          <cell r="B1717" t="str">
            <v>5-5314</v>
          </cell>
          <cell r="C1717" t="str">
            <v>Staff overtime</v>
          </cell>
          <cell r="D1717">
            <v>0</v>
          </cell>
          <cell r="E1717">
            <v>0</v>
          </cell>
          <cell r="F1717">
            <v>0</v>
          </cell>
          <cell r="G1717">
            <v>0</v>
          </cell>
          <cell r="H1717">
            <v>0</v>
          </cell>
          <cell r="I1717">
            <v>0</v>
          </cell>
          <cell r="J1717">
            <v>0</v>
          </cell>
        </row>
        <row r="1718">
          <cell r="B1718" t="str">
            <v>5-5315</v>
          </cell>
          <cell r="C1718" t="str">
            <v>Joint Salary Allocation</v>
          </cell>
          <cell r="D1718">
            <v>0</v>
          </cell>
          <cell r="E1718">
            <v>0</v>
          </cell>
          <cell r="F1718">
            <v>0</v>
          </cell>
          <cell r="G1718">
            <v>0</v>
          </cell>
          <cell r="H1718">
            <v>0</v>
          </cell>
          <cell r="I1718">
            <v>0</v>
          </cell>
          <cell r="J1718">
            <v>0</v>
          </cell>
        </row>
        <row r="1719">
          <cell r="B1719" t="str">
            <v>5-5319</v>
          </cell>
          <cell r="C1719" t="str">
            <v>Others Salary</v>
          </cell>
          <cell r="D1719">
            <v>0</v>
          </cell>
          <cell r="E1719">
            <v>0</v>
          </cell>
          <cell r="F1719">
            <v>0</v>
          </cell>
          <cell r="G1719">
            <v>0</v>
          </cell>
          <cell r="H1719">
            <v>0</v>
          </cell>
          <cell r="I1719">
            <v>0</v>
          </cell>
          <cell r="J1719">
            <v>0</v>
          </cell>
        </row>
        <row r="1720">
          <cell r="B1720" t="str">
            <v>5-5320</v>
          </cell>
          <cell r="C1720" t="str">
            <v>PERSONAL - ALLOWANCE OF</v>
          </cell>
          <cell r="D1720">
            <v>0</v>
          </cell>
          <cell r="E1720">
            <v>0</v>
          </cell>
          <cell r="F1720">
            <v>0</v>
          </cell>
          <cell r="G1720">
            <v>0</v>
          </cell>
          <cell r="H1720">
            <v>0</v>
          </cell>
          <cell r="I1720">
            <v>0</v>
          </cell>
          <cell r="J1720">
            <v>0</v>
          </cell>
        </row>
        <row r="1721">
          <cell r="B1721" t="str">
            <v>5-5321</v>
          </cell>
          <cell r="C1721" t="str">
            <v>Allowance of Hulled Rice</v>
          </cell>
          <cell r="D1721">
            <v>0</v>
          </cell>
          <cell r="E1721">
            <v>0</v>
          </cell>
          <cell r="F1721">
            <v>0</v>
          </cell>
          <cell r="G1721">
            <v>0</v>
          </cell>
          <cell r="H1721">
            <v>0</v>
          </cell>
          <cell r="I1721">
            <v>0</v>
          </cell>
          <cell r="J1721">
            <v>0</v>
          </cell>
        </row>
        <row r="1722">
          <cell r="B1722" t="str">
            <v>5-5322</v>
          </cell>
          <cell r="C1722" t="str">
            <v>Alowance of doctor and medicin</v>
          </cell>
          <cell r="D1722">
            <v>0</v>
          </cell>
          <cell r="E1722">
            <v>0</v>
          </cell>
          <cell r="F1722">
            <v>0</v>
          </cell>
          <cell r="G1722">
            <v>0</v>
          </cell>
          <cell r="H1722">
            <v>0</v>
          </cell>
          <cell r="I1722">
            <v>0</v>
          </cell>
          <cell r="J1722">
            <v>0</v>
          </cell>
        </row>
        <row r="1723">
          <cell r="B1723" t="str">
            <v>5-5323</v>
          </cell>
          <cell r="C1723" t="str">
            <v>Alowance of spectacles</v>
          </cell>
          <cell r="D1723">
            <v>0</v>
          </cell>
          <cell r="E1723">
            <v>0</v>
          </cell>
          <cell r="F1723">
            <v>0</v>
          </cell>
          <cell r="G1723">
            <v>0</v>
          </cell>
          <cell r="H1723">
            <v>0</v>
          </cell>
          <cell r="I1723">
            <v>0</v>
          </cell>
          <cell r="J1723">
            <v>0</v>
          </cell>
        </row>
        <row r="1724">
          <cell r="B1724" t="str">
            <v>5-5324</v>
          </cell>
          <cell r="C1724" t="str">
            <v>Allowance of operation&amp;hospita</v>
          </cell>
          <cell r="D1724">
            <v>0</v>
          </cell>
          <cell r="E1724">
            <v>0</v>
          </cell>
          <cell r="F1724">
            <v>0</v>
          </cell>
          <cell r="G1724">
            <v>0</v>
          </cell>
          <cell r="H1724">
            <v>0</v>
          </cell>
          <cell r="I1724">
            <v>0</v>
          </cell>
          <cell r="J1724">
            <v>0</v>
          </cell>
        </row>
        <row r="1725">
          <cell r="B1725" t="str">
            <v>5-5325</v>
          </cell>
          <cell r="C1725" t="str">
            <v>Allowance of disaster &amp; die</v>
          </cell>
          <cell r="D1725">
            <v>0</v>
          </cell>
          <cell r="E1725">
            <v>0</v>
          </cell>
          <cell r="F1725">
            <v>0</v>
          </cell>
          <cell r="G1725">
            <v>0</v>
          </cell>
          <cell r="H1725">
            <v>0</v>
          </cell>
          <cell r="I1725">
            <v>0</v>
          </cell>
          <cell r="J1725">
            <v>0</v>
          </cell>
        </row>
        <row r="1726">
          <cell r="B1726" t="str">
            <v>5-5326</v>
          </cell>
          <cell r="C1726" t="str">
            <v>Allowance of hari raya</v>
          </cell>
          <cell r="D1726">
            <v>0</v>
          </cell>
          <cell r="E1726">
            <v>0</v>
          </cell>
          <cell r="F1726">
            <v>0</v>
          </cell>
          <cell r="G1726">
            <v>0</v>
          </cell>
          <cell r="H1726">
            <v>0</v>
          </cell>
          <cell r="I1726">
            <v>0</v>
          </cell>
          <cell r="J1726">
            <v>0</v>
          </cell>
        </row>
        <row r="1727">
          <cell r="B1727" t="str">
            <v>5-5327</v>
          </cell>
          <cell r="C1727" t="str">
            <v>Allowance of birth</v>
          </cell>
          <cell r="D1727">
            <v>0</v>
          </cell>
          <cell r="E1727">
            <v>0</v>
          </cell>
          <cell r="F1727">
            <v>0</v>
          </cell>
          <cell r="G1727">
            <v>0</v>
          </cell>
          <cell r="H1727">
            <v>0</v>
          </cell>
          <cell r="I1727">
            <v>0</v>
          </cell>
          <cell r="J1727">
            <v>0</v>
          </cell>
        </row>
        <row r="1728">
          <cell r="B1728" t="str">
            <v>5-5328</v>
          </cell>
          <cell r="C1728" t="str">
            <v>Allowance of married</v>
          </cell>
          <cell r="D1728">
            <v>0</v>
          </cell>
          <cell r="E1728">
            <v>0</v>
          </cell>
          <cell r="F1728">
            <v>0</v>
          </cell>
          <cell r="G1728">
            <v>0</v>
          </cell>
          <cell r="H1728">
            <v>0</v>
          </cell>
          <cell r="I1728">
            <v>0</v>
          </cell>
          <cell r="J1728">
            <v>0</v>
          </cell>
        </row>
        <row r="1729">
          <cell r="B1729" t="str">
            <v>5-5329</v>
          </cell>
          <cell r="C1729" t="str">
            <v>Allowance of house rent&amp;others</v>
          </cell>
          <cell r="D1729">
            <v>0</v>
          </cell>
          <cell r="E1729">
            <v>0</v>
          </cell>
          <cell r="F1729">
            <v>0</v>
          </cell>
          <cell r="G1729">
            <v>0</v>
          </cell>
          <cell r="H1729">
            <v>0</v>
          </cell>
          <cell r="I1729">
            <v>0</v>
          </cell>
          <cell r="J1729">
            <v>0</v>
          </cell>
        </row>
        <row r="1730">
          <cell r="B1730" t="str">
            <v>5-5330</v>
          </cell>
          <cell r="C1730" t="str">
            <v>OFFICE</v>
          </cell>
          <cell r="D1730">
            <v>0</v>
          </cell>
          <cell r="E1730">
            <v>0</v>
          </cell>
          <cell r="F1730">
            <v>0</v>
          </cell>
          <cell r="G1730">
            <v>0</v>
          </cell>
          <cell r="H1730">
            <v>0</v>
          </cell>
          <cell r="I1730">
            <v>0</v>
          </cell>
          <cell r="J1730">
            <v>0</v>
          </cell>
        </row>
        <row r="1731">
          <cell r="B1731" t="str">
            <v>5-5331</v>
          </cell>
          <cell r="C1731" t="str">
            <v>Stationary papers</v>
          </cell>
          <cell r="D1731">
            <v>0</v>
          </cell>
          <cell r="E1731">
            <v>0</v>
          </cell>
          <cell r="F1731">
            <v>0</v>
          </cell>
          <cell r="G1731">
            <v>0</v>
          </cell>
          <cell r="H1731">
            <v>0</v>
          </cell>
          <cell r="I1731">
            <v>0</v>
          </cell>
          <cell r="J1731">
            <v>0</v>
          </cell>
        </row>
        <row r="1732">
          <cell r="B1732" t="str">
            <v>5-5332</v>
          </cell>
          <cell r="C1732" t="str">
            <v>Stationary written toolls</v>
          </cell>
          <cell r="D1732">
            <v>0</v>
          </cell>
          <cell r="E1732">
            <v>0</v>
          </cell>
          <cell r="F1732">
            <v>0</v>
          </cell>
          <cell r="G1732">
            <v>0</v>
          </cell>
          <cell r="H1732">
            <v>0</v>
          </cell>
          <cell r="I1732">
            <v>0</v>
          </cell>
          <cell r="J1732">
            <v>0</v>
          </cell>
        </row>
        <row r="1733">
          <cell r="B1733" t="str">
            <v>5-5333</v>
          </cell>
          <cell r="C1733" t="str">
            <v>Stationary ink</v>
          </cell>
          <cell r="D1733">
            <v>0</v>
          </cell>
          <cell r="E1733">
            <v>0</v>
          </cell>
          <cell r="F1733">
            <v>0</v>
          </cell>
          <cell r="G1733">
            <v>0</v>
          </cell>
          <cell r="H1733">
            <v>0</v>
          </cell>
          <cell r="I1733">
            <v>0</v>
          </cell>
          <cell r="J1733">
            <v>0</v>
          </cell>
        </row>
        <row r="1734">
          <cell r="B1734" t="str">
            <v>5-5334</v>
          </cell>
          <cell r="C1734" t="str">
            <v>Stationary Others</v>
          </cell>
          <cell r="D1734">
            <v>0</v>
          </cell>
          <cell r="E1734">
            <v>0</v>
          </cell>
          <cell r="F1734">
            <v>0</v>
          </cell>
          <cell r="G1734">
            <v>0</v>
          </cell>
          <cell r="H1734">
            <v>0</v>
          </cell>
          <cell r="I1734">
            <v>0</v>
          </cell>
          <cell r="J1734">
            <v>0</v>
          </cell>
        </row>
        <row r="1735">
          <cell r="B1735" t="str">
            <v>5-5335</v>
          </cell>
          <cell r="C1735" t="str">
            <v>Consumptions</v>
          </cell>
          <cell r="D1735">
            <v>0</v>
          </cell>
          <cell r="E1735">
            <v>0</v>
          </cell>
          <cell r="F1735">
            <v>0</v>
          </cell>
          <cell r="G1735">
            <v>0</v>
          </cell>
          <cell r="H1735">
            <v>0</v>
          </cell>
          <cell r="I1735">
            <v>0</v>
          </cell>
          <cell r="J1735">
            <v>0</v>
          </cell>
        </row>
        <row r="1736">
          <cell r="B1736" t="str">
            <v>5-5336</v>
          </cell>
          <cell r="C1736" t="str">
            <v>Fotocopy &amp; Printing</v>
          </cell>
          <cell r="D1736">
            <v>0</v>
          </cell>
          <cell r="E1736">
            <v>0</v>
          </cell>
          <cell r="F1736">
            <v>0</v>
          </cell>
          <cell r="G1736">
            <v>0</v>
          </cell>
          <cell r="H1736">
            <v>0</v>
          </cell>
          <cell r="I1736">
            <v>0</v>
          </cell>
          <cell r="J1736">
            <v>0</v>
          </cell>
        </row>
        <row r="1737">
          <cell r="B1737" t="str">
            <v>5-5337</v>
          </cell>
          <cell r="C1737" t="str">
            <v>Office Suplies</v>
          </cell>
          <cell r="D1737">
            <v>0</v>
          </cell>
          <cell r="E1737">
            <v>0</v>
          </cell>
          <cell r="F1737">
            <v>0</v>
          </cell>
          <cell r="G1737">
            <v>0</v>
          </cell>
          <cell r="H1737">
            <v>0</v>
          </cell>
          <cell r="I1737">
            <v>0</v>
          </cell>
          <cell r="J1737">
            <v>0</v>
          </cell>
        </row>
        <row r="1738">
          <cell r="B1738" t="str">
            <v>5-5339</v>
          </cell>
          <cell r="C1738" t="str">
            <v>Others</v>
          </cell>
          <cell r="D1738">
            <v>0</v>
          </cell>
          <cell r="E1738">
            <v>0</v>
          </cell>
          <cell r="F1738">
            <v>0</v>
          </cell>
          <cell r="G1738">
            <v>0</v>
          </cell>
          <cell r="H1738">
            <v>0</v>
          </cell>
          <cell r="I1738">
            <v>0</v>
          </cell>
          <cell r="J1738">
            <v>0</v>
          </cell>
        </row>
        <row r="1739">
          <cell r="B1739" t="str">
            <v>5-5340</v>
          </cell>
          <cell r="C1739" t="str">
            <v>TRANSPORTATION &amp; TELECOMUNICAT</v>
          </cell>
          <cell r="D1739">
            <v>0</v>
          </cell>
          <cell r="E1739">
            <v>0</v>
          </cell>
          <cell r="F1739">
            <v>0</v>
          </cell>
          <cell r="G1739">
            <v>0</v>
          </cell>
          <cell r="H1739">
            <v>0</v>
          </cell>
          <cell r="I1739">
            <v>0</v>
          </cell>
          <cell r="J1739">
            <v>0</v>
          </cell>
        </row>
        <row r="1740">
          <cell r="B1740" t="str">
            <v>5-5341</v>
          </cell>
          <cell r="C1740" t="str">
            <v>Mail &amp; Shipment</v>
          </cell>
          <cell r="D1740">
            <v>0</v>
          </cell>
          <cell r="E1740">
            <v>0</v>
          </cell>
          <cell r="F1740">
            <v>0</v>
          </cell>
          <cell r="G1740">
            <v>0</v>
          </cell>
          <cell r="H1740">
            <v>0</v>
          </cell>
          <cell r="I1740">
            <v>0</v>
          </cell>
          <cell r="J1740">
            <v>0</v>
          </cell>
        </row>
        <row r="1741">
          <cell r="B1741" t="str">
            <v>5-5342</v>
          </cell>
          <cell r="C1741" t="str">
            <v>Telephone</v>
          </cell>
          <cell r="D1741">
            <v>0</v>
          </cell>
          <cell r="E1741">
            <v>0</v>
          </cell>
          <cell r="F1741">
            <v>0</v>
          </cell>
          <cell r="G1741">
            <v>0</v>
          </cell>
          <cell r="H1741">
            <v>0</v>
          </cell>
          <cell r="I1741">
            <v>0</v>
          </cell>
          <cell r="J1741">
            <v>0</v>
          </cell>
        </row>
        <row r="1742">
          <cell r="B1742" t="str">
            <v>5-5343</v>
          </cell>
          <cell r="C1742" t="str">
            <v>Fuel</v>
          </cell>
          <cell r="D1742">
            <v>0</v>
          </cell>
          <cell r="E1742">
            <v>0</v>
          </cell>
          <cell r="F1742">
            <v>0</v>
          </cell>
          <cell r="G1742">
            <v>0</v>
          </cell>
          <cell r="H1742">
            <v>0</v>
          </cell>
          <cell r="I1742">
            <v>0</v>
          </cell>
          <cell r="J1742">
            <v>0</v>
          </cell>
        </row>
        <row r="1743">
          <cell r="B1743" t="str">
            <v>5-5344</v>
          </cell>
          <cell r="C1743" t="str">
            <v>Accommodations</v>
          </cell>
          <cell r="D1743">
            <v>0</v>
          </cell>
          <cell r="E1743">
            <v>0</v>
          </cell>
          <cell r="F1743">
            <v>0</v>
          </cell>
          <cell r="G1743">
            <v>0</v>
          </cell>
          <cell r="H1743">
            <v>0</v>
          </cell>
          <cell r="I1743">
            <v>0</v>
          </cell>
          <cell r="J1743">
            <v>0</v>
          </cell>
        </row>
        <row r="1744">
          <cell r="B1744" t="str">
            <v>5-5345</v>
          </cell>
          <cell r="C1744" t="str">
            <v>Public Transportation</v>
          </cell>
          <cell r="D1744">
            <v>0</v>
          </cell>
          <cell r="E1744">
            <v>0</v>
          </cell>
          <cell r="F1744">
            <v>0</v>
          </cell>
          <cell r="G1744">
            <v>0</v>
          </cell>
          <cell r="H1744">
            <v>0</v>
          </cell>
          <cell r="I1744">
            <v>0</v>
          </cell>
          <cell r="J1744">
            <v>0</v>
          </cell>
        </row>
        <row r="1745">
          <cell r="B1745" t="str">
            <v>5-5346</v>
          </cell>
          <cell r="C1745" t="str">
            <v>Joint Transportation Allocatio</v>
          </cell>
          <cell r="D1745">
            <v>0</v>
          </cell>
          <cell r="E1745">
            <v>0</v>
          </cell>
          <cell r="F1745">
            <v>0</v>
          </cell>
          <cell r="G1745">
            <v>0</v>
          </cell>
          <cell r="H1745">
            <v>0</v>
          </cell>
          <cell r="I1745">
            <v>0</v>
          </cell>
          <cell r="J1745">
            <v>0</v>
          </cell>
        </row>
        <row r="1746">
          <cell r="B1746" t="str">
            <v>5-5349</v>
          </cell>
          <cell r="C1746" t="str">
            <v>Others</v>
          </cell>
          <cell r="D1746">
            <v>0</v>
          </cell>
          <cell r="E1746">
            <v>0</v>
          </cell>
          <cell r="F1746">
            <v>0</v>
          </cell>
          <cell r="G1746">
            <v>0</v>
          </cell>
          <cell r="H1746">
            <v>0</v>
          </cell>
          <cell r="I1746">
            <v>0</v>
          </cell>
          <cell r="J1746">
            <v>0</v>
          </cell>
        </row>
        <row r="1747">
          <cell r="B1747" t="str">
            <v>5-5350</v>
          </cell>
          <cell r="C1747" t="str">
            <v>REPAIR &amp; MAINTENENCE</v>
          </cell>
          <cell r="D1747">
            <v>0</v>
          </cell>
          <cell r="E1747">
            <v>0</v>
          </cell>
          <cell r="F1747">
            <v>0</v>
          </cell>
          <cell r="G1747">
            <v>0</v>
          </cell>
          <cell r="H1747">
            <v>0</v>
          </cell>
          <cell r="I1747">
            <v>0</v>
          </cell>
          <cell r="J1747">
            <v>0</v>
          </cell>
        </row>
        <row r="1748">
          <cell r="B1748" t="str">
            <v>5-5351</v>
          </cell>
          <cell r="C1748" t="str">
            <v>R &amp; M - Computer &amp; audio visua</v>
          </cell>
          <cell r="D1748">
            <v>0</v>
          </cell>
          <cell r="E1748">
            <v>0</v>
          </cell>
          <cell r="F1748">
            <v>0</v>
          </cell>
          <cell r="G1748">
            <v>0</v>
          </cell>
          <cell r="H1748">
            <v>0</v>
          </cell>
          <cell r="I1748">
            <v>0</v>
          </cell>
          <cell r="J1748">
            <v>0</v>
          </cell>
        </row>
        <row r="1749">
          <cell r="B1749" t="str">
            <v>5-5352</v>
          </cell>
          <cell r="C1749" t="str">
            <v>R &amp; M - Telephone &amp; Faxs</v>
          </cell>
          <cell r="D1749">
            <v>0</v>
          </cell>
          <cell r="E1749">
            <v>0</v>
          </cell>
          <cell r="F1749">
            <v>0</v>
          </cell>
          <cell r="G1749">
            <v>0</v>
          </cell>
          <cell r="H1749">
            <v>0</v>
          </cell>
          <cell r="I1749">
            <v>0</v>
          </cell>
          <cell r="J1749">
            <v>0</v>
          </cell>
        </row>
        <row r="1750">
          <cell r="B1750" t="str">
            <v>5-5353</v>
          </cell>
          <cell r="C1750" t="str">
            <v>R &amp; M - Office Eqiupment</v>
          </cell>
          <cell r="D1750">
            <v>0</v>
          </cell>
          <cell r="E1750">
            <v>0</v>
          </cell>
          <cell r="F1750">
            <v>0</v>
          </cell>
          <cell r="G1750">
            <v>0</v>
          </cell>
          <cell r="H1750">
            <v>0</v>
          </cell>
          <cell r="I1750">
            <v>0</v>
          </cell>
          <cell r="J1750">
            <v>0</v>
          </cell>
        </row>
        <row r="1751">
          <cell r="B1751" t="str">
            <v>5-5354</v>
          </cell>
          <cell r="C1751" t="str">
            <v>R &amp; M- secuty&amp;Safety Eqiupment</v>
          </cell>
          <cell r="D1751">
            <v>0</v>
          </cell>
          <cell r="E1751">
            <v>0</v>
          </cell>
          <cell r="F1751">
            <v>0</v>
          </cell>
          <cell r="G1751">
            <v>0</v>
          </cell>
          <cell r="H1751">
            <v>0</v>
          </cell>
          <cell r="I1751">
            <v>0</v>
          </cell>
          <cell r="J1751">
            <v>0</v>
          </cell>
        </row>
        <row r="1752">
          <cell r="B1752" t="str">
            <v>5-5355</v>
          </cell>
          <cell r="C1752" t="str">
            <v>R &amp; M - Other Eqiupment</v>
          </cell>
          <cell r="D1752">
            <v>0</v>
          </cell>
          <cell r="E1752">
            <v>0</v>
          </cell>
          <cell r="F1752">
            <v>0</v>
          </cell>
          <cell r="G1752">
            <v>0</v>
          </cell>
          <cell r="H1752">
            <v>0</v>
          </cell>
          <cell r="I1752">
            <v>0</v>
          </cell>
          <cell r="J1752">
            <v>0</v>
          </cell>
        </row>
        <row r="1753">
          <cell r="B1753" t="str">
            <v>5-5356</v>
          </cell>
          <cell r="C1753" t="str">
            <v>R &amp; M - Table &amp; Chairs</v>
          </cell>
          <cell r="D1753">
            <v>0</v>
          </cell>
          <cell r="E1753">
            <v>0</v>
          </cell>
          <cell r="F1753">
            <v>0</v>
          </cell>
          <cell r="G1753">
            <v>0</v>
          </cell>
          <cell r="H1753">
            <v>0</v>
          </cell>
          <cell r="I1753">
            <v>0</v>
          </cell>
          <cell r="J1753">
            <v>0</v>
          </cell>
        </row>
        <row r="1754">
          <cell r="B1754" t="str">
            <v>5-5357</v>
          </cell>
          <cell r="C1754" t="str">
            <v>R &amp; M - Cupboard &amp; Rack</v>
          </cell>
          <cell r="D1754">
            <v>0</v>
          </cell>
          <cell r="E1754">
            <v>0</v>
          </cell>
          <cell r="F1754">
            <v>0</v>
          </cell>
          <cell r="G1754">
            <v>0</v>
          </cell>
          <cell r="H1754">
            <v>0</v>
          </cell>
          <cell r="I1754">
            <v>0</v>
          </cell>
          <cell r="J1754">
            <v>0</v>
          </cell>
        </row>
        <row r="1755">
          <cell r="B1755" t="str">
            <v>5-5358</v>
          </cell>
          <cell r="C1755" t="str">
            <v>R &amp; M - Other Furniture</v>
          </cell>
          <cell r="D1755">
            <v>0</v>
          </cell>
          <cell r="E1755">
            <v>0</v>
          </cell>
          <cell r="F1755">
            <v>0</v>
          </cell>
          <cell r="G1755">
            <v>0</v>
          </cell>
          <cell r="H1755">
            <v>0</v>
          </cell>
          <cell r="I1755">
            <v>0</v>
          </cell>
          <cell r="J1755">
            <v>0</v>
          </cell>
        </row>
        <row r="1756">
          <cell r="B1756" t="str">
            <v>5-5359</v>
          </cell>
          <cell r="C1756" t="str">
            <v>R &amp; M - Other</v>
          </cell>
          <cell r="D1756">
            <v>0</v>
          </cell>
          <cell r="E1756">
            <v>0</v>
          </cell>
          <cell r="F1756">
            <v>0</v>
          </cell>
          <cell r="G1756">
            <v>0</v>
          </cell>
          <cell r="H1756">
            <v>0</v>
          </cell>
          <cell r="I1756">
            <v>0</v>
          </cell>
          <cell r="J1756">
            <v>0</v>
          </cell>
        </row>
        <row r="1757">
          <cell r="B1757" t="str">
            <v>5-5390</v>
          </cell>
          <cell r="C1757" t="str">
            <v>LAIN-LAIN</v>
          </cell>
          <cell r="D1757">
            <v>0</v>
          </cell>
          <cell r="E1757">
            <v>0</v>
          </cell>
          <cell r="F1757">
            <v>0</v>
          </cell>
          <cell r="G1757">
            <v>0</v>
          </cell>
          <cell r="H1757">
            <v>0</v>
          </cell>
          <cell r="I1757">
            <v>0</v>
          </cell>
          <cell r="J1757">
            <v>0</v>
          </cell>
        </row>
        <row r="1758">
          <cell r="B1758" t="str">
            <v>5-5391</v>
          </cell>
          <cell r="C1758" t="str">
            <v>Traning &amp; Workshop</v>
          </cell>
          <cell r="D1758">
            <v>0</v>
          </cell>
          <cell r="E1758">
            <v>0</v>
          </cell>
          <cell r="F1758">
            <v>0</v>
          </cell>
          <cell r="G1758">
            <v>0</v>
          </cell>
          <cell r="H1758">
            <v>0</v>
          </cell>
          <cell r="I1758">
            <v>0</v>
          </cell>
          <cell r="J1758">
            <v>0</v>
          </cell>
        </row>
        <row r="1759">
          <cell r="B1759" t="str">
            <v>5-5410</v>
          </cell>
          <cell r="C1759" t="str">
            <v>PERSONAL - GAJI</v>
          </cell>
          <cell r="D1759">
            <v>0</v>
          </cell>
          <cell r="E1759">
            <v>0</v>
          </cell>
          <cell r="F1759">
            <v>0</v>
          </cell>
          <cell r="G1759">
            <v>0</v>
          </cell>
          <cell r="H1759">
            <v>0</v>
          </cell>
          <cell r="I1759">
            <v>0</v>
          </cell>
          <cell r="J1759">
            <v>0</v>
          </cell>
        </row>
        <row r="1760">
          <cell r="B1760" t="str">
            <v>5-5411</v>
          </cell>
          <cell r="C1760" t="str">
            <v>Permanent Staff Salary</v>
          </cell>
          <cell r="D1760">
            <v>14289595</v>
          </cell>
          <cell r="E1760">
            <v>0</v>
          </cell>
          <cell r="F1760">
            <v>11721200</v>
          </cell>
          <cell r="G1760">
            <v>0</v>
          </cell>
          <cell r="H1760">
            <v>11721200</v>
          </cell>
          <cell r="I1760">
            <v>26010795</v>
          </cell>
          <cell r="J1760">
            <v>0</v>
          </cell>
        </row>
        <row r="1761">
          <cell r="B1761" t="str">
            <v>5-5412</v>
          </cell>
          <cell r="C1761" t="str">
            <v>Temporary Staff Salary</v>
          </cell>
          <cell r="D1761">
            <v>0</v>
          </cell>
          <cell r="E1761">
            <v>0</v>
          </cell>
          <cell r="F1761">
            <v>0</v>
          </cell>
          <cell r="G1761">
            <v>0</v>
          </cell>
          <cell r="H1761">
            <v>0</v>
          </cell>
          <cell r="I1761">
            <v>0</v>
          </cell>
          <cell r="J1761">
            <v>0</v>
          </cell>
        </row>
        <row r="1762">
          <cell r="B1762" t="str">
            <v>5-5413</v>
          </cell>
          <cell r="C1762" t="str">
            <v>Honorarium santri Khidmah</v>
          </cell>
          <cell r="D1762">
            <v>0</v>
          </cell>
          <cell r="E1762">
            <v>0</v>
          </cell>
          <cell r="F1762">
            <v>0</v>
          </cell>
          <cell r="G1762">
            <v>0</v>
          </cell>
          <cell r="H1762">
            <v>0</v>
          </cell>
          <cell r="I1762">
            <v>0</v>
          </cell>
          <cell r="J1762">
            <v>0</v>
          </cell>
        </row>
        <row r="1763">
          <cell r="B1763" t="str">
            <v>5-5414</v>
          </cell>
          <cell r="C1763" t="str">
            <v>Staff overtime</v>
          </cell>
          <cell r="D1763">
            <v>0</v>
          </cell>
          <cell r="E1763">
            <v>0</v>
          </cell>
          <cell r="F1763">
            <v>0</v>
          </cell>
          <cell r="G1763">
            <v>0</v>
          </cell>
          <cell r="H1763">
            <v>0</v>
          </cell>
          <cell r="I1763">
            <v>0</v>
          </cell>
          <cell r="J1763">
            <v>0</v>
          </cell>
        </row>
        <row r="1764">
          <cell r="B1764" t="str">
            <v>5-5415</v>
          </cell>
          <cell r="C1764" t="str">
            <v>Joint Salary Allocation</v>
          </cell>
          <cell r="D1764">
            <v>0</v>
          </cell>
          <cell r="E1764">
            <v>0</v>
          </cell>
          <cell r="F1764">
            <v>0</v>
          </cell>
          <cell r="G1764">
            <v>0</v>
          </cell>
          <cell r="H1764">
            <v>0</v>
          </cell>
          <cell r="I1764">
            <v>0</v>
          </cell>
          <cell r="J1764">
            <v>0</v>
          </cell>
        </row>
        <row r="1765">
          <cell r="B1765" t="str">
            <v>5-5417</v>
          </cell>
          <cell r="C1765" t="str">
            <v>New Account</v>
          </cell>
          <cell r="D1765">
            <v>0</v>
          </cell>
          <cell r="E1765">
            <v>0</v>
          </cell>
          <cell r="F1765">
            <v>0</v>
          </cell>
          <cell r="G1765">
            <v>0</v>
          </cell>
          <cell r="H1765">
            <v>0</v>
          </cell>
          <cell r="I1765">
            <v>0</v>
          </cell>
          <cell r="J1765">
            <v>0</v>
          </cell>
        </row>
        <row r="1766">
          <cell r="B1766" t="str">
            <v>5-5419</v>
          </cell>
          <cell r="C1766" t="str">
            <v>Others Salary</v>
          </cell>
          <cell r="D1766">
            <v>0</v>
          </cell>
          <cell r="E1766">
            <v>0</v>
          </cell>
          <cell r="F1766">
            <v>0</v>
          </cell>
          <cell r="G1766">
            <v>0</v>
          </cell>
          <cell r="H1766">
            <v>0</v>
          </cell>
          <cell r="I1766">
            <v>0</v>
          </cell>
          <cell r="J1766">
            <v>0</v>
          </cell>
        </row>
        <row r="1767">
          <cell r="B1767" t="str">
            <v>5-5420</v>
          </cell>
          <cell r="C1767" t="str">
            <v>PERSONAL - ALLOWANCE OF</v>
          </cell>
          <cell r="D1767">
            <v>0</v>
          </cell>
          <cell r="E1767">
            <v>0</v>
          </cell>
          <cell r="F1767">
            <v>0</v>
          </cell>
          <cell r="G1767">
            <v>0</v>
          </cell>
          <cell r="H1767">
            <v>0</v>
          </cell>
          <cell r="I1767">
            <v>0</v>
          </cell>
          <cell r="J1767">
            <v>0</v>
          </cell>
        </row>
        <row r="1768">
          <cell r="B1768" t="str">
            <v>5-5421</v>
          </cell>
          <cell r="C1768" t="str">
            <v>Allowance of Hulled Rice</v>
          </cell>
          <cell r="D1768">
            <v>1591000</v>
          </cell>
          <cell r="E1768">
            <v>0</v>
          </cell>
          <cell r="F1768">
            <v>1665000</v>
          </cell>
          <cell r="G1768">
            <v>0</v>
          </cell>
          <cell r="H1768">
            <v>1665000</v>
          </cell>
          <cell r="I1768">
            <v>3256000</v>
          </cell>
          <cell r="J1768">
            <v>0</v>
          </cell>
        </row>
        <row r="1769">
          <cell r="B1769" t="str">
            <v>5-5422</v>
          </cell>
          <cell r="C1769" t="str">
            <v>Alowance of doctor and medicin</v>
          </cell>
          <cell r="D1769" t="str">
            <v>0.00cr</v>
          </cell>
          <cell r="E1769">
            <v>0</v>
          </cell>
          <cell r="F1769">
            <v>170000</v>
          </cell>
          <cell r="G1769">
            <v>0</v>
          </cell>
          <cell r="H1769">
            <v>170000</v>
          </cell>
          <cell r="I1769">
            <v>170000</v>
          </cell>
          <cell r="J1769">
            <v>0</v>
          </cell>
        </row>
        <row r="1770">
          <cell r="B1770" t="str">
            <v>5-5423</v>
          </cell>
          <cell r="C1770" t="str">
            <v>Alowance of spectacles</v>
          </cell>
          <cell r="D1770">
            <v>0</v>
          </cell>
          <cell r="E1770">
            <v>0</v>
          </cell>
          <cell r="F1770">
            <v>0</v>
          </cell>
          <cell r="G1770">
            <v>0</v>
          </cell>
          <cell r="H1770">
            <v>0</v>
          </cell>
          <cell r="I1770">
            <v>0</v>
          </cell>
          <cell r="J1770">
            <v>0</v>
          </cell>
        </row>
        <row r="1771">
          <cell r="B1771" t="str">
            <v>5-5424</v>
          </cell>
          <cell r="C1771" t="str">
            <v>Allowance of operation&amp;hospita</v>
          </cell>
          <cell r="D1771">
            <v>0</v>
          </cell>
          <cell r="E1771">
            <v>0</v>
          </cell>
          <cell r="F1771">
            <v>0</v>
          </cell>
          <cell r="G1771">
            <v>0</v>
          </cell>
          <cell r="H1771">
            <v>0</v>
          </cell>
          <cell r="I1771">
            <v>0</v>
          </cell>
          <cell r="J1771">
            <v>0</v>
          </cell>
        </row>
        <row r="1772">
          <cell r="B1772" t="str">
            <v>5-5425</v>
          </cell>
          <cell r="C1772" t="str">
            <v>Allowance of disaster &amp; die</v>
          </cell>
          <cell r="D1772">
            <v>0</v>
          </cell>
          <cell r="E1772">
            <v>0</v>
          </cell>
          <cell r="F1772">
            <v>0</v>
          </cell>
          <cell r="G1772">
            <v>0</v>
          </cell>
          <cell r="H1772">
            <v>0</v>
          </cell>
          <cell r="I1772">
            <v>0</v>
          </cell>
          <cell r="J1772">
            <v>0</v>
          </cell>
        </row>
        <row r="1773">
          <cell r="B1773" t="str">
            <v>5-5426</v>
          </cell>
          <cell r="C1773" t="str">
            <v>Allowance of hari raya</v>
          </cell>
          <cell r="D1773">
            <v>14105669</v>
          </cell>
          <cell r="E1773">
            <v>0</v>
          </cell>
          <cell r="F1773">
            <v>0</v>
          </cell>
          <cell r="G1773">
            <v>0</v>
          </cell>
          <cell r="H1773">
            <v>0</v>
          </cell>
          <cell r="I1773">
            <v>14105669</v>
          </cell>
          <cell r="J1773">
            <v>0</v>
          </cell>
        </row>
        <row r="1774">
          <cell r="B1774" t="str">
            <v>5-5427</v>
          </cell>
          <cell r="C1774" t="str">
            <v>Allowance of birth</v>
          </cell>
          <cell r="D1774">
            <v>0</v>
          </cell>
          <cell r="E1774">
            <v>0</v>
          </cell>
          <cell r="F1774">
            <v>0</v>
          </cell>
          <cell r="G1774">
            <v>0</v>
          </cell>
          <cell r="H1774">
            <v>0</v>
          </cell>
          <cell r="I1774">
            <v>0</v>
          </cell>
          <cell r="J1774">
            <v>0</v>
          </cell>
        </row>
        <row r="1775">
          <cell r="B1775" t="str">
            <v>5-5428</v>
          </cell>
          <cell r="C1775" t="str">
            <v>Allowance of married</v>
          </cell>
          <cell r="D1775">
            <v>0</v>
          </cell>
          <cell r="E1775">
            <v>0</v>
          </cell>
          <cell r="F1775">
            <v>0</v>
          </cell>
          <cell r="G1775">
            <v>0</v>
          </cell>
          <cell r="H1775">
            <v>0</v>
          </cell>
          <cell r="I1775">
            <v>0</v>
          </cell>
          <cell r="J1775">
            <v>0</v>
          </cell>
        </row>
        <row r="1776">
          <cell r="B1776" t="str">
            <v>5-5429</v>
          </cell>
          <cell r="C1776" t="str">
            <v>Allowance of house rent&amp;others</v>
          </cell>
          <cell r="D1776">
            <v>0</v>
          </cell>
          <cell r="E1776">
            <v>0</v>
          </cell>
          <cell r="F1776">
            <v>0</v>
          </cell>
          <cell r="G1776">
            <v>0</v>
          </cell>
          <cell r="H1776">
            <v>0</v>
          </cell>
          <cell r="I1776">
            <v>0</v>
          </cell>
          <cell r="J1776">
            <v>0</v>
          </cell>
        </row>
        <row r="1777">
          <cell r="B1777" t="str">
            <v>5-5430</v>
          </cell>
          <cell r="C1777" t="str">
            <v>OFFICE</v>
          </cell>
          <cell r="D1777">
            <v>0</v>
          </cell>
          <cell r="E1777">
            <v>0</v>
          </cell>
          <cell r="F1777">
            <v>0</v>
          </cell>
          <cell r="G1777">
            <v>0</v>
          </cell>
          <cell r="H1777">
            <v>0</v>
          </cell>
          <cell r="I1777">
            <v>0</v>
          </cell>
          <cell r="J1777">
            <v>0</v>
          </cell>
        </row>
        <row r="1778">
          <cell r="B1778" t="str">
            <v>5-5431</v>
          </cell>
          <cell r="C1778" t="str">
            <v>Stationary papers</v>
          </cell>
          <cell r="D1778">
            <v>0</v>
          </cell>
          <cell r="E1778">
            <v>0</v>
          </cell>
          <cell r="F1778">
            <v>0</v>
          </cell>
          <cell r="G1778">
            <v>0</v>
          </cell>
          <cell r="H1778">
            <v>0</v>
          </cell>
          <cell r="I1778">
            <v>0</v>
          </cell>
          <cell r="J1778">
            <v>0</v>
          </cell>
        </row>
        <row r="1779">
          <cell r="B1779" t="str">
            <v>5-5432</v>
          </cell>
          <cell r="C1779" t="str">
            <v>Stationary written toolls</v>
          </cell>
          <cell r="D1779">
            <v>0</v>
          </cell>
          <cell r="E1779">
            <v>0</v>
          </cell>
          <cell r="F1779">
            <v>0</v>
          </cell>
          <cell r="G1779">
            <v>0</v>
          </cell>
          <cell r="H1779">
            <v>0</v>
          </cell>
          <cell r="I1779">
            <v>0</v>
          </cell>
          <cell r="J1779">
            <v>0</v>
          </cell>
        </row>
        <row r="1780">
          <cell r="B1780" t="str">
            <v>5-5433</v>
          </cell>
          <cell r="C1780" t="str">
            <v>Stationary ink</v>
          </cell>
          <cell r="D1780">
            <v>0</v>
          </cell>
          <cell r="E1780">
            <v>0</v>
          </cell>
          <cell r="F1780">
            <v>0</v>
          </cell>
          <cell r="G1780">
            <v>0</v>
          </cell>
          <cell r="H1780">
            <v>0</v>
          </cell>
          <cell r="I1780">
            <v>0</v>
          </cell>
          <cell r="J1780">
            <v>0</v>
          </cell>
        </row>
        <row r="1781">
          <cell r="B1781" t="str">
            <v>5-5434</v>
          </cell>
          <cell r="C1781" t="str">
            <v>Stationary Others</v>
          </cell>
          <cell r="D1781">
            <v>0</v>
          </cell>
          <cell r="E1781">
            <v>0</v>
          </cell>
          <cell r="F1781">
            <v>0</v>
          </cell>
          <cell r="G1781">
            <v>0</v>
          </cell>
          <cell r="H1781">
            <v>0</v>
          </cell>
          <cell r="I1781">
            <v>0</v>
          </cell>
          <cell r="J1781">
            <v>0</v>
          </cell>
        </row>
        <row r="1782">
          <cell r="B1782" t="str">
            <v>5-5435</v>
          </cell>
          <cell r="C1782" t="str">
            <v>Consumptions</v>
          </cell>
          <cell r="D1782">
            <v>0</v>
          </cell>
          <cell r="E1782">
            <v>0</v>
          </cell>
          <cell r="F1782">
            <v>0</v>
          </cell>
          <cell r="G1782">
            <v>0</v>
          </cell>
          <cell r="H1782">
            <v>0</v>
          </cell>
          <cell r="I1782">
            <v>0</v>
          </cell>
          <cell r="J1782">
            <v>0</v>
          </cell>
        </row>
        <row r="1783">
          <cell r="B1783" t="str">
            <v>5-5436</v>
          </cell>
          <cell r="C1783" t="str">
            <v>Fotocopy &amp; Printing</v>
          </cell>
          <cell r="D1783">
            <v>0</v>
          </cell>
          <cell r="E1783">
            <v>0</v>
          </cell>
          <cell r="F1783">
            <v>0</v>
          </cell>
          <cell r="G1783">
            <v>0</v>
          </cell>
          <cell r="H1783">
            <v>0</v>
          </cell>
          <cell r="I1783">
            <v>0</v>
          </cell>
          <cell r="J1783">
            <v>0</v>
          </cell>
        </row>
        <row r="1784">
          <cell r="B1784" t="str">
            <v>5-5437</v>
          </cell>
          <cell r="C1784" t="str">
            <v>Office Suplies</v>
          </cell>
          <cell r="D1784">
            <v>0</v>
          </cell>
          <cell r="E1784">
            <v>0</v>
          </cell>
          <cell r="F1784">
            <v>0</v>
          </cell>
          <cell r="G1784">
            <v>0</v>
          </cell>
          <cell r="H1784">
            <v>0</v>
          </cell>
          <cell r="I1784">
            <v>0</v>
          </cell>
          <cell r="J1784">
            <v>0</v>
          </cell>
        </row>
        <row r="1785">
          <cell r="B1785" t="str">
            <v>5-5439</v>
          </cell>
          <cell r="C1785" t="str">
            <v>Others</v>
          </cell>
          <cell r="D1785">
            <v>0</v>
          </cell>
          <cell r="E1785">
            <v>0</v>
          </cell>
          <cell r="F1785">
            <v>0</v>
          </cell>
          <cell r="G1785">
            <v>0</v>
          </cell>
          <cell r="H1785">
            <v>0</v>
          </cell>
          <cell r="I1785">
            <v>0</v>
          </cell>
          <cell r="J1785">
            <v>0</v>
          </cell>
        </row>
        <row r="1786">
          <cell r="B1786" t="str">
            <v>5-5440</v>
          </cell>
          <cell r="C1786" t="str">
            <v>TRANSPORTATION &amp; TELECOMUNICAT</v>
          </cell>
          <cell r="D1786">
            <v>0</v>
          </cell>
          <cell r="E1786">
            <v>0</v>
          </cell>
          <cell r="F1786">
            <v>0</v>
          </cell>
          <cell r="G1786">
            <v>0</v>
          </cell>
          <cell r="H1786">
            <v>0</v>
          </cell>
          <cell r="I1786">
            <v>0</v>
          </cell>
          <cell r="J1786">
            <v>0</v>
          </cell>
        </row>
        <row r="1787">
          <cell r="B1787" t="str">
            <v>5-5441</v>
          </cell>
          <cell r="C1787" t="str">
            <v>Mail &amp; Shipment</v>
          </cell>
          <cell r="D1787">
            <v>0</v>
          </cell>
          <cell r="E1787">
            <v>0</v>
          </cell>
          <cell r="F1787">
            <v>0</v>
          </cell>
          <cell r="G1787">
            <v>0</v>
          </cell>
          <cell r="H1787">
            <v>0</v>
          </cell>
          <cell r="I1787">
            <v>0</v>
          </cell>
          <cell r="J1787">
            <v>0</v>
          </cell>
        </row>
        <row r="1788">
          <cell r="B1788" t="str">
            <v>5-5442</v>
          </cell>
          <cell r="C1788" t="str">
            <v>Telephone</v>
          </cell>
          <cell r="D1788">
            <v>0</v>
          </cell>
          <cell r="E1788">
            <v>0</v>
          </cell>
          <cell r="F1788">
            <v>1350000</v>
          </cell>
          <cell r="G1788">
            <v>0</v>
          </cell>
          <cell r="H1788">
            <v>1350000</v>
          </cell>
          <cell r="I1788">
            <v>1350000</v>
          </cell>
          <cell r="J1788">
            <v>0</v>
          </cell>
        </row>
        <row r="1789">
          <cell r="B1789" t="str">
            <v>5-5443</v>
          </cell>
          <cell r="C1789" t="str">
            <v>Fuel</v>
          </cell>
          <cell r="D1789">
            <v>0</v>
          </cell>
          <cell r="E1789">
            <v>0</v>
          </cell>
          <cell r="F1789">
            <v>0</v>
          </cell>
          <cell r="G1789">
            <v>0</v>
          </cell>
          <cell r="H1789">
            <v>0</v>
          </cell>
          <cell r="I1789">
            <v>0</v>
          </cell>
          <cell r="J1789">
            <v>0</v>
          </cell>
        </row>
        <row r="1790">
          <cell r="B1790" t="str">
            <v>5-5444</v>
          </cell>
          <cell r="C1790" t="str">
            <v>Accommodations</v>
          </cell>
          <cell r="D1790">
            <v>0</v>
          </cell>
          <cell r="E1790">
            <v>0</v>
          </cell>
          <cell r="F1790">
            <v>0</v>
          </cell>
          <cell r="G1790">
            <v>0</v>
          </cell>
          <cell r="H1790">
            <v>0</v>
          </cell>
          <cell r="I1790">
            <v>0</v>
          </cell>
          <cell r="J1790">
            <v>0</v>
          </cell>
        </row>
        <row r="1791">
          <cell r="B1791" t="str">
            <v>5-5445</v>
          </cell>
          <cell r="C1791" t="str">
            <v>Public Transportation</v>
          </cell>
          <cell r="D1791">
            <v>0</v>
          </cell>
          <cell r="E1791">
            <v>0</v>
          </cell>
          <cell r="F1791">
            <v>0</v>
          </cell>
          <cell r="G1791">
            <v>0</v>
          </cell>
          <cell r="H1791">
            <v>0</v>
          </cell>
          <cell r="I1791">
            <v>0</v>
          </cell>
          <cell r="J1791">
            <v>0</v>
          </cell>
        </row>
        <row r="1792">
          <cell r="B1792" t="str">
            <v>5-5446</v>
          </cell>
          <cell r="C1792" t="str">
            <v>Joint Transportation Allocatio</v>
          </cell>
          <cell r="D1792">
            <v>0</v>
          </cell>
          <cell r="E1792">
            <v>0</v>
          </cell>
          <cell r="F1792">
            <v>0</v>
          </cell>
          <cell r="G1792">
            <v>0</v>
          </cell>
          <cell r="H1792">
            <v>0</v>
          </cell>
          <cell r="I1792">
            <v>0</v>
          </cell>
          <cell r="J1792">
            <v>0</v>
          </cell>
        </row>
        <row r="1793">
          <cell r="B1793" t="str">
            <v>5-5449</v>
          </cell>
          <cell r="C1793" t="str">
            <v>Others</v>
          </cell>
          <cell r="D1793">
            <v>0</v>
          </cell>
          <cell r="E1793">
            <v>0</v>
          </cell>
          <cell r="F1793">
            <v>0</v>
          </cell>
          <cell r="G1793">
            <v>0</v>
          </cell>
          <cell r="H1793">
            <v>0</v>
          </cell>
          <cell r="I1793">
            <v>0</v>
          </cell>
          <cell r="J1793">
            <v>0</v>
          </cell>
        </row>
        <row r="1794">
          <cell r="B1794" t="str">
            <v>5-5450</v>
          </cell>
          <cell r="C1794" t="str">
            <v>REPAIR &amp; MAINTENENCE</v>
          </cell>
          <cell r="D1794">
            <v>0</v>
          </cell>
          <cell r="E1794">
            <v>0</v>
          </cell>
          <cell r="F1794">
            <v>0</v>
          </cell>
          <cell r="G1794">
            <v>0</v>
          </cell>
          <cell r="H1794">
            <v>0</v>
          </cell>
          <cell r="I1794">
            <v>0</v>
          </cell>
          <cell r="J1794">
            <v>0</v>
          </cell>
        </row>
        <row r="1795">
          <cell r="B1795" t="str">
            <v>5-5451</v>
          </cell>
          <cell r="C1795" t="str">
            <v>R &amp; M - Computer &amp; audio visua</v>
          </cell>
          <cell r="D1795">
            <v>0</v>
          </cell>
          <cell r="E1795">
            <v>0</v>
          </cell>
          <cell r="F1795">
            <v>0</v>
          </cell>
          <cell r="G1795">
            <v>0</v>
          </cell>
          <cell r="H1795">
            <v>0</v>
          </cell>
          <cell r="I1795">
            <v>0</v>
          </cell>
          <cell r="J1795">
            <v>0</v>
          </cell>
        </row>
        <row r="1796">
          <cell r="B1796" t="str">
            <v>5-5452</v>
          </cell>
          <cell r="C1796" t="str">
            <v>R &amp; M - Telephone &amp; Faxs</v>
          </cell>
          <cell r="D1796">
            <v>0</v>
          </cell>
          <cell r="E1796">
            <v>0</v>
          </cell>
          <cell r="F1796">
            <v>0</v>
          </cell>
          <cell r="G1796">
            <v>0</v>
          </cell>
          <cell r="H1796">
            <v>0</v>
          </cell>
          <cell r="I1796">
            <v>0</v>
          </cell>
          <cell r="J1796">
            <v>0</v>
          </cell>
        </row>
        <row r="1797">
          <cell r="B1797" t="str">
            <v>5-5453</v>
          </cell>
          <cell r="C1797" t="str">
            <v>R &amp; M - Office Eqiupment</v>
          </cell>
          <cell r="D1797">
            <v>0</v>
          </cell>
          <cell r="E1797">
            <v>0</v>
          </cell>
          <cell r="F1797">
            <v>0</v>
          </cell>
          <cell r="G1797">
            <v>0</v>
          </cell>
          <cell r="H1797">
            <v>0</v>
          </cell>
          <cell r="I1797">
            <v>0</v>
          </cell>
          <cell r="J1797">
            <v>0</v>
          </cell>
        </row>
        <row r="1798">
          <cell r="B1798" t="str">
            <v>5-5454</v>
          </cell>
          <cell r="C1798" t="str">
            <v>R &amp; M- Teaching Eqiupment</v>
          </cell>
          <cell r="D1798">
            <v>0</v>
          </cell>
          <cell r="E1798">
            <v>0</v>
          </cell>
          <cell r="F1798">
            <v>0</v>
          </cell>
          <cell r="G1798">
            <v>0</v>
          </cell>
          <cell r="H1798">
            <v>0</v>
          </cell>
          <cell r="I1798">
            <v>0</v>
          </cell>
          <cell r="J1798">
            <v>0</v>
          </cell>
        </row>
        <row r="1799">
          <cell r="B1799" t="str">
            <v>5-5455</v>
          </cell>
          <cell r="C1799" t="str">
            <v>R &amp; M - Other Eqiupment</v>
          </cell>
          <cell r="D1799">
            <v>0</v>
          </cell>
          <cell r="E1799">
            <v>0</v>
          </cell>
          <cell r="F1799">
            <v>0</v>
          </cell>
          <cell r="G1799">
            <v>0</v>
          </cell>
          <cell r="H1799">
            <v>0</v>
          </cell>
          <cell r="I1799">
            <v>0</v>
          </cell>
          <cell r="J1799">
            <v>0</v>
          </cell>
        </row>
        <row r="1800">
          <cell r="B1800" t="str">
            <v>5-5456</v>
          </cell>
          <cell r="C1800" t="str">
            <v>R &amp; M - Table &amp; Chairs</v>
          </cell>
          <cell r="D1800">
            <v>0</v>
          </cell>
          <cell r="E1800">
            <v>0</v>
          </cell>
          <cell r="F1800">
            <v>0</v>
          </cell>
          <cell r="G1800">
            <v>0</v>
          </cell>
          <cell r="H1800">
            <v>0</v>
          </cell>
          <cell r="I1800">
            <v>0</v>
          </cell>
          <cell r="J1800">
            <v>0</v>
          </cell>
        </row>
        <row r="1801">
          <cell r="B1801" t="str">
            <v>5-5457</v>
          </cell>
          <cell r="C1801" t="str">
            <v>R &amp; M - Cupboard &amp; Rack</v>
          </cell>
          <cell r="D1801">
            <v>0</v>
          </cell>
          <cell r="E1801">
            <v>0</v>
          </cell>
          <cell r="F1801">
            <v>0</v>
          </cell>
          <cell r="G1801">
            <v>0</v>
          </cell>
          <cell r="H1801">
            <v>0</v>
          </cell>
          <cell r="I1801">
            <v>0</v>
          </cell>
          <cell r="J1801">
            <v>0</v>
          </cell>
        </row>
        <row r="1802">
          <cell r="B1802" t="str">
            <v>5-5458</v>
          </cell>
          <cell r="C1802" t="str">
            <v>R &amp; M - Other Furniture</v>
          </cell>
          <cell r="D1802">
            <v>0</v>
          </cell>
          <cell r="E1802">
            <v>0</v>
          </cell>
          <cell r="F1802">
            <v>0</v>
          </cell>
          <cell r="G1802">
            <v>0</v>
          </cell>
          <cell r="H1802">
            <v>0</v>
          </cell>
          <cell r="I1802">
            <v>0</v>
          </cell>
          <cell r="J1802">
            <v>0</v>
          </cell>
        </row>
        <row r="1803">
          <cell r="B1803" t="str">
            <v>5-5459</v>
          </cell>
          <cell r="C1803" t="str">
            <v>R &amp; M - Other</v>
          </cell>
          <cell r="D1803">
            <v>0</v>
          </cell>
          <cell r="E1803">
            <v>0</v>
          </cell>
          <cell r="F1803">
            <v>0</v>
          </cell>
          <cell r="G1803">
            <v>0</v>
          </cell>
          <cell r="H1803">
            <v>0</v>
          </cell>
          <cell r="I1803">
            <v>0</v>
          </cell>
          <cell r="J1803">
            <v>0</v>
          </cell>
        </row>
        <row r="1804">
          <cell r="B1804" t="str">
            <v>5-5490</v>
          </cell>
          <cell r="C1804" t="str">
            <v>LAIN-LAIN</v>
          </cell>
          <cell r="D1804">
            <v>0</v>
          </cell>
          <cell r="E1804">
            <v>0</v>
          </cell>
          <cell r="F1804">
            <v>0</v>
          </cell>
          <cell r="G1804">
            <v>0</v>
          </cell>
          <cell r="H1804">
            <v>0</v>
          </cell>
          <cell r="I1804">
            <v>0</v>
          </cell>
          <cell r="J1804">
            <v>0</v>
          </cell>
        </row>
        <row r="1805">
          <cell r="B1805" t="str">
            <v>5-5491</v>
          </cell>
          <cell r="C1805" t="str">
            <v>Traning &amp; Workshop</v>
          </cell>
          <cell r="D1805">
            <v>0</v>
          </cell>
          <cell r="E1805">
            <v>0</v>
          </cell>
          <cell r="F1805">
            <v>0</v>
          </cell>
          <cell r="G1805">
            <v>0</v>
          </cell>
          <cell r="H1805">
            <v>0</v>
          </cell>
          <cell r="I1805">
            <v>0</v>
          </cell>
          <cell r="J1805">
            <v>0</v>
          </cell>
        </row>
        <row r="1806">
          <cell r="B1806" t="str">
            <v>5-5510</v>
          </cell>
          <cell r="C1806" t="str">
            <v>CLASSMEETING</v>
          </cell>
          <cell r="D1806">
            <v>0</v>
          </cell>
          <cell r="E1806">
            <v>0</v>
          </cell>
          <cell r="F1806">
            <v>0</v>
          </cell>
          <cell r="G1806">
            <v>0</v>
          </cell>
          <cell r="H1806">
            <v>0</v>
          </cell>
          <cell r="I1806">
            <v>0</v>
          </cell>
          <cell r="J1806">
            <v>0</v>
          </cell>
        </row>
        <row r="1807">
          <cell r="B1807" t="str">
            <v>5-5511</v>
          </cell>
          <cell r="C1807" t="str">
            <v>Stationary</v>
          </cell>
          <cell r="D1807">
            <v>0</v>
          </cell>
          <cell r="E1807">
            <v>0</v>
          </cell>
          <cell r="F1807">
            <v>0</v>
          </cell>
          <cell r="G1807">
            <v>0</v>
          </cell>
          <cell r="H1807">
            <v>0</v>
          </cell>
          <cell r="I1807">
            <v>0</v>
          </cell>
          <cell r="J1807">
            <v>0</v>
          </cell>
        </row>
        <row r="1808">
          <cell r="B1808" t="str">
            <v>5-5512</v>
          </cell>
          <cell r="C1808" t="str">
            <v>Supplies</v>
          </cell>
          <cell r="D1808">
            <v>0</v>
          </cell>
          <cell r="E1808">
            <v>0</v>
          </cell>
          <cell r="F1808">
            <v>0</v>
          </cell>
          <cell r="G1808">
            <v>0</v>
          </cell>
          <cell r="H1808">
            <v>0</v>
          </cell>
          <cell r="I1808">
            <v>0</v>
          </cell>
          <cell r="J1808">
            <v>0</v>
          </cell>
        </row>
        <row r="1809">
          <cell r="B1809" t="str">
            <v>5-5513</v>
          </cell>
          <cell r="C1809" t="str">
            <v>Transportation</v>
          </cell>
          <cell r="D1809">
            <v>0</v>
          </cell>
          <cell r="E1809">
            <v>0</v>
          </cell>
          <cell r="F1809">
            <v>0</v>
          </cell>
          <cell r="G1809">
            <v>0</v>
          </cell>
          <cell r="H1809">
            <v>0</v>
          </cell>
          <cell r="I1809">
            <v>0</v>
          </cell>
          <cell r="J1809">
            <v>0</v>
          </cell>
        </row>
        <row r="1810">
          <cell r="B1810" t="str">
            <v>5-5514</v>
          </cell>
          <cell r="C1810" t="str">
            <v>Prize</v>
          </cell>
          <cell r="D1810">
            <v>0</v>
          </cell>
          <cell r="E1810">
            <v>0</v>
          </cell>
          <cell r="F1810">
            <v>0</v>
          </cell>
          <cell r="G1810">
            <v>0</v>
          </cell>
          <cell r="H1810">
            <v>0</v>
          </cell>
          <cell r="I1810">
            <v>0</v>
          </cell>
          <cell r="J1810">
            <v>0</v>
          </cell>
        </row>
        <row r="1811">
          <cell r="B1811" t="str">
            <v>5-5515</v>
          </cell>
          <cell r="C1811" t="str">
            <v>Consumptions</v>
          </cell>
          <cell r="D1811">
            <v>0</v>
          </cell>
          <cell r="E1811">
            <v>0</v>
          </cell>
          <cell r="F1811">
            <v>0</v>
          </cell>
          <cell r="G1811">
            <v>0</v>
          </cell>
          <cell r="H1811">
            <v>0</v>
          </cell>
          <cell r="I1811">
            <v>0</v>
          </cell>
          <cell r="J1811">
            <v>0</v>
          </cell>
        </row>
        <row r="1812">
          <cell r="B1812" t="str">
            <v>5-5519</v>
          </cell>
          <cell r="C1812" t="str">
            <v>Lain-lain</v>
          </cell>
          <cell r="D1812">
            <v>0</v>
          </cell>
          <cell r="E1812">
            <v>0</v>
          </cell>
          <cell r="F1812">
            <v>0</v>
          </cell>
          <cell r="G1812">
            <v>0</v>
          </cell>
          <cell r="H1812">
            <v>0</v>
          </cell>
          <cell r="I1812">
            <v>0</v>
          </cell>
          <cell r="J1812">
            <v>0</v>
          </cell>
        </row>
        <row r="1813">
          <cell r="B1813" t="str">
            <v>5-5520</v>
          </cell>
          <cell r="C1813" t="str">
            <v>HAFALAN ILMIAH</v>
          </cell>
          <cell r="D1813">
            <v>0</v>
          </cell>
          <cell r="E1813">
            <v>0</v>
          </cell>
          <cell r="F1813">
            <v>0</v>
          </cell>
          <cell r="G1813">
            <v>0</v>
          </cell>
          <cell r="H1813">
            <v>0</v>
          </cell>
          <cell r="I1813">
            <v>0</v>
          </cell>
          <cell r="J1813">
            <v>0</v>
          </cell>
        </row>
        <row r="1814">
          <cell r="B1814" t="str">
            <v>5-5521</v>
          </cell>
          <cell r="C1814" t="str">
            <v>Stationary</v>
          </cell>
          <cell r="D1814">
            <v>0</v>
          </cell>
          <cell r="E1814">
            <v>0</v>
          </cell>
          <cell r="F1814">
            <v>0</v>
          </cell>
          <cell r="G1814">
            <v>0</v>
          </cell>
          <cell r="H1814">
            <v>0</v>
          </cell>
          <cell r="I1814">
            <v>0</v>
          </cell>
          <cell r="J1814">
            <v>0</v>
          </cell>
        </row>
        <row r="1815">
          <cell r="B1815" t="str">
            <v>5-5522</v>
          </cell>
          <cell r="C1815" t="str">
            <v>Supplies</v>
          </cell>
          <cell r="D1815">
            <v>0</v>
          </cell>
          <cell r="E1815">
            <v>0</v>
          </cell>
          <cell r="F1815">
            <v>0</v>
          </cell>
          <cell r="G1815">
            <v>0</v>
          </cell>
          <cell r="H1815">
            <v>0</v>
          </cell>
          <cell r="I1815">
            <v>0</v>
          </cell>
          <cell r="J1815">
            <v>0</v>
          </cell>
        </row>
        <row r="1816">
          <cell r="B1816" t="str">
            <v>5-5523</v>
          </cell>
          <cell r="C1816" t="str">
            <v>Transportation</v>
          </cell>
          <cell r="D1816">
            <v>0</v>
          </cell>
          <cell r="E1816">
            <v>0</v>
          </cell>
          <cell r="F1816">
            <v>0</v>
          </cell>
          <cell r="G1816">
            <v>0</v>
          </cell>
          <cell r="H1816">
            <v>0</v>
          </cell>
          <cell r="I1816">
            <v>0</v>
          </cell>
          <cell r="J1816">
            <v>0</v>
          </cell>
        </row>
        <row r="1817">
          <cell r="B1817" t="str">
            <v>5-5524</v>
          </cell>
          <cell r="C1817" t="str">
            <v>Prize</v>
          </cell>
          <cell r="D1817">
            <v>0</v>
          </cell>
          <cell r="E1817">
            <v>0</v>
          </cell>
          <cell r="F1817">
            <v>0</v>
          </cell>
          <cell r="G1817">
            <v>0</v>
          </cell>
          <cell r="H1817">
            <v>0</v>
          </cell>
          <cell r="I1817">
            <v>0</v>
          </cell>
          <cell r="J1817">
            <v>0</v>
          </cell>
        </row>
        <row r="1818">
          <cell r="B1818" t="str">
            <v>5-5525</v>
          </cell>
          <cell r="C1818" t="str">
            <v>Consumptions</v>
          </cell>
          <cell r="D1818">
            <v>0</v>
          </cell>
          <cell r="E1818">
            <v>0</v>
          </cell>
          <cell r="F1818">
            <v>0</v>
          </cell>
          <cell r="G1818">
            <v>0</v>
          </cell>
          <cell r="H1818">
            <v>0</v>
          </cell>
          <cell r="I1818">
            <v>0</v>
          </cell>
          <cell r="J1818">
            <v>0</v>
          </cell>
        </row>
        <row r="1819">
          <cell r="B1819" t="str">
            <v>5-5529</v>
          </cell>
          <cell r="C1819" t="str">
            <v>Lain-lain</v>
          </cell>
          <cell r="D1819">
            <v>0</v>
          </cell>
          <cell r="E1819">
            <v>0</v>
          </cell>
          <cell r="F1819">
            <v>0</v>
          </cell>
          <cell r="G1819">
            <v>0</v>
          </cell>
          <cell r="H1819">
            <v>0</v>
          </cell>
          <cell r="I1819">
            <v>0</v>
          </cell>
          <cell r="J1819">
            <v>0</v>
          </cell>
        </row>
        <row r="1820">
          <cell r="B1820" t="str">
            <v>5-5610</v>
          </cell>
          <cell r="C1820" t="str">
            <v>Admission New Students</v>
          </cell>
          <cell r="D1820">
            <v>0</v>
          </cell>
          <cell r="E1820">
            <v>0</v>
          </cell>
          <cell r="F1820">
            <v>0</v>
          </cell>
          <cell r="G1820">
            <v>0</v>
          </cell>
          <cell r="H1820">
            <v>0</v>
          </cell>
          <cell r="I1820">
            <v>0</v>
          </cell>
          <cell r="J1820">
            <v>0</v>
          </cell>
        </row>
        <row r="1821">
          <cell r="B1821" t="str">
            <v>5-5611</v>
          </cell>
          <cell r="C1821" t="str">
            <v>Stationary</v>
          </cell>
          <cell r="D1821">
            <v>0</v>
          </cell>
          <cell r="E1821">
            <v>0</v>
          </cell>
          <cell r="F1821">
            <v>0</v>
          </cell>
          <cell r="G1821">
            <v>0</v>
          </cell>
          <cell r="H1821">
            <v>0</v>
          </cell>
          <cell r="I1821">
            <v>0</v>
          </cell>
          <cell r="J1821">
            <v>0</v>
          </cell>
        </row>
        <row r="1822">
          <cell r="B1822" t="str">
            <v>5-5612</v>
          </cell>
          <cell r="C1822" t="str">
            <v>Consumptions</v>
          </cell>
          <cell r="D1822">
            <v>0</v>
          </cell>
          <cell r="E1822">
            <v>0</v>
          </cell>
          <cell r="F1822">
            <v>0</v>
          </cell>
          <cell r="G1822">
            <v>0</v>
          </cell>
          <cell r="H1822">
            <v>0</v>
          </cell>
          <cell r="I1822">
            <v>0</v>
          </cell>
          <cell r="J1822">
            <v>0</v>
          </cell>
        </row>
        <row r="1823">
          <cell r="B1823" t="str">
            <v>5-5613</v>
          </cell>
          <cell r="C1823" t="str">
            <v>Fotocopy &amp; Printing</v>
          </cell>
          <cell r="D1823">
            <v>0</v>
          </cell>
          <cell r="E1823">
            <v>0</v>
          </cell>
          <cell r="F1823">
            <v>0</v>
          </cell>
          <cell r="G1823">
            <v>0</v>
          </cell>
          <cell r="H1823">
            <v>0</v>
          </cell>
          <cell r="I1823">
            <v>0</v>
          </cell>
          <cell r="J1823">
            <v>0</v>
          </cell>
        </row>
        <row r="1824">
          <cell r="B1824" t="str">
            <v>5-5614</v>
          </cell>
          <cell r="C1824" t="str">
            <v>Supplies</v>
          </cell>
          <cell r="D1824">
            <v>0</v>
          </cell>
          <cell r="E1824">
            <v>0</v>
          </cell>
          <cell r="F1824">
            <v>0</v>
          </cell>
          <cell r="G1824">
            <v>0</v>
          </cell>
          <cell r="H1824">
            <v>0</v>
          </cell>
          <cell r="I1824">
            <v>0</v>
          </cell>
          <cell r="J1824">
            <v>0</v>
          </cell>
        </row>
        <row r="1825">
          <cell r="B1825" t="str">
            <v>5-5615</v>
          </cell>
          <cell r="C1825" t="str">
            <v>Transportation</v>
          </cell>
          <cell r="D1825">
            <v>0</v>
          </cell>
          <cell r="E1825">
            <v>0</v>
          </cell>
          <cell r="F1825">
            <v>0</v>
          </cell>
          <cell r="G1825">
            <v>0</v>
          </cell>
          <cell r="H1825">
            <v>0</v>
          </cell>
          <cell r="I1825">
            <v>0</v>
          </cell>
          <cell r="J1825">
            <v>0</v>
          </cell>
        </row>
        <row r="1826">
          <cell r="B1826" t="str">
            <v>5-5616</v>
          </cell>
          <cell r="C1826" t="str">
            <v>Post &amp; Telecomunication</v>
          </cell>
          <cell r="D1826">
            <v>0</v>
          </cell>
          <cell r="E1826">
            <v>0</v>
          </cell>
          <cell r="F1826">
            <v>0</v>
          </cell>
          <cell r="G1826">
            <v>0</v>
          </cell>
          <cell r="H1826">
            <v>0</v>
          </cell>
          <cell r="I1826">
            <v>0</v>
          </cell>
          <cell r="J1826">
            <v>0</v>
          </cell>
        </row>
        <row r="1827">
          <cell r="B1827" t="str">
            <v>5-5617</v>
          </cell>
          <cell r="C1827" t="str">
            <v>Prize</v>
          </cell>
          <cell r="D1827">
            <v>0</v>
          </cell>
          <cell r="E1827">
            <v>0</v>
          </cell>
          <cell r="F1827">
            <v>0</v>
          </cell>
          <cell r="G1827">
            <v>0</v>
          </cell>
          <cell r="H1827">
            <v>0</v>
          </cell>
          <cell r="I1827">
            <v>0</v>
          </cell>
          <cell r="J1827">
            <v>0</v>
          </cell>
        </row>
        <row r="1828">
          <cell r="B1828" t="str">
            <v>5-5619</v>
          </cell>
          <cell r="C1828" t="str">
            <v>Others</v>
          </cell>
          <cell r="D1828">
            <v>0</v>
          </cell>
          <cell r="E1828">
            <v>0</v>
          </cell>
          <cell r="F1828">
            <v>0</v>
          </cell>
          <cell r="G1828">
            <v>0</v>
          </cell>
          <cell r="H1828">
            <v>0</v>
          </cell>
          <cell r="I1828">
            <v>0</v>
          </cell>
          <cell r="J1828">
            <v>0</v>
          </cell>
        </row>
        <row r="1829">
          <cell r="B1829" t="str">
            <v>5-5620</v>
          </cell>
          <cell r="C1829" t="str">
            <v>PUBLIKASI</v>
          </cell>
          <cell r="D1829">
            <v>0</v>
          </cell>
          <cell r="E1829">
            <v>0</v>
          </cell>
          <cell r="F1829">
            <v>0</v>
          </cell>
          <cell r="G1829">
            <v>0</v>
          </cell>
          <cell r="H1829">
            <v>0</v>
          </cell>
          <cell r="I1829">
            <v>0</v>
          </cell>
          <cell r="J1829">
            <v>0</v>
          </cell>
        </row>
        <row r="1830">
          <cell r="B1830" t="str">
            <v>5-5621</v>
          </cell>
          <cell r="C1830" t="str">
            <v>Brochure</v>
          </cell>
          <cell r="D1830">
            <v>0</v>
          </cell>
          <cell r="E1830">
            <v>0</v>
          </cell>
          <cell r="F1830">
            <v>0</v>
          </cell>
          <cell r="G1830">
            <v>0</v>
          </cell>
          <cell r="H1830">
            <v>0</v>
          </cell>
          <cell r="I1830">
            <v>0</v>
          </cell>
          <cell r="J1830">
            <v>0</v>
          </cell>
        </row>
        <row r="1831">
          <cell r="B1831" t="str">
            <v>5-5622</v>
          </cell>
          <cell r="C1831" t="str">
            <v>Advertisement</v>
          </cell>
          <cell r="D1831">
            <v>0</v>
          </cell>
          <cell r="E1831">
            <v>0</v>
          </cell>
          <cell r="F1831">
            <v>0</v>
          </cell>
          <cell r="G1831">
            <v>0</v>
          </cell>
          <cell r="H1831">
            <v>0</v>
          </cell>
          <cell r="I1831">
            <v>0</v>
          </cell>
          <cell r="J1831">
            <v>0</v>
          </cell>
        </row>
        <row r="1832">
          <cell r="B1832" t="str">
            <v>5-5623</v>
          </cell>
          <cell r="C1832" t="str">
            <v>Banner</v>
          </cell>
          <cell r="D1832">
            <v>0</v>
          </cell>
          <cell r="E1832">
            <v>0</v>
          </cell>
          <cell r="F1832">
            <v>0</v>
          </cell>
          <cell r="G1832">
            <v>0</v>
          </cell>
          <cell r="H1832">
            <v>0</v>
          </cell>
          <cell r="I1832">
            <v>0</v>
          </cell>
          <cell r="J1832">
            <v>0</v>
          </cell>
        </row>
        <row r="1833">
          <cell r="B1833" t="str">
            <v>5-5624</v>
          </cell>
          <cell r="C1833" t="str">
            <v>Mass Media</v>
          </cell>
          <cell r="D1833">
            <v>0</v>
          </cell>
          <cell r="E1833">
            <v>0</v>
          </cell>
          <cell r="F1833">
            <v>0</v>
          </cell>
          <cell r="G1833">
            <v>0</v>
          </cell>
          <cell r="H1833">
            <v>0</v>
          </cell>
          <cell r="I1833">
            <v>0</v>
          </cell>
          <cell r="J1833">
            <v>0</v>
          </cell>
        </row>
        <row r="1834">
          <cell r="B1834" t="str">
            <v>5-5625</v>
          </cell>
          <cell r="C1834" t="str">
            <v>Transportation</v>
          </cell>
          <cell r="D1834">
            <v>0</v>
          </cell>
          <cell r="E1834">
            <v>0</v>
          </cell>
          <cell r="F1834">
            <v>0</v>
          </cell>
          <cell r="G1834">
            <v>0</v>
          </cell>
          <cell r="H1834">
            <v>0</v>
          </cell>
          <cell r="I1834">
            <v>0</v>
          </cell>
          <cell r="J1834">
            <v>0</v>
          </cell>
        </row>
        <row r="1835">
          <cell r="B1835" t="str">
            <v>5-5626</v>
          </cell>
          <cell r="C1835" t="str">
            <v>Post &amp; Telecomunication</v>
          </cell>
          <cell r="D1835">
            <v>0</v>
          </cell>
          <cell r="E1835">
            <v>0</v>
          </cell>
          <cell r="F1835">
            <v>0</v>
          </cell>
          <cell r="G1835">
            <v>0</v>
          </cell>
          <cell r="H1835">
            <v>0</v>
          </cell>
          <cell r="I1835">
            <v>0</v>
          </cell>
          <cell r="J1835">
            <v>0</v>
          </cell>
        </row>
        <row r="1836">
          <cell r="B1836" t="str">
            <v>5-5629</v>
          </cell>
          <cell r="C1836" t="str">
            <v>Others</v>
          </cell>
          <cell r="D1836">
            <v>0</v>
          </cell>
          <cell r="E1836">
            <v>0</v>
          </cell>
          <cell r="F1836">
            <v>0</v>
          </cell>
          <cell r="G1836">
            <v>0</v>
          </cell>
          <cell r="H1836">
            <v>0</v>
          </cell>
          <cell r="I1836">
            <v>0</v>
          </cell>
          <cell r="J1836">
            <v>0</v>
          </cell>
        </row>
        <row r="1837">
          <cell r="B1837" t="str">
            <v>5-5710</v>
          </cell>
          <cell r="C1837" t="str">
            <v>PERSONAL - GAJI</v>
          </cell>
          <cell r="D1837">
            <v>0</v>
          </cell>
          <cell r="E1837">
            <v>0</v>
          </cell>
          <cell r="F1837">
            <v>0</v>
          </cell>
          <cell r="G1837">
            <v>0</v>
          </cell>
          <cell r="H1837">
            <v>0</v>
          </cell>
          <cell r="I1837">
            <v>0</v>
          </cell>
          <cell r="J1837">
            <v>0</v>
          </cell>
        </row>
        <row r="1838">
          <cell r="B1838" t="str">
            <v>5-5711</v>
          </cell>
          <cell r="C1838" t="str">
            <v>Doctor Salary</v>
          </cell>
          <cell r="D1838">
            <v>0</v>
          </cell>
          <cell r="E1838">
            <v>0</v>
          </cell>
          <cell r="F1838">
            <v>1615000</v>
          </cell>
          <cell r="G1838">
            <v>0</v>
          </cell>
          <cell r="H1838">
            <v>1615000</v>
          </cell>
          <cell r="I1838">
            <v>1615000</v>
          </cell>
          <cell r="J1838">
            <v>0</v>
          </cell>
        </row>
        <row r="1839">
          <cell r="B1839" t="str">
            <v>5-5712</v>
          </cell>
          <cell r="C1839" t="str">
            <v>Nurse Salary</v>
          </cell>
          <cell r="D1839">
            <v>7176983</v>
          </cell>
          <cell r="E1839">
            <v>0</v>
          </cell>
          <cell r="F1839">
            <v>7925318</v>
          </cell>
          <cell r="G1839">
            <v>0</v>
          </cell>
          <cell r="H1839">
            <v>7925318</v>
          </cell>
          <cell r="I1839">
            <v>15102301</v>
          </cell>
          <cell r="J1839">
            <v>0</v>
          </cell>
        </row>
        <row r="1840">
          <cell r="B1840" t="str">
            <v>5-5713</v>
          </cell>
          <cell r="C1840" t="str">
            <v>Permanent Staff Salary</v>
          </cell>
          <cell r="D1840">
            <v>0</v>
          </cell>
          <cell r="E1840">
            <v>0</v>
          </cell>
          <cell r="F1840">
            <v>0</v>
          </cell>
          <cell r="G1840">
            <v>0</v>
          </cell>
          <cell r="H1840">
            <v>0</v>
          </cell>
          <cell r="I1840">
            <v>0</v>
          </cell>
          <cell r="J1840">
            <v>0</v>
          </cell>
        </row>
        <row r="1841">
          <cell r="B1841" t="str">
            <v>5-5714</v>
          </cell>
          <cell r="C1841" t="str">
            <v>Temporary Staff Salary</v>
          </cell>
          <cell r="D1841">
            <v>0</v>
          </cell>
          <cell r="E1841">
            <v>0</v>
          </cell>
          <cell r="F1841">
            <v>0</v>
          </cell>
          <cell r="G1841">
            <v>0</v>
          </cell>
          <cell r="H1841">
            <v>0</v>
          </cell>
          <cell r="I1841">
            <v>0</v>
          </cell>
          <cell r="J1841">
            <v>0</v>
          </cell>
        </row>
        <row r="1842">
          <cell r="B1842" t="str">
            <v>5-5715</v>
          </cell>
          <cell r="C1842" t="str">
            <v>Honorarium santri Khidmah</v>
          </cell>
          <cell r="D1842">
            <v>0</v>
          </cell>
          <cell r="E1842">
            <v>0</v>
          </cell>
          <cell r="F1842">
            <v>0</v>
          </cell>
          <cell r="G1842">
            <v>0</v>
          </cell>
          <cell r="H1842">
            <v>0</v>
          </cell>
          <cell r="I1842">
            <v>0</v>
          </cell>
          <cell r="J1842">
            <v>0</v>
          </cell>
        </row>
        <row r="1843">
          <cell r="B1843" t="str">
            <v>5-5716</v>
          </cell>
          <cell r="C1843" t="str">
            <v>Staff overtime</v>
          </cell>
          <cell r="D1843">
            <v>0</v>
          </cell>
          <cell r="E1843">
            <v>0</v>
          </cell>
          <cell r="F1843">
            <v>0</v>
          </cell>
          <cell r="G1843">
            <v>0</v>
          </cell>
          <cell r="H1843">
            <v>0</v>
          </cell>
          <cell r="I1843">
            <v>0</v>
          </cell>
          <cell r="J1843">
            <v>0</v>
          </cell>
        </row>
        <row r="1844">
          <cell r="B1844" t="str">
            <v>5-5717</v>
          </cell>
          <cell r="C1844" t="str">
            <v>Joint Salary Allocation</v>
          </cell>
          <cell r="D1844">
            <v>0</v>
          </cell>
          <cell r="E1844">
            <v>0</v>
          </cell>
          <cell r="F1844">
            <v>0</v>
          </cell>
          <cell r="G1844">
            <v>0</v>
          </cell>
          <cell r="H1844">
            <v>0</v>
          </cell>
          <cell r="I1844">
            <v>0</v>
          </cell>
          <cell r="J1844">
            <v>0</v>
          </cell>
        </row>
        <row r="1845">
          <cell r="B1845" t="str">
            <v>5-5719</v>
          </cell>
          <cell r="C1845" t="str">
            <v>Others Salary</v>
          </cell>
          <cell r="D1845">
            <v>0</v>
          </cell>
          <cell r="E1845">
            <v>0</v>
          </cell>
          <cell r="F1845">
            <v>0</v>
          </cell>
          <cell r="G1845">
            <v>0</v>
          </cell>
          <cell r="H1845">
            <v>0</v>
          </cell>
          <cell r="I1845">
            <v>0</v>
          </cell>
          <cell r="J1845">
            <v>0</v>
          </cell>
        </row>
        <row r="1846">
          <cell r="B1846" t="str">
            <v>5-5720</v>
          </cell>
          <cell r="C1846" t="str">
            <v>PERSONAL - ALLOWANCE OF</v>
          </cell>
          <cell r="D1846">
            <v>0</v>
          </cell>
          <cell r="E1846">
            <v>0</v>
          </cell>
          <cell r="F1846">
            <v>0</v>
          </cell>
          <cell r="G1846">
            <v>0</v>
          </cell>
          <cell r="H1846">
            <v>0</v>
          </cell>
          <cell r="I1846">
            <v>0</v>
          </cell>
          <cell r="J1846">
            <v>0</v>
          </cell>
        </row>
        <row r="1847">
          <cell r="B1847" t="str">
            <v>5-5721</v>
          </cell>
          <cell r="C1847" t="str">
            <v>Allowance of Hulled Rice</v>
          </cell>
          <cell r="D1847">
            <v>275200</v>
          </cell>
          <cell r="E1847">
            <v>0</v>
          </cell>
          <cell r="F1847">
            <v>288000</v>
          </cell>
          <cell r="G1847">
            <v>0</v>
          </cell>
          <cell r="H1847">
            <v>288000</v>
          </cell>
          <cell r="I1847">
            <v>563200</v>
          </cell>
          <cell r="J1847">
            <v>0</v>
          </cell>
        </row>
        <row r="1848">
          <cell r="B1848" t="str">
            <v>5-5722</v>
          </cell>
          <cell r="C1848" t="str">
            <v>Alowance of doctor and medicin</v>
          </cell>
          <cell r="D1848">
            <v>0</v>
          </cell>
          <cell r="E1848">
            <v>0</v>
          </cell>
          <cell r="F1848">
            <v>47700</v>
          </cell>
          <cell r="G1848">
            <v>0</v>
          </cell>
          <cell r="H1848">
            <v>47700</v>
          </cell>
          <cell r="I1848">
            <v>47700</v>
          </cell>
          <cell r="J1848">
            <v>0</v>
          </cell>
        </row>
        <row r="1849">
          <cell r="B1849" t="str">
            <v>5-5723</v>
          </cell>
          <cell r="C1849" t="str">
            <v>Alowance of spectacles</v>
          </cell>
          <cell r="D1849">
            <v>0</v>
          </cell>
          <cell r="E1849">
            <v>0</v>
          </cell>
          <cell r="F1849">
            <v>0</v>
          </cell>
          <cell r="G1849">
            <v>0</v>
          </cell>
          <cell r="H1849">
            <v>0</v>
          </cell>
          <cell r="I1849">
            <v>0</v>
          </cell>
          <cell r="J1849">
            <v>0</v>
          </cell>
        </row>
        <row r="1850">
          <cell r="B1850" t="str">
            <v>5-5724</v>
          </cell>
          <cell r="C1850" t="str">
            <v>Allowance of operation&amp;hospita</v>
          </cell>
          <cell r="D1850">
            <v>75000</v>
          </cell>
          <cell r="E1850">
            <v>0</v>
          </cell>
          <cell r="F1850">
            <v>0</v>
          </cell>
          <cell r="G1850">
            <v>0</v>
          </cell>
          <cell r="H1850">
            <v>0</v>
          </cell>
          <cell r="I1850">
            <v>75000</v>
          </cell>
          <cell r="J1850">
            <v>0</v>
          </cell>
        </row>
        <row r="1851">
          <cell r="B1851" t="str">
            <v>5-5725</v>
          </cell>
          <cell r="C1851" t="str">
            <v>Allowance of disaster &amp; die</v>
          </cell>
          <cell r="D1851">
            <v>0</v>
          </cell>
          <cell r="E1851">
            <v>0</v>
          </cell>
          <cell r="F1851">
            <v>0</v>
          </cell>
          <cell r="G1851">
            <v>0</v>
          </cell>
          <cell r="H1851">
            <v>0</v>
          </cell>
          <cell r="I1851">
            <v>0</v>
          </cell>
          <cell r="J1851">
            <v>0</v>
          </cell>
        </row>
        <row r="1852">
          <cell r="B1852" t="str">
            <v>5-5726</v>
          </cell>
          <cell r="C1852" t="str">
            <v>Allowance of hari raya</v>
          </cell>
          <cell r="D1852">
            <v>7160583</v>
          </cell>
          <cell r="E1852">
            <v>0</v>
          </cell>
          <cell r="F1852">
            <v>0</v>
          </cell>
          <cell r="G1852">
            <v>0</v>
          </cell>
          <cell r="H1852">
            <v>0</v>
          </cell>
          <cell r="I1852">
            <v>7160583</v>
          </cell>
          <cell r="J1852">
            <v>0</v>
          </cell>
        </row>
        <row r="1853">
          <cell r="B1853" t="str">
            <v>5-5727</v>
          </cell>
          <cell r="C1853" t="str">
            <v>Allowance of birth</v>
          </cell>
          <cell r="D1853">
            <v>0</v>
          </cell>
          <cell r="E1853">
            <v>0</v>
          </cell>
          <cell r="F1853">
            <v>0</v>
          </cell>
          <cell r="G1853">
            <v>0</v>
          </cell>
          <cell r="H1853">
            <v>0</v>
          </cell>
          <cell r="I1853">
            <v>0</v>
          </cell>
          <cell r="J1853">
            <v>0</v>
          </cell>
        </row>
        <row r="1854">
          <cell r="B1854" t="str">
            <v>5-5728</v>
          </cell>
          <cell r="C1854" t="str">
            <v>Allowance of married</v>
          </cell>
          <cell r="D1854">
            <v>0</v>
          </cell>
          <cell r="E1854">
            <v>0</v>
          </cell>
          <cell r="F1854">
            <v>0</v>
          </cell>
          <cell r="G1854">
            <v>0</v>
          </cell>
          <cell r="H1854">
            <v>0</v>
          </cell>
          <cell r="I1854">
            <v>0</v>
          </cell>
          <cell r="J1854">
            <v>0</v>
          </cell>
        </row>
        <row r="1855">
          <cell r="B1855" t="str">
            <v>5-5729</v>
          </cell>
          <cell r="C1855" t="str">
            <v>Allowance of house rent&amp;others</v>
          </cell>
          <cell r="D1855">
            <v>0</v>
          </cell>
          <cell r="E1855">
            <v>0</v>
          </cell>
          <cell r="F1855">
            <v>0</v>
          </cell>
          <cell r="G1855">
            <v>0</v>
          </cell>
          <cell r="H1855">
            <v>0</v>
          </cell>
          <cell r="I1855">
            <v>0</v>
          </cell>
          <cell r="J1855">
            <v>0</v>
          </cell>
        </row>
        <row r="1856">
          <cell r="B1856" t="str">
            <v>5-5730</v>
          </cell>
          <cell r="C1856" t="str">
            <v>OFFICE</v>
          </cell>
          <cell r="D1856">
            <v>0</v>
          </cell>
          <cell r="E1856">
            <v>0</v>
          </cell>
          <cell r="F1856">
            <v>0</v>
          </cell>
          <cell r="G1856">
            <v>0</v>
          </cell>
          <cell r="H1856">
            <v>0</v>
          </cell>
          <cell r="I1856">
            <v>0</v>
          </cell>
          <cell r="J1856">
            <v>0</v>
          </cell>
        </row>
        <row r="1857">
          <cell r="B1857" t="str">
            <v>5-5731</v>
          </cell>
          <cell r="C1857" t="str">
            <v>Stationary papers</v>
          </cell>
          <cell r="D1857">
            <v>0</v>
          </cell>
          <cell r="E1857">
            <v>0</v>
          </cell>
          <cell r="F1857">
            <v>0</v>
          </cell>
          <cell r="G1857">
            <v>0</v>
          </cell>
          <cell r="H1857">
            <v>0</v>
          </cell>
          <cell r="I1857">
            <v>0</v>
          </cell>
          <cell r="J1857">
            <v>0</v>
          </cell>
        </row>
        <row r="1858">
          <cell r="B1858" t="str">
            <v>5-5732</v>
          </cell>
          <cell r="C1858" t="str">
            <v>Stationary written toolls</v>
          </cell>
          <cell r="D1858">
            <v>0</v>
          </cell>
          <cell r="E1858">
            <v>0</v>
          </cell>
          <cell r="F1858">
            <v>0</v>
          </cell>
          <cell r="G1858">
            <v>0</v>
          </cell>
          <cell r="H1858">
            <v>0</v>
          </cell>
          <cell r="I1858">
            <v>0</v>
          </cell>
          <cell r="J1858">
            <v>0</v>
          </cell>
        </row>
        <row r="1859">
          <cell r="B1859" t="str">
            <v>5-5733</v>
          </cell>
          <cell r="C1859" t="str">
            <v>Stationary ink</v>
          </cell>
          <cell r="D1859">
            <v>0</v>
          </cell>
          <cell r="E1859">
            <v>0</v>
          </cell>
          <cell r="F1859">
            <v>0</v>
          </cell>
          <cell r="G1859">
            <v>0</v>
          </cell>
          <cell r="H1859">
            <v>0</v>
          </cell>
          <cell r="I1859">
            <v>0</v>
          </cell>
          <cell r="J1859">
            <v>0</v>
          </cell>
        </row>
        <row r="1860">
          <cell r="B1860" t="str">
            <v>5-5734</v>
          </cell>
          <cell r="C1860" t="str">
            <v>Stationary Others</v>
          </cell>
          <cell r="D1860">
            <v>0</v>
          </cell>
          <cell r="E1860">
            <v>0</v>
          </cell>
          <cell r="F1860">
            <v>0</v>
          </cell>
          <cell r="G1860">
            <v>0</v>
          </cell>
          <cell r="H1860">
            <v>0</v>
          </cell>
          <cell r="I1860">
            <v>0</v>
          </cell>
          <cell r="J1860">
            <v>0</v>
          </cell>
        </row>
        <row r="1861">
          <cell r="B1861" t="str">
            <v>5-5735</v>
          </cell>
          <cell r="C1861" t="str">
            <v>Consumptions</v>
          </cell>
          <cell r="D1861">
            <v>0</v>
          </cell>
          <cell r="E1861">
            <v>0</v>
          </cell>
          <cell r="F1861">
            <v>0</v>
          </cell>
          <cell r="G1861">
            <v>0</v>
          </cell>
          <cell r="H1861">
            <v>0</v>
          </cell>
          <cell r="I1861">
            <v>0</v>
          </cell>
          <cell r="J1861">
            <v>0</v>
          </cell>
        </row>
        <row r="1862">
          <cell r="B1862" t="str">
            <v>5-5736</v>
          </cell>
          <cell r="C1862" t="str">
            <v>Fotocopy &amp; Printing</v>
          </cell>
          <cell r="D1862">
            <v>0</v>
          </cell>
          <cell r="E1862">
            <v>0</v>
          </cell>
          <cell r="F1862">
            <v>300000</v>
          </cell>
          <cell r="G1862">
            <v>0</v>
          </cell>
          <cell r="H1862">
            <v>300000</v>
          </cell>
          <cell r="I1862">
            <v>300000</v>
          </cell>
          <cell r="J1862">
            <v>0</v>
          </cell>
        </row>
        <row r="1863">
          <cell r="B1863" t="str">
            <v>5-5737</v>
          </cell>
          <cell r="C1863" t="str">
            <v>Office Suplies</v>
          </cell>
          <cell r="D1863">
            <v>0</v>
          </cell>
          <cell r="E1863">
            <v>0</v>
          </cell>
          <cell r="F1863">
            <v>0</v>
          </cell>
          <cell r="G1863">
            <v>0</v>
          </cell>
          <cell r="H1863">
            <v>0</v>
          </cell>
          <cell r="I1863">
            <v>0</v>
          </cell>
          <cell r="J1863">
            <v>0</v>
          </cell>
        </row>
        <row r="1864">
          <cell r="B1864" t="str">
            <v>5-5739</v>
          </cell>
          <cell r="C1864" t="str">
            <v>Others</v>
          </cell>
          <cell r="D1864">
            <v>0</v>
          </cell>
          <cell r="E1864">
            <v>0</v>
          </cell>
          <cell r="F1864">
            <v>0</v>
          </cell>
          <cell r="G1864">
            <v>0</v>
          </cell>
          <cell r="H1864">
            <v>0</v>
          </cell>
          <cell r="I1864">
            <v>0</v>
          </cell>
          <cell r="J1864">
            <v>0</v>
          </cell>
        </row>
        <row r="1865">
          <cell r="B1865" t="str">
            <v>5-5740</v>
          </cell>
          <cell r="C1865" t="str">
            <v>TRANSPORTATION &amp; TELECOMUNICAT</v>
          </cell>
          <cell r="D1865">
            <v>0</v>
          </cell>
          <cell r="E1865">
            <v>0</v>
          </cell>
          <cell r="F1865">
            <v>0</v>
          </cell>
          <cell r="G1865">
            <v>0</v>
          </cell>
          <cell r="H1865">
            <v>0</v>
          </cell>
          <cell r="I1865">
            <v>0</v>
          </cell>
          <cell r="J1865">
            <v>0</v>
          </cell>
        </row>
        <row r="1866">
          <cell r="B1866" t="str">
            <v>5-5741</v>
          </cell>
          <cell r="C1866" t="str">
            <v>Mail &amp; Shipment</v>
          </cell>
          <cell r="D1866">
            <v>0</v>
          </cell>
          <cell r="E1866">
            <v>0</v>
          </cell>
          <cell r="F1866">
            <v>0</v>
          </cell>
          <cell r="G1866">
            <v>0</v>
          </cell>
          <cell r="H1866">
            <v>0</v>
          </cell>
          <cell r="I1866">
            <v>0</v>
          </cell>
          <cell r="J1866">
            <v>0</v>
          </cell>
        </row>
        <row r="1867">
          <cell r="B1867" t="str">
            <v>5-5742</v>
          </cell>
          <cell r="C1867" t="str">
            <v>Telephone</v>
          </cell>
          <cell r="D1867">
            <v>0</v>
          </cell>
          <cell r="E1867">
            <v>0</v>
          </cell>
          <cell r="F1867">
            <v>52000</v>
          </cell>
          <cell r="G1867">
            <v>0</v>
          </cell>
          <cell r="H1867">
            <v>52000</v>
          </cell>
          <cell r="I1867">
            <v>52000</v>
          </cell>
          <cell r="J1867">
            <v>0</v>
          </cell>
        </row>
        <row r="1868">
          <cell r="B1868" t="str">
            <v>5-5743</v>
          </cell>
          <cell r="C1868" t="str">
            <v>Fuel</v>
          </cell>
          <cell r="D1868">
            <v>0</v>
          </cell>
          <cell r="E1868">
            <v>0</v>
          </cell>
          <cell r="F1868">
            <v>0</v>
          </cell>
          <cell r="G1868">
            <v>0</v>
          </cell>
          <cell r="H1868">
            <v>0</v>
          </cell>
          <cell r="I1868">
            <v>0</v>
          </cell>
          <cell r="J1868">
            <v>0</v>
          </cell>
        </row>
        <row r="1869">
          <cell r="B1869" t="str">
            <v>5-5744</v>
          </cell>
          <cell r="C1869" t="str">
            <v>Accommodations</v>
          </cell>
          <cell r="D1869">
            <v>0</v>
          </cell>
          <cell r="E1869">
            <v>0</v>
          </cell>
          <cell r="F1869">
            <v>0</v>
          </cell>
          <cell r="G1869">
            <v>0</v>
          </cell>
          <cell r="H1869">
            <v>0</v>
          </cell>
          <cell r="I1869">
            <v>0</v>
          </cell>
          <cell r="J1869">
            <v>0</v>
          </cell>
        </row>
        <row r="1870">
          <cell r="B1870" t="str">
            <v>5-5745</v>
          </cell>
          <cell r="C1870" t="str">
            <v>Public Transportation</v>
          </cell>
          <cell r="D1870">
            <v>0</v>
          </cell>
          <cell r="E1870">
            <v>0</v>
          </cell>
          <cell r="F1870">
            <v>0</v>
          </cell>
          <cell r="G1870">
            <v>0</v>
          </cell>
          <cell r="H1870">
            <v>0</v>
          </cell>
          <cell r="I1870">
            <v>0</v>
          </cell>
          <cell r="J1870">
            <v>0</v>
          </cell>
        </row>
        <row r="1871">
          <cell r="B1871" t="str">
            <v>5-5746</v>
          </cell>
          <cell r="C1871" t="str">
            <v>Joint Transportation Allocatio</v>
          </cell>
          <cell r="D1871">
            <v>0</v>
          </cell>
          <cell r="E1871">
            <v>0</v>
          </cell>
          <cell r="F1871">
            <v>0</v>
          </cell>
          <cell r="G1871">
            <v>0</v>
          </cell>
          <cell r="H1871">
            <v>0</v>
          </cell>
          <cell r="I1871">
            <v>0</v>
          </cell>
          <cell r="J1871">
            <v>0</v>
          </cell>
        </row>
        <row r="1872">
          <cell r="B1872" t="str">
            <v>5-5749</v>
          </cell>
          <cell r="C1872" t="str">
            <v>Others</v>
          </cell>
          <cell r="D1872">
            <v>0</v>
          </cell>
          <cell r="E1872">
            <v>0</v>
          </cell>
          <cell r="F1872">
            <v>0</v>
          </cell>
          <cell r="G1872">
            <v>0</v>
          </cell>
          <cell r="H1872">
            <v>0</v>
          </cell>
          <cell r="I1872">
            <v>0</v>
          </cell>
          <cell r="J1872">
            <v>0</v>
          </cell>
        </row>
        <row r="1873">
          <cell r="B1873" t="str">
            <v>5-5750</v>
          </cell>
          <cell r="C1873" t="str">
            <v>REPAIR &amp; MAINTENENCE</v>
          </cell>
          <cell r="D1873">
            <v>0</v>
          </cell>
          <cell r="E1873">
            <v>0</v>
          </cell>
          <cell r="F1873">
            <v>0</v>
          </cell>
          <cell r="G1873">
            <v>0</v>
          </cell>
          <cell r="H1873">
            <v>0</v>
          </cell>
          <cell r="I1873">
            <v>0</v>
          </cell>
          <cell r="J1873">
            <v>0</v>
          </cell>
        </row>
        <row r="1874">
          <cell r="B1874" t="str">
            <v>5-5751</v>
          </cell>
          <cell r="C1874" t="str">
            <v>R &amp; M - Computer &amp; audio visua</v>
          </cell>
          <cell r="D1874">
            <v>0</v>
          </cell>
          <cell r="E1874">
            <v>0</v>
          </cell>
          <cell r="F1874">
            <v>0</v>
          </cell>
          <cell r="G1874">
            <v>0</v>
          </cell>
          <cell r="H1874">
            <v>0</v>
          </cell>
          <cell r="I1874">
            <v>0</v>
          </cell>
          <cell r="J1874">
            <v>0</v>
          </cell>
        </row>
        <row r="1875">
          <cell r="B1875" t="str">
            <v>5-5752</v>
          </cell>
          <cell r="C1875" t="str">
            <v>R &amp; M - Telephone &amp; Faxs</v>
          </cell>
          <cell r="D1875">
            <v>0</v>
          </cell>
          <cell r="E1875">
            <v>0</v>
          </cell>
          <cell r="F1875">
            <v>0</v>
          </cell>
          <cell r="G1875">
            <v>0</v>
          </cell>
          <cell r="H1875">
            <v>0</v>
          </cell>
          <cell r="I1875">
            <v>0</v>
          </cell>
          <cell r="J1875">
            <v>0</v>
          </cell>
        </row>
        <row r="1876">
          <cell r="B1876" t="str">
            <v>5-5753</v>
          </cell>
          <cell r="C1876" t="str">
            <v>R &amp; M - Office Eqiupment</v>
          </cell>
          <cell r="D1876">
            <v>0</v>
          </cell>
          <cell r="E1876">
            <v>0</v>
          </cell>
          <cell r="F1876">
            <v>0</v>
          </cell>
          <cell r="G1876">
            <v>0</v>
          </cell>
          <cell r="H1876">
            <v>0</v>
          </cell>
          <cell r="I1876">
            <v>0</v>
          </cell>
          <cell r="J1876">
            <v>0</v>
          </cell>
        </row>
        <row r="1877">
          <cell r="B1877" t="str">
            <v>5-5754</v>
          </cell>
          <cell r="C1877" t="str">
            <v>R &amp; M- Healty Eqiupment</v>
          </cell>
          <cell r="D1877">
            <v>0</v>
          </cell>
          <cell r="E1877">
            <v>0</v>
          </cell>
          <cell r="F1877">
            <v>0</v>
          </cell>
          <cell r="G1877">
            <v>0</v>
          </cell>
          <cell r="H1877">
            <v>0</v>
          </cell>
          <cell r="I1877">
            <v>0</v>
          </cell>
          <cell r="J1877">
            <v>0</v>
          </cell>
        </row>
        <row r="1878">
          <cell r="B1878" t="str">
            <v>5-5755</v>
          </cell>
          <cell r="C1878" t="str">
            <v>R &amp; M - Other Eqiupment</v>
          </cell>
          <cell r="D1878">
            <v>0</v>
          </cell>
          <cell r="E1878">
            <v>0</v>
          </cell>
          <cell r="F1878">
            <v>0</v>
          </cell>
          <cell r="G1878">
            <v>0</v>
          </cell>
          <cell r="H1878">
            <v>0</v>
          </cell>
          <cell r="I1878">
            <v>0</v>
          </cell>
          <cell r="J1878">
            <v>0</v>
          </cell>
        </row>
        <row r="1879">
          <cell r="B1879" t="str">
            <v>5-5756</v>
          </cell>
          <cell r="C1879" t="str">
            <v>R &amp; M - Table &amp; Chairs</v>
          </cell>
          <cell r="D1879">
            <v>0</v>
          </cell>
          <cell r="E1879">
            <v>0</v>
          </cell>
          <cell r="F1879">
            <v>0</v>
          </cell>
          <cell r="G1879">
            <v>0</v>
          </cell>
          <cell r="H1879">
            <v>0</v>
          </cell>
          <cell r="I1879">
            <v>0</v>
          </cell>
          <cell r="J1879">
            <v>0</v>
          </cell>
        </row>
        <row r="1880">
          <cell r="B1880" t="str">
            <v>5-5757</v>
          </cell>
          <cell r="C1880" t="str">
            <v>R &amp; M - Cupboard &amp; Rack</v>
          </cell>
          <cell r="D1880">
            <v>0</v>
          </cell>
          <cell r="E1880">
            <v>0</v>
          </cell>
          <cell r="F1880">
            <v>0</v>
          </cell>
          <cell r="G1880">
            <v>0</v>
          </cell>
          <cell r="H1880">
            <v>0</v>
          </cell>
          <cell r="I1880">
            <v>0</v>
          </cell>
          <cell r="J1880">
            <v>0</v>
          </cell>
        </row>
        <row r="1881">
          <cell r="B1881" t="str">
            <v>5-5758</v>
          </cell>
          <cell r="C1881" t="str">
            <v>R &amp; M - Other Furniture</v>
          </cell>
          <cell r="D1881">
            <v>0</v>
          </cell>
          <cell r="E1881">
            <v>0</v>
          </cell>
          <cell r="F1881">
            <v>0</v>
          </cell>
          <cell r="G1881">
            <v>0</v>
          </cell>
          <cell r="H1881">
            <v>0</v>
          </cell>
          <cell r="I1881">
            <v>0</v>
          </cell>
          <cell r="J1881">
            <v>0</v>
          </cell>
        </row>
        <row r="1882">
          <cell r="B1882" t="str">
            <v>5-5759</v>
          </cell>
          <cell r="C1882" t="str">
            <v>R &amp; M - Other</v>
          </cell>
          <cell r="D1882">
            <v>0</v>
          </cell>
          <cell r="E1882">
            <v>0</v>
          </cell>
          <cell r="F1882">
            <v>0</v>
          </cell>
          <cell r="G1882">
            <v>0</v>
          </cell>
          <cell r="H1882">
            <v>0</v>
          </cell>
          <cell r="I1882">
            <v>0</v>
          </cell>
          <cell r="J1882">
            <v>0</v>
          </cell>
        </row>
        <row r="1883">
          <cell r="B1883" t="str">
            <v>5-5760</v>
          </cell>
          <cell r="C1883" t="str">
            <v>UKS</v>
          </cell>
          <cell r="D1883">
            <v>0</v>
          </cell>
          <cell r="E1883">
            <v>0</v>
          </cell>
          <cell r="F1883">
            <v>0</v>
          </cell>
          <cell r="G1883">
            <v>0</v>
          </cell>
          <cell r="H1883">
            <v>0</v>
          </cell>
          <cell r="I1883">
            <v>0</v>
          </cell>
          <cell r="J1883">
            <v>0</v>
          </cell>
        </row>
        <row r="1884">
          <cell r="B1884" t="str">
            <v>5-5761</v>
          </cell>
          <cell r="C1884" t="str">
            <v>Stationary papers</v>
          </cell>
          <cell r="D1884">
            <v>0</v>
          </cell>
          <cell r="E1884">
            <v>0</v>
          </cell>
          <cell r="F1884">
            <v>0</v>
          </cell>
          <cell r="G1884">
            <v>0</v>
          </cell>
          <cell r="H1884">
            <v>0</v>
          </cell>
          <cell r="I1884">
            <v>0</v>
          </cell>
          <cell r="J1884">
            <v>0</v>
          </cell>
        </row>
        <row r="1885">
          <cell r="B1885" t="str">
            <v>5-5762</v>
          </cell>
          <cell r="C1885" t="str">
            <v>Stationary Written Tools</v>
          </cell>
          <cell r="D1885">
            <v>0</v>
          </cell>
          <cell r="E1885">
            <v>0</v>
          </cell>
          <cell r="F1885">
            <v>0</v>
          </cell>
          <cell r="G1885">
            <v>0</v>
          </cell>
          <cell r="H1885">
            <v>0</v>
          </cell>
          <cell r="I1885">
            <v>0</v>
          </cell>
          <cell r="J1885">
            <v>0</v>
          </cell>
        </row>
        <row r="1886">
          <cell r="B1886" t="str">
            <v>5-5763</v>
          </cell>
          <cell r="C1886" t="str">
            <v>Stationary Others</v>
          </cell>
          <cell r="D1886">
            <v>0</v>
          </cell>
          <cell r="E1886">
            <v>0</v>
          </cell>
          <cell r="F1886">
            <v>0</v>
          </cell>
          <cell r="G1886">
            <v>0</v>
          </cell>
          <cell r="H1886">
            <v>0</v>
          </cell>
          <cell r="I1886">
            <v>0</v>
          </cell>
          <cell r="J1886">
            <v>0</v>
          </cell>
        </row>
        <row r="1887">
          <cell r="B1887" t="str">
            <v>5-5764</v>
          </cell>
          <cell r="C1887" t="str">
            <v>Consumptions</v>
          </cell>
          <cell r="D1887">
            <v>0</v>
          </cell>
          <cell r="E1887">
            <v>0</v>
          </cell>
          <cell r="F1887">
            <v>22000</v>
          </cell>
          <cell r="G1887">
            <v>0</v>
          </cell>
          <cell r="H1887">
            <v>22000</v>
          </cell>
          <cell r="I1887">
            <v>22000</v>
          </cell>
          <cell r="J1887">
            <v>0</v>
          </cell>
        </row>
        <row r="1888">
          <cell r="B1888" t="str">
            <v>5-5765</v>
          </cell>
          <cell r="C1888" t="str">
            <v>Fotocopy &amp; Printing</v>
          </cell>
          <cell r="D1888">
            <v>0</v>
          </cell>
          <cell r="E1888">
            <v>0</v>
          </cell>
          <cell r="F1888">
            <v>227500</v>
          </cell>
          <cell r="G1888">
            <v>0</v>
          </cell>
          <cell r="H1888">
            <v>227500</v>
          </cell>
          <cell r="I1888">
            <v>227500</v>
          </cell>
          <cell r="J1888">
            <v>0</v>
          </cell>
        </row>
        <row r="1889">
          <cell r="B1889" t="str">
            <v>5-5766</v>
          </cell>
          <cell r="C1889" t="str">
            <v>Suplies</v>
          </cell>
          <cell r="D1889">
            <v>0</v>
          </cell>
          <cell r="E1889">
            <v>0</v>
          </cell>
          <cell r="F1889">
            <v>113000</v>
          </cell>
          <cell r="G1889">
            <v>0</v>
          </cell>
          <cell r="H1889">
            <v>113000</v>
          </cell>
          <cell r="I1889">
            <v>113000</v>
          </cell>
          <cell r="J1889">
            <v>0</v>
          </cell>
        </row>
        <row r="1890">
          <cell r="B1890" t="str">
            <v>5-5767</v>
          </cell>
          <cell r="C1890" t="str">
            <v>Bahan &amp; alat habis pakai</v>
          </cell>
          <cell r="D1890">
            <v>0</v>
          </cell>
          <cell r="E1890">
            <v>0</v>
          </cell>
          <cell r="F1890">
            <v>19000</v>
          </cell>
          <cell r="G1890">
            <v>0</v>
          </cell>
          <cell r="H1890">
            <v>19000</v>
          </cell>
          <cell r="I1890">
            <v>19000</v>
          </cell>
          <cell r="J1890">
            <v>0</v>
          </cell>
        </row>
        <row r="1891">
          <cell r="B1891" t="str">
            <v>5-5768</v>
          </cell>
          <cell r="C1891" t="str">
            <v>Medicine</v>
          </cell>
          <cell r="D1891">
            <v>0</v>
          </cell>
          <cell r="E1891">
            <v>0</v>
          </cell>
          <cell r="F1891">
            <v>5288469.5999999996</v>
          </cell>
          <cell r="G1891">
            <v>0</v>
          </cell>
          <cell r="H1891">
            <v>5288469.5999999996</v>
          </cell>
          <cell r="I1891">
            <v>5288469.5999999996</v>
          </cell>
          <cell r="J1891">
            <v>0</v>
          </cell>
        </row>
        <row r="1892">
          <cell r="B1892" t="str">
            <v>5-5769</v>
          </cell>
          <cell r="C1892" t="str">
            <v>Others</v>
          </cell>
          <cell r="D1892">
            <v>0</v>
          </cell>
          <cell r="E1892">
            <v>0</v>
          </cell>
          <cell r="F1892">
            <v>0</v>
          </cell>
          <cell r="G1892">
            <v>0</v>
          </cell>
          <cell r="H1892">
            <v>0</v>
          </cell>
          <cell r="I1892">
            <v>0</v>
          </cell>
          <cell r="J1892">
            <v>0</v>
          </cell>
        </row>
        <row r="1893">
          <cell r="B1893" t="str">
            <v>5-5810</v>
          </cell>
          <cell r="C1893" t="str">
            <v>BEASISWA</v>
          </cell>
          <cell r="D1893">
            <v>0</v>
          </cell>
          <cell r="E1893">
            <v>0</v>
          </cell>
          <cell r="F1893">
            <v>0</v>
          </cell>
          <cell r="G1893">
            <v>0</v>
          </cell>
          <cell r="H1893">
            <v>0</v>
          </cell>
          <cell r="I1893">
            <v>0</v>
          </cell>
          <cell r="J1893">
            <v>0</v>
          </cell>
        </row>
        <row r="1894">
          <cell r="B1894" t="str">
            <v>5-5811</v>
          </cell>
          <cell r="C1894" t="str">
            <v>Prize - Santri</v>
          </cell>
          <cell r="D1894">
            <v>0</v>
          </cell>
          <cell r="E1894">
            <v>0</v>
          </cell>
          <cell r="F1894">
            <v>0</v>
          </cell>
          <cell r="G1894">
            <v>0</v>
          </cell>
          <cell r="H1894">
            <v>0</v>
          </cell>
          <cell r="I1894">
            <v>0</v>
          </cell>
          <cell r="J1894">
            <v>0</v>
          </cell>
        </row>
        <row r="1895">
          <cell r="B1895" t="str">
            <v>5-5812</v>
          </cell>
          <cell r="C1895" t="str">
            <v>Hadiah - santri</v>
          </cell>
          <cell r="D1895">
            <v>0</v>
          </cell>
          <cell r="E1895">
            <v>0</v>
          </cell>
          <cell r="F1895">
            <v>0</v>
          </cell>
          <cell r="G1895">
            <v>0</v>
          </cell>
          <cell r="H1895">
            <v>0</v>
          </cell>
          <cell r="I1895">
            <v>0</v>
          </cell>
          <cell r="J1895">
            <v>0</v>
          </cell>
        </row>
        <row r="1896">
          <cell r="B1896" t="str">
            <v>5-5813</v>
          </cell>
          <cell r="C1896" t="str">
            <v>Biaya pendidikan - santri</v>
          </cell>
          <cell r="D1896">
            <v>0</v>
          </cell>
          <cell r="E1896">
            <v>0</v>
          </cell>
          <cell r="F1896">
            <v>0</v>
          </cell>
          <cell r="G1896">
            <v>0</v>
          </cell>
          <cell r="H1896">
            <v>0</v>
          </cell>
          <cell r="I1896">
            <v>0</v>
          </cell>
          <cell r="J1896">
            <v>0</v>
          </cell>
        </row>
        <row r="1897">
          <cell r="B1897" t="str">
            <v>5-5814</v>
          </cell>
          <cell r="C1897" t="str">
            <v>PKL - santri</v>
          </cell>
          <cell r="D1897">
            <v>0</v>
          </cell>
          <cell r="E1897">
            <v>0</v>
          </cell>
          <cell r="F1897">
            <v>0</v>
          </cell>
          <cell r="G1897">
            <v>0</v>
          </cell>
          <cell r="H1897">
            <v>0</v>
          </cell>
          <cell r="I1897">
            <v>0</v>
          </cell>
          <cell r="J1897">
            <v>0</v>
          </cell>
        </row>
        <row r="1898">
          <cell r="B1898" t="str">
            <v>5-5815</v>
          </cell>
          <cell r="C1898" t="str">
            <v>Honorarium - santri</v>
          </cell>
          <cell r="D1898">
            <v>0</v>
          </cell>
          <cell r="E1898">
            <v>0</v>
          </cell>
          <cell r="F1898">
            <v>0</v>
          </cell>
          <cell r="G1898">
            <v>0</v>
          </cell>
          <cell r="H1898">
            <v>0</v>
          </cell>
          <cell r="I1898">
            <v>0</v>
          </cell>
          <cell r="J1898">
            <v>0</v>
          </cell>
        </row>
        <row r="1899">
          <cell r="B1899" t="str">
            <v>5-5816</v>
          </cell>
          <cell r="C1899" t="str">
            <v>Prize - Alumni</v>
          </cell>
          <cell r="D1899">
            <v>0</v>
          </cell>
          <cell r="E1899">
            <v>0</v>
          </cell>
          <cell r="F1899">
            <v>0</v>
          </cell>
          <cell r="G1899">
            <v>0</v>
          </cell>
          <cell r="H1899">
            <v>0</v>
          </cell>
          <cell r="I1899">
            <v>0</v>
          </cell>
          <cell r="J1899">
            <v>0</v>
          </cell>
        </row>
        <row r="1900">
          <cell r="B1900" t="str">
            <v>5-5817</v>
          </cell>
          <cell r="C1900" t="str">
            <v>Baesiswa - Alumni</v>
          </cell>
          <cell r="D1900">
            <v>0</v>
          </cell>
          <cell r="E1900">
            <v>0</v>
          </cell>
          <cell r="F1900">
            <v>0</v>
          </cell>
          <cell r="G1900">
            <v>0</v>
          </cell>
          <cell r="H1900">
            <v>0</v>
          </cell>
          <cell r="I1900">
            <v>0</v>
          </cell>
          <cell r="J1900">
            <v>0</v>
          </cell>
        </row>
        <row r="1901">
          <cell r="B1901" t="str">
            <v>5-5819</v>
          </cell>
          <cell r="C1901" t="str">
            <v>Honorarium - Alumni</v>
          </cell>
          <cell r="D1901">
            <v>0</v>
          </cell>
          <cell r="E1901">
            <v>0</v>
          </cell>
          <cell r="F1901">
            <v>0</v>
          </cell>
          <cell r="G1901">
            <v>0</v>
          </cell>
          <cell r="H1901">
            <v>0</v>
          </cell>
          <cell r="I1901">
            <v>0</v>
          </cell>
          <cell r="J1901">
            <v>0</v>
          </cell>
        </row>
        <row r="1902">
          <cell r="B1902" t="str">
            <v>5-5820</v>
          </cell>
          <cell r="C1902" t="str">
            <v>LAIN - LAIN</v>
          </cell>
          <cell r="D1902">
            <v>0</v>
          </cell>
          <cell r="E1902">
            <v>0</v>
          </cell>
          <cell r="F1902">
            <v>0</v>
          </cell>
          <cell r="G1902">
            <v>0</v>
          </cell>
          <cell r="H1902">
            <v>0</v>
          </cell>
          <cell r="I1902">
            <v>0</v>
          </cell>
          <cell r="J1902">
            <v>0</v>
          </cell>
        </row>
        <row r="1903">
          <cell r="B1903" t="str">
            <v>5-5821</v>
          </cell>
          <cell r="C1903" t="str">
            <v>Administrasi bantuan santri</v>
          </cell>
          <cell r="D1903">
            <v>0</v>
          </cell>
          <cell r="E1903">
            <v>0</v>
          </cell>
          <cell r="F1903">
            <v>0</v>
          </cell>
          <cell r="G1903">
            <v>0</v>
          </cell>
          <cell r="H1903">
            <v>0</v>
          </cell>
          <cell r="I1903">
            <v>0</v>
          </cell>
          <cell r="J1903">
            <v>0</v>
          </cell>
        </row>
        <row r="1904">
          <cell r="B1904" t="str">
            <v>5-5822</v>
          </cell>
          <cell r="C1904" t="str">
            <v>Administrasi santri dan Alumni</v>
          </cell>
          <cell r="D1904">
            <v>0</v>
          </cell>
          <cell r="E1904">
            <v>0</v>
          </cell>
          <cell r="F1904">
            <v>0</v>
          </cell>
          <cell r="G1904">
            <v>0</v>
          </cell>
          <cell r="H1904">
            <v>0</v>
          </cell>
          <cell r="I1904">
            <v>0</v>
          </cell>
          <cell r="J1904">
            <v>0</v>
          </cell>
        </row>
        <row r="1905">
          <cell r="B1905" t="str">
            <v>5-6110</v>
          </cell>
          <cell r="C1905" t="str">
            <v>PERSONAL - GAJI</v>
          </cell>
          <cell r="D1905">
            <v>0</v>
          </cell>
          <cell r="E1905">
            <v>0</v>
          </cell>
          <cell r="F1905">
            <v>0</v>
          </cell>
          <cell r="G1905">
            <v>0</v>
          </cell>
          <cell r="H1905">
            <v>0</v>
          </cell>
          <cell r="I1905">
            <v>0</v>
          </cell>
          <cell r="J1905">
            <v>0</v>
          </cell>
        </row>
        <row r="1906">
          <cell r="B1906" t="str">
            <v>5-6111</v>
          </cell>
          <cell r="C1906" t="str">
            <v>Permanent Staff Salary</v>
          </cell>
          <cell r="D1906">
            <v>23260592</v>
          </cell>
          <cell r="E1906">
            <v>0</v>
          </cell>
          <cell r="F1906">
            <v>8068288</v>
          </cell>
          <cell r="G1906">
            <v>0</v>
          </cell>
          <cell r="H1906">
            <v>8068288</v>
          </cell>
          <cell r="I1906">
            <v>31328880</v>
          </cell>
          <cell r="J1906">
            <v>0</v>
          </cell>
        </row>
        <row r="1907">
          <cell r="B1907" t="str">
            <v>5-6112</v>
          </cell>
          <cell r="C1907" t="str">
            <v>Temporary Staff Salary</v>
          </cell>
          <cell r="D1907">
            <v>0</v>
          </cell>
          <cell r="E1907">
            <v>0</v>
          </cell>
          <cell r="F1907">
            <v>0</v>
          </cell>
          <cell r="G1907">
            <v>0</v>
          </cell>
          <cell r="H1907">
            <v>0</v>
          </cell>
          <cell r="I1907">
            <v>0</v>
          </cell>
          <cell r="J1907">
            <v>0</v>
          </cell>
        </row>
        <row r="1908">
          <cell r="B1908" t="str">
            <v>5-6113</v>
          </cell>
          <cell r="C1908" t="str">
            <v>Honorarium santri Khidmah</v>
          </cell>
          <cell r="D1908">
            <v>0</v>
          </cell>
          <cell r="E1908">
            <v>0</v>
          </cell>
          <cell r="F1908">
            <v>0</v>
          </cell>
          <cell r="G1908">
            <v>0</v>
          </cell>
          <cell r="H1908">
            <v>0</v>
          </cell>
          <cell r="I1908">
            <v>0</v>
          </cell>
          <cell r="J1908">
            <v>0</v>
          </cell>
        </row>
        <row r="1909">
          <cell r="B1909" t="str">
            <v>5-6114</v>
          </cell>
          <cell r="C1909" t="str">
            <v>Staff overtime</v>
          </cell>
          <cell r="D1909">
            <v>0</v>
          </cell>
          <cell r="E1909">
            <v>0</v>
          </cell>
          <cell r="F1909">
            <v>0</v>
          </cell>
          <cell r="G1909">
            <v>0</v>
          </cell>
          <cell r="H1909">
            <v>0</v>
          </cell>
          <cell r="I1909">
            <v>0</v>
          </cell>
          <cell r="J1909">
            <v>0</v>
          </cell>
        </row>
        <row r="1910">
          <cell r="B1910" t="str">
            <v>5-6115</v>
          </cell>
          <cell r="C1910" t="str">
            <v>Joint Salary Allocation</v>
          </cell>
          <cell r="D1910">
            <v>120330</v>
          </cell>
          <cell r="E1910">
            <v>0</v>
          </cell>
          <cell r="F1910">
            <v>120330</v>
          </cell>
          <cell r="G1910">
            <v>0</v>
          </cell>
          <cell r="H1910">
            <v>120330</v>
          </cell>
          <cell r="I1910">
            <v>240660</v>
          </cell>
          <cell r="J1910">
            <v>0</v>
          </cell>
        </row>
        <row r="1911">
          <cell r="B1911" t="str">
            <v>5-6119</v>
          </cell>
          <cell r="C1911" t="str">
            <v>Others Salary</v>
          </cell>
          <cell r="D1911">
            <v>0</v>
          </cell>
          <cell r="E1911">
            <v>0</v>
          </cell>
          <cell r="F1911">
            <v>0</v>
          </cell>
          <cell r="G1911">
            <v>0</v>
          </cell>
          <cell r="H1911">
            <v>0</v>
          </cell>
          <cell r="I1911">
            <v>0</v>
          </cell>
          <cell r="J1911">
            <v>0</v>
          </cell>
        </row>
        <row r="1912">
          <cell r="B1912" t="str">
            <v>5-6120</v>
          </cell>
          <cell r="C1912" t="str">
            <v>PERSONAL - ALLOWANCE OF</v>
          </cell>
          <cell r="D1912">
            <v>0</v>
          </cell>
          <cell r="E1912">
            <v>0</v>
          </cell>
          <cell r="F1912">
            <v>0</v>
          </cell>
          <cell r="G1912">
            <v>0</v>
          </cell>
          <cell r="H1912">
            <v>0</v>
          </cell>
          <cell r="I1912">
            <v>0</v>
          </cell>
          <cell r="J1912">
            <v>0</v>
          </cell>
        </row>
        <row r="1913">
          <cell r="B1913" t="str">
            <v>5-6121</v>
          </cell>
          <cell r="C1913" t="str">
            <v>Allowance of Hulled Rice</v>
          </cell>
          <cell r="D1913">
            <v>679400</v>
          </cell>
          <cell r="E1913">
            <v>0</v>
          </cell>
          <cell r="F1913">
            <v>369000</v>
          </cell>
          <cell r="G1913">
            <v>0</v>
          </cell>
          <cell r="H1913">
            <v>369000</v>
          </cell>
          <cell r="I1913">
            <v>1048400</v>
          </cell>
          <cell r="J1913">
            <v>0</v>
          </cell>
        </row>
        <row r="1914">
          <cell r="B1914" t="str">
            <v>5-6122</v>
          </cell>
          <cell r="C1914" t="str">
            <v>Alowance of doctor and medicin</v>
          </cell>
          <cell r="D1914">
            <v>205000</v>
          </cell>
          <cell r="E1914">
            <v>0</v>
          </cell>
          <cell r="F1914">
            <v>94500</v>
          </cell>
          <cell r="G1914">
            <v>0</v>
          </cell>
          <cell r="H1914">
            <v>94500</v>
          </cell>
          <cell r="I1914">
            <v>299500</v>
          </cell>
          <cell r="J1914">
            <v>0</v>
          </cell>
        </row>
        <row r="1915">
          <cell r="B1915" t="str">
            <v>5-6123</v>
          </cell>
          <cell r="C1915" t="str">
            <v>Alowance of spectacles</v>
          </cell>
          <cell r="D1915">
            <v>0</v>
          </cell>
          <cell r="E1915">
            <v>0</v>
          </cell>
          <cell r="F1915">
            <v>0</v>
          </cell>
          <cell r="G1915">
            <v>0</v>
          </cell>
          <cell r="H1915">
            <v>0</v>
          </cell>
          <cell r="I1915">
            <v>0</v>
          </cell>
          <cell r="J1915">
            <v>0</v>
          </cell>
        </row>
        <row r="1916">
          <cell r="B1916" t="str">
            <v>5-6124</v>
          </cell>
          <cell r="C1916" t="str">
            <v>Allowance of operation&amp;hospita</v>
          </cell>
          <cell r="D1916">
            <v>0</v>
          </cell>
          <cell r="E1916">
            <v>0</v>
          </cell>
          <cell r="F1916">
            <v>0</v>
          </cell>
          <cell r="G1916">
            <v>0</v>
          </cell>
          <cell r="H1916">
            <v>0</v>
          </cell>
          <cell r="I1916">
            <v>0</v>
          </cell>
          <cell r="J1916">
            <v>0</v>
          </cell>
        </row>
        <row r="1917">
          <cell r="B1917" t="str">
            <v>5-6125</v>
          </cell>
          <cell r="C1917" t="str">
            <v>Allowance of disaster &amp; die</v>
          </cell>
          <cell r="D1917">
            <v>0</v>
          </cell>
          <cell r="E1917">
            <v>0</v>
          </cell>
          <cell r="F1917">
            <v>0</v>
          </cell>
          <cell r="G1917">
            <v>0</v>
          </cell>
          <cell r="H1917">
            <v>0</v>
          </cell>
          <cell r="I1917">
            <v>0</v>
          </cell>
          <cell r="J1917">
            <v>0</v>
          </cell>
        </row>
        <row r="1918">
          <cell r="B1918" t="str">
            <v>5-6126</v>
          </cell>
          <cell r="C1918" t="str">
            <v>Allowance of hari raya</v>
          </cell>
          <cell r="D1918">
            <v>17084492</v>
          </cell>
          <cell r="E1918">
            <v>0</v>
          </cell>
          <cell r="F1918">
            <v>0</v>
          </cell>
          <cell r="G1918">
            <v>0</v>
          </cell>
          <cell r="H1918">
            <v>0</v>
          </cell>
          <cell r="I1918">
            <v>17084492</v>
          </cell>
          <cell r="J1918">
            <v>0</v>
          </cell>
        </row>
        <row r="1919">
          <cell r="B1919" t="str">
            <v>5-6127</v>
          </cell>
          <cell r="C1919" t="str">
            <v>Allowance of birth</v>
          </cell>
          <cell r="D1919">
            <v>0</v>
          </cell>
          <cell r="E1919">
            <v>0</v>
          </cell>
          <cell r="F1919">
            <v>0</v>
          </cell>
          <cell r="G1919">
            <v>0</v>
          </cell>
          <cell r="H1919">
            <v>0</v>
          </cell>
          <cell r="I1919">
            <v>0</v>
          </cell>
          <cell r="J1919">
            <v>0</v>
          </cell>
        </row>
        <row r="1920">
          <cell r="B1920" t="str">
            <v>5-6128</v>
          </cell>
          <cell r="C1920" t="str">
            <v>Allowance of married</v>
          </cell>
          <cell r="D1920">
            <v>0</v>
          </cell>
          <cell r="E1920">
            <v>0</v>
          </cell>
          <cell r="F1920">
            <v>0</v>
          </cell>
          <cell r="G1920">
            <v>0</v>
          </cell>
          <cell r="H1920">
            <v>0</v>
          </cell>
          <cell r="I1920">
            <v>0</v>
          </cell>
          <cell r="J1920">
            <v>0</v>
          </cell>
        </row>
        <row r="1921">
          <cell r="B1921" t="str">
            <v>5-6129</v>
          </cell>
          <cell r="C1921" t="str">
            <v>Allowance of house rent&amp;others</v>
          </cell>
          <cell r="D1921">
            <v>0</v>
          </cell>
          <cell r="E1921">
            <v>0</v>
          </cell>
          <cell r="F1921">
            <v>0</v>
          </cell>
          <cell r="G1921">
            <v>0</v>
          </cell>
          <cell r="H1921">
            <v>0</v>
          </cell>
          <cell r="I1921">
            <v>0</v>
          </cell>
          <cell r="J1921">
            <v>0</v>
          </cell>
        </row>
        <row r="1922">
          <cell r="B1922" t="str">
            <v>5-6130</v>
          </cell>
          <cell r="C1922" t="str">
            <v>OFFICE</v>
          </cell>
          <cell r="D1922">
            <v>0</v>
          </cell>
          <cell r="E1922">
            <v>0</v>
          </cell>
          <cell r="F1922">
            <v>0</v>
          </cell>
          <cell r="G1922">
            <v>0</v>
          </cell>
          <cell r="H1922">
            <v>0</v>
          </cell>
          <cell r="I1922">
            <v>0</v>
          </cell>
          <cell r="J1922">
            <v>0</v>
          </cell>
        </row>
        <row r="1923">
          <cell r="B1923" t="str">
            <v>5-6131</v>
          </cell>
          <cell r="C1923" t="str">
            <v>Stationary papers</v>
          </cell>
          <cell r="D1923" t="str">
            <v>0.00cr</v>
          </cell>
          <cell r="E1923">
            <v>0</v>
          </cell>
          <cell r="F1923">
            <v>199977.52</v>
          </cell>
          <cell r="G1923">
            <v>0</v>
          </cell>
          <cell r="H1923">
            <v>199977.52</v>
          </cell>
          <cell r="I1923">
            <v>199977.52</v>
          </cell>
          <cell r="J1923">
            <v>0</v>
          </cell>
        </row>
        <row r="1924">
          <cell r="B1924" t="str">
            <v>5-6132</v>
          </cell>
          <cell r="C1924" t="str">
            <v>Stationary written toolls</v>
          </cell>
          <cell r="D1924" t="str">
            <v>0.00cr</v>
          </cell>
          <cell r="E1924">
            <v>0</v>
          </cell>
          <cell r="F1924">
            <v>114704.35</v>
          </cell>
          <cell r="G1924">
            <v>0</v>
          </cell>
          <cell r="H1924">
            <v>114704.35</v>
          </cell>
          <cell r="I1924">
            <v>114704.35</v>
          </cell>
          <cell r="J1924">
            <v>0</v>
          </cell>
        </row>
        <row r="1925">
          <cell r="B1925" t="str">
            <v>5-6133</v>
          </cell>
          <cell r="C1925" t="str">
            <v>Stationary ink</v>
          </cell>
          <cell r="D1925">
            <v>0</v>
          </cell>
          <cell r="E1925">
            <v>0</v>
          </cell>
          <cell r="F1925">
            <v>50000</v>
          </cell>
          <cell r="G1925">
            <v>0</v>
          </cell>
          <cell r="H1925">
            <v>50000</v>
          </cell>
          <cell r="I1925">
            <v>50000</v>
          </cell>
          <cell r="J1925">
            <v>0</v>
          </cell>
        </row>
        <row r="1926">
          <cell r="B1926" t="str">
            <v>5-6134</v>
          </cell>
          <cell r="C1926" t="str">
            <v>Stationary Others</v>
          </cell>
          <cell r="D1926">
            <v>0</v>
          </cell>
          <cell r="E1926">
            <v>0</v>
          </cell>
          <cell r="F1926">
            <v>0</v>
          </cell>
          <cell r="G1926">
            <v>0</v>
          </cell>
          <cell r="H1926">
            <v>0</v>
          </cell>
          <cell r="I1926">
            <v>0</v>
          </cell>
          <cell r="J1926">
            <v>0</v>
          </cell>
        </row>
        <row r="1927">
          <cell r="B1927" t="str">
            <v>5-6135</v>
          </cell>
          <cell r="C1927" t="str">
            <v>Consumptions</v>
          </cell>
          <cell r="D1927">
            <v>0</v>
          </cell>
          <cell r="E1927">
            <v>0</v>
          </cell>
          <cell r="F1927">
            <v>213700</v>
          </cell>
          <cell r="G1927">
            <v>0</v>
          </cell>
          <cell r="H1927">
            <v>213700</v>
          </cell>
          <cell r="I1927">
            <v>213700</v>
          </cell>
          <cell r="J1927">
            <v>0</v>
          </cell>
        </row>
        <row r="1928">
          <cell r="B1928" t="str">
            <v>5-6136</v>
          </cell>
          <cell r="C1928" t="str">
            <v>Fotocopy &amp; Printing</v>
          </cell>
          <cell r="D1928">
            <v>0</v>
          </cell>
          <cell r="E1928">
            <v>0</v>
          </cell>
          <cell r="F1928">
            <v>55000</v>
          </cell>
          <cell r="G1928">
            <v>0</v>
          </cell>
          <cell r="H1928">
            <v>55000</v>
          </cell>
          <cell r="I1928">
            <v>55000</v>
          </cell>
          <cell r="J1928">
            <v>0</v>
          </cell>
        </row>
        <row r="1929">
          <cell r="B1929" t="str">
            <v>5-6137</v>
          </cell>
          <cell r="C1929" t="str">
            <v>Office Suplies</v>
          </cell>
          <cell r="D1929">
            <v>0</v>
          </cell>
          <cell r="E1929">
            <v>0</v>
          </cell>
          <cell r="F1929">
            <v>50000</v>
          </cell>
          <cell r="G1929">
            <v>0</v>
          </cell>
          <cell r="H1929">
            <v>50000</v>
          </cell>
          <cell r="I1929">
            <v>50000</v>
          </cell>
          <cell r="J1929">
            <v>0</v>
          </cell>
        </row>
        <row r="1930">
          <cell r="B1930" t="str">
            <v>5-6139</v>
          </cell>
          <cell r="C1930" t="str">
            <v>Others</v>
          </cell>
          <cell r="D1930">
            <v>0</v>
          </cell>
          <cell r="E1930">
            <v>0</v>
          </cell>
          <cell r="F1930">
            <v>0</v>
          </cell>
          <cell r="G1930">
            <v>0</v>
          </cell>
          <cell r="H1930">
            <v>0</v>
          </cell>
          <cell r="I1930">
            <v>0</v>
          </cell>
          <cell r="J1930">
            <v>0</v>
          </cell>
        </row>
        <row r="1931">
          <cell r="B1931" t="str">
            <v>5-6140</v>
          </cell>
          <cell r="C1931" t="str">
            <v>TRANSPORTATION &amp; TELECOMUNICAT</v>
          </cell>
          <cell r="D1931">
            <v>0</v>
          </cell>
          <cell r="E1931">
            <v>0</v>
          </cell>
          <cell r="F1931">
            <v>0</v>
          </cell>
          <cell r="G1931">
            <v>0</v>
          </cell>
          <cell r="H1931">
            <v>0</v>
          </cell>
          <cell r="I1931">
            <v>0</v>
          </cell>
          <cell r="J1931">
            <v>0</v>
          </cell>
        </row>
        <row r="1932">
          <cell r="B1932" t="str">
            <v>5-6141</v>
          </cell>
          <cell r="C1932" t="str">
            <v>Mail &amp; Shipment</v>
          </cell>
          <cell r="D1932">
            <v>0</v>
          </cell>
          <cell r="E1932">
            <v>0</v>
          </cell>
          <cell r="F1932">
            <v>27000</v>
          </cell>
          <cell r="G1932">
            <v>0</v>
          </cell>
          <cell r="H1932">
            <v>27000</v>
          </cell>
          <cell r="I1932">
            <v>27000</v>
          </cell>
          <cell r="J1932">
            <v>0</v>
          </cell>
        </row>
        <row r="1933">
          <cell r="B1933" t="str">
            <v>5-6142</v>
          </cell>
          <cell r="C1933" t="str">
            <v>Telephone</v>
          </cell>
          <cell r="D1933">
            <v>0</v>
          </cell>
          <cell r="E1933">
            <v>0</v>
          </cell>
          <cell r="F1933">
            <v>0</v>
          </cell>
          <cell r="G1933">
            <v>0</v>
          </cell>
          <cell r="H1933">
            <v>0</v>
          </cell>
          <cell r="I1933">
            <v>0</v>
          </cell>
          <cell r="J1933">
            <v>0</v>
          </cell>
        </row>
        <row r="1934">
          <cell r="B1934" t="str">
            <v>5-6143</v>
          </cell>
          <cell r="C1934" t="str">
            <v>Fuel</v>
          </cell>
          <cell r="D1934">
            <v>0</v>
          </cell>
          <cell r="E1934">
            <v>0</v>
          </cell>
          <cell r="F1934">
            <v>0</v>
          </cell>
          <cell r="G1934">
            <v>0</v>
          </cell>
          <cell r="H1934">
            <v>0</v>
          </cell>
          <cell r="I1934">
            <v>0</v>
          </cell>
          <cell r="J1934">
            <v>0</v>
          </cell>
        </row>
        <row r="1935">
          <cell r="B1935" t="str">
            <v>5-6144</v>
          </cell>
          <cell r="C1935" t="str">
            <v>Accommodations</v>
          </cell>
          <cell r="D1935">
            <v>0</v>
          </cell>
          <cell r="E1935">
            <v>0</v>
          </cell>
          <cell r="F1935">
            <v>315600</v>
          </cell>
          <cell r="G1935">
            <v>0</v>
          </cell>
          <cell r="H1935">
            <v>315600</v>
          </cell>
          <cell r="I1935">
            <v>315600</v>
          </cell>
          <cell r="J1935">
            <v>0</v>
          </cell>
        </row>
        <row r="1936">
          <cell r="B1936" t="str">
            <v>5-6145</v>
          </cell>
          <cell r="C1936" t="str">
            <v>Public Transportation</v>
          </cell>
          <cell r="D1936">
            <v>0</v>
          </cell>
          <cell r="E1936">
            <v>0</v>
          </cell>
          <cell r="F1936">
            <v>2174200</v>
          </cell>
          <cell r="G1936">
            <v>0</v>
          </cell>
          <cell r="H1936">
            <v>2174200</v>
          </cell>
          <cell r="I1936">
            <v>2174200</v>
          </cell>
          <cell r="J1936">
            <v>0</v>
          </cell>
        </row>
        <row r="1937">
          <cell r="B1937" t="str">
            <v>5-6146</v>
          </cell>
          <cell r="C1937" t="str">
            <v>Joint Transportation Allocatio</v>
          </cell>
          <cell r="D1937">
            <v>0</v>
          </cell>
          <cell r="E1937">
            <v>0</v>
          </cell>
          <cell r="F1937">
            <v>0</v>
          </cell>
          <cell r="G1937">
            <v>0</v>
          </cell>
          <cell r="H1937">
            <v>0</v>
          </cell>
          <cell r="I1937">
            <v>0</v>
          </cell>
          <cell r="J1937">
            <v>0</v>
          </cell>
        </row>
        <row r="1938">
          <cell r="B1938" t="str">
            <v>5-6149</v>
          </cell>
          <cell r="C1938" t="str">
            <v>Others</v>
          </cell>
          <cell r="D1938">
            <v>0</v>
          </cell>
          <cell r="E1938">
            <v>0</v>
          </cell>
          <cell r="F1938">
            <v>0</v>
          </cell>
          <cell r="G1938">
            <v>0</v>
          </cell>
          <cell r="H1938">
            <v>0</v>
          </cell>
          <cell r="I1938">
            <v>0</v>
          </cell>
          <cell r="J1938">
            <v>0</v>
          </cell>
        </row>
        <row r="1939">
          <cell r="B1939" t="str">
            <v>5-6150</v>
          </cell>
          <cell r="C1939" t="str">
            <v>REPAIR &amp; MAINTENENCE</v>
          </cell>
          <cell r="D1939">
            <v>0</v>
          </cell>
          <cell r="E1939">
            <v>0</v>
          </cell>
          <cell r="F1939">
            <v>0</v>
          </cell>
          <cell r="G1939">
            <v>0</v>
          </cell>
          <cell r="H1939">
            <v>0</v>
          </cell>
          <cell r="I1939">
            <v>0</v>
          </cell>
          <cell r="J1939">
            <v>0</v>
          </cell>
        </row>
        <row r="1940">
          <cell r="B1940" t="str">
            <v>5-6151</v>
          </cell>
          <cell r="C1940" t="str">
            <v>R &amp; M - Computer &amp; audio visua</v>
          </cell>
          <cell r="D1940">
            <v>0</v>
          </cell>
          <cell r="E1940">
            <v>0</v>
          </cell>
          <cell r="F1940">
            <v>0</v>
          </cell>
          <cell r="G1940">
            <v>0</v>
          </cell>
          <cell r="H1940">
            <v>0</v>
          </cell>
          <cell r="I1940">
            <v>0</v>
          </cell>
          <cell r="J1940">
            <v>0</v>
          </cell>
        </row>
        <row r="1941">
          <cell r="B1941" t="str">
            <v>5-6152</v>
          </cell>
          <cell r="C1941" t="str">
            <v>R &amp; M - Telephone &amp; Faxs</v>
          </cell>
          <cell r="D1941">
            <v>0</v>
          </cell>
          <cell r="E1941">
            <v>0</v>
          </cell>
          <cell r="F1941">
            <v>0</v>
          </cell>
          <cell r="G1941">
            <v>0</v>
          </cell>
          <cell r="H1941">
            <v>0</v>
          </cell>
          <cell r="I1941">
            <v>0</v>
          </cell>
          <cell r="J1941">
            <v>0</v>
          </cell>
        </row>
        <row r="1942">
          <cell r="B1942" t="str">
            <v>5-6153</v>
          </cell>
          <cell r="C1942" t="str">
            <v>R &amp; M - Office Eqiupment</v>
          </cell>
          <cell r="D1942">
            <v>0</v>
          </cell>
          <cell r="E1942">
            <v>0</v>
          </cell>
          <cell r="F1942">
            <v>0</v>
          </cell>
          <cell r="G1942">
            <v>0</v>
          </cell>
          <cell r="H1942">
            <v>0</v>
          </cell>
          <cell r="I1942">
            <v>0</v>
          </cell>
          <cell r="J1942">
            <v>0</v>
          </cell>
        </row>
        <row r="1943">
          <cell r="B1943" t="str">
            <v>5-6154</v>
          </cell>
          <cell r="C1943" t="str">
            <v>R &amp; M- Teaching Eqiupment</v>
          </cell>
          <cell r="D1943">
            <v>0</v>
          </cell>
          <cell r="E1943">
            <v>0</v>
          </cell>
          <cell r="F1943">
            <v>0</v>
          </cell>
          <cell r="G1943">
            <v>0</v>
          </cell>
          <cell r="H1943">
            <v>0</v>
          </cell>
          <cell r="I1943">
            <v>0</v>
          </cell>
          <cell r="J1943">
            <v>0</v>
          </cell>
        </row>
        <row r="1944">
          <cell r="B1944" t="str">
            <v>5-6155</v>
          </cell>
          <cell r="C1944" t="str">
            <v>R &amp; M - Other Eqiupment</v>
          </cell>
          <cell r="D1944">
            <v>0</v>
          </cell>
          <cell r="E1944">
            <v>0</v>
          </cell>
          <cell r="F1944">
            <v>0</v>
          </cell>
          <cell r="G1944">
            <v>0</v>
          </cell>
          <cell r="H1944">
            <v>0</v>
          </cell>
          <cell r="I1944">
            <v>0</v>
          </cell>
          <cell r="J1944">
            <v>0</v>
          </cell>
        </row>
        <row r="1945">
          <cell r="B1945" t="str">
            <v>5-6156</v>
          </cell>
          <cell r="C1945" t="str">
            <v>R &amp; M - Table &amp; Chairs</v>
          </cell>
          <cell r="D1945">
            <v>0</v>
          </cell>
          <cell r="E1945">
            <v>0</v>
          </cell>
          <cell r="F1945">
            <v>0</v>
          </cell>
          <cell r="G1945">
            <v>0</v>
          </cell>
          <cell r="H1945">
            <v>0</v>
          </cell>
          <cell r="I1945">
            <v>0</v>
          </cell>
          <cell r="J1945">
            <v>0</v>
          </cell>
        </row>
        <row r="1946">
          <cell r="B1946" t="str">
            <v>5-6157</v>
          </cell>
          <cell r="C1946" t="str">
            <v>R &amp; M - Cupboard &amp; Rack</v>
          </cell>
          <cell r="D1946">
            <v>0</v>
          </cell>
          <cell r="E1946">
            <v>0</v>
          </cell>
          <cell r="F1946">
            <v>0</v>
          </cell>
          <cell r="G1946">
            <v>0</v>
          </cell>
          <cell r="H1946">
            <v>0</v>
          </cell>
          <cell r="I1946">
            <v>0</v>
          </cell>
          <cell r="J1946">
            <v>0</v>
          </cell>
        </row>
        <row r="1947">
          <cell r="B1947" t="str">
            <v>5-6158</v>
          </cell>
          <cell r="C1947" t="str">
            <v>R &amp; M - Other Furniture</v>
          </cell>
          <cell r="D1947">
            <v>0</v>
          </cell>
          <cell r="E1947">
            <v>0</v>
          </cell>
          <cell r="F1947">
            <v>0</v>
          </cell>
          <cell r="G1947">
            <v>0</v>
          </cell>
          <cell r="H1947">
            <v>0</v>
          </cell>
          <cell r="I1947">
            <v>0</v>
          </cell>
          <cell r="J1947">
            <v>0</v>
          </cell>
        </row>
        <row r="1948">
          <cell r="B1948" t="str">
            <v>5-6159</v>
          </cell>
          <cell r="C1948" t="str">
            <v>R &amp; M - Other</v>
          </cell>
          <cell r="D1948">
            <v>0</v>
          </cell>
          <cell r="E1948">
            <v>0</v>
          </cell>
          <cell r="F1948">
            <v>0</v>
          </cell>
          <cell r="G1948">
            <v>0</v>
          </cell>
          <cell r="H1948">
            <v>0</v>
          </cell>
          <cell r="I1948">
            <v>0</v>
          </cell>
          <cell r="J1948">
            <v>0</v>
          </cell>
        </row>
        <row r="1949">
          <cell r="B1949" t="str">
            <v>5-6160</v>
          </cell>
          <cell r="C1949" t="str">
            <v>RAPAT EKSEKUTIF</v>
          </cell>
          <cell r="D1949">
            <v>0</v>
          </cell>
          <cell r="E1949">
            <v>0</v>
          </cell>
          <cell r="F1949">
            <v>0</v>
          </cell>
          <cell r="G1949">
            <v>0</v>
          </cell>
          <cell r="H1949">
            <v>0</v>
          </cell>
          <cell r="I1949">
            <v>0</v>
          </cell>
          <cell r="J1949">
            <v>0</v>
          </cell>
        </row>
        <row r="1950">
          <cell r="B1950" t="str">
            <v>5-6161</v>
          </cell>
          <cell r="C1950" t="str">
            <v>Devision Head</v>
          </cell>
          <cell r="D1950">
            <v>0</v>
          </cell>
          <cell r="E1950">
            <v>0</v>
          </cell>
          <cell r="F1950">
            <v>0</v>
          </cell>
          <cell r="G1950">
            <v>0</v>
          </cell>
          <cell r="H1950">
            <v>0</v>
          </cell>
          <cell r="I1950">
            <v>0</v>
          </cell>
          <cell r="J1950">
            <v>0</v>
          </cell>
        </row>
        <row r="1951">
          <cell r="B1951" t="str">
            <v>5-6162</v>
          </cell>
          <cell r="C1951" t="str">
            <v>Foundation meeting</v>
          </cell>
          <cell r="D1951">
            <v>0</v>
          </cell>
          <cell r="E1951">
            <v>0</v>
          </cell>
          <cell r="F1951">
            <v>0</v>
          </cell>
          <cell r="G1951">
            <v>0</v>
          </cell>
          <cell r="H1951">
            <v>0</v>
          </cell>
          <cell r="I1951">
            <v>0</v>
          </cell>
          <cell r="J1951">
            <v>0</v>
          </cell>
        </row>
        <row r="1952">
          <cell r="B1952" t="str">
            <v>5-6163</v>
          </cell>
          <cell r="C1952" t="str">
            <v>Guest Eksekutif</v>
          </cell>
          <cell r="D1952">
            <v>0</v>
          </cell>
          <cell r="E1952">
            <v>0</v>
          </cell>
          <cell r="F1952">
            <v>6738400</v>
          </cell>
          <cell r="G1952">
            <v>0</v>
          </cell>
          <cell r="H1952">
            <v>6738400</v>
          </cell>
          <cell r="I1952">
            <v>6738400</v>
          </cell>
          <cell r="J1952">
            <v>0</v>
          </cell>
        </row>
        <row r="1953">
          <cell r="B1953" t="str">
            <v>5-6190</v>
          </cell>
          <cell r="C1953" t="str">
            <v>LAIN-LAIN</v>
          </cell>
          <cell r="D1953">
            <v>0</v>
          </cell>
          <cell r="E1953">
            <v>0</v>
          </cell>
          <cell r="F1953">
            <v>0</v>
          </cell>
          <cell r="G1953">
            <v>0</v>
          </cell>
          <cell r="H1953">
            <v>0</v>
          </cell>
          <cell r="I1953">
            <v>0</v>
          </cell>
          <cell r="J1953">
            <v>0</v>
          </cell>
        </row>
        <row r="1954">
          <cell r="B1954" t="str">
            <v>5-6191</v>
          </cell>
          <cell r="C1954" t="str">
            <v>Profesional Fee</v>
          </cell>
          <cell r="D1954">
            <v>0</v>
          </cell>
          <cell r="E1954">
            <v>0</v>
          </cell>
          <cell r="F1954">
            <v>0</v>
          </cell>
          <cell r="G1954">
            <v>0</v>
          </cell>
          <cell r="H1954">
            <v>0</v>
          </cell>
          <cell r="I1954">
            <v>0</v>
          </cell>
          <cell r="J1954">
            <v>0</v>
          </cell>
        </row>
        <row r="1955">
          <cell r="B1955" t="str">
            <v>5-6192</v>
          </cell>
          <cell r="C1955" t="str">
            <v>membership</v>
          </cell>
          <cell r="D1955">
            <v>0</v>
          </cell>
          <cell r="E1955">
            <v>0</v>
          </cell>
          <cell r="F1955">
            <v>0</v>
          </cell>
          <cell r="G1955">
            <v>0</v>
          </cell>
          <cell r="H1955">
            <v>0</v>
          </cell>
          <cell r="I1955">
            <v>0</v>
          </cell>
          <cell r="J1955">
            <v>0</v>
          </cell>
        </row>
        <row r="1956">
          <cell r="B1956" t="str">
            <v>5-6193</v>
          </cell>
          <cell r="C1956" t="str">
            <v>Executive special program</v>
          </cell>
          <cell r="D1956">
            <v>0</v>
          </cell>
          <cell r="E1956">
            <v>0</v>
          </cell>
          <cell r="F1956">
            <v>0</v>
          </cell>
          <cell r="G1956">
            <v>0</v>
          </cell>
          <cell r="H1956">
            <v>0</v>
          </cell>
          <cell r="I1956">
            <v>0</v>
          </cell>
          <cell r="J1956">
            <v>0</v>
          </cell>
        </row>
        <row r="1957">
          <cell r="B1957" t="str">
            <v>5-6210</v>
          </cell>
          <cell r="C1957" t="str">
            <v>PERSONAL - GAJI</v>
          </cell>
          <cell r="D1957">
            <v>0</v>
          </cell>
          <cell r="E1957">
            <v>0</v>
          </cell>
          <cell r="F1957">
            <v>0</v>
          </cell>
          <cell r="G1957">
            <v>0</v>
          </cell>
          <cell r="H1957">
            <v>0</v>
          </cell>
          <cell r="I1957">
            <v>0</v>
          </cell>
          <cell r="J1957">
            <v>0</v>
          </cell>
        </row>
        <row r="1958">
          <cell r="B1958" t="str">
            <v>5-6211</v>
          </cell>
          <cell r="C1958" t="str">
            <v>Permanent Staff Salary</v>
          </cell>
          <cell r="D1958">
            <v>22836078.940000001</v>
          </cell>
          <cell r="E1958">
            <v>0</v>
          </cell>
          <cell r="F1958">
            <v>30321185</v>
          </cell>
          <cell r="G1958">
            <v>7485106.0599999996</v>
          </cell>
          <cell r="H1958">
            <v>22836078.940000001</v>
          </cell>
          <cell r="I1958">
            <v>45672157.880000003</v>
          </cell>
          <cell r="J1958">
            <v>0</v>
          </cell>
        </row>
        <row r="1959">
          <cell r="B1959" t="str">
            <v>5-6212</v>
          </cell>
          <cell r="C1959" t="str">
            <v>Temporary Staff Salary</v>
          </cell>
          <cell r="D1959">
            <v>0</v>
          </cell>
          <cell r="E1959">
            <v>0</v>
          </cell>
          <cell r="F1959">
            <v>0</v>
          </cell>
          <cell r="G1959">
            <v>0</v>
          </cell>
          <cell r="H1959">
            <v>0</v>
          </cell>
          <cell r="I1959">
            <v>0</v>
          </cell>
          <cell r="J1959">
            <v>0</v>
          </cell>
        </row>
        <row r="1960">
          <cell r="B1960" t="str">
            <v>5-6213</v>
          </cell>
          <cell r="C1960" t="str">
            <v>Honorarium santri Khidmah</v>
          </cell>
          <cell r="D1960">
            <v>0</v>
          </cell>
          <cell r="E1960">
            <v>0</v>
          </cell>
          <cell r="F1960">
            <v>0</v>
          </cell>
          <cell r="G1960">
            <v>0</v>
          </cell>
          <cell r="H1960">
            <v>0</v>
          </cell>
          <cell r="I1960">
            <v>0</v>
          </cell>
          <cell r="J1960">
            <v>0</v>
          </cell>
        </row>
        <row r="1961">
          <cell r="B1961" t="str">
            <v>5-6214</v>
          </cell>
          <cell r="C1961" t="str">
            <v>Staff overtime</v>
          </cell>
          <cell r="D1961">
            <v>0</v>
          </cell>
          <cell r="E1961">
            <v>0</v>
          </cell>
          <cell r="F1961">
            <v>276343</v>
          </cell>
          <cell r="G1961">
            <v>0</v>
          </cell>
          <cell r="H1961">
            <v>276343</v>
          </cell>
          <cell r="I1961">
            <v>276343</v>
          </cell>
          <cell r="J1961">
            <v>0</v>
          </cell>
        </row>
        <row r="1962">
          <cell r="B1962" t="str">
            <v>5-6215</v>
          </cell>
          <cell r="C1962" t="str">
            <v>Joint Salary Allocation</v>
          </cell>
          <cell r="D1962">
            <v>120330</v>
          </cell>
          <cell r="E1962">
            <v>0</v>
          </cell>
          <cell r="F1962">
            <v>120330</v>
          </cell>
          <cell r="G1962">
            <v>0</v>
          </cell>
          <cell r="H1962">
            <v>120330</v>
          </cell>
          <cell r="I1962">
            <v>240660</v>
          </cell>
          <cell r="J1962">
            <v>0</v>
          </cell>
        </row>
        <row r="1963">
          <cell r="B1963" t="str">
            <v>5-6217</v>
          </cell>
          <cell r="C1963" t="str">
            <v>New Account</v>
          </cell>
          <cell r="D1963">
            <v>0</v>
          </cell>
          <cell r="E1963">
            <v>0</v>
          </cell>
          <cell r="F1963">
            <v>0</v>
          </cell>
          <cell r="G1963">
            <v>0</v>
          </cell>
          <cell r="H1963">
            <v>0</v>
          </cell>
          <cell r="I1963">
            <v>0</v>
          </cell>
          <cell r="J1963">
            <v>0</v>
          </cell>
        </row>
        <row r="1964">
          <cell r="B1964" t="str">
            <v>5-6219</v>
          </cell>
          <cell r="C1964" t="str">
            <v>Others Salary</v>
          </cell>
          <cell r="D1964">
            <v>0</v>
          </cell>
          <cell r="E1964">
            <v>0</v>
          </cell>
          <cell r="F1964">
            <v>0</v>
          </cell>
          <cell r="G1964">
            <v>0</v>
          </cell>
          <cell r="H1964">
            <v>0</v>
          </cell>
          <cell r="I1964">
            <v>0</v>
          </cell>
          <cell r="J1964">
            <v>0</v>
          </cell>
        </row>
        <row r="1965">
          <cell r="B1965" t="str">
            <v>5-6220</v>
          </cell>
          <cell r="C1965" t="str">
            <v>PERSONAL - ALLOWANCE OF</v>
          </cell>
          <cell r="D1965">
            <v>0</v>
          </cell>
          <cell r="E1965">
            <v>0</v>
          </cell>
          <cell r="F1965">
            <v>0</v>
          </cell>
          <cell r="G1965">
            <v>0</v>
          </cell>
          <cell r="H1965">
            <v>0</v>
          </cell>
          <cell r="I1965">
            <v>0</v>
          </cell>
          <cell r="J1965">
            <v>0</v>
          </cell>
        </row>
        <row r="1966">
          <cell r="B1966" t="str">
            <v>5-6221</v>
          </cell>
          <cell r="C1966" t="str">
            <v>Allowance of Hulled Rice</v>
          </cell>
          <cell r="D1966">
            <v>1135200</v>
          </cell>
          <cell r="E1966">
            <v>0</v>
          </cell>
          <cell r="F1966">
            <v>1476000</v>
          </cell>
          <cell r="G1966">
            <v>275200</v>
          </cell>
          <cell r="H1966">
            <v>1200800</v>
          </cell>
          <cell r="I1966">
            <v>2336000</v>
          </cell>
          <cell r="J1966">
            <v>0</v>
          </cell>
        </row>
        <row r="1967">
          <cell r="B1967" t="str">
            <v>5-6222</v>
          </cell>
          <cell r="C1967" t="str">
            <v>Alowance of doctor and medicin</v>
          </cell>
          <cell r="D1967">
            <v>468200</v>
          </cell>
          <cell r="E1967">
            <v>0</v>
          </cell>
          <cell r="F1967">
            <v>403899.93</v>
          </cell>
          <cell r="G1967">
            <v>40000</v>
          </cell>
          <cell r="H1967">
            <v>363899.93</v>
          </cell>
          <cell r="I1967">
            <v>832099.93</v>
          </cell>
          <cell r="J1967">
            <v>0</v>
          </cell>
        </row>
        <row r="1968">
          <cell r="B1968" t="str">
            <v>5-6223</v>
          </cell>
          <cell r="C1968" t="str">
            <v>Alowance of spectacles</v>
          </cell>
          <cell r="D1968">
            <v>150000</v>
          </cell>
          <cell r="E1968">
            <v>0</v>
          </cell>
          <cell r="F1968">
            <v>0</v>
          </cell>
          <cell r="G1968">
            <v>0</v>
          </cell>
          <cell r="H1968">
            <v>0</v>
          </cell>
          <cell r="I1968">
            <v>150000</v>
          </cell>
          <cell r="J1968">
            <v>0</v>
          </cell>
        </row>
        <row r="1969">
          <cell r="B1969" t="str">
            <v>5-6224</v>
          </cell>
          <cell r="C1969" t="str">
            <v>Allowance of operation&amp;hospita</v>
          </cell>
          <cell r="D1969">
            <v>0</v>
          </cell>
          <cell r="E1969">
            <v>0</v>
          </cell>
          <cell r="F1969">
            <v>0</v>
          </cell>
          <cell r="G1969">
            <v>0</v>
          </cell>
          <cell r="H1969">
            <v>0</v>
          </cell>
          <cell r="I1969">
            <v>0</v>
          </cell>
          <cell r="J1969">
            <v>0</v>
          </cell>
        </row>
        <row r="1970">
          <cell r="B1970" t="str">
            <v>5-6225</v>
          </cell>
          <cell r="C1970" t="str">
            <v>Allowance of disaster &amp; die</v>
          </cell>
          <cell r="D1970">
            <v>0</v>
          </cell>
          <cell r="E1970">
            <v>0</v>
          </cell>
          <cell r="F1970">
            <v>0</v>
          </cell>
          <cell r="G1970">
            <v>0</v>
          </cell>
          <cell r="H1970">
            <v>0</v>
          </cell>
          <cell r="I1970">
            <v>0</v>
          </cell>
          <cell r="J1970">
            <v>0</v>
          </cell>
        </row>
        <row r="1971">
          <cell r="B1971" t="str">
            <v>5-6226</v>
          </cell>
          <cell r="C1971" t="str">
            <v>Allowance of hari raya</v>
          </cell>
          <cell r="D1971">
            <v>29583778</v>
          </cell>
          <cell r="E1971">
            <v>0</v>
          </cell>
          <cell r="F1971">
            <v>0</v>
          </cell>
          <cell r="G1971">
            <v>0</v>
          </cell>
          <cell r="H1971">
            <v>0</v>
          </cell>
          <cell r="I1971">
            <v>29583778</v>
          </cell>
          <cell r="J1971">
            <v>0</v>
          </cell>
        </row>
        <row r="1972">
          <cell r="B1972" t="str">
            <v>5-6227</v>
          </cell>
          <cell r="C1972" t="str">
            <v>Allowance of birth</v>
          </cell>
          <cell r="D1972">
            <v>400000</v>
          </cell>
          <cell r="E1972">
            <v>0</v>
          </cell>
          <cell r="F1972">
            <v>0</v>
          </cell>
          <cell r="G1972">
            <v>0</v>
          </cell>
          <cell r="H1972">
            <v>0</v>
          </cell>
          <cell r="I1972">
            <v>400000</v>
          </cell>
          <cell r="J1972">
            <v>0</v>
          </cell>
        </row>
        <row r="1973">
          <cell r="B1973" t="str">
            <v>5-6228</v>
          </cell>
          <cell r="C1973" t="str">
            <v>Allowance of married</v>
          </cell>
          <cell r="D1973">
            <v>0</v>
          </cell>
          <cell r="E1973">
            <v>0</v>
          </cell>
          <cell r="F1973">
            <v>0</v>
          </cell>
          <cell r="G1973">
            <v>0</v>
          </cell>
          <cell r="H1973">
            <v>0</v>
          </cell>
          <cell r="I1973">
            <v>0</v>
          </cell>
          <cell r="J1973">
            <v>0</v>
          </cell>
        </row>
        <row r="1974">
          <cell r="B1974" t="str">
            <v>5-6229</v>
          </cell>
          <cell r="C1974" t="str">
            <v>Allowance of house rent&amp;others</v>
          </cell>
          <cell r="D1974">
            <v>0</v>
          </cell>
          <cell r="E1974">
            <v>0</v>
          </cell>
          <cell r="F1974">
            <v>0</v>
          </cell>
          <cell r="G1974">
            <v>0</v>
          </cell>
          <cell r="H1974">
            <v>0</v>
          </cell>
          <cell r="I1974">
            <v>0</v>
          </cell>
          <cell r="J1974">
            <v>0</v>
          </cell>
        </row>
        <row r="1975">
          <cell r="B1975" t="str">
            <v>5-6230</v>
          </cell>
          <cell r="C1975" t="str">
            <v>OFFICE</v>
          </cell>
          <cell r="D1975">
            <v>0</v>
          </cell>
          <cell r="E1975">
            <v>0</v>
          </cell>
          <cell r="F1975">
            <v>0</v>
          </cell>
          <cell r="G1975">
            <v>0</v>
          </cell>
          <cell r="H1975">
            <v>0</v>
          </cell>
          <cell r="I1975">
            <v>0</v>
          </cell>
          <cell r="J1975">
            <v>0</v>
          </cell>
        </row>
        <row r="1976">
          <cell r="B1976" t="str">
            <v>5-6231</v>
          </cell>
          <cell r="C1976" t="str">
            <v>Stationary papers</v>
          </cell>
          <cell r="D1976" t="str">
            <v>0.00cr</v>
          </cell>
          <cell r="E1976">
            <v>0</v>
          </cell>
          <cell r="F1976">
            <v>283376.90999999997</v>
          </cell>
          <cell r="G1976">
            <v>0</v>
          </cell>
          <cell r="H1976">
            <v>283376.90999999997</v>
          </cell>
          <cell r="I1976">
            <v>283376.90999999997</v>
          </cell>
          <cell r="J1976">
            <v>0</v>
          </cell>
        </row>
        <row r="1977">
          <cell r="B1977" t="str">
            <v>5-6232</v>
          </cell>
          <cell r="C1977" t="str">
            <v>Stationary written toolls</v>
          </cell>
          <cell r="D1977">
            <v>0</v>
          </cell>
          <cell r="E1977">
            <v>0</v>
          </cell>
          <cell r="F1977">
            <v>80131.98</v>
          </cell>
          <cell r="G1977">
            <v>0</v>
          </cell>
          <cell r="H1977">
            <v>80131.98</v>
          </cell>
          <cell r="I1977">
            <v>80131.98</v>
          </cell>
          <cell r="J1977">
            <v>0</v>
          </cell>
        </row>
        <row r="1978">
          <cell r="B1978" t="str">
            <v>5-6233</v>
          </cell>
          <cell r="C1978" t="str">
            <v>Stationary ink</v>
          </cell>
          <cell r="D1978">
            <v>0</v>
          </cell>
          <cell r="E1978">
            <v>0</v>
          </cell>
          <cell r="F1978">
            <v>150000</v>
          </cell>
          <cell r="G1978">
            <v>0</v>
          </cell>
          <cell r="H1978">
            <v>150000</v>
          </cell>
          <cell r="I1978">
            <v>150000</v>
          </cell>
          <cell r="J1978">
            <v>0</v>
          </cell>
        </row>
        <row r="1979">
          <cell r="B1979" t="str">
            <v>5-6234</v>
          </cell>
          <cell r="C1979" t="str">
            <v>Stationary Others</v>
          </cell>
          <cell r="D1979">
            <v>0</v>
          </cell>
          <cell r="E1979">
            <v>0</v>
          </cell>
          <cell r="F1979">
            <v>0</v>
          </cell>
          <cell r="G1979">
            <v>0</v>
          </cell>
          <cell r="H1979">
            <v>0</v>
          </cell>
          <cell r="I1979">
            <v>0</v>
          </cell>
          <cell r="J1979">
            <v>0</v>
          </cell>
        </row>
        <row r="1980">
          <cell r="B1980" t="str">
            <v>5-6235</v>
          </cell>
          <cell r="C1980" t="str">
            <v>Consumptions</v>
          </cell>
          <cell r="D1980">
            <v>0</v>
          </cell>
          <cell r="E1980">
            <v>0</v>
          </cell>
          <cell r="F1980">
            <v>0</v>
          </cell>
          <cell r="G1980">
            <v>0</v>
          </cell>
          <cell r="H1980">
            <v>0</v>
          </cell>
          <cell r="I1980">
            <v>0</v>
          </cell>
          <cell r="J1980">
            <v>0</v>
          </cell>
        </row>
        <row r="1981">
          <cell r="B1981" t="str">
            <v>5-6236</v>
          </cell>
          <cell r="C1981" t="str">
            <v>Fotocopy &amp; Printing</v>
          </cell>
          <cell r="D1981">
            <v>189000</v>
          </cell>
          <cell r="E1981">
            <v>0</v>
          </cell>
          <cell r="F1981">
            <v>323900</v>
          </cell>
          <cell r="G1981">
            <v>0</v>
          </cell>
          <cell r="H1981">
            <v>323900</v>
          </cell>
          <cell r="I1981">
            <v>512900</v>
          </cell>
          <cell r="J1981">
            <v>0</v>
          </cell>
        </row>
        <row r="1982">
          <cell r="B1982" t="str">
            <v>5-6237</v>
          </cell>
          <cell r="C1982" t="str">
            <v>Office Suplies</v>
          </cell>
          <cell r="D1982">
            <v>0</v>
          </cell>
          <cell r="E1982">
            <v>0</v>
          </cell>
          <cell r="F1982">
            <v>40400</v>
          </cell>
          <cell r="G1982">
            <v>0</v>
          </cell>
          <cell r="H1982">
            <v>40400</v>
          </cell>
          <cell r="I1982">
            <v>40400</v>
          </cell>
          <cell r="J1982">
            <v>0</v>
          </cell>
        </row>
        <row r="1983">
          <cell r="B1983" t="str">
            <v>5-6238</v>
          </cell>
          <cell r="C1983" t="str">
            <v>Bank Adminitration</v>
          </cell>
          <cell r="D1983">
            <v>183500</v>
          </cell>
          <cell r="E1983">
            <v>0</v>
          </cell>
          <cell r="F1983">
            <v>165500</v>
          </cell>
          <cell r="G1983">
            <v>0</v>
          </cell>
          <cell r="H1983">
            <v>165500</v>
          </cell>
          <cell r="I1983">
            <v>349000</v>
          </cell>
          <cell r="J1983">
            <v>0</v>
          </cell>
        </row>
        <row r="1984">
          <cell r="B1984" t="str">
            <v>5-6239</v>
          </cell>
          <cell r="C1984" t="str">
            <v>Others</v>
          </cell>
          <cell r="D1984">
            <v>0</v>
          </cell>
          <cell r="E1984">
            <v>0</v>
          </cell>
          <cell r="F1984">
            <v>0</v>
          </cell>
          <cell r="G1984">
            <v>0</v>
          </cell>
          <cell r="H1984">
            <v>0</v>
          </cell>
          <cell r="I1984">
            <v>0</v>
          </cell>
          <cell r="J1984">
            <v>0</v>
          </cell>
        </row>
        <row r="1985">
          <cell r="B1985" t="str">
            <v>5-6240</v>
          </cell>
          <cell r="C1985" t="str">
            <v>TRANSPORTATION &amp; TELECOMUNICAT</v>
          </cell>
          <cell r="D1985">
            <v>0</v>
          </cell>
          <cell r="E1985">
            <v>0</v>
          </cell>
          <cell r="F1985">
            <v>0</v>
          </cell>
          <cell r="G1985">
            <v>0</v>
          </cell>
          <cell r="H1985">
            <v>0</v>
          </cell>
          <cell r="I1985">
            <v>0</v>
          </cell>
          <cell r="J1985">
            <v>0</v>
          </cell>
        </row>
        <row r="1986">
          <cell r="B1986" t="str">
            <v>5-6241</v>
          </cell>
          <cell r="C1986" t="str">
            <v>Mail &amp; Shipment</v>
          </cell>
          <cell r="D1986">
            <v>31500</v>
          </cell>
          <cell r="E1986">
            <v>0</v>
          </cell>
          <cell r="F1986">
            <v>79000</v>
          </cell>
          <cell r="G1986">
            <v>0</v>
          </cell>
          <cell r="H1986">
            <v>79000</v>
          </cell>
          <cell r="I1986">
            <v>110500</v>
          </cell>
          <cell r="J1986">
            <v>0</v>
          </cell>
        </row>
        <row r="1987">
          <cell r="B1987" t="str">
            <v>5-6242</v>
          </cell>
          <cell r="C1987" t="str">
            <v>Telephone</v>
          </cell>
          <cell r="D1987">
            <v>52000</v>
          </cell>
          <cell r="E1987">
            <v>0</v>
          </cell>
          <cell r="F1987">
            <v>300000</v>
          </cell>
          <cell r="G1987">
            <v>0</v>
          </cell>
          <cell r="H1987">
            <v>300000</v>
          </cell>
          <cell r="I1987">
            <v>352000</v>
          </cell>
          <cell r="J1987">
            <v>0</v>
          </cell>
        </row>
        <row r="1988">
          <cell r="B1988" t="str">
            <v>5-6243</v>
          </cell>
          <cell r="C1988" t="str">
            <v>Fuel</v>
          </cell>
          <cell r="D1988">
            <v>15000</v>
          </cell>
          <cell r="E1988">
            <v>0</v>
          </cell>
          <cell r="F1988">
            <v>20000</v>
          </cell>
          <cell r="G1988">
            <v>0</v>
          </cell>
          <cell r="H1988">
            <v>20000</v>
          </cell>
          <cell r="I1988">
            <v>35000</v>
          </cell>
          <cell r="J1988">
            <v>0</v>
          </cell>
        </row>
        <row r="1989">
          <cell r="B1989" t="str">
            <v>5-6244</v>
          </cell>
          <cell r="C1989" t="str">
            <v>Toll &amp; Parking</v>
          </cell>
          <cell r="D1989">
            <v>0</v>
          </cell>
          <cell r="E1989">
            <v>0</v>
          </cell>
          <cell r="F1989">
            <v>0</v>
          </cell>
          <cell r="G1989">
            <v>0</v>
          </cell>
          <cell r="H1989">
            <v>0</v>
          </cell>
          <cell r="I1989">
            <v>0</v>
          </cell>
          <cell r="J1989">
            <v>0</v>
          </cell>
        </row>
        <row r="1990">
          <cell r="B1990" t="str">
            <v>5-6245</v>
          </cell>
          <cell r="C1990" t="str">
            <v>Accommodations</v>
          </cell>
          <cell r="D1990">
            <v>0</v>
          </cell>
          <cell r="E1990">
            <v>0</v>
          </cell>
          <cell r="F1990">
            <v>15000</v>
          </cell>
          <cell r="G1990">
            <v>0</v>
          </cell>
          <cell r="H1990">
            <v>15000</v>
          </cell>
          <cell r="I1990">
            <v>15000</v>
          </cell>
          <cell r="J1990">
            <v>0</v>
          </cell>
        </row>
        <row r="1991">
          <cell r="B1991" t="str">
            <v>5-6246</v>
          </cell>
          <cell r="C1991" t="str">
            <v>Public Tranportation</v>
          </cell>
          <cell r="D1991">
            <v>0</v>
          </cell>
          <cell r="E1991">
            <v>0</v>
          </cell>
          <cell r="F1991">
            <v>895000</v>
          </cell>
          <cell r="G1991">
            <v>0</v>
          </cell>
          <cell r="H1991">
            <v>895000</v>
          </cell>
          <cell r="I1991">
            <v>895000</v>
          </cell>
          <cell r="J1991">
            <v>0</v>
          </cell>
        </row>
        <row r="1992">
          <cell r="B1992" t="str">
            <v>5-6247</v>
          </cell>
          <cell r="C1992" t="str">
            <v>Joint Transportation Allocatio</v>
          </cell>
          <cell r="D1992">
            <v>0</v>
          </cell>
          <cell r="E1992">
            <v>0</v>
          </cell>
          <cell r="F1992">
            <v>0</v>
          </cell>
          <cell r="G1992">
            <v>0</v>
          </cell>
          <cell r="H1992">
            <v>0</v>
          </cell>
          <cell r="I1992">
            <v>0</v>
          </cell>
          <cell r="J1992">
            <v>0</v>
          </cell>
        </row>
        <row r="1993">
          <cell r="B1993" t="str">
            <v>5-6249</v>
          </cell>
          <cell r="C1993" t="str">
            <v>Others</v>
          </cell>
          <cell r="D1993">
            <v>0</v>
          </cell>
          <cell r="E1993">
            <v>0</v>
          </cell>
          <cell r="F1993">
            <v>0</v>
          </cell>
          <cell r="G1993">
            <v>0</v>
          </cell>
          <cell r="H1993">
            <v>0</v>
          </cell>
          <cell r="I1993">
            <v>0</v>
          </cell>
          <cell r="J1993">
            <v>0</v>
          </cell>
        </row>
        <row r="1994">
          <cell r="B1994" t="str">
            <v>5-6250</v>
          </cell>
          <cell r="C1994" t="str">
            <v>REPAIR &amp; MAINTENENCE</v>
          </cell>
          <cell r="D1994">
            <v>0</v>
          </cell>
          <cell r="E1994">
            <v>0</v>
          </cell>
          <cell r="F1994">
            <v>0</v>
          </cell>
          <cell r="G1994">
            <v>0</v>
          </cell>
          <cell r="H1994">
            <v>0</v>
          </cell>
          <cell r="I1994">
            <v>0</v>
          </cell>
          <cell r="J1994">
            <v>0</v>
          </cell>
        </row>
        <row r="1995">
          <cell r="B1995" t="str">
            <v>5-6251</v>
          </cell>
          <cell r="C1995" t="str">
            <v>R &amp; M - Computer &amp; audio visua</v>
          </cell>
          <cell r="D1995">
            <v>0</v>
          </cell>
          <cell r="E1995">
            <v>0</v>
          </cell>
          <cell r="F1995">
            <v>0</v>
          </cell>
          <cell r="G1995">
            <v>0</v>
          </cell>
          <cell r="H1995">
            <v>0</v>
          </cell>
          <cell r="I1995">
            <v>0</v>
          </cell>
          <cell r="J1995">
            <v>0</v>
          </cell>
        </row>
        <row r="1996">
          <cell r="B1996" t="str">
            <v>5-6252</v>
          </cell>
          <cell r="C1996" t="str">
            <v>R &amp; M - Telephone &amp; Faxs</v>
          </cell>
          <cell r="D1996">
            <v>0</v>
          </cell>
          <cell r="E1996">
            <v>0</v>
          </cell>
          <cell r="F1996">
            <v>0</v>
          </cell>
          <cell r="G1996">
            <v>0</v>
          </cell>
          <cell r="H1996">
            <v>0</v>
          </cell>
          <cell r="I1996">
            <v>0</v>
          </cell>
          <cell r="J1996">
            <v>0</v>
          </cell>
        </row>
        <row r="1997">
          <cell r="B1997" t="str">
            <v>5-6253</v>
          </cell>
          <cell r="C1997" t="str">
            <v>R &amp; M - Office Eqiupment</v>
          </cell>
          <cell r="D1997">
            <v>0</v>
          </cell>
          <cell r="E1997">
            <v>0</v>
          </cell>
          <cell r="F1997">
            <v>0</v>
          </cell>
          <cell r="G1997">
            <v>0</v>
          </cell>
          <cell r="H1997">
            <v>0</v>
          </cell>
          <cell r="I1997">
            <v>0</v>
          </cell>
          <cell r="J1997">
            <v>0</v>
          </cell>
        </row>
        <row r="1998">
          <cell r="B1998" t="str">
            <v>5-6254</v>
          </cell>
          <cell r="C1998" t="str">
            <v>R &amp; M- Teaching Eqiupment</v>
          </cell>
          <cell r="D1998">
            <v>0</v>
          </cell>
          <cell r="E1998">
            <v>0</v>
          </cell>
          <cell r="F1998">
            <v>0</v>
          </cell>
          <cell r="G1998">
            <v>0</v>
          </cell>
          <cell r="H1998">
            <v>0</v>
          </cell>
          <cell r="I1998">
            <v>0</v>
          </cell>
          <cell r="J1998">
            <v>0</v>
          </cell>
        </row>
        <row r="1999">
          <cell r="B1999" t="str">
            <v>5-6255</v>
          </cell>
          <cell r="C1999" t="str">
            <v>R &amp; M - Other Eqiupment</v>
          </cell>
          <cell r="D1999">
            <v>0</v>
          </cell>
          <cell r="E1999">
            <v>0</v>
          </cell>
          <cell r="F1999">
            <v>0</v>
          </cell>
          <cell r="G1999">
            <v>0</v>
          </cell>
          <cell r="H1999">
            <v>0</v>
          </cell>
          <cell r="I1999">
            <v>0</v>
          </cell>
          <cell r="J1999">
            <v>0</v>
          </cell>
        </row>
        <row r="2000">
          <cell r="B2000" t="str">
            <v>5-6256</v>
          </cell>
          <cell r="C2000" t="str">
            <v>R &amp; M - Table &amp; Chairs</v>
          </cell>
          <cell r="D2000">
            <v>0</v>
          </cell>
          <cell r="E2000">
            <v>0</v>
          </cell>
          <cell r="F2000">
            <v>0</v>
          </cell>
          <cell r="G2000">
            <v>0</v>
          </cell>
          <cell r="H2000">
            <v>0</v>
          </cell>
          <cell r="I2000">
            <v>0</v>
          </cell>
          <cell r="J2000">
            <v>0</v>
          </cell>
        </row>
        <row r="2001">
          <cell r="B2001" t="str">
            <v>5-6257</v>
          </cell>
          <cell r="C2001" t="str">
            <v>R &amp; M - Cupboard &amp; Rack</v>
          </cell>
          <cell r="D2001">
            <v>0</v>
          </cell>
          <cell r="E2001">
            <v>0</v>
          </cell>
          <cell r="F2001">
            <v>0</v>
          </cell>
          <cell r="G2001">
            <v>0</v>
          </cell>
          <cell r="H2001">
            <v>0</v>
          </cell>
          <cell r="I2001">
            <v>0</v>
          </cell>
          <cell r="J2001">
            <v>0</v>
          </cell>
        </row>
        <row r="2002">
          <cell r="B2002" t="str">
            <v>5-6258</v>
          </cell>
          <cell r="C2002" t="str">
            <v>R &amp; M - Other Furniture</v>
          </cell>
          <cell r="D2002">
            <v>0</v>
          </cell>
          <cell r="E2002">
            <v>0</v>
          </cell>
          <cell r="F2002">
            <v>0</v>
          </cell>
          <cell r="G2002">
            <v>0</v>
          </cell>
          <cell r="H2002">
            <v>0</v>
          </cell>
          <cell r="I2002">
            <v>0</v>
          </cell>
          <cell r="J2002">
            <v>0</v>
          </cell>
        </row>
        <row r="2003">
          <cell r="B2003" t="str">
            <v>5-6259</v>
          </cell>
          <cell r="C2003" t="str">
            <v>R &amp; M - Other</v>
          </cell>
          <cell r="D2003">
            <v>0</v>
          </cell>
          <cell r="E2003">
            <v>0</v>
          </cell>
          <cell r="F2003">
            <v>0</v>
          </cell>
          <cell r="G2003">
            <v>0</v>
          </cell>
          <cell r="H2003">
            <v>0</v>
          </cell>
          <cell r="I2003">
            <v>0</v>
          </cell>
          <cell r="J2003">
            <v>0</v>
          </cell>
        </row>
        <row r="2004">
          <cell r="B2004" t="str">
            <v>5-6290</v>
          </cell>
          <cell r="C2004" t="str">
            <v>LAIN-LAIN</v>
          </cell>
          <cell r="D2004">
            <v>0</v>
          </cell>
          <cell r="E2004">
            <v>0</v>
          </cell>
          <cell r="F2004">
            <v>0</v>
          </cell>
          <cell r="G2004">
            <v>0</v>
          </cell>
          <cell r="H2004">
            <v>0</v>
          </cell>
          <cell r="I2004">
            <v>0</v>
          </cell>
          <cell r="J2004">
            <v>0</v>
          </cell>
        </row>
        <row r="2005">
          <cell r="B2005" t="str">
            <v>5-6291</v>
          </cell>
          <cell r="C2005" t="str">
            <v>Profesional Fee</v>
          </cell>
          <cell r="D2005">
            <v>0</v>
          </cell>
          <cell r="E2005">
            <v>0</v>
          </cell>
          <cell r="F2005">
            <v>0</v>
          </cell>
          <cell r="G2005">
            <v>0</v>
          </cell>
          <cell r="H2005">
            <v>0</v>
          </cell>
          <cell r="I2005">
            <v>0</v>
          </cell>
          <cell r="J2005">
            <v>0</v>
          </cell>
        </row>
        <row r="2006">
          <cell r="B2006" t="str">
            <v>5-6292</v>
          </cell>
          <cell r="C2006" t="str">
            <v>Auditor</v>
          </cell>
          <cell r="D2006">
            <v>0</v>
          </cell>
          <cell r="E2006">
            <v>0</v>
          </cell>
          <cell r="F2006">
            <v>0</v>
          </cell>
          <cell r="G2006">
            <v>0</v>
          </cell>
          <cell r="H2006">
            <v>0</v>
          </cell>
          <cell r="I2006">
            <v>0</v>
          </cell>
          <cell r="J2006">
            <v>0</v>
          </cell>
        </row>
        <row r="2007">
          <cell r="B2007" t="str">
            <v>5-6293</v>
          </cell>
          <cell r="C2007" t="str">
            <v>Taxtion</v>
          </cell>
          <cell r="D2007">
            <v>0</v>
          </cell>
          <cell r="E2007">
            <v>0</v>
          </cell>
          <cell r="F2007">
            <v>758000</v>
          </cell>
          <cell r="G2007">
            <v>0</v>
          </cell>
          <cell r="H2007">
            <v>758000</v>
          </cell>
          <cell r="I2007">
            <v>758000</v>
          </cell>
          <cell r="J2007">
            <v>0</v>
          </cell>
        </row>
        <row r="2008">
          <cell r="B2008" t="str">
            <v>5-6310</v>
          </cell>
          <cell r="C2008" t="str">
            <v>PERSONAL - GAJI</v>
          </cell>
          <cell r="D2008">
            <v>0</v>
          </cell>
          <cell r="E2008">
            <v>0</v>
          </cell>
          <cell r="F2008">
            <v>0</v>
          </cell>
          <cell r="G2008">
            <v>0</v>
          </cell>
          <cell r="H2008">
            <v>0</v>
          </cell>
          <cell r="I2008">
            <v>0</v>
          </cell>
          <cell r="J2008">
            <v>0</v>
          </cell>
        </row>
        <row r="2009">
          <cell r="B2009" t="str">
            <v>5-6311</v>
          </cell>
          <cell r="C2009" t="str">
            <v>Permanent Staff Salary</v>
          </cell>
          <cell r="D2009">
            <v>3432276</v>
          </cell>
          <cell r="E2009">
            <v>0</v>
          </cell>
          <cell r="F2009">
            <v>3178550</v>
          </cell>
          <cell r="G2009">
            <v>0</v>
          </cell>
          <cell r="H2009">
            <v>3178550</v>
          </cell>
          <cell r="I2009">
            <v>6610826</v>
          </cell>
          <cell r="J2009">
            <v>0</v>
          </cell>
        </row>
        <row r="2010">
          <cell r="B2010" t="str">
            <v>5-6312</v>
          </cell>
          <cell r="C2010" t="str">
            <v>Temporary Staff Salary</v>
          </cell>
          <cell r="D2010">
            <v>0</v>
          </cell>
          <cell r="E2010">
            <v>0</v>
          </cell>
          <cell r="F2010">
            <v>0</v>
          </cell>
          <cell r="G2010">
            <v>0</v>
          </cell>
          <cell r="H2010">
            <v>0</v>
          </cell>
          <cell r="I2010">
            <v>0</v>
          </cell>
          <cell r="J2010">
            <v>0</v>
          </cell>
        </row>
        <row r="2011">
          <cell r="B2011" t="str">
            <v>5-6313</v>
          </cell>
          <cell r="C2011" t="str">
            <v>Honorarium santri Khidmah</v>
          </cell>
          <cell r="D2011">
            <v>0</v>
          </cell>
          <cell r="E2011">
            <v>0</v>
          </cell>
          <cell r="F2011">
            <v>0</v>
          </cell>
          <cell r="G2011">
            <v>0</v>
          </cell>
          <cell r="H2011">
            <v>0</v>
          </cell>
          <cell r="I2011">
            <v>0</v>
          </cell>
          <cell r="J2011">
            <v>0</v>
          </cell>
        </row>
        <row r="2012">
          <cell r="B2012" t="str">
            <v>5-6314</v>
          </cell>
          <cell r="C2012" t="str">
            <v>Staff overtime</v>
          </cell>
          <cell r="D2012">
            <v>0</v>
          </cell>
          <cell r="E2012">
            <v>0</v>
          </cell>
          <cell r="F2012">
            <v>0</v>
          </cell>
          <cell r="G2012">
            <v>0</v>
          </cell>
          <cell r="H2012">
            <v>0</v>
          </cell>
          <cell r="I2012">
            <v>0</v>
          </cell>
          <cell r="J2012">
            <v>0</v>
          </cell>
        </row>
        <row r="2013">
          <cell r="B2013" t="str">
            <v>5-6315</v>
          </cell>
          <cell r="C2013" t="str">
            <v>Joint Salary Allocation</v>
          </cell>
          <cell r="D2013">
            <v>0</v>
          </cell>
          <cell r="E2013">
            <v>0</v>
          </cell>
          <cell r="F2013">
            <v>0</v>
          </cell>
          <cell r="G2013">
            <v>0</v>
          </cell>
          <cell r="H2013">
            <v>0</v>
          </cell>
          <cell r="I2013">
            <v>0</v>
          </cell>
          <cell r="J2013">
            <v>0</v>
          </cell>
        </row>
        <row r="2014">
          <cell r="B2014" t="str">
            <v>5-6319</v>
          </cell>
          <cell r="C2014" t="str">
            <v>Others Salary</v>
          </cell>
          <cell r="D2014">
            <v>0</v>
          </cell>
          <cell r="E2014">
            <v>0</v>
          </cell>
          <cell r="F2014">
            <v>0</v>
          </cell>
          <cell r="G2014">
            <v>0</v>
          </cell>
          <cell r="H2014">
            <v>0</v>
          </cell>
          <cell r="I2014">
            <v>0</v>
          </cell>
          <cell r="J2014">
            <v>0</v>
          </cell>
        </row>
        <row r="2015">
          <cell r="B2015" t="str">
            <v>5-6320</v>
          </cell>
          <cell r="C2015" t="str">
            <v>PERSONAL - ALLOWANCE OF</v>
          </cell>
          <cell r="D2015">
            <v>0</v>
          </cell>
          <cell r="E2015">
            <v>0</v>
          </cell>
          <cell r="F2015">
            <v>0</v>
          </cell>
          <cell r="G2015">
            <v>0</v>
          </cell>
          <cell r="H2015">
            <v>0</v>
          </cell>
          <cell r="I2015">
            <v>0</v>
          </cell>
          <cell r="J2015">
            <v>0</v>
          </cell>
        </row>
        <row r="2016">
          <cell r="B2016" t="str">
            <v>5-6321</v>
          </cell>
          <cell r="C2016" t="str">
            <v>Allowance of Hulled Rice</v>
          </cell>
          <cell r="D2016">
            <v>567600</v>
          </cell>
          <cell r="E2016">
            <v>0</v>
          </cell>
          <cell r="F2016">
            <v>594000</v>
          </cell>
          <cell r="G2016">
            <v>0</v>
          </cell>
          <cell r="H2016">
            <v>594000</v>
          </cell>
          <cell r="I2016">
            <v>1161600</v>
          </cell>
          <cell r="J2016">
            <v>0</v>
          </cell>
        </row>
        <row r="2017">
          <cell r="B2017" t="str">
            <v>5-6322</v>
          </cell>
          <cell r="C2017" t="str">
            <v>Alowance of doctor and medicin</v>
          </cell>
          <cell r="D2017">
            <v>0</v>
          </cell>
          <cell r="E2017">
            <v>0</v>
          </cell>
          <cell r="F2017">
            <v>11300</v>
          </cell>
          <cell r="G2017">
            <v>0</v>
          </cell>
          <cell r="H2017">
            <v>11300</v>
          </cell>
          <cell r="I2017">
            <v>11300</v>
          </cell>
          <cell r="J2017">
            <v>0</v>
          </cell>
        </row>
        <row r="2018">
          <cell r="B2018" t="str">
            <v>5-6323</v>
          </cell>
          <cell r="C2018" t="str">
            <v>Alowance of spectacles</v>
          </cell>
          <cell r="D2018">
            <v>0</v>
          </cell>
          <cell r="E2018">
            <v>0</v>
          </cell>
          <cell r="F2018">
            <v>0</v>
          </cell>
          <cell r="G2018">
            <v>0</v>
          </cell>
          <cell r="H2018">
            <v>0</v>
          </cell>
          <cell r="I2018">
            <v>0</v>
          </cell>
          <cell r="J2018">
            <v>0</v>
          </cell>
        </row>
        <row r="2019">
          <cell r="B2019" t="str">
            <v>5-6324</v>
          </cell>
          <cell r="C2019" t="str">
            <v>Allowance of operation&amp;hospita</v>
          </cell>
          <cell r="D2019">
            <v>0</v>
          </cell>
          <cell r="E2019">
            <v>0</v>
          </cell>
          <cell r="F2019">
            <v>0</v>
          </cell>
          <cell r="G2019">
            <v>0</v>
          </cell>
          <cell r="H2019">
            <v>0</v>
          </cell>
          <cell r="I2019">
            <v>0</v>
          </cell>
          <cell r="J2019">
            <v>0</v>
          </cell>
        </row>
        <row r="2020">
          <cell r="B2020" t="str">
            <v>5-6325</v>
          </cell>
          <cell r="C2020" t="str">
            <v>Allowance of disaster &amp; die</v>
          </cell>
          <cell r="D2020">
            <v>0</v>
          </cell>
          <cell r="E2020">
            <v>0</v>
          </cell>
          <cell r="F2020">
            <v>0</v>
          </cell>
          <cell r="G2020">
            <v>0</v>
          </cell>
          <cell r="H2020">
            <v>0</v>
          </cell>
          <cell r="I2020">
            <v>0</v>
          </cell>
          <cell r="J2020">
            <v>0</v>
          </cell>
        </row>
        <row r="2021">
          <cell r="B2021" t="str">
            <v>5-6326</v>
          </cell>
          <cell r="C2021" t="str">
            <v>Allowance of hari raya</v>
          </cell>
          <cell r="D2021">
            <v>3132720</v>
          </cell>
          <cell r="E2021">
            <v>0</v>
          </cell>
          <cell r="F2021">
            <v>0</v>
          </cell>
          <cell r="G2021">
            <v>0</v>
          </cell>
          <cell r="H2021">
            <v>0</v>
          </cell>
          <cell r="I2021">
            <v>3132720</v>
          </cell>
          <cell r="J2021">
            <v>0</v>
          </cell>
        </row>
        <row r="2022">
          <cell r="B2022" t="str">
            <v>5-6327</v>
          </cell>
          <cell r="C2022" t="str">
            <v>Allowance of birth</v>
          </cell>
          <cell r="D2022">
            <v>0</v>
          </cell>
          <cell r="E2022">
            <v>0</v>
          </cell>
          <cell r="F2022">
            <v>0</v>
          </cell>
          <cell r="G2022">
            <v>0</v>
          </cell>
          <cell r="H2022">
            <v>0</v>
          </cell>
          <cell r="I2022">
            <v>0</v>
          </cell>
          <cell r="J2022">
            <v>0</v>
          </cell>
        </row>
        <row r="2023">
          <cell r="B2023" t="str">
            <v>5-6328</v>
          </cell>
          <cell r="C2023" t="str">
            <v>Allowance of married</v>
          </cell>
          <cell r="D2023">
            <v>0</v>
          </cell>
          <cell r="E2023">
            <v>0</v>
          </cell>
          <cell r="F2023">
            <v>0</v>
          </cell>
          <cell r="G2023">
            <v>0</v>
          </cell>
          <cell r="H2023">
            <v>0</v>
          </cell>
          <cell r="I2023">
            <v>0</v>
          </cell>
          <cell r="J2023">
            <v>0</v>
          </cell>
        </row>
        <row r="2024">
          <cell r="B2024" t="str">
            <v>5-6329</v>
          </cell>
          <cell r="C2024" t="str">
            <v>Allowance of house rent&amp;others</v>
          </cell>
          <cell r="D2024">
            <v>0</v>
          </cell>
          <cell r="E2024">
            <v>0</v>
          </cell>
          <cell r="F2024">
            <v>0</v>
          </cell>
          <cell r="G2024">
            <v>0</v>
          </cell>
          <cell r="H2024">
            <v>0</v>
          </cell>
          <cell r="I2024">
            <v>0</v>
          </cell>
          <cell r="J2024">
            <v>0</v>
          </cell>
        </row>
        <row r="2025">
          <cell r="B2025" t="str">
            <v>5-6330</v>
          </cell>
          <cell r="C2025" t="str">
            <v>OFFICE</v>
          </cell>
          <cell r="D2025">
            <v>0</v>
          </cell>
          <cell r="E2025">
            <v>0</v>
          </cell>
          <cell r="F2025">
            <v>0</v>
          </cell>
          <cell r="G2025">
            <v>0</v>
          </cell>
          <cell r="H2025">
            <v>0</v>
          </cell>
          <cell r="I2025">
            <v>0</v>
          </cell>
          <cell r="J2025">
            <v>0</v>
          </cell>
        </row>
        <row r="2026">
          <cell r="B2026" t="str">
            <v>5-6331</v>
          </cell>
          <cell r="C2026" t="str">
            <v>Stationary papers</v>
          </cell>
          <cell r="D2026" t="str">
            <v>0.00cr</v>
          </cell>
          <cell r="E2026">
            <v>0</v>
          </cell>
          <cell r="F2026">
            <v>181296.46</v>
          </cell>
          <cell r="G2026">
            <v>0</v>
          </cell>
          <cell r="H2026">
            <v>181296.46</v>
          </cell>
          <cell r="I2026">
            <v>181296.46</v>
          </cell>
          <cell r="J2026">
            <v>0</v>
          </cell>
        </row>
        <row r="2027">
          <cell r="B2027" t="str">
            <v>5-6332</v>
          </cell>
          <cell r="C2027" t="str">
            <v>Stationary written toolls</v>
          </cell>
          <cell r="D2027">
            <v>0</v>
          </cell>
          <cell r="E2027">
            <v>0</v>
          </cell>
          <cell r="F2027">
            <v>69605.19</v>
          </cell>
          <cell r="G2027">
            <v>0</v>
          </cell>
          <cell r="H2027">
            <v>69605.19</v>
          </cell>
          <cell r="I2027">
            <v>69605.19</v>
          </cell>
          <cell r="J2027">
            <v>0</v>
          </cell>
        </row>
        <row r="2028">
          <cell r="B2028" t="str">
            <v>5-6333</v>
          </cell>
          <cell r="C2028" t="str">
            <v>Stationary ink</v>
          </cell>
          <cell r="D2028" t="str">
            <v>0.00cr</v>
          </cell>
          <cell r="E2028">
            <v>0</v>
          </cell>
          <cell r="F2028">
            <v>0</v>
          </cell>
          <cell r="G2028">
            <v>0</v>
          </cell>
          <cell r="H2028">
            <v>0</v>
          </cell>
          <cell r="I2028" t="str">
            <v>0.00cr</v>
          </cell>
          <cell r="J2028">
            <v>0</v>
          </cell>
        </row>
        <row r="2029">
          <cell r="B2029" t="str">
            <v>5-6334</v>
          </cell>
          <cell r="C2029" t="str">
            <v>Stationary Others</v>
          </cell>
          <cell r="D2029">
            <v>0</v>
          </cell>
          <cell r="E2029">
            <v>0</v>
          </cell>
          <cell r="F2029">
            <v>0</v>
          </cell>
          <cell r="G2029">
            <v>0</v>
          </cell>
          <cell r="H2029">
            <v>0</v>
          </cell>
          <cell r="I2029">
            <v>0</v>
          </cell>
          <cell r="J2029">
            <v>0</v>
          </cell>
        </row>
        <row r="2030">
          <cell r="B2030" t="str">
            <v>5-6335</v>
          </cell>
          <cell r="C2030" t="str">
            <v>Consumptions</v>
          </cell>
          <cell r="D2030">
            <v>0</v>
          </cell>
          <cell r="E2030">
            <v>0</v>
          </cell>
          <cell r="F2030">
            <v>0</v>
          </cell>
          <cell r="G2030">
            <v>0</v>
          </cell>
          <cell r="H2030">
            <v>0</v>
          </cell>
          <cell r="I2030">
            <v>0</v>
          </cell>
          <cell r="J2030">
            <v>0</v>
          </cell>
        </row>
        <row r="2031">
          <cell r="B2031" t="str">
            <v>5-6336</v>
          </cell>
          <cell r="C2031" t="str">
            <v>Fotocopy &amp; Printing</v>
          </cell>
          <cell r="D2031">
            <v>0</v>
          </cell>
          <cell r="E2031">
            <v>0</v>
          </cell>
          <cell r="F2031">
            <v>0</v>
          </cell>
          <cell r="G2031">
            <v>0</v>
          </cell>
          <cell r="H2031">
            <v>0</v>
          </cell>
          <cell r="I2031">
            <v>0</v>
          </cell>
          <cell r="J2031">
            <v>0</v>
          </cell>
        </row>
        <row r="2032">
          <cell r="B2032" t="str">
            <v>5-6337</v>
          </cell>
          <cell r="C2032" t="str">
            <v>Office Suplies</v>
          </cell>
          <cell r="D2032">
            <v>0</v>
          </cell>
          <cell r="E2032">
            <v>0</v>
          </cell>
          <cell r="F2032">
            <v>0</v>
          </cell>
          <cell r="G2032">
            <v>0</v>
          </cell>
          <cell r="H2032">
            <v>0</v>
          </cell>
          <cell r="I2032">
            <v>0</v>
          </cell>
          <cell r="J2032">
            <v>0</v>
          </cell>
        </row>
        <row r="2033">
          <cell r="B2033" t="str">
            <v>5-6339</v>
          </cell>
          <cell r="C2033" t="str">
            <v>Others</v>
          </cell>
          <cell r="D2033">
            <v>0</v>
          </cell>
          <cell r="E2033">
            <v>0</v>
          </cell>
          <cell r="F2033">
            <v>0</v>
          </cell>
          <cell r="G2033">
            <v>0</v>
          </cell>
          <cell r="H2033">
            <v>0</v>
          </cell>
          <cell r="I2033">
            <v>0</v>
          </cell>
          <cell r="J2033">
            <v>0</v>
          </cell>
        </row>
        <row r="2034">
          <cell r="B2034" t="str">
            <v>5-6340</v>
          </cell>
          <cell r="C2034" t="str">
            <v>TRANSPORTATION &amp; TELECOMUNICAT</v>
          </cell>
          <cell r="D2034">
            <v>0</v>
          </cell>
          <cell r="E2034">
            <v>0</v>
          </cell>
          <cell r="F2034">
            <v>0</v>
          </cell>
          <cell r="G2034">
            <v>0</v>
          </cell>
          <cell r="H2034">
            <v>0</v>
          </cell>
          <cell r="I2034">
            <v>0</v>
          </cell>
          <cell r="J2034">
            <v>0</v>
          </cell>
        </row>
        <row r="2035">
          <cell r="B2035" t="str">
            <v>5-6341</v>
          </cell>
          <cell r="C2035" t="str">
            <v>Mail &amp; Shipment</v>
          </cell>
          <cell r="D2035">
            <v>0</v>
          </cell>
          <cell r="E2035">
            <v>0</v>
          </cell>
          <cell r="F2035">
            <v>0</v>
          </cell>
          <cell r="G2035">
            <v>0</v>
          </cell>
          <cell r="H2035">
            <v>0</v>
          </cell>
          <cell r="I2035">
            <v>0</v>
          </cell>
          <cell r="J2035">
            <v>0</v>
          </cell>
        </row>
        <row r="2036">
          <cell r="B2036" t="str">
            <v>5-6342</v>
          </cell>
          <cell r="C2036" t="str">
            <v>Telephone</v>
          </cell>
          <cell r="D2036">
            <v>0</v>
          </cell>
          <cell r="E2036">
            <v>0</v>
          </cell>
          <cell r="F2036">
            <v>0</v>
          </cell>
          <cell r="G2036">
            <v>0</v>
          </cell>
          <cell r="H2036">
            <v>0</v>
          </cell>
          <cell r="I2036">
            <v>0</v>
          </cell>
          <cell r="J2036">
            <v>0</v>
          </cell>
        </row>
        <row r="2037">
          <cell r="B2037" t="str">
            <v>5-6343</v>
          </cell>
          <cell r="C2037" t="str">
            <v>Fuel</v>
          </cell>
          <cell r="D2037">
            <v>0</v>
          </cell>
          <cell r="E2037">
            <v>0</v>
          </cell>
          <cell r="F2037">
            <v>0</v>
          </cell>
          <cell r="G2037">
            <v>0</v>
          </cell>
          <cell r="H2037">
            <v>0</v>
          </cell>
          <cell r="I2037">
            <v>0</v>
          </cell>
          <cell r="J2037">
            <v>0</v>
          </cell>
        </row>
        <row r="2038">
          <cell r="B2038" t="str">
            <v>5-6344</v>
          </cell>
          <cell r="C2038" t="str">
            <v>Tol &amp; Parking</v>
          </cell>
          <cell r="D2038">
            <v>0</v>
          </cell>
          <cell r="E2038">
            <v>0</v>
          </cell>
          <cell r="F2038">
            <v>0</v>
          </cell>
          <cell r="G2038">
            <v>0</v>
          </cell>
          <cell r="H2038">
            <v>0</v>
          </cell>
          <cell r="I2038">
            <v>0</v>
          </cell>
          <cell r="J2038">
            <v>0</v>
          </cell>
        </row>
        <row r="2039">
          <cell r="B2039" t="str">
            <v>5-6345</v>
          </cell>
          <cell r="C2039" t="str">
            <v>Accommodations</v>
          </cell>
          <cell r="D2039">
            <v>0</v>
          </cell>
          <cell r="E2039">
            <v>0</v>
          </cell>
          <cell r="F2039">
            <v>0</v>
          </cell>
          <cell r="G2039">
            <v>0</v>
          </cell>
          <cell r="H2039">
            <v>0</v>
          </cell>
          <cell r="I2039">
            <v>0</v>
          </cell>
          <cell r="J2039">
            <v>0</v>
          </cell>
        </row>
        <row r="2040">
          <cell r="B2040" t="str">
            <v>5-6346</v>
          </cell>
          <cell r="C2040" t="str">
            <v>Public Tranportation</v>
          </cell>
          <cell r="D2040">
            <v>0</v>
          </cell>
          <cell r="E2040">
            <v>0</v>
          </cell>
          <cell r="F2040">
            <v>0</v>
          </cell>
          <cell r="G2040">
            <v>0</v>
          </cell>
          <cell r="H2040">
            <v>0</v>
          </cell>
          <cell r="I2040">
            <v>0</v>
          </cell>
          <cell r="J2040">
            <v>0</v>
          </cell>
        </row>
        <row r="2041">
          <cell r="B2041" t="str">
            <v>5-6347</v>
          </cell>
          <cell r="C2041" t="str">
            <v>Joint Transportation Allocatio</v>
          </cell>
          <cell r="D2041">
            <v>0</v>
          </cell>
          <cell r="E2041">
            <v>0</v>
          </cell>
          <cell r="F2041">
            <v>0</v>
          </cell>
          <cell r="G2041">
            <v>0</v>
          </cell>
          <cell r="H2041">
            <v>0</v>
          </cell>
          <cell r="I2041">
            <v>0</v>
          </cell>
          <cell r="J2041">
            <v>0</v>
          </cell>
        </row>
        <row r="2042">
          <cell r="B2042" t="str">
            <v>5-6349</v>
          </cell>
          <cell r="C2042" t="str">
            <v>Others</v>
          </cell>
          <cell r="D2042">
            <v>0</v>
          </cell>
          <cell r="E2042">
            <v>0</v>
          </cell>
          <cell r="F2042">
            <v>0</v>
          </cell>
          <cell r="G2042">
            <v>0</v>
          </cell>
          <cell r="H2042">
            <v>0</v>
          </cell>
          <cell r="I2042">
            <v>0</v>
          </cell>
          <cell r="J2042">
            <v>0</v>
          </cell>
        </row>
        <row r="2043">
          <cell r="B2043" t="str">
            <v>5-6350</v>
          </cell>
          <cell r="C2043" t="str">
            <v>REPAIR &amp; MAINTENENCE</v>
          </cell>
          <cell r="D2043">
            <v>0</v>
          </cell>
          <cell r="E2043">
            <v>0</v>
          </cell>
          <cell r="F2043">
            <v>0</v>
          </cell>
          <cell r="G2043">
            <v>0</v>
          </cell>
          <cell r="H2043">
            <v>0</v>
          </cell>
          <cell r="I2043">
            <v>0</v>
          </cell>
          <cell r="J2043">
            <v>0</v>
          </cell>
        </row>
        <row r="2044">
          <cell r="B2044" t="str">
            <v>5-6351</v>
          </cell>
          <cell r="C2044" t="str">
            <v>R &amp; M - Computer &amp; audio visua</v>
          </cell>
          <cell r="D2044">
            <v>0</v>
          </cell>
          <cell r="E2044">
            <v>0</v>
          </cell>
          <cell r="F2044">
            <v>0</v>
          </cell>
          <cell r="G2044">
            <v>0</v>
          </cell>
          <cell r="H2044">
            <v>0</v>
          </cell>
          <cell r="I2044">
            <v>0</v>
          </cell>
          <cell r="J2044">
            <v>0</v>
          </cell>
        </row>
        <row r="2045">
          <cell r="B2045" t="str">
            <v>5-6352</v>
          </cell>
          <cell r="C2045" t="str">
            <v>R &amp; M - Telephone &amp; Faxs</v>
          </cell>
          <cell r="D2045">
            <v>0</v>
          </cell>
          <cell r="E2045">
            <v>0</v>
          </cell>
          <cell r="F2045">
            <v>0</v>
          </cell>
          <cell r="G2045">
            <v>0</v>
          </cell>
          <cell r="H2045">
            <v>0</v>
          </cell>
          <cell r="I2045">
            <v>0</v>
          </cell>
          <cell r="J2045">
            <v>0</v>
          </cell>
        </row>
        <row r="2046">
          <cell r="B2046" t="str">
            <v>5-6353</v>
          </cell>
          <cell r="C2046" t="str">
            <v>R &amp; M - Office Eqiupment</v>
          </cell>
          <cell r="D2046">
            <v>0</v>
          </cell>
          <cell r="E2046">
            <v>0</v>
          </cell>
          <cell r="F2046">
            <v>0</v>
          </cell>
          <cell r="G2046">
            <v>0</v>
          </cell>
          <cell r="H2046">
            <v>0</v>
          </cell>
          <cell r="I2046">
            <v>0</v>
          </cell>
          <cell r="J2046">
            <v>0</v>
          </cell>
        </row>
        <row r="2047">
          <cell r="B2047" t="str">
            <v>5-6354</v>
          </cell>
          <cell r="C2047" t="str">
            <v>R &amp; M- Teaching Eqiupment</v>
          </cell>
          <cell r="D2047">
            <v>0</v>
          </cell>
          <cell r="E2047">
            <v>0</v>
          </cell>
          <cell r="F2047">
            <v>0</v>
          </cell>
          <cell r="G2047">
            <v>0</v>
          </cell>
          <cell r="H2047">
            <v>0</v>
          </cell>
          <cell r="I2047">
            <v>0</v>
          </cell>
          <cell r="J2047">
            <v>0</v>
          </cell>
        </row>
        <row r="2048">
          <cell r="B2048" t="str">
            <v>5-6355</v>
          </cell>
          <cell r="C2048" t="str">
            <v>R &amp; M - Other Eqiupment</v>
          </cell>
          <cell r="D2048">
            <v>0</v>
          </cell>
          <cell r="E2048">
            <v>0</v>
          </cell>
          <cell r="F2048">
            <v>0</v>
          </cell>
          <cell r="G2048">
            <v>0</v>
          </cell>
          <cell r="H2048">
            <v>0</v>
          </cell>
          <cell r="I2048">
            <v>0</v>
          </cell>
          <cell r="J2048">
            <v>0</v>
          </cell>
        </row>
        <row r="2049">
          <cell r="B2049" t="str">
            <v>5-6356</v>
          </cell>
          <cell r="C2049" t="str">
            <v>R &amp; M - Table &amp; Chairs</v>
          </cell>
          <cell r="D2049">
            <v>0</v>
          </cell>
          <cell r="E2049">
            <v>0</v>
          </cell>
          <cell r="F2049">
            <v>0</v>
          </cell>
          <cell r="G2049">
            <v>0</v>
          </cell>
          <cell r="H2049">
            <v>0</v>
          </cell>
          <cell r="I2049">
            <v>0</v>
          </cell>
          <cell r="J2049">
            <v>0</v>
          </cell>
        </row>
        <row r="2050">
          <cell r="B2050" t="str">
            <v>5-6357</v>
          </cell>
          <cell r="C2050" t="str">
            <v>R &amp; M - Cupboard &amp; Rack</v>
          </cell>
          <cell r="D2050">
            <v>0</v>
          </cell>
          <cell r="E2050">
            <v>0</v>
          </cell>
          <cell r="F2050">
            <v>0</v>
          </cell>
          <cell r="G2050">
            <v>0</v>
          </cell>
          <cell r="H2050">
            <v>0</v>
          </cell>
          <cell r="I2050">
            <v>0</v>
          </cell>
          <cell r="J2050">
            <v>0</v>
          </cell>
        </row>
        <row r="2051">
          <cell r="B2051" t="str">
            <v>5-6358</v>
          </cell>
          <cell r="C2051" t="str">
            <v>R &amp; M - Other Furniture</v>
          </cell>
          <cell r="D2051">
            <v>0</v>
          </cell>
          <cell r="E2051">
            <v>0</v>
          </cell>
          <cell r="F2051">
            <v>0</v>
          </cell>
          <cell r="G2051">
            <v>0</v>
          </cell>
          <cell r="H2051">
            <v>0</v>
          </cell>
          <cell r="I2051">
            <v>0</v>
          </cell>
          <cell r="J2051">
            <v>0</v>
          </cell>
        </row>
        <row r="2052">
          <cell r="B2052" t="str">
            <v>5-6359</v>
          </cell>
          <cell r="C2052" t="str">
            <v>R &amp; M - Other</v>
          </cell>
          <cell r="D2052">
            <v>0</v>
          </cell>
          <cell r="E2052">
            <v>0</v>
          </cell>
          <cell r="F2052">
            <v>0</v>
          </cell>
          <cell r="G2052">
            <v>0</v>
          </cell>
          <cell r="H2052">
            <v>0</v>
          </cell>
          <cell r="I2052">
            <v>0</v>
          </cell>
          <cell r="J2052">
            <v>0</v>
          </cell>
        </row>
        <row r="2053">
          <cell r="B2053" t="str">
            <v>5-6360</v>
          </cell>
          <cell r="C2053" t="str">
            <v>PENGEMBANGAN SDM</v>
          </cell>
          <cell r="D2053">
            <v>0</v>
          </cell>
          <cell r="E2053">
            <v>0</v>
          </cell>
          <cell r="F2053">
            <v>0</v>
          </cell>
          <cell r="G2053">
            <v>0</v>
          </cell>
          <cell r="H2053">
            <v>0</v>
          </cell>
          <cell r="I2053">
            <v>0</v>
          </cell>
          <cell r="J2053">
            <v>0</v>
          </cell>
        </row>
        <row r="2054">
          <cell r="B2054" t="str">
            <v>5-6361</v>
          </cell>
          <cell r="C2054" t="str">
            <v>Training</v>
          </cell>
          <cell r="D2054">
            <v>0</v>
          </cell>
          <cell r="E2054">
            <v>0</v>
          </cell>
          <cell r="F2054">
            <v>0</v>
          </cell>
          <cell r="G2054">
            <v>0</v>
          </cell>
          <cell r="H2054">
            <v>0</v>
          </cell>
          <cell r="I2054">
            <v>0</v>
          </cell>
          <cell r="J2054">
            <v>0</v>
          </cell>
        </row>
        <row r="2055">
          <cell r="B2055" t="str">
            <v>5-6362</v>
          </cell>
          <cell r="C2055" t="str">
            <v>Seminar</v>
          </cell>
          <cell r="D2055">
            <v>0</v>
          </cell>
          <cell r="E2055">
            <v>0</v>
          </cell>
          <cell r="F2055">
            <v>0</v>
          </cell>
          <cell r="G2055">
            <v>0</v>
          </cell>
          <cell r="H2055">
            <v>0</v>
          </cell>
          <cell r="I2055">
            <v>0</v>
          </cell>
          <cell r="J2055">
            <v>0</v>
          </cell>
        </row>
        <row r="2056">
          <cell r="B2056" t="str">
            <v>5-6363</v>
          </cell>
          <cell r="C2056" t="str">
            <v>Outbond</v>
          </cell>
          <cell r="D2056">
            <v>0</v>
          </cell>
          <cell r="E2056">
            <v>0</v>
          </cell>
          <cell r="F2056">
            <v>0</v>
          </cell>
          <cell r="G2056">
            <v>0</v>
          </cell>
          <cell r="H2056">
            <v>0</v>
          </cell>
          <cell r="I2056">
            <v>0</v>
          </cell>
          <cell r="J2056">
            <v>0</v>
          </cell>
        </row>
        <row r="2057">
          <cell r="B2057" t="str">
            <v>5-6364</v>
          </cell>
          <cell r="C2057" t="str">
            <v>On Job Training</v>
          </cell>
          <cell r="D2057">
            <v>0</v>
          </cell>
          <cell r="E2057">
            <v>0</v>
          </cell>
          <cell r="F2057">
            <v>0</v>
          </cell>
          <cell r="G2057">
            <v>0</v>
          </cell>
          <cell r="H2057">
            <v>0</v>
          </cell>
          <cell r="I2057">
            <v>0</v>
          </cell>
          <cell r="J2057">
            <v>0</v>
          </cell>
        </row>
        <row r="2058">
          <cell r="B2058" t="str">
            <v>5-6370</v>
          </cell>
          <cell r="C2058" t="str">
            <v>PENERIMAAN KARYAWAN</v>
          </cell>
          <cell r="D2058">
            <v>0</v>
          </cell>
          <cell r="E2058">
            <v>0</v>
          </cell>
          <cell r="F2058">
            <v>0</v>
          </cell>
          <cell r="G2058">
            <v>0</v>
          </cell>
          <cell r="H2058">
            <v>0</v>
          </cell>
          <cell r="I2058">
            <v>0</v>
          </cell>
          <cell r="J2058">
            <v>0</v>
          </cell>
        </row>
        <row r="2059">
          <cell r="B2059" t="str">
            <v>5-6371</v>
          </cell>
          <cell r="C2059" t="str">
            <v>Vacancy Advertisement</v>
          </cell>
          <cell r="D2059">
            <v>0</v>
          </cell>
          <cell r="E2059">
            <v>0</v>
          </cell>
          <cell r="F2059">
            <v>0</v>
          </cell>
          <cell r="G2059">
            <v>0</v>
          </cell>
          <cell r="H2059">
            <v>0</v>
          </cell>
          <cell r="I2059">
            <v>0</v>
          </cell>
          <cell r="J2059">
            <v>0</v>
          </cell>
        </row>
        <row r="2060">
          <cell r="B2060" t="str">
            <v>5-6372</v>
          </cell>
          <cell r="C2060" t="str">
            <v>Employee Selection</v>
          </cell>
          <cell r="D2060">
            <v>0</v>
          </cell>
          <cell r="E2060">
            <v>0</v>
          </cell>
          <cell r="F2060">
            <v>0</v>
          </cell>
          <cell r="G2060">
            <v>0</v>
          </cell>
          <cell r="H2060">
            <v>0</v>
          </cell>
          <cell r="I2060">
            <v>0</v>
          </cell>
          <cell r="J2060">
            <v>0</v>
          </cell>
        </row>
        <row r="2061">
          <cell r="B2061" t="str">
            <v>5-6390</v>
          </cell>
          <cell r="C2061" t="str">
            <v>LAIN-LAIN</v>
          </cell>
          <cell r="D2061">
            <v>0</v>
          </cell>
          <cell r="E2061">
            <v>0</v>
          </cell>
          <cell r="F2061">
            <v>0</v>
          </cell>
          <cell r="G2061">
            <v>0</v>
          </cell>
          <cell r="H2061">
            <v>0</v>
          </cell>
          <cell r="I2061">
            <v>0</v>
          </cell>
          <cell r="J2061">
            <v>0</v>
          </cell>
        </row>
        <row r="2062">
          <cell r="B2062" t="str">
            <v>5-6391</v>
          </cell>
          <cell r="C2062" t="str">
            <v>Profesional Fee</v>
          </cell>
          <cell r="D2062">
            <v>0</v>
          </cell>
          <cell r="E2062">
            <v>0</v>
          </cell>
          <cell r="F2062">
            <v>0</v>
          </cell>
          <cell r="G2062">
            <v>0</v>
          </cell>
          <cell r="H2062">
            <v>0</v>
          </cell>
          <cell r="I2062">
            <v>0</v>
          </cell>
          <cell r="J2062">
            <v>0</v>
          </cell>
        </row>
        <row r="2063">
          <cell r="B2063" t="str">
            <v>5-6392</v>
          </cell>
          <cell r="C2063" t="str">
            <v>Family Gathering</v>
          </cell>
          <cell r="D2063">
            <v>0</v>
          </cell>
          <cell r="E2063">
            <v>0</v>
          </cell>
          <cell r="F2063">
            <v>0</v>
          </cell>
          <cell r="G2063">
            <v>0</v>
          </cell>
          <cell r="H2063">
            <v>0</v>
          </cell>
          <cell r="I2063">
            <v>0</v>
          </cell>
          <cell r="J2063">
            <v>0</v>
          </cell>
        </row>
        <row r="2064">
          <cell r="B2064" t="str">
            <v>5-6393</v>
          </cell>
          <cell r="C2064" t="str">
            <v>Futsal</v>
          </cell>
          <cell r="D2064">
            <v>0</v>
          </cell>
          <cell r="E2064">
            <v>0</v>
          </cell>
          <cell r="F2064">
            <v>445000</v>
          </cell>
          <cell r="G2064">
            <v>0</v>
          </cell>
          <cell r="H2064">
            <v>445000</v>
          </cell>
          <cell r="I2064">
            <v>445000</v>
          </cell>
          <cell r="J2064">
            <v>0</v>
          </cell>
        </row>
        <row r="2065">
          <cell r="B2065" t="str">
            <v>5-6410</v>
          </cell>
          <cell r="C2065" t="str">
            <v>PERSONAL - GAJI</v>
          </cell>
          <cell r="D2065">
            <v>0</v>
          </cell>
          <cell r="E2065">
            <v>0</v>
          </cell>
          <cell r="F2065">
            <v>0</v>
          </cell>
          <cell r="G2065">
            <v>0</v>
          </cell>
          <cell r="H2065">
            <v>0</v>
          </cell>
          <cell r="I2065">
            <v>0</v>
          </cell>
          <cell r="J2065">
            <v>0</v>
          </cell>
        </row>
        <row r="2066">
          <cell r="B2066" t="str">
            <v>5-6411</v>
          </cell>
          <cell r="C2066" t="str">
            <v>Permanent Staff Salary</v>
          </cell>
          <cell r="D2066">
            <v>22272688.809999999</v>
          </cell>
          <cell r="E2066">
            <v>0</v>
          </cell>
          <cell r="F2066">
            <v>32891328</v>
          </cell>
          <cell r="G2066">
            <v>5218639.1900000004</v>
          </cell>
          <cell r="H2066">
            <v>27672688.809999999</v>
          </cell>
          <cell r="I2066">
            <v>49945377.619999997</v>
          </cell>
          <cell r="J2066">
            <v>0</v>
          </cell>
        </row>
        <row r="2067">
          <cell r="B2067" t="str">
            <v>5-6412</v>
          </cell>
          <cell r="C2067" t="str">
            <v>Temporary Staff Salary</v>
          </cell>
          <cell r="D2067">
            <v>0</v>
          </cell>
          <cell r="E2067">
            <v>0</v>
          </cell>
          <cell r="F2067">
            <v>0</v>
          </cell>
          <cell r="G2067">
            <v>0</v>
          </cell>
          <cell r="H2067">
            <v>0</v>
          </cell>
          <cell r="I2067">
            <v>0</v>
          </cell>
          <cell r="J2067">
            <v>0</v>
          </cell>
        </row>
        <row r="2068">
          <cell r="B2068" t="str">
            <v>5-6413</v>
          </cell>
          <cell r="C2068" t="str">
            <v>Permanent Worker Salary</v>
          </cell>
          <cell r="D2068">
            <v>0</v>
          </cell>
          <cell r="E2068">
            <v>0</v>
          </cell>
          <cell r="F2068">
            <v>0</v>
          </cell>
          <cell r="G2068">
            <v>0</v>
          </cell>
          <cell r="H2068">
            <v>0</v>
          </cell>
          <cell r="I2068">
            <v>0</v>
          </cell>
          <cell r="J2068">
            <v>0</v>
          </cell>
        </row>
        <row r="2069">
          <cell r="B2069" t="str">
            <v>5-6414</v>
          </cell>
          <cell r="C2069" t="str">
            <v>Temporary Worker Salary</v>
          </cell>
          <cell r="D2069">
            <v>1451800</v>
          </cell>
          <cell r="E2069">
            <v>0</v>
          </cell>
          <cell r="F2069">
            <v>1766800</v>
          </cell>
          <cell r="G2069">
            <v>0</v>
          </cell>
          <cell r="H2069">
            <v>1766800</v>
          </cell>
          <cell r="I2069">
            <v>3218600</v>
          </cell>
          <cell r="J2069">
            <v>0</v>
          </cell>
        </row>
        <row r="2070">
          <cell r="B2070" t="str">
            <v>5-6415</v>
          </cell>
          <cell r="C2070" t="str">
            <v>Honorarium santri Khidmah</v>
          </cell>
          <cell r="D2070">
            <v>0</v>
          </cell>
          <cell r="E2070">
            <v>0</v>
          </cell>
          <cell r="F2070">
            <v>0</v>
          </cell>
          <cell r="G2070">
            <v>0</v>
          </cell>
          <cell r="H2070">
            <v>0</v>
          </cell>
          <cell r="I2070">
            <v>0</v>
          </cell>
          <cell r="J2070">
            <v>0</v>
          </cell>
        </row>
        <row r="2071">
          <cell r="B2071" t="str">
            <v>5-6416</v>
          </cell>
          <cell r="C2071" t="str">
            <v>Staff overtime</v>
          </cell>
          <cell r="D2071">
            <v>0</v>
          </cell>
          <cell r="E2071">
            <v>0</v>
          </cell>
          <cell r="F2071">
            <v>1792687</v>
          </cell>
          <cell r="G2071">
            <v>0</v>
          </cell>
          <cell r="H2071">
            <v>1792687</v>
          </cell>
          <cell r="I2071">
            <v>1792687</v>
          </cell>
          <cell r="J2071">
            <v>0</v>
          </cell>
        </row>
        <row r="2072">
          <cell r="B2072" t="str">
            <v>5-6417</v>
          </cell>
          <cell r="C2072" t="str">
            <v>Joint Salary Allocation</v>
          </cell>
          <cell r="D2072">
            <v>120330</v>
          </cell>
          <cell r="E2072">
            <v>0</v>
          </cell>
          <cell r="F2072">
            <v>120365</v>
          </cell>
          <cell r="G2072">
            <v>0</v>
          </cell>
          <cell r="H2072">
            <v>120365</v>
          </cell>
          <cell r="I2072">
            <v>240695</v>
          </cell>
          <cell r="J2072">
            <v>0</v>
          </cell>
        </row>
        <row r="2073">
          <cell r="B2073" t="str">
            <v>5-6419</v>
          </cell>
          <cell r="C2073" t="str">
            <v>Others Salary</v>
          </cell>
          <cell r="D2073">
            <v>0</v>
          </cell>
          <cell r="E2073">
            <v>0</v>
          </cell>
          <cell r="F2073">
            <v>0</v>
          </cell>
          <cell r="G2073">
            <v>0</v>
          </cell>
          <cell r="H2073">
            <v>0</v>
          </cell>
          <cell r="I2073">
            <v>0</v>
          </cell>
          <cell r="J2073">
            <v>0</v>
          </cell>
        </row>
        <row r="2074">
          <cell r="B2074" t="str">
            <v>5-6420</v>
          </cell>
          <cell r="C2074" t="str">
            <v>PERSONAL - ALLOWANCE OF</v>
          </cell>
          <cell r="D2074">
            <v>0</v>
          </cell>
          <cell r="E2074">
            <v>0</v>
          </cell>
          <cell r="F2074">
            <v>0</v>
          </cell>
          <cell r="G2074">
            <v>0</v>
          </cell>
          <cell r="H2074">
            <v>0</v>
          </cell>
          <cell r="I2074">
            <v>0</v>
          </cell>
          <cell r="J2074">
            <v>0</v>
          </cell>
        </row>
        <row r="2075">
          <cell r="B2075" t="str">
            <v>5-6421</v>
          </cell>
          <cell r="C2075" t="str">
            <v>Allowance of Hulled Rice</v>
          </cell>
          <cell r="D2075">
            <v>1255600</v>
          </cell>
          <cell r="E2075">
            <v>0</v>
          </cell>
          <cell r="F2075">
            <v>1602000</v>
          </cell>
          <cell r="G2075">
            <v>275200</v>
          </cell>
          <cell r="H2075">
            <v>1326800</v>
          </cell>
          <cell r="I2075">
            <v>2582400</v>
          </cell>
          <cell r="J2075">
            <v>0</v>
          </cell>
        </row>
        <row r="2076">
          <cell r="B2076" t="str">
            <v>5-6422</v>
          </cell>
          <cell r="C2076" t="str">
            <v>Alowance of doctor and medicin</v>
          </cell>
          <cell r="D2076">
            <v>640125</v>
          </cell>
          <cell r="E2076">
            <v>0</v>
          </cell>
          <cell r="F2076">
            <v>641813.31999999995</v>
          </cell>
          <cell r="G2076">
            <v>89750</v>
          </cell>
          <cell r="H2076">
            <v>552063.31999999995</v>
          </cell>
          <cell r="I2076">
            <v>1192188.32</v>
          </cell>
          <cell r="J2076">
            <v>0</v>
          </cell>
        </row>
        <row r="2077">
          <cell r="B2077" t="str">
            <v>5-6423</v>
          </cell>
          <cell r="C2077" t="str">
            <v>Alowance of spectacles</v>
          </cell>
          <cell r="D2077">
            <v>0</v>
          </cell>
          <cell r="E2077">
            <v>0</v>
          </cell>
          <cell r="F2077">
            <v>0</v>
          </cell>
          <cell r="G2077">
            <v>0</v>
          </cell>
          <cell r="H2077">
            <v>0</v>
          </cell>
          <cell r="I2077">
            <v>0</v>
          </cell>
          <cell r="J2077">
            <v>0</v>
          </cell>
        </row>
        <row r="2078">
          <cell r="B2078" t="str">
            <v>5-6424</v>
          </cell>
          <cell r="C2078" t="str">
            <v>Allowance of operation&amp;hospita</v>
          </cell>
          <cell r="D2078">
            <v>0</v>
          </cell>
          <cell r="E2078">
            <v>0</v>
          </cell>
          <cell r="F2078">
            <v>0</v>
          </cell>
          <cell r="G2078">
            <v>0</v>
          </cell>
          <cell r="H2078">
            <v>0</v>
          </cell>
          <cell r="I2078">
            <v>0</v>
          </cell>
          <cell r="J2078">
            <v>0</v>
          </cell>
        </row>
        <row r="2079">
          <cell r="B2079" t="str">
            <v>5-6425</v>
          </cell>
          <cell r="C2079" t="str">
            <v>Allowance of disaster &amp; die</v>
          </cell>
          <cell r="D2079">
            <v>0</v>
          </cell>
          <cell r="E2079">
            <v>0</v>
          </cell>
          <cell r="F2079">
            <v>0</v>
          </cell>
          <cell r="G2079">
            <v>0</v>
          </cell>
          <cell r="H2079">
            <v>0</v>
          </cell>
          <cell r="I2079">
            <v>0</v>
          </cell>
          <cell r="J2079">
            <v>0</v>
          </cell>
        </row>
        <row r="2080">
          <cell r="B2080" t="str">
            <v>5-6426</v>
          </cell>
          <cell r="C2080" t="str">
            <v>Allowance of hari raya</v>
          </cell>
          <cell r="D2080">
            <v>29258036</v>
          </cell>
          <cell r="E2080">
            <v>0</v>
          </cell>
          <cell r="F2080">
            <v>0</v>
          </cell>
          <cell r="G2080">
            <v>0</v>
          </cell>
          <cell r="H2080">
            <v>0</v>
          </cell>
          <cell r="I2080">
            <v>29258036</v>
          </cell>
          <cell r="J2080">
            <v>0</v>
          </cell>
        </row>
        <row r="2081">
          <cell r="B2081" t="str">
            <v>5-6427</v>
          </cell>
          <cell r="C2081" t="str">
            <v>Allowance of birth</v>
          </cell>
          <cell r="D2081">
            <v>0</v>
          </cell>
          <cell r="E2081">
            <v>0</v>
          </cell>
          <cell r="F2081">
            <v>0</v>
          </cell>
          <cell r="G2081">
            <v>0</v>
          </cell>
          <cell r="H2081">
            <v>0</v>
          </cell>
          <cell r="I2081">
            <v>0</v>
          </cell>
          <cell r="J2081">
            <v>0</v>
          </cell>
        </row>
        <row r="2082">
          <cell r="B2082" t="str">
            <v>5-6428</v>
          </cell>
          <cell r="C2082" t="str">
            <v>Allowance of married</v>
          </cell>
          <cell r="D2082">
            <v>0</v>
          </cell>
          <cell r="E2082">
            <v>0</v>
          </cell>
          <cell r="F2082">
            <v>0</v>
          </cell>
          <cell r="G2082">
            <v>0</v>
          </cell>
          <cell r="H2082">
            <v>0</v>
          </cell>
          <cell r="I2082">
            <v>0</v>
          </cell>
          <cell r="J2082">
            <v>0</v>
          </cell>
        </row>
        <row r="2083">
          <cell r="B2083" t="str">
            <v>5-6429</v>
          </cell>
          <cell r="C2083" t="str">
            <v>Allowance of house rent&amp;others</v>
          </cell>
          <cell r="D2083">
            <v>0</v>
          </cell>
          <cell r="E2083">
            <v>0</v>
          </cell>
          <cell r="F2083">
            <v>0</v>
          </cell>
          <cell r="G2083">
            <v>0</v>
          </cell>
          <cell r="H2083">
            <v>0</v>
          </cell>
          <cell r="I2083">
            <v>0</v>
          </cell>
          <cell r="J2083">
            <v>0</v>
          </cell>
        </row>
        <row r="2084">
          <cell r="B2084" t="str">
            <v>5-6430</v>
          </cell>
          <cell r="C2084" t="str">
            <v>OFFICE</v>
          </cell>
          <cell r="D2084">
            <v>0</v>
          </cell>
          <cell r="E2084">
            <v>0</v>
          </cell>
          <cell r="F2084">
            <v>0</v>
          </cell>
          <cell r="G2084">
            <v>0</v>
          </cell>
          <cell r="H2084">
            <v>0</v>
          </cell>
          <cell r="I2084">
            <v>0</v>
          </cell>
          <cell r="J2084">
            <v>0</v>
          </cell>
        </row>
        <row r="2085">
          <cell r="B2085" t="str">
            <v>5-6431</v>
          </cell>
          <cell r="C2085" t="str">
            <v>Stationary papers</v>
          </cell>
          <cell r="D2085" t="str">
            <v>0.00cr</v>
          </cell>
          <cell r="E2085">
            <v>0</v>
          </cell>
          <cell r="F2085">
            <v>91765.52</v>
          </cell>
          <cell r="G2085">
            <v>0</v>
          </cell>
          <cell r="H2085">
            <v>91765.52</v>
          </cell>
          <cell r="I2085">
            <v>91765.52</v>
          </cell>
          <cell r="J2085">
            <v>0</v>
          </cell>
        </row>
        <row r="2086">
          <cell r="B2086" t="str">
            <v>5-6432</v>
          </cell>
          <cell r="C2086" t="str">
            <v>Stationary written toolls</v>
          </cell>
          <cell r="D2086" t="str">
            <v>0.00cr</v>
          </cell>
          <cell r="E2086">
            <v>0</v>
          </cell>
          <cell r="F2086">
            <v>331235.39</v>
          </cell>
          <cell r="G2086">
            <v>0</v>
          </cell>
          <cell r="H2086">
            <v>331235.39</v>
          </cell>
          <cell r="I2086">
            <v>331235.39</v>
          </cell>
          <cell r="J2086">
            <v>0</v>
          </cell>
        </row>
        <row r="2087">
          <cell r="B2087" t="str">
            <v>5-6433</v>
          </cell>
          <cell r="C2087" t="str">
            <v>Stationary ink</v>
          </cell>
          <cell r="D2087">
            <v>75000</v>
          </cell>
          <cell r="E2087">
            <v>0</v>
          </cell>
          <cell r="F2087">
            <v>106166.67</v>
          </cell>
          <cell r="G2087">
            <v>0</v>
          </cell>
          <cell r="H2087">
            <v>106166.67</v>
          </cell>
          <cell r="I2087">
            <v>181166.67</v>
          </cell>
          <cell r="J2087">
            <v>0</v>
          </cell>
        </row>
        <row r="2088">
          <cell r="B2088" t="str">
            <v>5-6434</v>
          </cell>
          <cell r="C2088" t="str">
            <v>Stationary Others</v>
          </cell>
          <cell r="D2088">
            <v>0</v>
          </cell>
          <cell r="E2088">
            <v>0</v>
          </cell>
          <cell r="F2088">
            <v>95000</v>
          </cell>
          <cell r="G2088">
            <v>0</v>
          </cell>
          <cell r="H2088">
            <v>95000</v>
          </cell>
          <cell r="I2088">
            <v>95000</v>
          </cell>
          <cell r="J2088">
            <v>0</v>
          </cell>
        </row>
        <row r="2089">
          <cell r="B2089" t="str">
            <v>5-6435</v>
          </cell>
          <cell r="C2089" t="str">
            <v>Consumptions</v>
          </cell>
          <cell r="D2089">
            <v>0</v>
          </cell>
          <cell r="E2089">
            <v>0</v>
          </cell>
          <cell r="F2089">
            <v>490800</v>
          </cell>
          <cell r="G2089">
            <v>0</v>
          </cell>
          <cell r="H2089">
            <v>490800</v>
          </cell>
          <cell r="I2089">
            <v>490800</v>
          </cell>
          <cell r="J2089">
            <v>0</v>
          </cell>
        </row>
        <row r="2090">
          <cell r="B2090" t="str">
            <v>5-6436</v>
          </cell>
          <cell r="C2090" t="str">
            <v>Fotocopy &amp; Printing</v>
          </cell>
          <cell r="D2090">
            <v>0</v>
          </cell>
          <cell r="E2090">
            <v>0</v>
          </cell>
          <cell r="F2090">
            <v>12000</v>
          </cell>
          <cell r="G2090">
            <v>0</v>
          </cell>
          <cell r="H2090">
            <v>12000</v>
          </cell>
          <cell r="I2090">
            <v>12000</v>
          </cell>
          <cell r="J2090">
            <v>0</v>
          </cell>
        </row>
        <row r="2091">
          <cell r="B2091" t="str">
            <v>5-6437</v>
          </cell>
          <cell r="C2091" t="str">
            <v>Office Suplies</v>
          </cell>
          <cell r="D2091">
            <v>0</v>
          </cell>
          <cell r="E2091">
            <v>0</v>
          </cell>
          <cell r="F2091">
            <v>964600</v>
          </cell>
          <cell r="G2091">
            <v>0</v>
          </cell>
          <cell r="H2091">
            <v>964600</v>
          </cell>
          <cell r="I2091">
            <v>964600</v>
          </cell>
          <cell r="J2091">
            <v>0</v>
          </cell>
        </row>
        <row r="2092">
          <cell r="B2092" t="str">
            <v>5-6439</v>
          </cell>
          <cell r="C2092" t="str">
            <v>Others</v>
          </cell>
          <cell r="D2092">
            <v>0</v>
          </cell>
          <cell r="E2092">
            <v>0</v>
          </cell>
          <cell r="F2092">
            <v>0</v>
          </cell>
          <cell r="G2092">
            <v>0</v>
          </cell>
          <cell r="H2092">
            <v>0</v>
          </cell>
          <cell r="I2092">
            <v>0</v>
          </cell>
          <cell r="J2092">
            <v>0</v>
          </cell>
        </row>
        <row r="2093">
          <cell r="B2093" t="str">
            <v>5-6440</v>
          </cell>
          <cell r="C2093" t="str">
            <v>POST &amp; TELECOMUNICATION</v>
          </cell>
          <cell r="D2093">
            <v>0</v>
          </cell>
          <cell r="E2093">
            <v>0</v>
          </cell>
          <cell r="F2093">
            <v>0</v>
          </cell>
          <cell r="G2093">
            <v>0</v>
          </cell>
          <cell r="H2093">
            <v>0</v>
          </cell>
          <cell r="I2093">
            <v>0</v>
          </cell>
          <cell r="J2093">
            <v>0</v>
          </cell>
        </row>
        <row r="2094">
          <cell r="B2094" t="str">
            <v>5-6441</v>
          </cell>
          <cell r="C2094" t="str">
            <v>Telephone</v>
          </cell>
          <cell r="D2094">
            <v>3408878</v>
          </cell>
          <cell r="E2094">
            <v>0</v>
          </cell>
          <cell r="F2094">
            <v>2132462</v>
          </cell>
          <cell r="G2094">
            <v>1121349</v>
          </cell>
          <cell r="H2094">
            <v>1011113</v>
          </cell>
          <cell r="I2094">
            <v>4419991</v>
          </cell>
          <cell r="J2094">
            <v>0</v>
          </cell>
        </row>
        <row r="2095">
          <cell r="B2095" t="str">
            <v>5-6442</v>
          </cell>
          <cell r="C2095" t="str">
            <v>Internet</v>
          </cell>
          <cell r="D2095">
            <v>1758500</v>
          </cell>
          <cell r="E2095">
            <v>0</v>
          </cell>
          <cell r="F2095">
            <v>0</v>
          </cell>
          <cell r="G2095">
            <v>0</v>
          </cell>
          <cell r="H2095">
            <v>0</v>
          </cell>
          <cell r="I2095">
            <v>1758500</v>
          </cell>
          <cell r="J2095">
            <v>0</v>
          </cell>
        </row>
        <row r="2096">
          <cell r="B2096" t="str">
            <v>5-6443</v>
          </cell>
          <cell r="C2096" t="str">
            <v>Seluler</v>
          </cell>
          <cell r="D2096">
            <v>0</v>
          </cell>
          <cell r="E2096">
            <v>0</v>
          </cell>
          <cell r="F2096">
            <v>0</v>
          </cell>
          <cell r="G2096">
            <v>0</v>
          </cell>
          <cell r="H2096">
            <v>0</v>
          </cell>
          <cell r="I2096">
            <v>0</v>
          </cell>
          <cell r="J2096">
            <v>0</v>
          </cell>
        </row>
        <row r="2097">
          <cell r="B2097" t="str">
            <v>5-6444</v>
          </cell>
          <cell r="C2097" t="str">
            <v>Faks</v>
          </cell>
          <cell r="D2097">
            <v>0</v>
          </cell>
          <cell r="E2097">
            <v>0</v>
          </cell>
          <cell r="F2097">
            <v>0</v>
          </cell>
          <cell r="G2097">
            <v>0</v>
          </cell>
          <cell r="H2097">
            <v>0</v>
          </cell>
          <cell r="I2097">
            <v>0</v>
          </cell>
          <cell r="J2097">
            <v>0</v>
          </cell>
        </row>
        <row r="2098">
          <cell r="B2098" t="str">
            <v>5-6445</v>
          </cell>
          <cell r="C2098" t="str">
            <v>Post</v>
          </cell>
          <cell r="D2098">
            <v>0</v>
          </cell>
          <cell r="E2098">
            <v>0</v>
          </cell>
          <cell r="F2098">
            <v>125000</v>
          </cell>
          <cell r="G2098">
            <v>0</v>
          </cell>
          <cell r="H2098">
            <v>125000</v>
          </cell>
          <cell r="I2098">
            <v>125000</v>
          </cell>
          <cell r="J2098">
            <v>0</v>
          </cell>
        </row>
        <row r="2099">
          <cell r="B2099" t="str">
            <v>5-6446</v>
          </cell>
          <cell r="C2099" t="str">
            <v>Shipment</v>
          </cell>
          <cell r="D2099">
            <v>0</v>
          </cell>
          <cell r="E2099">
            <v>0</v>
          </cell>
          <cell r="F2099">
            <v>14000</v>
          </cell>
          <cell r="G2099">
            <v>0</v>
          </cell>
          <cell r="H2099">
            <v>14000</v>
          </cell>
          <cell r="I2099">
            <v>14000</v>
          </cell>
          <cell r="J2099">
            <v>0</v>
          </cell>
        </row>
        <row r="2100">
          <cell r="B2100" t="str">
            <v>5-6450</v>
          </cell>
          <cell r="C2100" t="str">
            <v>TRANPORTATION</v>
          </cell>
          <cell r="D2100">
            <v>0</v>
          </cell>
          <cell r="E2100">
            <v>0</v>
          </cell>
          <cell r="F2100">
            <v>0</v>
          </cell>
          <cell r="G2100">
            <v>0</v>
          </cell>
          <cell r="H2100">
            <v>0</v>
          </cell>
          <cell r="I2100">
            <v>0</v>
          </cell>
          <cell r="J2100">
            <v>0</v>
          </cell>
        </row>
        <row r="2101">
          <cell r="B2101" t="str">
            <v>5-6451</v>
          </cell>
          <cell r="C2101" t="str">
            <v>Fuel</v>
          </cell>
          <cell r="D2101">
            <v>0</v>
          </cell>
          <cell r="E2101">
            <v>0</v>
          </cell>
          <cell r="F2101">
            <v>5466000</v>
          </cell>
          <cell r="G2101">
            <v>0</v>
          </cell>
          <cell r="H2101">
            <v>5466000</v>
          </cell>
          <cell r="I2101">
            <v>5466000</v>
          </cell>
          <cell r="J2101">
            <v>0</v>
          </cell>
        </row>
        <row r="2102">
          <cell r="B2102" t="str">
            <v>5-6452</v>
          </cell>
          <cell r="C2102" t="str">
            <v>Toll &amp; Parking</v>
          </cell>
          <cell r="D2102">
            <v>0</v>
          </cell>
          <cell r="E2102">
            <v>0</v>
          </cell>
          <cell r="F2102">
            <v>710500</v>
          </cell>
          <cell r="G2102">
            <v>0</v>
          </cell>
          <cell r="H2102">
            <v>710500</v>
          </cell>
          <cell r="I2102">
            <v>710500</v>
          </cell>
          <cell r="J2102">
            <v>0</v>
          </cell>
        </row>
        <row r="2103">
          <cell r="B2103" t="str">
            <v>5-6453</v>
          </cell>
          <cell r="C2103" t="str">
            <v>Accomodations</v>
          </cell>
          <cell r="D2103">
            <v>0</v>
          </cell>
          <cell r="E2103">
            <v>0</v>
          </cell>
          <cell r="F2103">
            <v>166500</v>
          </cell>
          <cell r="G2103">
            <v>0</v>
          </cell>
          <cell r="H2103">
            <v>166500</v>
          </cell>
          <cell r="I2103">
            <v>166500</v>
          </cell>
          <cell r="J2103">
            <v>0</v>
          </cell>
        </row>
        <row r="2104">
          <cell r="B2104" t="str">
            <v>5-6454</v>
          </cell>
          <cell r="C2104" t="str">
            <v>Public Transportation</v>
          </cell>
          <cell r="D2104">
            <v>0</v>
          </cell>
          <cell r="E2104">
            <v>0</v>
          </cell>
          <cell r="F2104">
            <v>0</v>
          </cell>
          <cell r="G2104">
            <v>0</v>
          </cell>
          <cell r="H2104">
            <v>0</v>
          </cell>
          <cell r="I2104">
            <v>0</v>
          </cell>
          <cell r="J2104">
            <v>0</v>
          </cell>
        </row>
        <row r="2105">
          <cell r="B2105" t="str">
            <v>5-6455</v>
          </cell>
          <cell r="C2105" t="str">
            <v>Vehicle Rent</v>
          </cell>
          <cell r="D2105">
            <v>0</v>
          </cell>
          <cell r="E2105">
            <v>0</v>
          </cell>
          <cell r="F2105">
            <v>850000</v>
          </cell>
          <cell r="G2105">
            <v>0</v>
          </cell>
          <cell r="H2105">
            <v>850000</v>
          </cell>
          <cell r="I2105">
            <v>850000</v>
          </cell>
          <cell r="J2105">
            <v>0</v>
          </cell>
        </row>
        <row r="2106">
          <cell r="B2106" t="str">
            <v>5-6457</v>
          </cell>
          <cell r="C2106" t="str">
            <v>New Account</v>
          </cell>
          <cell r="D2106">
            <v>0</v>
          </cell>
          <cell r="E2106">
            <v>0</v>
          </cell>
          <cell r="F2106">
            <v>0</v>
          </cell>
          <cell r="G2106">
            <v>0</v>
          </cell>
          <cell r="H2106">
            <v>0</v>
          </cell>
          <cell r="I2106">
            <v>0</v>
          </cell>
          <cell r="J2106">
            <v>0</v>
          </cell>
        </row>
        <row r="2107">
          <cell r="B2107" t="str">
            <v>5-6460</v>
          </cell>
          <cell r="C2107" t="str">
            <v>REPAIR &amp; MAINTENENCE</v>
          </cell>
          <cell r="D2107">
            <v>0</v>
          </cell>
          <cell r="E2107">
            <v>0</v>
          </cell>
          <cell r="F2107">
            <v>0</v>
          </cell>
          <cell r="G2107">
            <v>0</v>
          </cell>
          <cell r="H2107">
            <v>0</v>
          </cell>
          <cell r="I2107">
            <v>0</v>
          </cell>
          <cell r="J2107">
            <v>0</v>
          </cell>
        </row>
        <row r="2108">
          <cell r="B2108" t="str">
            <v>5-6461</v>
          </cell>
          <cell r="C2108" t="str">
            <v>R &amp; M - Computer &amp; audio visua</v>
          </cell>
          <cell r="D2108">
            <v>0</v>
          </cell>
          <cell r="E2108">
            <v>0</v>
          </cell>
          <cell r="F2108">
            <v>0</v>
          </cell>
          <cell r="G2108">
            <v>0</v>
          </cell>
          <cell r="H2108">
            <v>0</v>
          </cell>
          <cell r="I2108">
            <v>0</v>
          </cell>
          <cell r="J2108">
            <v>0</v>
          </cell>
        </row>
        <row r="2109">
          <cell r="B2109" t="str">
            <v>5-6462</v>
          </cell>
          <cell r="C2109" t="str">
            <v>R &amp; M - Telephone &amp; Faxs</v>
          </cell>
          <cell r="D2109">
            <v>0</v>
          </cell>
          <cell r="E2109">
            <v>0</v>
          </cell>
          <cell r="F2109">
            <v>0</v>
          </cell>
          <cell r="G2109">
            <v>0</v>
          </cell>
          <cell r="H2109">
            <v>0</v>
          </cell>
          <cell r="I2109">
            <v>0</v>
          </cell>
          <cell r="J2109">
            <v>0</v>
          </cell>
        </row>
        <row r="2110">
          <cell r="B2110" t="str">
            <v>5-6463</v>
          </cell>
          <cell r="C2110" t="str">
            <v>R &amp; M - Office Eqiupment</v>
          </cell>
          <cell r="D2110">
            <v>0</v>
          </cell>
          <cell r="E2110">
            <v>0</v>
          </cell>
          <cell r="F2110">
            <v>0</v>
          </cell>
          <cell r="G2110">
            <v>0</v>
          </cell>
          <cell r="H2110">
            <v>0</v>
          </cell>
          <cell r="I2110">
            <v>0</v>
          </cell>
          <cell r="J2110">
            <v>0</v>
          </cell>
        </row>
        <row r="2111">
          <cell r="B2111" t="str">
            <v>5-6464</v>
          </cell>
          <cell r="C2111" t="str">
            <v>R &amp; M- Other Eqiupment</v>
          </cell>
          <cell r="D2111">
            <v>0</v>
          </cell>
          <cell r="E2111">
            <v>0</v>
          </cell>
          <cell r="F2111">
            <v>0</v>
          </cell>
          <cell r="G2111">
            <v>0</v>
          </cell>
          <cell r="H2111">
            <v>0</v>
          </cell>
          <cell r="I2111">
            <v>0</v>
          </cell>
          <cell r="J2111">
            <v>0</v>
          </cell>
        </row>
        <row r="2112">
          <cell r="B2112" t="str">
            <v>5-6465</v>
          </cell>
          <cell r="C2112" t="str">
            <v>R &amp; M - Vehicle</v>
          </cell>
          <cell r="D2112">
            <v>0</v>
          </cell>
          <cell r="E2112">
            <v>0</v>
          </cell>
          <cell r="F2112">
            <v>0</v>
          </cell>
          <cell r="G2112">
            <v>0</v>
          </cell>
          <cell r="H2112">
            <v>0</v>
          </cell>
          <cell r="I2112">
            <v>0</v>
          </cell>
          <cell r="J2112">
            <v>0</v>
          </cell>
        </row>
        <row r="2113">
          <cell r="B2113" t="str">
            <v>5-6466</v>
          </cell>
          <cell r="C2113" t="str">
            <v>R &amp; M - Table &amp; Chairs</v>
          </cell>
          <cell r="D2113">
            <v>0</v>
          </cell>
          <cell r="E2113">
            <v>0</v>
          </cell>
          <cell r="F2113">
            <v>0</v>
          </cell>
          <cell r="G2113">
            <v>0</v>
          </cell>
          <cell r="H2113">
            <v>0</v>
          </cell>
          <cell r="I2113">
            <v>0</v>
          </cell>
          <cell r="J2113">
            <v>0</v>
          </cell>
        </row>
        <row r="2114">
          <cell r="B2114" t="str">
            <v>5-6467</v>
          </cell>
          <cell r="C2114" t="str">
            <v>R &amp; M - Cupboard &amp; Rack</v>
          </cell>
          <cell r="D2114">
            <v>0</v>
          </cell>
          <cell r="E2114">
            <v>0</v>
          </cell>
          <cell r="F2114">
            <v>0</v>
          </cell>
          <cell r="G2114">
            <v>0</v>
          </cell>
          <cell r="H2114">
            <v>0</v>
          </cell>
          <cell r="I2114">
            <v>0</v>
          </cell>
          <cell r="J2114">
            <v>0</v>
          </cell>
        </row>
        <row r="2115">
          <cell r="B2115" t="str">
            <v>5-6468</v>
          </cell>
          <cell r="C2115" t="str">
            <v>R &amp; M - Other Furniture</v>
          </cell>
          <cell r="D2115">
            <v>0</v>
          </cell>
          <cell r="E2115">
            <v>0</v>
          </cell>
          <cell r="F2115">
            <v>0</v>
          </cell>
          <cell r="G2115">
            <v>0</v>
          </cell>
          <cell r="H2115">
            <v>0</v>
          </cell>
          <cell r="I2115">
            <v>0</v>
          </cell>
          <cell r="J2115">
            <v>0</v>
          </cell>
        </row>
        <row r="2116">
          <cell r="B2116" t="str">
            <v>5-6469</v>
          </cell>
          <cell r="C2116" t="str">
            <v>R &amp; M - Other</v>
          </cell>
          <cell r="D2116">
            <v>0</v>
          </cell>
          <cell r="E2116">
            <v>0</v>
          </cell>
          <cell r="F2116">
            <v>0</v>
          </cell>
          <cell r="G2116">
            <v>0</v>
          </cell>
          <cell r="H2116">
            <v>0</v>
          </cell>
          <cell r="I2116">
            <v>0</v>
          </cell>
          <cell r="J2116">
            <v>0</v>
          </cell>
        </row>
        <row r="2117">
          <cell r="B2117" t="str">
            <v>5-6490</v>
          </cell>
          <cell r="C2117" t="str">
            <v>LAIN-LAIN</v>
          </cell>
          <cell r="D2117">
            <v>0</v>
          </cell>
          <cell r="E2117">
            <v>0</v>
          </cell>
          <cell r="F2117">
            <v>0</v>
          </cell>
          <cell r="G2117">
            <v>0</v>
          </cell>
          <cell r="H2117">
            <v>0</v>
          </cell>
          <cell r="I2117">
            <v>0</v>
          </cell>
          <cell r="J2117">
            <v>0</v>
          </cell>
        </row>
        <row r="2118">
          <cell r="B2118" t="str">
            <v>5-6491</v>
          </cell>
          <cell r="C2118" t="str">
            <v>Facilities Rent</v>
          </cell>
          <cell r="D2118">
            <v>0</v>
          </cell>
          <cell r="E2118">
            <v>0</v>
          </cell>
          <cell r="F2118">
            <v>0</v>
          </cell>
          <cell r="G2118">
            <v>0</v>
          </cell>
          <cell r="H2118">
            <v>0</v>
          </cell>
          <cell r="I2118">
            <v>0</v>
          </cell>
          <cell r="J2118">
            <v>0</v>
          </cell>
        </row>
        <row r="2119">
          <cell r="B2119" t="str">
            <v>5-6492</v>
          </cell>
          <cell r="C2119" t="str">
            <v>Permission</v>
          </cell>
          <cell r="D2119">
            <v>0</v>
          </cell>
          <cell r="E2119">
            <v>0</v>
          </cell>
          <cell r="F2119">
            <v>1000000</v>
          </cell>
          <cell r="G2119">
            <v>0</v>
          </cell>
          <cell r="H2119">
            <v>1000000</v>
          </cell>
          <cell r="I2119">
            <v>1000000</v>
          </cell>
          <cell r="J2119">
            <v>0</v>
          </cell>
        </row>
        <row r="2120">
          <cell r="B2120" t="str">
            <v>5-6493</v>
          </cell>
          <cell r="C2120" t="str">
            <v>Notary Public</v>
          </cell>
          <cell r="D2120">
            <v>0</v>
          </cell>
          <cell r="E2120">
            <v>0</v>
          </cell>
          <cell r="F2120">
            <v>0</v>
          </cell>
          <cell r="G2120">
            <v>0</v>
          </cell>
          <cell r="H2120">
            <v>0</v>
          </cell>
          <cell r="I2120">
            <v>0</v>
          </cell>
          <cell r="J2120">
            <v>0</v>
          </cell>
        </row>
        <row r="2121">
          <cell r="B2121" t="str">
            <v>5-6494</v>
          </cell>
          <cell r="C2121" t="str">
            <v>Employee Uniform</v>
          </cell>
          <cell r="D2121">
            <v>0</v>
          </cell>
          <cell r="E2121">
            <v>0</v>
          </cell>
          <cell r="F2121">
            <v>30690000</v>
          </cell>
          <cell r="G2121">
            <v>0</v>
          </cell>
          <cell r="H2121">
            <v>30690000</v>
          </cell>
          <cell r="I2121">
            <v>30690000</v>
          </cell>
          <cell r="J2121">
            <v>0</v>
          </cell>
        </row>
        <row r="2122">
          <cell r="B2122" t="str">
            <v>5-6510</v>
          </cell>
          <cell r="C2122" t="str">
            <v>PERSONAL - GAJI</v>
          </cell>
          <cell r="D2122">
            <v>0</v>
          </cell>
          <cell r="E2122">
            <v>0</v>
          </cell>
          <cell r="F2122">
            <v>0</v>
          </cell>
          <cell r="G2122">
            <v>0</v>
          </cell>
          <cell r="H2122">
            <v>0</v>
          </cell>
          <cell r="I2122">
            <v>0</v>
          </cell>
          <cell r="J2122">
            <v>0</v>
          </cell>
        </row>
        <row r="2123">
          <cell r="B2123" t="str">
            <v>5-6511</v>
          </cell>
          <cell r="C2123" t="str">
            <v>Permanent Staff Salary</v>
          </cell>
          <cell r="D2123">
            <v>7326079</v>
          </cell>
          <cell r="E2123">
            <v>0</v>
          </cell>
          <cell r="F2123">
            <v>8836224</v>
          </cell>
          <cell r="G2123">
            <v>286745</v>
          </cell>
          <cell r="H2123">
            <v>8549479</v>
          </cell>
          <cell r="I2123">
            <v>15875558</v>
          </cell>
          <cell r="J2123">
            <v>0</v>
          </cell>
        </row>
        <row r="2124">
          <cell r="B2124" t="str">
            <v>5-6512</v>
          </cell>
          <cell r="C2124" t="str">
            <v>Temporary Staff Salary</v>
          </cell>
          <cell r="D2124">
            <v>0</v>
          </cell>
          <cell r="E2124">
            <v>0</v>
          </cell>
          <cell r="F2124">
            <v>0</v>
          </cell>
          <cell r="G2124">
            <v>0</v>
          </cell>
          <cell r="H2124">
            <v>0</v>
          </cell>
          <cell r="I2124">
            <v>0</v>
          </cell>
          <cell r="J2124">
            <v>0</v>
          </cell>
        </row>
        <row r="2125">
          <cell r="B2125" t="str">
            <v>5-6513</v>
          </cell>
          <cell r="C2125" t="str">
            <v>Honorarium santri Khidmah</v>
          </cell>
          <cell r="D2125">
            <v>0</v>
          </cell>
          <cell r="E2125">
            <v>0</v>
          </cell>
          <cell r="F2125">
            <v>0</v>
          </cell>
          <cell r="G2125">
            <v>0</v>
          </cell>
          <cell r="H2125">
            <v>0</v>
          </cell>
          <cell r="I2125">
            <v>0</v>
          </cell>
          <cell r="J2125">
            <v>0</v>
          </cell>
        </row>
        <row r="2126">
          <cell r="B2126" t="str">
            <v>5-6514</v>
          </cell>
          <cell r="C2126" t="str">
            <v>Staff overtime</v>
          </cell>
          <cell r="D2126">
            <v>0</v>
          </cell>
          <cell r="E2126">
            <v>0</v>
          </cell>
          <cell r="F2126">
            <v>286745</v>
          </cell>
          <cell r="G2126">
            <v>0</v>
          </cell>
          <cell r="H2126">
            <v>286745</v>
          </cell>
          <cell r="I2126">
            <v>286745</v>
          </cell>
          <cell r="J2126">
            <v>0</v>
          </cell>
        </row>
        <row r="2127">
          <cell r="B2127" t="str">
            <v>5-6515</v>
          </cell>
          <cell r="C2127" t="str">
            <v>Joint Salary Allocation</v>
          </cell>
          <cell r="D2127">
            <v>0</v>
          </cell>
          <cell r="E2127">
            <v>0</v>
          </cell>
          <cell r="F2127">
            <v>0</v>
          </cell>
          <cell r="G2127">
            <v>0</v>
          </cell>
          <cell r="H2127">
            <v>0</v>
          </cell>
          <cell r="I2127">
            <v>0</v>
          </cell>
          <cell r="J2127">
            <v>0</v>
          </cell>
        </row>
        <row r="2128">
          <cell r="B2128" t="str">
            <v>5-6519</v>
          </cell>
          <cell r="C2128" t="str">
            <v>Others Salary</v>
          </cell>
          <cell r="D2128">
            <v>0</v>
          </cell>
          <cell r="E2128">
            <v>0</v>
          </cell>
          <cell r="F2128">
            <v>0</v>
          </cell>
          <cell r="G2128">
            <v>0</v>
          </cell>
          <cell r="H2128">
            <v>0</v>
          </cell>
          <cell r="I2128">
            <v>0</v>
          </cell>
          <cell r="J2128">
            <v>0</v>
          </cell>
        </row>
        <row r="2129">
          <cell r="B2129" t="str">
            <v>5-6520</v>
          </cell>
          <cell r="C2129" t="str">
            <v>PERSONAL - ALLOWANCE OF</v>
          </cell>
          <cell r="D2129">
            <v>0</v>
          </cell>
          <cell r="E2129">
            <v>0</v>
          </cell>
          <cell r="F2129">
            <v>0</v>
          </cell>
          <cell r="G2129">
            <v>0</v>
          </cell>
          <cell r="H2129">
            <v>0</v>
          </cell>
          <cell r="I2129">
            <v>0</v>
          </cell>
          <cell r="J2129">
            <v>0</v>
          </cell>
        </row>
        <row r="2130">
          <cell r="B2130" t="str">
            <v>5-6521</v>
          </cell>
          <cell r="C2130" t="str">
            <v>Allowance of Hulled Rice</v>
          </cell>
          <cell r="D2130">
            <v>404200</v>
          </cell>
          <cell r="E2130">
            <v>0</v>
          </cell>
          <cell r="F2130">
            <v>423000</v>
          </cell>
          <cell r="G2130">
            <v>0</v>
          </cell>
          <cell r="H2130">
            <v>423000</v>
          </cell>
          <cell r="I2130">
            <v>827200</v>
          </cell>
          <cell r="J2130">
            <v>0</v>
          </cell>
        </row>
        <row r="2131">
          <cell r="B2131" t="str">
            <v>5-6522</v>
          </cell>
          <cell r="C2131" t="str">
            <v>Alowance of doctor and medicin</v>
          </cell>
          <cell r="D2131">
            <v>0</v>
          </cell>
          <cell r="E2131">
            <v>0</v>
          </cell>
          <cell r="F2131">
            <v>3500</v>
          </cell>
          <cell r="G2131">
            <v>0</v>
          </cell>
          <cell r="H2131">
            <v>3500</v>
          </cell>
          <cell r="I2131">
            <v>3500</v>
          </cell>
          <cell r="J2131">
            <v>0</v>
          </cell>
        </row>
        <row r="2132">
          <cell r="B2132" t="str">
            <v>5-6523</v>
          </cell>
          <cell r="C2132" t="str">
            <v>Alowance of spectacles</v>
          </cell>
          <cell r="D2132">
            <v>0</v>
          </cell>
          <cell r="E2132">
            <v>0</v>
          </cell>
          <cell r="F2132">
            <v>0</v>
          </cell>
          <cell r="G2132">
            <v>0</v>
          </cell>
          <cell r="H2132">
            <v>0</v>
          </cell>
          <cell r="I2132">
            <v>0</v>
          </cell>
          <cell r="J2132">
            <v>0</v>
          </cell>
        </row>
        <row r="2133">
          <cell r="B2133" t="str">
            <v>5-6524</v>
          </cell>
          <cell r="C2133" t="str">
            <v>Allowance of operation&amp;hospita</v>
          </cell>
          <cell r="D2133">
            <v>0</v>
          </cell>
          <cell r="E2133">
            <v>0</v>
          </cell>
          <cell r="F2133">
            <v>0</v>
          </cell>
          <cell r="G2133">
            <v>0</v>
          </cell>
          <cell r="H2133">
            <v>0</v>
          </cell>
          <cell r="I2133">
            <v>0</v>
          </cell>
          <cell r="J2133">
            <v>0</v>
          </cell>
        </row>
        <row r="2134">
          <cell r="B2134" t="str">
            <v>5-6525</v>
          </cell>
          <cell r="C2134" t="str">
            <v>Allowance of disaster &amp; die</v>
          </cell>
          <cell r="D2134">
            <v>0</v>
          </cell>
          <cell r="E2134">
            <v>0</v>
          </cell>
          <cell r="F2134">
            <v>0</v>
          </cell>
          <cell r="G2134">
            <v>0</v>
          </cell>
          <cell r="H2134">
            <v>0</v>
          </cell>
          <cell r="I2134">
            <v>0</v>
          </cell>
          <cell r="J2134">
            <v>0</v>
          </cell>
        </row>
        <row r="2135">
          <cell r="B2135" t="str">
            <v>5-6526</v>
          </cell>
          <cell r="C2135" t="str">
            <v>Allowance of hari raya</v>
          </cell>
          <cell r="D2135">
            <v>7074583</v>
          </cell>
          <cell r="E2135">
            <v>0</v>
          </cell>
          <cell r="F2135">
            <v>0</v>
          </cell>
          <cell r="G2135">
            <v>0</v>
          </cell>
          <cell r="H2135">
            <v>0</v>
          </cell>
          <cell r="I2135">
            <v>7074583</v>
          </cell>
          <cell r="J2135">
            <v>0</v>
          </cell>
        </row>
        <row r="2136">
          <cell r="B2136" t="str">
            <v>5-6527</v>
          </cell>
          <cell r="C2136" t="str">
            <v>Allowance of birth</v>
          </cell>
          <cell r="D2136">
            <v>0</v>
          </cell>
          <cell r="E2136">
            <v>0</v>
          </cell>
          <cell r="F2136">
            <v>0</v>
          </cell>
          <cell r="G2136">
            <v>0</v>
          </cell>
          <cell r="H2136">
            <v>0</v>
          </cell>
          <cell r="I2136">
            <v>0</v>
          </cell>
          <cell r="J2136">
            <v>0</v>
          </cell>
        </row>
        <row r="2137">
          <cell r="B2137" t="str">
            <v>5-6528</v>
          </cell>
          <cell r="C2137" t="str">
            <v>Allowance of married</v>
          </cell>
          <cell r="D2137">
            <v>0</v>
          </cell>
          <cell r="E2137">
            <v>0</v>
          </cell>
          <cell r="F2137">
            <v>0</v>
          </cell>
          <cell r="G2137">
            <v>0</v>
          </cell>
          <cell r="H2137">
            <v>0</v>
          </cell>
          <cell r="I2137">
            <v>0</v>
          </cell>
          <cell r="J2137">
            <v>0</v>
          </cell>
        </row>
        <row r="2138">
          <cell r="B2138" t="str">
            <v>5-6529</v>
          </cell>
          <cell r="C2138" t="str">
            <v>Allowance of house rent&amp;others</v>
          </cell>
          <cell r="D2138">
            <v>0</v>
          </cell>
          <cell r="E2138">
            <v>0</v>
          </cell>
          <cell r="F2138">
            <v>0</v>
          </cell>
          <cell r="G2138">
            <v>0</v>
          </cell>
          <cell r="H2138">
            <v>0</v>
          </cell>
          <cell r="I2138">
            <v>0</v>
          </cell>
          <cell r="J2138">
            <v>0</v>
          </cell>
        </row>
        <row r="2139">
          <cell r="B2139" t="str">
            <v>5-6530</v>
          </cell>
          <cell r="C2139" t="str">
            <v>OFFICE</v>
          </cell>
          <cell r="D2139">
            <v>0</v>
          </cell>
          <cell r="E2139">
            <v>0</v>
          </cell>
          <cell r="F2139">
            <v>0</v>
          </cell>
          <cell r="G2139">
            <v>0</v>
          </cell>
          <cell r="H2139">
            <v>0</v>
          </cell>
          <cell r="I2139">
            <v>0</v>
          </cell>
          <cell r="J2139">
            <v>0</v>
          </cell>
        </row>
        <row r="2140">
          <cell r="B2140" t="str">
            <v>5-6531</v>
          </cell>
          <cell r="C2140" t="str">
            <v>Stationary papers</v>
          </cell>
          <cell r="D2140">
            <v>0</v>
          </cell>
          <cell r="E2140">
            <v>0</v>
          </cell>
          <cell r="F2140">
            <v>0</v>
          </cell>
          <cell r="G2140">
            <v>0</v>
          </cell>
          <cell r="H2140">
            <v>0</v>
          </cell>
          <cell r="I2140">
            <v>0</v>
          </cell>
          <cell r="J2140">
            <v>0</v>
          </cell>
        </row>
        <row r="2141">
          <cell r="B2141" t="str">
            <v>5-6532</v>
          </cell>
          <cell r="C2141" t="str">
            <v>Stationary written toolls</v>
          </cell>
          <cell r="D2141">
            <v>0</v>
          </cell>
          <cell r="E2141">
            <v>0</v>
          </cell>
          <cell r="F2141">
            <v>0</v>
          </cell>
          <cell r="G2141">
            <v>0</v>
          </cell>
          <cell r="H2141">
            <v>0</v>
          </cell>
          <cell r="I2141">
            <v>0</v>
          </cell>
          <cell r="J2141">
            <v>0</v>
          </cell>
        </row>
        <row r="2142">
          <cell r="B2142" t="str">
            <v>5-6533</v>
          </cell>
          <cell r="C2142" t="str">
            <v>Stationary ink</v>
          </cell>
          <cell r="D2142">
            <v>0</v>
          </cell>
          <cell r="E2142">
            <v>0</v>
          </cell>
          <cell r="F2142">
            <v>75000</v>
          </cell>
          <cell r="G2142">
            <v>0</v>
          </cell>
          <cell r="H2142">
            <v>75000</v>
          </cell>
          <cell r="I2142">
            <v>75000</v>
          </cell>
          <cell r="J2142">
            <v>0</v>
          </cell>
        </row>
        <row r="2143">
          <cell r="B2143" t="str">
            <v>5-6534</v>
          </cell>
          <cell r="C2143" t="str">
            <v>Stationary Others</v>
          </cell>
          <cell r="D2143">
            <v>0</v>
          </cell>
          <cell r="E2143">
            <v>0</v>
          </cell>
          <cell r="F2143">
            <v>0</v>
          </cell>
          <cell r="G2143">
            <v>0</v>
          </cell>
          <cell r="H2143">
            <v>0</v>
          </cell>
          <cell r="I2143">
            <v>0</v>
          </cell>
          <cell r="J2143">
            <v>0</v>
          </cell>
        </row>
        <row r="2144">
          <cell r="B2144" t="str">
            <v>5-6535</v>
          </cell>
          <cell r="C2144" t="str">
            <v>Consumptions</v>
          </cell>
          <cell r="D2144">
            <v>0</v>
          </cell>
          <cell r="E2144">
            <v>0</v>
          </cell>
          <cell r="F2144">
            <v>0</v>
          </cell>
          <cell r="G2144">
            <v>0</v>
          </cell>
          <cell r="H2144">
            <v>0</v>
          </cell>
          <cell r="I2144">
            <v>0</v>
          </cell>
          <cell r="J2144">
            <v>0</v>
          </cell>
        </row>
        <row r="2145">
          <cell r="B2145" t="str">
            <v>5-6536</v>
          </cell>
          <cell r="C2145" t="str">
            <v>Fotocopy &amp; Printing</v>
          </cell>
          <cell r="D2145">
            <v>0</v>
          </cell>
          <cell r="E2145">
            <v>0</v>
          </cell>
          <cell r="F2145">
            <v>0</v>
          </cell>
          <cell r="G2145">
            <v>0</v>
          </cell>
          <cell r="H2145">
            <v>0</v>
          </cell>
          <cell r="I2145">
            <v>0</v>
          </cell>
          <cell r="J2145">
            <v>0</v>
          </cell>
        </row>
        <row r="2146">
          <cell r="B2146" t="str">
            <v>5-6537</v>
          </cell>
          <cell r="C2146" t="str">
            <v>Office Suplies</v>
          </cell>
          <cell r="D2146">
            <v>0</v>
          </cell>
          <cell r="E2146">
            <v>0</v>
          </cell>
          <cell r="F2146">
            <v>3573000</v>
          </cell>
          <cell r="G2146">
            <v>0</v>
          </cell>
          <cell r="H2146">
            <v>3573000</v>
          </cell>
          <cell r="I2146">
            <v>3573000</v>
          </cell>
          <cell r="J2146">
            <v>0</v>
          </cell>
        </row>
        <row r="2147">
          <cell r="B2147" t="str">
            <v>5-6539</v>
          </cell>
          <cell r="C2147" t="str">
            <v>Others</v>
          </cell>
          <cell r="D2147">
            <v>0</v>
          </cell>
          <cell r="E2147">
            <v>0</v>
          </cell>
          <cell r="F2147">
            <v>0</v>
          </cell>
          <cell r="G2147">
            <v>0</v>
          </cell>
          <cell r="H2147">
            <v>0</v>
          </cell>
          <cell r="I2147">
            <v>0</v>
          </cell>
          <cell r="J2147">
            <v>0</v>
          </cell>
        </row>
        <row r="2148">
          <cell r="B2148" t="str">
            <v>5-6540</v>
          </cell>
          <cell r="C2148" t="str">
            <v>TRANSPORTATION &amp; TELECOMUNICAT</v>
          </cell>
          <cell r="D2148">
            <v>0</v>
          </cell>
          <cell r="E2148">
            <v>0</v>
          </cell>
          <cell r="F2148">
            <v>0</v>
          </cell>
          <cell r="G2148">
            <v>0</v>
          </cell>
          <cell r="H2148">
            <v>0</v>
          </cell>
          <cell r="I2148">
            <v>0</v>
          </cell>
          <cell r="J2148">
            <v>0</v>
          </cell>
        </row>
        <row r="2149">
          <cell r="B2149" t="str">
            <v>5-6541</v>
          </cell>
          <cell r="C2149" t="str">
            <v>Mail &amp; Shipment</v>
          </cell>
          <cell r="D2149">
            <v>0</v>
          </cell>
          <cell r="E2149">
            <v>0</v>
          </cell>
          <cell r="F2149">
            <v>0</v>
          </cell>
          <cell r="G2149">
            <v>0</v>
          </cell>
          <cell r="H2149">
            <v>0</v>
          </cell>
          <cell r="I2149">
            <v>0</v>
          </cell>
          <cell r="J2149">
            <v>0</v>
          </cell>
        </row>
        <row r="2150">
          <cell r="B2150" t="str">
            <v>5-6542</v>
          </cell>
          <cell r="C2150" t="str">
            <v>Telephone</v>
          </cell>
          <cell r="D2150">
            <v>0</v>
          </cell>
          <cell r="E2150">
            <v>0</v>
          </cell>
          <cell r="F2150">
            <v>0</v>
          </cell>
          <cell r="G2150">
            <v>0</v>
          </cell>
          <cell r="H2150">
            <v>0</v>
          </cell>
          <cell r="I2150">
            <v>0</v>
          </cell>
          <cell r="J2150">
            <v>0</v>
          </cell>
        </row>
        <row r="2151">
          <cell r="B2151" t="str">
            <v>5-6543</v>
          </cell>
          <cell r="C2151" t="str">
            <v>Fuel</v>
          </cell>
          <cell r="D2151">
            <v>0</v>
          </cell>
          <cell r="E2151">
            <v>0</v>
          </cell>
          <cell r="F2151">
            <v>15000</v>
          </cell>
          <cell r="G2151">
            <v>0</v>
          </cell>
          <cell r="H2151">
            <v>15000</v>
          </cell>
          <cell r="I2151">
            <v>15000</v>
          </cell>
          <cell r="J2151">
            <v>0</v>
          </cell>
        </row>
        <row r="2152">
          <cell r="B2152" t="str">
            <v>5-6544</v>
          </cell>
          <cell r="C2152" t="str">
            <v>Toll &amp; Parking</v>
          </cell>
          <cell r="D2152">
            <v>0</v>
          </cell>
          <cell r="E2152">
            <v>0</v>
          </cell>
          <cell r="F2152">
            <v>55000</v>
          </cell>
          <cell r="G2152">
            <v>0</v>
          </cell>
          <cell r="H2152">
            <v>55000</v>
          </cell>
          <cell r="I2152">
            <v>55000</v>
          </cell>
          <cell r="J2152">
            <v>0</v>
          </cell>
        </row>
        <row r="2153">
          <cell r="B2153" t="str">
            <v>5-6545</v>
          </cell>
          <cell r="C2153" t="str">
            <v>Accommodations</v>
          </cell>
          <cell r="D2153">
            <v>0</v>
          </cell>
          <cell r="E2153">
            <v>0</v>
          </cell>
          <cell r="F2153">
            <v>30000</v>
          </cell>
          <cell r="G2153">
            <v>0</v>
          </cell>
          <cell r="H2153">
            <v>30000</v>
          </cell>
          <cell r="I2153">
            <v>30000</v>
          </cell>
          <cell r="J2153">
            <v>0</v>
          </cell>
        </row>
        <row r="2154">
          <cell r="B2154" t="str">
            <v>5-6546</v>
          </cell>
          <cell r="C2154" t="str">
            <v>Public Tranportation</v>
          </cell>
          <cell r="D2154">
            <v>0</v>
          </cell>
          <cell r="E2154">
            <v>0</v>
          </cell>
          <cell r="F2154">
            <v>18000</v>
          </cell>
          <cell r="G2154">
            <v>0</v>
          </cell>
          <cell r="H2154">
            <v>18000</v>
          </cell>
          <cell r="I2154">
            <v>18000</v>
          </cell>
          <cell r="J2154">
            <v>0</v>
          </cell>
        </row>
        <row r="2155">
          <cell r="B2155" t="str">
            <v>5-6547</v>
          </cell>
          <cell r="C2155" t="str">
            <v>Joint Transportation Allocatio</v>
          </cell>
          <cell r="D2155">
            <v>0</v>
          </cell>
          <cell r="E2155">
            <v>0</v>
          </cell>
          <cell r="F2155">
            <v>0</v>
          </cell>
          <cell r="G2155">
            <v>0</v>
          </cell>
          <cell r="H2155">
            <v>0</v>
          </cell>
          <cell r="I2155">
            <v>0</v>
          </cell>
          <cell r="J2155">
            <v>0</v>
          </cell>
        </row>
        <row r="2156">
          <cell r="B2156" t="str">
            <v>5-6549</v>
          </cell>
          <cell r="C2156" t="str">
            <v>Others</v>
          </cell>
          <cell r="D2156">
            <v>0</v>
          </cell>
          <cell r="E2156">
            <v>0</v>
          </cell>
          <cell r="F2156">
            <v>0</v>
          </cell>
          <cell r="G2156">
            <v>0</v>
          </cell>
          <cell r="H2156">
            <v>0</v>
          </cell>
          <cell r="I2156">
            <v>0</v>
          </cell>
          <cell r="J2156">
            <v>0</v>
          </cell>
        </row>
        <row r="2157">
          <cell r="B2157" t="str">
            <v>5-6550</v>
          </cell>
          <cell r="C2157" t="str">
            <v>REPAIR &amp; MAINTENENCE</v>
          </cell>
          <cell r="D2157">
            <v>0</v>
          </cell>
          <cell r="E2157">
            <v>0</v>
          </cell>
          <cell r="F2157">
            <v>0</v>
          </cell>
          <cell r="G2157">
            <v>0</v>
          </cell>
          <cell r="H2157">
            <v>0</v>
          </cell>
          <cell r="I2157">
            <v>0</v>
          </cell>
          <cell r="J2157">
            <v>0</v>
          </cell>
        </row>
        <row r="2158">
          <cell r="B2158" t="str">
            <v>5-6551</v>
          </cell>
          <cell r="C2158" t="str">
            <v>R &amp; M - Computer &amp; audio visua</v>
          </cell>
          <cell r="D2158">
            <v>0</v>
          </cell>
          <cell r="E2158">
            <v>0</v>
          </cell>
          <cell r="F2158">
            <v>0</v>
          </cell>
          <cell r="G2158">
            <v>0</v>
          </cell>
          <cell r="H2158">
            <v>0</v>
          </cell>
          <cell r="I2158">
            <v>0</v>
          </cell>
          <cell r="J2158">
            <v>0</v>
          </cell>
        </row>
        <row r="2159">
          <cell r="B2159" t="str">
            <v>5-6552</v>
          </cell>
          <cell r="C2159" t="str">
            <v>R &amp; M - Telephone &amp; Faxs</v>
          </cell>
          <cell r="D2159">
            <v>0</v>
          </cell>
          <cell r="E2159">
            <v>0</v>
          </cell>
          <cell r="F2159">
            <v>0</v>
          </cell>
          <cell r="G2159">
            <v>0</v>
          </cell>
          <cell r="H2159">
            <v>0</v>
          </cell>
          <cell r="I2159">
            <v>0</v>
          </cell>
          <cell r="J2159">
            <v>0</v>
          </cell>
        </row>
        <row r="2160">
          <cell r="B2160" t="str">
            <v>5-6553</v>
          </cell>
          <cell r="C2160" t="str">
            <v>R &amp; M - Office Eqiupment</v>
          </cell>
          <cell r="D2160">
            <v>0</v>
          </cell>
          <cell r="E2160">
            <v>0</v>
          </cell>
          <cell r="F2160">
            <v>0</v>
          </cell>
          <cell r="G2160">
            <v>0</v>
          </cell>
          <cell r="H2160">
            <v>0</v>
          </cell>
          <cell r="I2160">
            <v>0</v>
          </cell>
          <cell r="J2160">
            <v>0</v>
          </cell>
        </row>
        <row r="2161">
          <cell r="B2161" t="str">
            <v>5-6554</v>
          </cell>
          <cell r="C2161" t="str">
            <v>R &amp; M - IT Eqiupment</v>
          </cell>
          <cell r="D2161">
            <v>0</v>
          </cell>
          <cell r="E2161">
            <v>0</v>
          </cell>
          <cell r="F2161">
            <v>0</v>
          </cell>
          <cell r="G2161">
            <v>0</v>
          </cell>
          <cell r="H2161">
            <v>0</v>
          </cell>
          <cell r="I2161">
            <v>0</v>
          </cell>
          <cell r="J2161">
            <v>0</v>
          </cell>
        </row>
        <row r="2162">
          <cell r="B2162" t="str">
            <v>5-6555</v>
          </cell>
          <cell r="C2162" t="str">
            <v>R &amp; M - Other Eqiupment</v>
          </cell>
          <cell r="D2162">
            <v>0</v>
          </cell>
          <cell r="E2162">
            <v>0</v>
          </cell>
          <cell r="F2162">
            <v>0</v>
          </cell>
          <cell r="G2162">
            <v>0</v>
          </cell>
          <cell r="H2162">
            <v>0</v>
          </cell>
          <cell r="I2162">
            <v>0</v>
          </cell>
          <cell r="J2162">
            <v>0</v>
          </cell>
        </row>
        <row r="2163">
          <cell r="B2163" t="str">
            <v>5-6556</v>
          </cell>
          <cell r="C2163" t="str">
            <v>R &amp; M - Table &amp; Chairs</v>
          </cell>
          <cell r="D2163">
            <v>0</v>
          </cell>
          <cell r="E2163">
            <v>0</v>
          </cell>
          <cell r="F2163">
            <v>0</v>
          </cell>
          <cell r="G2163">
            <v>0</v>
          </cell>
          <cell r="H2163">
            <v>0</v>
          </cell>
          <cell r="I2163">
            <v>0</v>
          </cell>
          <cell r="J2163">
            <v>0</v>
          </cell>
        </row>
        <row r="2164">
          <cell r="B2164" t="str">
            <v>5-6557</v>
          </cell>
          <cell r="C2164" t="str">
            <v>R &amp; M - Cupboard &amp; Rack</v>
          </cell>
          <cell r="D2164">
            <v>0</v>
          </cell>
          <cell r="E2164">
            <v>0</v>
          </cell>
          <cell r="F2164">
            <v>0</v>
          </cell>
          <cell r="G2164">
            <v>0</v>
          </cell>
          <cell r="H2164">
            <v>0</v>
          </cell>
          <cell r="I2164">
            <v>0</v>
          </cell>
          <cell r="J2164">
            <v>0</v>
          </cell>
        </row>
        <row r="2165">
          <cell r="B2165" t="str">
            <v>5-6558</v>
          </cell>
          <cell r="C2165" t="str">
            <v>R &amp; M - Other Furniture</v>
          </cell>
          <cell r="D2165">
            <v>0</v>
          </cell>
          <cell r="E2165">
            <v>0</v>
          </cell>
          <cell r="F2165">
            <v>0</v>
          </cell>
          <cell r="G2165">
            <v>0</v>
          </cell>
          <cell r="H2165">
            <v>0</v>
          </cell>
          <cell r="I2165">
            <v>0</v>
          </cell>
          <cell r="J2165">
            <v>0</v>
          </cell>
        </row>
        <row r="2166">
          <cell r="B2166" t="str">
            <v>5-6559</v>
          </cell>
          <cell r="C2166" t="str">
            <v>R &amp; M - Other</v>
          </cell>
          <cell r="D2166">
            <v>0</v>
          </cell>
          <cell r="E2166">
            <v>0</v>
          </cell>
          <cell r="F2166">
            <v>0</v>
          </cell>
          <cell r="G2166">
            <v>0</v>
          </cell>
          <cell r="H2166">
            <v>0</v>
          </cell>
          <cell r="I2166">
            <v>0</v>
          </cell>
          <cell r="J2166">
            <v>0</v>
          </cell>
        </row>
        <row r="2167">
          <cell r="B2167" t="str">
            <v>5-6590</v>
          </cell>
          <cell r="C2167" t="str">
            <v>LAIN-LAIN</v>
          </cell>
          <cell r="D2167">
            <v>0</v>
          </cell>
          <cell r="E2167">
            <v>0</v>
          </cell>
          <cell r="F2167">
            <v>0</v>
          </cell>
          <cell r="G2167">
            <v>0</v>
          </cell>
          <cell r="H2167">
            <v>0</v>
          </cell>
          <cell r="I2167">
            <v>0</v>
          </cell>
          <cell r="J2167">
            <v>0</v>
          </cell>
        </row>
        <row r="2168">
          <cell r="B2168" t="str">
            <v>5-6591</v>
          </cell>
          <cell r="C2168" t="str">
            <v>Training &amp; Workshop</v>
          </cell>
          <cell r="D2168">
            <v>0</v>
          </cell>
          <cell r="E2168">
            <v>0</v>
          </cell>
          <cell r="F2168">
            <v>0</v>
          </cell>
          <cell r="G2168">
            <v>0</v>
          </cell>
          <cell r="H2168">
            <v>0</v>
          </cell>
          <cell r="I2168">
            <v>0</v>
          </cell>
          <cell r="J2168">
            <v>0</v>
          </cell>
        </row>
        <row r="2169">
          <cell r="B2169" t="str">
            <v>5-6592</v>
          </cell>
          <cell r="C2169" t="str">
            <v>Profesional Fee</v>
          </cell>
          <cell r="D2169">
            <v>0</v>
          </cell>
          <cell r="E2169">
            <v>0</v>
          </cell>
          <cell r="F2169">
            <v>0</v>
          </cell>
          <cell r="G2169">
            <v>0</v>
          </cell>
          <cell r="H2169">
            <v>0</v>
          </cell>
          <cell r="I2169">
            <v>0</v>
          </cell>
          <cell r="J2169">
            <v>0</v>
          </cell>
        </row>
        <row r="2170">
          <cell r="B2170" t="str">
            <v>5-6610</v>
          </cell>
          <cell r="C2170" t="str">
            <v>KARTU IDENTITAS</v>
          </cell>
          <cell r="D2170">
            <v>0</v>
          </cell>
          <cell r="E2170">
            <v>0</v>
          </cell>
          <cell r="F2170">
            <v>0</v>
          </cell>
          <cell r="G2170">
            <v>0</v>
          </cell>
          <cell r="H2170">
            <v>0</v>
          </cell>
          <cell r="I2170">
            <v>0</v>
          </cell>
          <cell r="J2170">
            <v>0</v>
          </cell>
        </row>
        <row r="2171">
          <cell r="B2171" t="str">
            <v>5-6611</v>
          </cell>
          <cell r="C2171" t="str">
            <v>Student Card</v>
          </cell>
          <cell r="D2171">
            <v>0</v>
          </cell>
          <cell r="E2171">
            <v>0</v>
          </cell>
          <cell r="F2171">
            <v>0</v>
          </cell>
          <cell r="G2171">
            <v>0</v>
          </cell>
          <cell r="H2171">
            <v>0</v>
          </cell>
          <cell r="I2171">
            <v>0</v>
          </cell>
          <cell r="J2171">
            <v>0</v>
          </cell>
        </row>
        <row r="2172">
          <cell r="B2172" t="str">
            <v>5-6612</v>
          </cell>
          <cell r="C2172" t="str">
            <v>Permission Student card</v>
          </cell>
          <cell r="D2172">
            <v>0</v>
          </cell>
          <cell r="E2172">
            <v>0</v>
          </cell>
          <cell r="F2172">
            <v>0</v>
          </cell>
          <cell r="G2172">
            <v>0</v>
          </cell>
          <cell r="H2172">
            <v>0</v>
          </cell>
          <cell r="I2172">
            <v>0</v>
          </cell>
          <cell r="J2172">
            <v>0</v>
          </cell>
        </row>
        <row r="2173">
          <cell r="B2173" t="str">
            <v>5-6613</v>
          </cell>
          <cell r="C2173" t="str">
            <v>Books Saving Student</v>
          </cell>
          <cell r="D2173">
            <v>0</v>
          </cell>
          <cell r="E2173">
            <v>0</v>
          </cell>
          <cell r="F2173">
            <v>0</v>
          </cell>
          <cell r="G2173">
            <v>0</v>
          </cell>
          <cell r="H2173">
            <v>0</v>
          </cell>
          <cell r="I2173">
            <v>0</v>
          </cell>
          <cell r="J2173">
            <v>0</v>
          </cell>
        </row>
        <row r="2174">
          <cell r="B2174" t="str">
            <v>5-6620</v>
          </cell>
          <cell r="C2174" t="str">
            <v>BUKU PELAJARAN</v>
          </cell>
          <cell r="D2174">
            <v>0</v>
          </cell>
          <cell r="E2174">
            <v>0</v>
          </cell>
          <cell r="F2174">
            <v>0</v>
          </cell>
          <cell r="G2174">
            <v>0</v>
          </cell>
          <cell r="H2174">
            <v>0</v>
          </cell>
          <cell r="I2174">
            <v>0</v>
          </cell>
          <cell r="J2174">
            <v>0</v>
          </cell>
        </row>
        <row r="2175">
          <cell r="B2175" t="str">
            <v>5-6621</v>
          </cell>
          <cell r="C2175" t="str">
            <v>Buku Umum</v>
          </cell>
          <cell r="D2175" t="str">
            <v>0.00cr</v>
          </cell>
          <cell r="E2175">
            <v>0</v>
          </cell>
          <cell r="F2175">
            <v>0</v>
          </cell>
          <cell r="G2175">
            <v>0</v>
          </cell>
          <cell r="H2175">
            <v>0</v>
          </cell>
          <cell r="I2175" t="str">
            <v>0.00cr</v>
          </cell>
          <cell r="J2175">
            <v>0</v>
          </cell>
        </row>
        <row r="2176">
          <cell r="B2176" t="str">
            <v>5-6622</v>
          </cell>
          <cell r="C2176" t="str">
            <v>Buku Agama</v>
          </cell>
          <cell r="D2176">
            <v>0</v>
          </cell>
          <cell r="E2176">
            <v>0</v>
          </cell>
          <cell r="F2176">
            <v>0</v>
          </cell>
          <cell r="G2176">
            <v>0</v>
          </cell>
          <cell r="H2176">
            <v>0</v>
          </cell>
          <cell r="I2176">
            <v>0</v>
          </cell>
          <cell r="J2176">
            <v>0</v>
          </cell>
        </row>
        <row r="2177">
          <cell r="B2177" t="str">
            <v>5-6630</v>
          </cell>
          <cell r="C2177" t="str">
            <v>UNIFORM</v>
          </cell>
          <cell r="D2177">
            <v>0</v>
          </cell>
          <cell r="E2177">
            <v>0</v>
          </cell>
          <cell r="F2177">
            <v>0</v>
          </cell>
          <cell r="G2177">
            <v>0</v>
          </cell>
          <cell r="H2177">
            <v>0</v>
          </cell>
          <cell r="I2177">
            <v>0</v>
          </cell>
          <cell r="J2177">
            <v>0</v>
          </cell>
        </row>
        <row r="2178">
          <cell r="B2178" t="str">
            <v>5-6631</v>
          </cell>
          <cell r="C2178" t="str">
            <v>Sport Student Uniform</v>
          </cell>
          <cell r="D2178">
            <v>0</v>
          </cell>
          <cell r="E2178">
            <v>0</v>
          </cell>
          <cell r="F2178">
            <v>0</v>
          </cell>
          <cell r="G2178">
            <v>0</v>
          </cell>
          <cell r="H2178">
            <v>0</v>
          </cell>
          <cell r="I2178">
            <v>0</v>
          </cell>
          <cell r="J2178">
            <v>0</v>
          </cell>
        </row>
        <row r="2179">
          <cell r="B2179" t="str">
            <v>5-6632</v>
          </cell>
          <cell r="C2179" t="str">
            <v>Student Uniform</v>
          </cell>
          <cell r="D2179">
            <v>0</v>
          </cell>
          <cell r="E2179">
            <v>0</v>
          </cell>
          <cell r="F2179">
            <v>0</v>
          </cell>
          <cell r="G2179">
            <v>0</v>
          </cell>
          <cell r="H2179">
            <v>0</v>
          </cell>
          <cell r="I2179">
            <v>0</v>
          </cell>
          <cell r="J2179">
            <v>0</v>
          </cell>
        </row>
        <row r="2180">
          <cell r="B2180" t="str">
            <v>5-6633</v>
          </cell>
          <cell r="C2180" t="str">
            <v>Moslem Student Uniform</v>
          </cell>
          <cell r="D2180">
            <v>0</v>
          </cell>
          <cell r="E2180">
            <v>0</v>
          </cell>
          <cell r="F2180">
            <v>0</v>
          </cell>
          <cell r="G2180">
            <v>0</v>
          </cell>
          <cell r="H2180">
            <v>0</v>
          </cell>
          <cell r="I2180">
            <v>0</v>
          </cell>
          <cell r="J2180">
            <v>0</v>
          </cell>
        </row>
        <row r="2181">
          <cell r="B2181" t="str">
            <v>5-7110</v>
          </cell>
          <cell r="C2181" t="str">
            <v>PERSONAL - GAJI</v>
          </cell>
          <cell r="D2181">
            <v>0</v>
          </cell>
          <cell r="E2181">
            <v>0</v>
          </cell>
          <cell r="F2181">
            <v>0</v>
          </cell>
          <cell r="G2181">
            <v>0</v>
          </cell>
          <cell r="H2181">
            <v>0</v>
          </cell>
          <cell r="I2181">
            <v>0</v>
          </cell>
          <cell r="J2181">
            <v>0</v>
          </cell>
        </row>
        <row r="2182">
          <cell r="B2182" t="str">
            <v>5-7111</v>
          </cell>
          <cell r="C2182" t="str">
            <v>Permanent Staff Salary</v>
          </cell>
          <cell r="D2182">
            <v>6919673</v>
          </cell>
          <cell r="E2182">
            <v>0</v>
          </cell>
          <cell r="F2182">
            <v>6991259</v>
          </cell>
          <cell r="G2182">
            <v>71585</v>
          </cell>
          <cell r="H2182">
            <v>6919674</v>
          </cell>
          <cell r="I2182">
            <v>13839347</v>
          </cell>
          <cell r="J2182">
            <v>0</v>
          </cell>
        </row>
        <row r="2183">
          <cell r="B2183" t="str">
            <v>5-7112</v>
          </cell>
          <cell r="C2183" t="str">
            <v>Temporary Staff Salary</v>
          </cell>
          <cell r="D2183">
            <v>0</v>
          </cell>
          <cell r="E2183">
            <v>0</v>
          </cell>
          <cell r="F2183">
            <v>0</v>
          </cell>
          <cell r="G2183">
            <v>0</v>
          </cell>
          <cell r="H2183">
            <v>0</v>
          </cell>
          <cell r="I2183">
            <v>0</v>
          </cell>
          <cell r="J2183">
            <v>0</v>
          </cell>
        </row>
        <row r="2184">
          <cell r="B2184" t="str">
            <v>5-7113</v>
          </cell>
          <cell r="C2184" t="str">
            <v>Permanent Labour Salary</v>
          </cell>
          <cell r="D2184">
            <v>0</v>
          </cell>
          <cell r="E2184">
            <v>0</v>
          </cell>
          <cell r="F2184">
            <v>0</v>
          </cell>
          <cell r="G2184">
            <v>0</v>
          </cell>
          <cell r="H2184">
            <v>0</v>
          </cell>
          <cell r="I2184">
            <v>0</v>
          </cell>
          <cell r="J2184">
            <v>0</v>
          </cell>
        </row>
        <row r="2185">
          <cell r="B2185" t="str">
            <v>5-7114</v>
          </cell>
          <cell r="C2185" t="str">
            <v>Temporary Labour Salary</v>
          </cell>
          <cell r="D2185">
            <v>0</v>
          </cell>
          <cell r="E2185">
            <v>0</v>
          </cell>
          <cell r="F2185">
            <v>0</v>
          </cell>
          <cell r="G2185">
            <v>0</v>
          </cell>
          <cell r="H2185">
            <v>0</v>
          </cell>
          <cell r="I2185">
            <v>0</v>
          </cell>
          <cell r="J2185">
            <v>0</v>
          </cell>
        </row>
        <row r="2186">
          <cell r="B2186" t="str">
            <v>5-7115</v>
          </cell>
          <cell r="C2186" t="str">
            <v>Staff overtime</v>
          </cell>
          <cell r="D2186">
            <v>0</v>
          </cell>
          <cell r="E2186">
            <v>0</v>
          </cell>
          <cell r="F2186">
            <v>0</v>
          </cell>
          <cell r="G2186">
            <v>0</v>
          </cell>
          <cell r="H2186">
            <v>0</v>
          </cell>
          <cell r="I2186">
            <v>0</v>
          </cell>
          <cell r="J2186">
            <v>0</v>
          </cell>
        </row>
        <row r="2187">
          <cell r="B2187" t="str">
            <v>5-7116</v>
          </cell>
          <cell r="C2187" t="str">
            <v>Honorarium santri Khidmah</v>
          </cell>
          <cell r="D2187">
            <v>0</v>
          </cell>
          <cell r="E2187">
            <v>0</v>
          </cell>
          <cell r="F2187">
            <v>71585</v>
          </cell>
          <cell r="G2187">
            <v>0</v>
          </cell>
          <cell r="H2187">
            <v>71585</v>
          </cell>
          <cell r="I2187">
            <v>71585</v>
          </cell>
          <cell r="J2187">
            <v>0</v>
          </cell>
        </row>
        <row r="2188">
          <cell r="B2188" t="str">
            <v>5-7117</v>
          </cell>
          <cell r="C2188" t="str">
            <v>Joint Salary Allocation</v>
          </cell>
          <cell r="D2188">
            <v>0</v>
          </cell>
          <cell r="E2188">
            <v>0</v>
          </cell>
          <cell r="F2188">
            <v>0</v>
          </cell>
          <cell r="G2188">
            <v>0</v>
          </cell>
          <cell r="H2188">
            <v>0</v>
          </cell>
          <cell r="I2188">
            <v>0</v>
          </cell>
          <cell r="J2188">
            <v>0</v>
          </cell>
        </row>
        <row r="2189">
          <cell r="B2189" t="str">
            <v>5-7119</v>
          </cell>
          <cell r="C2189" t="str">
            <v>Others Salary</v>
          </cell>
          <cell r="D2189">
            <v>0</v>
          </cell>
          <cell r="E2189">
            <v>0</v>
          </cell>
          <cell r="F2189">
            <v>0</v>
          </cell>
          <cell r="G2189">
            <v>0</v>
          </cell>
          <cell r="H2189">
            <v>0</v>
          </cell>
          <cell r="I2189">
            <v>0</v>
          </cell>
          <cell r="J2189">
            <v>0</v>
          </cell>
        </row>
        <row r="2190">
          <cell r="B2190" t="str">
            <v>5-7120</v>
          </cell>
          <cell r="C2190" t="str">
            <v>PERSONAL - ALLOWANCE OF</v>
          </cell>
          <cell r="D2190">
            <v>0</v>
          </cell>
          <cell r="E2190">
            <v>0</v>
          </cell>
          <cell r="F2190">
            <v>0</v>
          </cell>
          <cell r="G2190">
            <v>0</v>
          </cell>
          <cell r="H2190">
            <v>0</v>
          </cell>
          <cell r="I2190">
            <v>0</v>
          </cell>
          <cell r="J2190">
            <v>0</v>
          </cell>
        </row>
        <row r="2191">
          <cell r="B2191" t="str">
            <v>5-7121</v>
          </cell>
          <cell r="C2191" t="str">
            <v>Allowance of Hulled Rice</v>
          </cell>
          <cell r="D2191">
            <v>731000</v>
          </cell>
          <cell r="E2191">
            <v>0</v>
          </cell>
          <cell r="F2191">
            <v>765000</v>
          </cell>
          <cell r="G2191">
            <v>0</v>
          </cell>
          <cell r="H2191">
            <v>765000</v>
          </cell>
          <cell r="I2191">
            <v>1496000</v>
          </cell>
          <cell r="J2191">
            <v>0</v>
          </cell>
        </row>
        <row r="2192">
          <cell r="B2192" t="str">
            <v>5-7122</v>
          </cell>
          <cell r="C2192" t="str">
            <v>Alowance of doctor and medicin</v>
          </cell>
          <cell r="D2192">
            <v>112500</v>
          </cell>
          <cell r="E2192">
            <v>0</v>
          </cell>
          <cell r="F2192">
            <v>62500</v>
          </cell>
          <cell r="G2192">
            <v>0</v>
          </cell>
          <cell r="H2192">
            <v>62500</v>
          </cell>
          <cell r="I2192">
            <v>175000</v>
          </cell>
          <cell r="J2192">
            <v>0</v>
          </cell>
        </row>
        <row r="2193">
          <cell r="B2193" t="str">
            <v>5-7123</v>
          </cell>
          <cell r="C2193" t="str">
            <v>Alowance of spectacles</v>
          </cell>
          <cell r="D2193">
            <v>0</v>
          </cell>
          <cell r="E2193">
            <v>0</v>
          </cell>
          <cell r="F2193">
            <v>0</v>
          </cell>
          <cell r="G2193">
            <v>0</v>
          </cell>
          <cell r="H2193">
            <v>0</v>
          </cell>
          <cell r="I2193">
            <v>0</v>
          </cell>
          <cell r="J2193">
            <v>0</v>
          </cell>
        </row>
        <row r="2194">
          <cell r="B2194" t="str">
            <v>5-7124</v>
          </cell>
          <cell r="C2194" t="str">
            <v>Allowance of operation&amp;hospita</v>
          </cell>
          <cell r="D2194">
            <v>0</v>
          </cell>
          <cell r="E2194">
            <v>0</v>
          </cell>
          <cell r="F2194">
            <v>0</v>
          </cell>
          <cell r="G2194">
            <v>0</v>
          </cell>
          <cell r="H2194">
            <v>0</v>
          </cell>
          <cell r="I2194">
            <v>0</v>
          </cell>
          <cell r="J2194">
            <v>0</v>
          </cell>
        </row>
        <row r="2195">
          <cell r="B2195" t="str">
            <v>5-7125</v>
          </cell>
          <cell r="C2195" t="str">
            <v>Allowance of disaster &amp; die</v>
          </cell>
          <cell r="D2195">
            <v>0</v>
          </cell>
          <cell r="E2195">
            <v>0</v>
          </cell>
          <cell r="F2195">
            <v>0</v>
          </cell>
          <cell r="G2195">
            <v>0</v>
          </cell>
          <cell r="H2195">
            <v>0</v>
          </cell>
          <cell r="I2195">
            <v>0</v>
          </cell>
          <cell r="J2195">
            <v>0</v>
          </cell>
        </row>
        <row r="2196">
          <cell r="B2196" t="str">
            <v>5-7126</v>
          </cell>
          <cell r="C2196" t="str">
            <v>Allowance of hari raya</v>
          </cell>
          <cell r="D2196">
            <v>6873063</v>
          </cell>
          <cell r="E2196">
            <v>0</v>
          </cell>
          <cell r="F2196">
            <v>0</v>
          </cell>
          <cell r="G2196">
            <v>0</v>
          </cell>
          <cell r="H2196">
            <v>0</v>
          </cell>
          <cell r="I2196">
            <v>6873063</v>
          </cell>
          <cell r="J2196">
            <v>0</v>
          </cell>
        </row>
        <row r="2197">
          <cell r="B2197" t="str">
            <v>5-7127</v>
          </cell>
          <cell r="C2197" t="str">
            <v>Allowance of birth</v>
          </cell>
          <cell r="D2197">
            <v>0</v>
          </cell>
          <cell r="E2197">
            <v>0</v>
          </cell>
          <cell r="F2197">
            <v>0</v>
          </cell>
          <cell r="G2197">
            <v>0</v>
          </cell>
          <cell r="H2197">
            <v>0</v>
          </cell>
          <cell r="I2197">
            <v>0</v>
          </cell>
          <cell r="J2197">
            <v>0</v>
          </cell>
        </row>
        <row r="2198">
          <cell r="B2198" t="str">
            <v>5-7128</v>
          </cell>
          <cell r="C2198" t="str">
            <v>Allowance of married</v>
          </cell>
          <cell r="D2198">
            <v>0</v>
          </cell>
          <cell r="E2198">
            <v>0</v>
          </cell>
          <cell r="F2198">
            <v>0</v>
          </cell>
          <cell r="G2198">
            <v>0</v>
          </cell>
          <cell r="H2198">
            <v>0</v>
          </cell>
          <cell r="I2198">
            <v>0</v>
          </cell>
          <cell r="J2198">
            <v>0</v>
          </cell>
        </row>
        <row r="2199">
          <cell r="B2199" t="str">
            <v>5-7129</v>
          </cell>
          <cell r="C2199" t="str">
            <v>Allowance of house rent&amp;others</v>
          </cell>
          <cell r="D2199">
            <v>0</v>
          </cell>
          <cell r="E2199">
            <v>0</v>
          </cell>
          <cell r="F2199">
            <v>0</v>
          </cell>
          <cell r="G2199">
            <v>0</v>
          </cell>
          <cell r="H2199">
            <v>0</v>
          </cell>
          <cell r="I2199">
            <v>0</v>
          </cell>
          <cell r="J2199">
            <v>0</v>
          </cell>
        </row>
        <row r="2200">
          <cell r="B2200" t="str">
            <v>5-7130</v>
          </cell>
          <cell r="C2200" t="str">
            <v>OFFICE</v>
          </cell>
          <cell r="D2200">
            <v>0</v>
          </cell>
          <cell r="E2200">
            <v>0</v>
          </cell>
          <cell r="F2200">
            <v>0</v>
          </cell>
          <cell r="G2200">
            <v>0</v>
          </cell>
          <cell r="H2200">
            <v>0</v>
          </cell>
          <cell r="I2200">
            <v>0</v>
          </cell>
          <cell r="J2200">
            <v>0</v>
          </cell>
        </row>
        <row r="2201">
          <cell r="B2201" t="str">
            <v>5-7131</v>
          </cell>
          <cell r="C2201" t="str">
            <v>Stationary papers</v>
          </cell>
          <cell r="D2201">
            <v>0</v>
          </cell>
          <cell r="E2201">
            <v>0</v>
          </cell>
          <cell r="F2201">
            <v>0</v>
          </cell>
          <cell r="G2201">
            <v>0</v>
          </cell>
          <cell r="H2201">
            <v>0</v>
          </cell>
          <cell r="I2201">
            <v>0</v>
          </cell>
          <cell r="J2201">
            <v>0</v>
          </cell>
        </row>
        <row r="2202">
          <cell r="B2202" t="str">
            <v>5-7132</v>
          </cell>
          <cell r="C2202" t="str">
            <v>Stationary written toolls</v>
          </cell>
          <cell r="D2202">
            <v>0</v>
          </cell>
          <cell r="E2202">
            <v>0</v>
          </cell>
          <cell r="F2202">
            <v>0</v>
          </cell>
          <cell r="G2202">
            <v>0</v>
          </cell>
          <cell r="H2202">
            <v>0</v>
          </cell>
          <cell r="I2202">
            <v>0</v>
          </cell>
          <cell r="J2202">
            <v>0</v>
          </cell>
        </row>
        <row r="2203">
          <cell r="B2203" t="str">
            <v>5-7133</v>
          </cell>
          <cell r="C2203" t="str">
            <v>Stationary ink</v>
          </cell>
          <cell r="D2203">
            <v>0</v>
          </cell>
          <cell r="E2203">
            <v>0</v>
          </cell>
          <cell r="F2203">
            <v>0</v>
          </cell>
          <cell r="G2203">
            <v>0</v>
          </cell>
          <cell r="H2203">
            <v>0</v>
          </cell>
          <cell r="I2203">
            <v>0</v>
          </cell>
          <cell r="J2203">
            <v>0</v>
          </cell>
        </row>
        <row r="2204">
          <cell r="B2204" t="str">
            <v>5-7134</v>
          </cell>
          <cell r="C2204" t="str">
            <v>Stationary Others</v>
          </cell>
          <cell r="D2204">
            <v>0</v>
          </cell>
          <cell r="E2204">
            <v>0</v>
          </cell>
          <cell r="F2204">
            <v>0</v>
          </cell>
          <cell r="G2204">
            <v>0</v>
          </cell>
          <cell r="H2204">
            <v>0</v>
          </cell>
          <cell r="I2204">
            <v>0</v>
          </cell>
          <cell r="J2204">
            <v>0</v>
          </cell>
        </row>
        <row r="2205">
          <cell r="B2205" t="str">
            <v>5-7135</v>
          </cell>
          <cell r="C2205" t="str">
            <v>Consumptions</v>
          </cell>
          <cell r="D2205">
            <v>0</v>
          </cell>
          <cell r="E2205">
            <v>0</v>
          </cell>
          <cell r="F2205">
            <v>92000</v>
          </cell>
          <cell r="G2205">
            <v>0</v>
          </cell>
          <cell r="H2205">
            <v>92000</v>
          </cell>
          <cell r="I2205">
            <v>92000</v>
          </cell>
          <cell r="J2205">
            <v>0</v>
          </cell>
        </row>
        <row r="2206">
          <cell r="B2206" t="str">
            <v>5-7136</v>
          </cell>
          <cell r="C2206" t="str">
            <v>Fotocopy &amp; Printing</v>
          </cell>
          <cell r="D2206">
            <v>0</v>
          </cell>
          <cell r="E2206">
            <v>0</v>
          </cell>
          <cell r="F2206">
            <v>0</v>
          </cell>
          <cell r="G2206">
            <v>0</v>
          </cell>
          <cell r="H2206">
            <v>0</v>
          </cell>
          <cell r="I2206">
            <v>0</v>
          </cell>
          <cell r="J2206">
            <v>0</v>
          </cell>
        </row>
        <row r="2207">
          <cell r="B2207" t="str">
            <v>5-7137</v>
          </cell>
          <cell r="C2207" t="str">
            <v>Office Suplies</v>
          </cell>
          <cell r="D2207">
            <v>0</v>
          </cell>
          <cell r="E2207">
            <v>0</v>
          </cell>
          <cell r="F2207">
            <v>1049000</v>
          </cell>
          <cell r="G2207">
            <v>0</v>
          </cell>
          <cell r="H2207">
            <v>1049000</v>
          </cell>
          <cell r="I2207">
            <v>1049000</v>
          </cell>
          <cell r="J2207">
            <v>0</v>
          </cell>
        </row>
        <row r="2208">
          <cell r="B2208" t="str">
            <v>5-7139</v>
          </cell>
          <cell r="C2208" t="str">
            <v>Others</v>
          </cell>
          <cell r="D2208">
            <v>0</v>
          </cell>
          <cell r="E2208">
            <v>0</v>
          </cell>
          <cell r="F2208">
            <v>0</v>
          </cell>
          <cell r="G2208">
            <v>0</v>
          </cell>
          <cell r="H2208">
            <v>0</v>
          </cell>
          <cell r="I2208">
            <v>0</v>
          </cell>
          <cell r="J2208">
            <v>0</v>
          </cell>
        </row>
        <row r="2209">
          <cell r="B2209" t="str">
            <v>5-7140</v>
          </cell>
          <cell r="C2209" t="str">
            <v>TRANSPORTATION &amp; TELECOMUNICAT</v>
          </cell>
          <cell r="D2209">
            <v>0</v>
          </cell>
          <cell r="E2209">
            <v>0</v>
          </cell>
          <cell r="F2209">
            <v>0</v>
          </cell>
          <cell r="G2209">
            <v>0</v>
          </cell>
          <cell r="H2209">
            <v>0</v>
          </cell>
          <cell r="I2209">
            <v>0</v>
          </cell>
          <cell r="J2209">
            <v>0</v>
          </cell>
        </row>
        <row r="2210">
          <cell r="B2210" t="str">
            <v>5-7141</v>
          </cell>
          <cell r="C2210" t="str">
            <v>Mail &amp; Shipment</v>
          </cell>
          <cell r="D2210">
            <v>0</v>
          </cell>
          <cell r="E2210">
            <v>0</v>
          </cell>
          <cell r="F2210">
            <v>0</v>
          </cell>
          <cell r="G2210">
            <v>0</v>
          </cell>
          <cell r="H2210">
            <v>0</v>
          </cell>
          <cell r="I2210">
            <v>0</v>
          </cell>
          <cell r="J2210">
            <v>0</v>
          </cell>
        </row>
        <row r="2211">
          <cell r="B2211" t="str">
            <v>5-7142</v>
          </cell>
          <cell r="C2211" t="str">
            <v>Telephone</v>
          </cell>
          <cell r="D2211">
            <v>0</v>
          </cell>
          <cell r="E2211">
            <v>0</v>
          </cell>
          <cell r="F2211">
            <v>0</v>
          </cell>
          <cell r="G2211">
            <v>0</v>
          </cell>
          <cell r="H2211">
            <v>0</v>
          </cell>
          <cell r="I2211">
            <v>0</v>
          </cell>
          <cell r="J2211">
            <v>0</v>
          </cell>
        </row>
        <row r="2212">
          <cell r="B2212" t="str">
            <v>5-7143</v>
          </cell>
          <cell r="C2212" t="str">
            <v>Fuel</v>
          </cell>
          <cell r="D2212">
            <v>0</v>
          </cell>
          <cell r="E2212">
            <v>0</v>
          </cell>
          <cell r="F2212">
            <v>0</v>
          </cell>
          <cell r="G2212">
            <v>0</v>
          </cell>
          <cell r="H2212">
            <v>0</v>
          </cell>
          <cell r="I2212">
            <v>0</v>
          </cell>
          <cell r="J2212">
            <v>0</v>
          </cell>
        </row>
        <row r="2213">
          <cell r="B2213" t="str">
            <v>5-7144</v>
          </cell>
          <cell r="C2213" t="str">
            <v>Toll &amp; Parking</v>
          </cell>
          <cell r="D2213">
            <v>0</v>
          </cell>
          <cell r="E2213">
            <v>0</v>
          </cell>
          <cell r="F2213">
            <v>0</v>
          </cell>
          <cell r="G2213">
            <v>0</v>
          </cell>
          <cell r="H2213">
            <v>0</v>
          </cell>
          <cell r="I2213">
            <v>0</v>
          </cell>
          <cell r="J2213">
            <v>0</v>
          </cell>
        </row>
        <row r="2214">
          <cell r="B2214" t="str">
            <v>5-7145</v>
          </cell>
          <cell r="C2214" t="str">
            <v>Accommodations</v>
          </cell>
          <cell r="D2214">
            <v>0</v>
          </cell>
          <cell r="E2214">
            <v>0</v>
          </cell>
          <cell r="F2214">
            <v>0</v>
          </cell>
          <cell r="G2214">
            <v>0</v>
          </cell>
          <cell r="H2214">
            <v>0</v>
          </cell>
          <cell r="I2214">
            <v>0</v>
          </cell>
          <cell r="J2214">
            <v>0</v>
          </cell>
        </row>
        <row r="2215">
          <cell r="B2215" t="str">
            <v>5-7146</v>
          </cell>
          <cell r="C2215" t="str">
            <v>Public Tranportation</v>
          </cell>
          <cell r="D2215">
            <v>0</v>
          </cell>
          <cell r="E2215">
            <v>0</v>
          </cell>
          <cell r="F2215">
            <v>0</v>
          </cell>
          <cell r="G2215">
            <v>0</v>
          </cell>
          <cell r="H2215">
            <v>0</v>
          </cell>
          <cell r="I2215">
            <v>0</v>
          </cell>
          <cell r="J2215">
            <v>0</v>
          </cell>
        </row>
        <row r="2216">
          <cell r="B2216" t="str">
            <v>5-7147</v>
          </cell>
          <cell r="C2216" t="str">
            <v>Joint Transportation Allocatio</v>
          </cell>
          <cell r="D2216">
            <v>0</v>
          </cell>
          <cell r="E2216">
            <v>0</v>
          </cell>
          <cell r="F2216">
            <v>0</v>
          </cell>
          <cell r="G2216">
            <v>0</v>
          </cell>
          <cell r="H2216">
            <v>0</v>
          </cell>
          <cell r="I2216">
            <v>0</v>
          </cell>
          <cell r="J2216">
            <v>0</v>
          </cell>
        </row>
        <row r="2217">
          <cell r="B2217" t="str">
            <v>5-7149</v>
          </cell>
          <cell r="C2217" t="str">
            <v>Others</v>
          </cell>
          <cell r="D2217">
            <v>0</v>
          </cell>
          <cell r="E2217">
            <v>0</v>
          </cell>
          <cell r="F2217">
            <v>0</v>
          </cell>
          <cell r="G2217">
            <v>0</v>
          </cell>
          <cell r="H2217">
            <v>0</v>
          </cell>
          <cell r="I2217">
            <v>0</v>
          </cell>
          <cell r="J2217">
            <v>0</v>
          </cell>
        </row>
        <row r="2218">
          <cell r="B2218" t="str">
            <v>5-7150</v>
          </cell>
          <cell r="C2218" t="str">
            <v>REPAIR &amp; MAINTENENCE</v>
          </cell>
          <cell r="D2218">
            <v>0</v>
          </cell>
          <cell r="E2218">
            <v>0</v>
          </cell>
          <cell r="F2218">
            <v>0</v>
          </cell>
          <cell r="G2218">
            <v>0</v>
          </cell>
          <cell r="H2218">
            <v>0</v>
          </cell>
          <cell r="I2218">
            <v>0</v>
          </cell>
          <cell r="J2218">
            <v>0</v>
          </cell>
        </row>
        <row r="2219">
          <cell r="B2219" t="str">
            <v>5-7151</v>
          </cell>
          <cell r="C2219" t="str">
            <v>R &amp; M - Computer &amp; audio visua</v>
          </cell>
          <cell r="D2219">
            <v>0</v>
          </cell>
          <cell r="E2219">
            <v>0</v>
          </cell>
          <cell r="F2219">
            <v>0</v>
          </cell>
          <cell r="G2219">
            <v>0</v>
          </cell>
          <cell r="H2219">
            <v>0</v>
          </cell>
          <cell r="I2219">
            <v>0</v>
          </cell>
          <cell r="J2219">
            <v>0</v>
          </cell>
        </row>
        <row r="2220">
          <cell r="B2220" t="str">
            <v>5-7152</v>
          </cell>
          <cell r="C2220" t="str">
            <v>R &amp; M - Telephone &amp; Faxs</v>
          </cell>
          <cell r="D2220">
            <v>0</v>
          </cell>
          <cell r="E2220">
            <v>0</v>
          </cell>
          <cell r="F2220">
            <v>0</v>
          </cell>
          <cell r="G2220">
            <v>0</v>
          </cell>
          <cell r="H2220">
            <v>0</v>
          </cell>
          <cell r="I2220">
            <v>0</v>
          </cell>
          <cell r="J2220">
            <v>0</v>
          </cell>
        </row>
        <row r="2221">
          <cell r="B2221" t="str">
            <v>5-7153</v>
          </cell>
          <cell r="C2221" t="str">
            <v>R &amp; M - Office Eqiupment</v>
          </cell>
          <cell r="D2221">
            <v>0</v>
          </cell>
          <cell r="E2221">
            <v>0</v>
          </cell>
          <cell r="F2221">
            <v>0</v>
          </cell>
          <cell r="G2221">
            <v>0</v>
          </cell>
          <cell r="H2221">
            <v>0</v>
          </cell>
          <cell r="I2221">
            <v>0</v>
          </cell>
          <cell r="J2221">
            <v>0</v>
          </cell>
        </row>
        <row r="2222">
          <cell r="B2222" t="str">
            <v>5-7154</v>
          </cell>
          <cell r="C2222" t="str">
            <v>R &amp; M - Teaching Eqiupment</v>
          </cell>
          <cell r="D2222">
            <v>0</v>
          </cell>
          <cell r="E2222">
            <v>0</v>
          </cell>
          <cell r="F2222">
            <v>0</v>
          </cell>
          <cell r="G2222">
            <v>0</v>
          </cell>
          <cell r="H2222">
            <v>0</v>
          </cell>
          <cell r="I2222">
            <v>0</v>
          </cell>
          <cell r="J2222">
            <v>0</v>
          </cell>
        </row>
        <row r="2223">
          <cell r="B2223" t="str">
            <v>5-7155</v>
          </cell>
          <cell r="C2223" t="str">
            <v>R &amp; M - Other Eqiupment</v>
          </cell>
          <cell r="D2223">
            <v>0</v>
          </cell>
          <cell r="E2223">
            <v>0</v>
          </cell>
          <cell r="F2223">
            <v>340000</v>
          </cell>
          <cell r="G2223">
            <v>0</v>
          </cell>
          <cell r="H2223">
            <v>340000</v>
          </cell>
          <cell r="I2223">
            <v>340000</v>
          </cell>
          <cell r="J2223">
            <v>0</v>
          </cell>
        </row>
        <row r="2224">
          <cell r="B2224" t="str">
            <v>5-7156</v>
          </cell>
          <cell r="C2224" t="str">
            <v>R &amp; M - Table &amp; Chairs</v>
          </cell>
          <cell r="D2224">
            <v>0</v>
          </cell>
          <cell r="E2224">
            <v>0</v>
          </cell>
          <cell r="F2224">
            <v>0</v>
          </cell>
          <cell r="G2224">
            <v>0</v>
          </cell>
          <cell r="H2224">
            <v>0</v>
          </cell>
          <cell r="I2224">
            <v>0</v>
          </cell>
          <cell r="J2224">
            <v>0</v>
          </cell>
        </row>
        <row r="2225">
          <cell r="B2225" t="str">
            <v>5-7157</v>
          </cell>
          <cell r="C2225" t="str">
            <v>R &amp; M - Cupboard &amp; Rack</v>
          </cell>
          <cell r="D2225">
            <v>0</v>
          </cell>
          <cell r="E2225">
            <v>0</v>
          </cell>
          <cell r="F2225">
            <v>0</v>
          </cell>
          <cell r="G2225">
            <v>0</v>
          </cell>
          <cell r="H2225">
            <v>0</v>
          </cell>
          <cell r="I2225">
            <v>0</v>
          </cell>
          <cell r="J2225">
            <v>0</v>
          </cell>
        </row>
        <row r="2226">
          <cell r="B2226" t="str">
            <v>5-7158</v>
          </cell>
          <cell r="C2226" t="str">
            <v>R &amp; M - Other Furniture</v>
          </cell>
          <cell r="D2226">
            <v>0</v>
          </cell>
          <cell r="E2226">
            <v>0</v>
          </cell>
          <cell r="F2226">
            <v>0</v>
          </cell>
          <cell r="G2226">
            <v>0</v>
          </cell>
          <cell r="H2226">
            <v>0</v>
          </cell>
          <cell r="I2226">
            <v>0</v>
          </cell>
          <cell r="J2226">
            <v>0</v>
          </cell>
        </row>
        <row r="2227">
          <cell r="B2227" t="str">
            <v>5-7159</v>
          </cell>
          <cell r="C2227" t="str">
            <v>Others</v>
          </cell>
          <cell r="D2227">
            <v>0</v>
          </cell>
          <cell r="E2227">
            <v>0</v>
          </cell>
          <cell r="F2227">
            <v>0</v>
          </cell>
          <cell r="G2227">
            <v>0</v>
          </cell>
          <cell r="H2227">
            <v>0</v>
          </cell>
          <cell r="I2227">
            <v>0</v>
          </cell>
          <cell r="J2227">
            <v>0</v>
          </cell>
        </row>
        <row r="2228">
          <cell r="B2228" t="str">
            <v>5-7190</v>
          </cell>
          <cell r="C2228" t="str">
            <v>LAIN-LAIN</v>
          </cell>
          <cell r="D2228">
            <v>0</v>
          </cell>
          <cell r="E2228">
            <v>0</v>
          </cell>
          <cell r="F2228">
            <v>0</v>
          </cell>
          <cell r="G2228">
            <v>0</v>
          </cell>
          <cell r="H2228">
            <v>0</v>
          </cell>
          <cell r="I2228">
            <v>0</v>
          </cell>
          <cell r="J2228">
            <v>0</v>
          </cell>
        </row>
        <row r="2229">
          <cell r="B2229" t="str">
            <v>5-7191</v>
          </cell>
          <cell r="C2229" t="str">
            <v>Training &amp; Workshop</v>
          </cell>
          <cell r="D2229">
            <v>0</v>
          </cell>
          <cell r="E2229">
            <v>0</v>
          </cell>
          <cell r="F2229">
            <v>0</v>
          </cell>
          <cell r="G2229">
            <v>0</v>
          </cell>
          <cell r="H2229">
            <v>0</v>
          </cell>
          <cell r="I2229">
            <v>0</v>
          </cell>
          <cell r="J2229">
            <v>0</v>
          </cell>
        </row>
        <row r="2230">
          <cell r="B2230" t="str">
            <v>5-7192</v>
          </cell>
          <cell r="C2230" t="str">
            <v>Profesional Fee</v>
          </cell>
          <cell r="D2230">
            <v>0</v>
          </cell>
          <cell r="E2230">
            <v>0</v>
          </cell>
          <cell r="F2230">
            <v>0</v>
          </cell>
          <cell r="G2230">
            <v>0</v>
          </cell>
          <cell r="H2230">
            <v>0</v>
          </cell>
          <cell r="I2230">
            <v>0</v>
          </cell>
          <cell r="J2230">
            <v>0</v>
          </cell>
        </row>
        <row r="2231">
          <cell r="B2231" t="str">
            <v>5-7210</v>
          </cell>
          <cell r="C2231" t="str">
            <v>PERSONAL - GAJI</v>
          </cell>
          <cell r="D2231">
            <v>0</v>
          </cell>
          <cell r="E2231">
            <v>0</v>
          </cell>
          <cell r="F2231">
            <v>0</v>
          </cell>
          <cell r="G2231">
            <v>0</v>
          </cell>
          <cell r="H2231">
            <v>0</v>
          </cell>
          <cell r="I2231">
            <v>0</v>
          </cell>
          <cell r="J2231">
            <v>0</v>
          </cell>
        </row>
        <row r="2232">
          <cell r="B2232" t="str">
            <v>5-7211</v>
          </cell>
          <cell r="C2232" t="str">
            <v>Permanent Staff Salary</v>
          </cell>
          <cell r="D2232">
            <v>0</v>
          </cell>
          <cell r="E2232">
            <v>0</v>
          </cell>
          <cell r="F2232">
            <v>0</v>
          </cell>
          <cell r="G2232">
            <v>0</v>
          </cell>
          <cell r="H2232">
            <v>0</v>
          </cell>
          <cell r="I2232">
            <v>0</v>
          </cell>
          <cell r="J2232">
            <v>0</v>
          </cell>
        </row>
        <row r="2233">
          <cell r="B2233" t="str">
            <v>5-7212</v>
          </cell>
          <cell r="C2233" t="str">
            <v>Temporary Staff Salary</v>
          </cell>
          <cell r="D2233">
            <v>72</v>
          </cell>
          <cell r="E2233">
            <v>0</v>
          </cell>
          <cell r="F2233">
            <v>0</v>
          </cell>
          <cell r="G2233">
            <v>0</v>
          </cell>
          <cell r="H2233">
            <v>0</v>
          </cell>
          <cell r="I2233">
            <v>72</v>
          </cell>
          <cell r="J2233">
            <v>0</v>
          </cell>
        </row>
        <row r="2234">
          <cell r="B2234" t="str">
            <v>5-7213</v>
          </cell>
          <cell r="C2234" t="str">
            <v>Permanent Labour Salary</v>
          </cell>
          <cell r="D2234">
            <v>37749788</v>
          </cell>
          <cell r="E2234">
            <v>0</v>
          </cell>
          <cell r="F2234">
            <v>39507142</v>
          </cell>
          <cell r="G2234">
            <v>1727354</v>
          </cell>
          <cell r="H2234">
            <v>37779788</v>
          </cell>
          <cell r="I2234">
            <v>75529576</v>
          </cell>
          <cell r="J2234">
            <v>0</v>
          </cell>
        </row>
        <row r="2235">
          <cell r="B2235" t="str">
            <v>5-7214</v>
          </cell>
          <cell r="C2235" t="str">
            <v>Temporary Labour Salary</v>
          </cell>
          <cell r="D2235">
            <v>6712399</v>
          </cell>
          <cell r="E2235">
            <v>0</v>
          </cell>
          <cell r="F2235">
            <v>10989684</v>
          </cell>
          <cell r="G2235">
            <v>0</v>
          </cell>
          <cell r="H2235">
            <v>10989684</v>
          </cell>
          <cell r="I2235">
            <v>17702083</v>
          </cell>
          <cell r="J2235">
            <v>0</v>
          </cell>
        </row>
        <row r="2236">
          <cell r="B2236" t="str">
            <v>5-7215</v>
          </cell>
          <cell r="C2236" t="str">
            <v>Honorarium santri Khidmah</v>
          </cell>
          <cell r="D2236">
            <v>0</v>
          </cell>
          <cell r="E2236">
            <v>0</v>
          </cell>
          <cell r="F2236">
            <v>0</v>
          </cell>
          <cell r="G2236">
            <v>0</v>
          </cell>
          <cell r="H2236">
            <v>0</v>
          </cell>
          <cell r="I2236">
            <v>0</v>
          </cell>
          <cell r="J2236">
            <v>0</v>
          </cell>
        </row>
        <row r="2237">
          <cell r="B2237" t="str">
            <v>5-7216</v>
          </cell>
          <cell r="C2237" t="str">
            <v>Staff overtime</v>
          </cell>
          <cell r="D2237">
            <v>0</v>
          </cell>
          <cell r="E2237">
            <v>0</v>
          </cell>
          <cell r="F2237">
            <v>1727354</v>
          </cell>
          <cell r="G2237">
            <v>0</v>
          </cell>
          <cell r="H2237">
            <v>1727354</v>
          </cell>
          <cell r="I2237">
            <v>1727354</v>
          </cell>
          <cell r="J2237">
            <v>0</v>
          </cell>
        </row>
        <row r="2238">
          <cell r="B2238" t="str">
            <v>5-7217</v>
          </cell>
          <cell r="C2238" t="str">
            <v>Joint Salary Allocation</v>
          </cell>
          <cell r="D2238">
            <v>0</v>
          </cell>
          <cell r="E2238">
            <v>0</v>
          </cell>
          <cell r="F2238">
            <v>0</v>
          </cell>
          <cell r="G2238">
            <v>0</v>
          </cell>
          <cell r="H2238">
            <v>0</v>
          </cell>
          <cell r="I2238">
            <v>0</v>
          </cell>
          <cell r="J2238">
            <v>0</v>
          </cell>
        </row>
        <row r="2239">
          <cell r="B2239" t="str">
            <v>5-7219</v>
          </cell>
          <cell r="C2239" t="str">
            <v>Others Salary</v>
          </cell>
          <cell r="D2239">
            <v>0</v>
          </cell>
          <cell r="E2239">
            <v>0</v>
          </cell>
          <cell r="F2239">
            <v>0</v>
          </cell>
          <cell r="G2239">
            <v>0</v>
          </cell>
          <cell r="H2239">
            <v>0</v>
          </cell>
          <cell r="I2239">
            <v>0</v>
          </cell>
          <cell r="J2239">
            <v>0</v>
          </cell>
        </row>
        <row r="2240">
          <cell r="B2240" t="str">
            <v>5-7220</v>
          </cell>
          <cell r="C2240" t="str">
            <v>PERSONAL - ALLOWANCE OF</v>
          </cell>
          <cell r="D2240">
            <v>0</v>
          </cell>
          <cell r="E2240">
            <v>0</v>
          </cell>
          <cell r="F2240">
            <v>0</v>
          </cell>
          <cell r="G2240">
            <v>0</v>
          </cell>
          <cell r="H2240">
            <v>0</v>
          </cell>
          <cell r="I2240">
            <v>0</v>
          </cell>
          <cell r="J2240">
            <v>0</v>
          </cell>
        </row>
        <row r="2241">
          <cell r="B2241" t="str">
            <v>5-7221</v>
          </cell>
          <cell r="C2241" t="str">
            <v>Allowance of Hulled Rice</v>
          </cell>
          <cell r="D2241">
            <v>4317200</v>
          </cell>
          <cell r="E2241">
            <v>0</v>
          </cell>
          <cell r="F2241">
            <v>4860000</v>
          </cell>
          <cell r="G2241">
            <v>0</v>
          </cell>
          <cell r="H2241">
            <v>4860000</v>
          </cell>
          <cell r="I2241">
            <v>9177200</v>
          </cell>
          <cell r="J2241">
            <v>0</v>
          </cell>
        </row>
        <row r="2242">
          <cell r="B2242" t="str">
            <v>5-7222</v>
          </cell>
          <cell r="C2242" t="str">
            <v>Alowance of doctor and medicin</v>
          </cell>
          <cell r="D2242">
            <v>28800</v>
          </cell>
          <cell r="E2242">
            <v>0</v>
          </cell>
          <cell r="F2242">
            <v>128117.3</v>
          </cell>
          <cell r="G2242">
            <v>0</v>
          </cell>
          <cell r="H2242">
            <v>128117.3</v>
          </cell>
          <cell r="I2242">
            <v>156917.29999999999</v>
          </cell>
          <cell r="J2242">
            <v>0</v>
          </cell>
        </row>
        <row r="2243">
          <cell r="B2243" t="str">
            <v>5-7223</v>
          </cell>
          <cell r="C2243" t="str">
            <v>Alowance of spectacles</v>
          </cell>
          <cell r="D2243">
            <v>0</v>
          </cell>
          <cell r="E2243">
            <v>0</v>
          </cell>
          <cell r="F2243">
            <v>0</v>
          </cell>
          <cell r="G2243">
            <v>0</v>
          </cell>
          <cell r="H2243">
            <v>0</v>
          </cell>
          <cell r="I2243">
            <v>0</v>
          </cell>
          <cell r="J2243">
            <v>0</v>
          </cell>
        </row>
        <row r="2244">
          <cell r="B2244" t="str">
            <v>5-7224</v>
          </cell>
          <cell r="C2244" t="str">
            <v>Allowance of operation&amp;hospita</v>
          </cell>
          <cell r="D2244">
            <v>0</v>
          </cell>
          <cell r="E2244">
            <v>0</v>
          </cell>
          <cell r="F2244">
            <v>0</v>
          </cell>
          <cell r="G2244">
            <v>0</v>
          </cell>
          <cell r="H2244">
            <v>0</v>
          </cell>
          <cell r="I2244">
            <v>0</v>
          </cell>
          <cell r="J2244">
            <v>0</v>
          </cell>
        </row>
        <row r="2245">
          <cell r="B2245" t="str">
            <v>5-7225</v>
          </cell>
          <cell r="C2245" t="str">
            <v>Allowance of disaster &amp; die</v>
          </cell>
          <cell r="D2245">
            <v>0</v>
          </cell>
          <cell r="E2245">
            <v>0</v>
          </cell>
          <cell r="F2245">
            <v>0</v>
          </cell>
          <cell r="G2245">
            <v>0</v>
          </cell>
          <cell r="H2245">
            <v>0</v>
          </cell>
          <cell r="I2245">
            <v>0</v>
          </cell>
          <cell r="J2245">
            <v>0</v>
          </cell>
        </row>
        <row r="2246">
          <cell r="B2246" t="str">
            <v>5-7226</v>
          </cell>
          <cell r="C2246" t="str">
            <v>Allowance of hari raya</v>
          </cell>
          <cell r="D2246">
            <v>42257987</v>
          </cell>
          <cell r="E2246">
            <v>0</v>
          </cell>
          <cell r="F2246">
            <v>0</v>
          </cell>
          <cell r="G2246">
            <v>0</v>
          </cell>
          <cell r="H2246">
            <v>0</v>
          </cell>
          <cell r="I2246">
            <v>42257987</v>
          </cell>
          <cell r="J2246">
            <v>0</v>
          </cell>
        </row>
        <row r="2247">
          <cell r="B2247" t="str">
            <v>5-7227</v>
          </cell>
          <cell r="C2247" t="str">
            <v>Allowance of birth</v>
          </cell>
          <cell r="D2247">
            <v>0</v>
          </cell>
          <cell r="E2247">
            <v>0</v>
          </cell>
          <cell r="F2247">
            <v>400000</v>
          </cell>
          <cell r="G2247">
            <v>0</v>
          </cell>
          <cell r="H2247">
            <v>400000</v>
          </cell>
          <cell r="I2247">
            <v>400000</v>
          </cell>
          <cell r="J2247">
            <v>0</v>
          </cell>
        </row>
        <row r="2248">
          <cell r="B2248" t="str">
            <v>5-7228</v>
          </cell>
          <cell r="C2248" t="str">
            <v>Allowance of married</v>
          </cell>
          <cell r="D2248">
            <v>0</v>
          </cell>
          <cell r="E2248">
            <v>0</v>
          </cell>
          <cell r="F2248">
            <v>0</v>
          </cell>
          <cell r="G2248">
            <v>0</v>
          </cell>
          <cell r="H2248">
            <v>0</v>
          </cell>
          <cell r="I2248">
            <v>0</v>
          </cell>
          <cell r="J2248">
            <v>0</v>
          </cell>
        </row>
        <row r="2249">
          <cell r="B2249" t="str">
            <v>5-7229</v>
          </cell>
          <cell r="C2249" t="str">
            <v>Allowance of house rent&amp;others</v>
          </cell>
          <cell r="D2249">
            <v>0</v>
          </cell>
          <cell r="E2249">
            <v>0</v>
          </cell>
          <cell r="F2249">
            <v>0</v>
          </cell>
          <cell r="G2249">
            <v>0</v>
          </cell>
          <cell r="H2249">
            <v>0</v>
          </cell>
          <cell r="I2249">
            <v>0</v>
          </cell>
          <cell r="J2249">
            <v>0</v>
          </cell>
        </row>
        <row r="2250">
          <cell r="B2250" t="str">
            <v>5-7230</v>
          </cell>
          <cell r="C2250" t="str">
            <v>OFFICE</v>
          </cell>
          <cell r="D2250">
            <v>0</v>
          </cell>
          <cell r="E2250">
            <v>0</v>
          </cell>
          <cell r="F2250">
            <v>0</v>
          </cell>
          <cell r="G2250">
            <v>0</v>
          </cell>
          <cell r="H2250">
            <v>0</v>
          </cell>
          <cell r="I2250">
            <v>0</v>
          </cell>
          <cell r="J2250">
            <v>0</v>
          </cell>
        </row>
        <row r="2251">
          <cell r="B2251" t="str">
            <v>5-7231</v>
          </cell>
          <cell r="C2251" t="str">
            <v>Stationary papers</v>
          </cell>
          <cell r="D2251">
            <v>0</v>
          </cell>
          <cell r="E2251">
            <v>0</v>
          </cell>
          <cell r="F2251">
            <v>0</v>
          </cell>
          <cell r="G2251">
            <v>0</v>
          </cell>
          <cell r="H2251">
            <v>0</v>
          </cell>
          <cell r="I2251">
            <v>0</v>
          </cell>
          <cell r="J2251">
            <v>0</v>
          </cell>
        </row>
        <row r="2252">
          <cell r="B2252" t="str">
            <v>5-7232</v>
          </cell>
          <cell r="C2252" t="str">
            <v>Stationary written toolls</v>
          </cell>
          <cell r="D2252">
            <v>0</v>
          </cell>
          <cell r="E2252">
            <v>0</v>
          </cell>
          <cell r="F2252">
            <v>0</v>
          </cell>
          <cell r="G2252">
            <v>0</v>
          </cell>
          <cell r="H2252">
            <v>0</v>
          </cell>
          <cell r="I2252">
            <v>0</v>
          </cell>
          <cell r="J2252">
            <v>0</v>
          </cell>
        </row>
        <row r="2253">
          <cell r="B2253" t="str">
            <v>5-7233</v>
          </cell>
          <cell r="C2253" t="str">
            <v>Stationary Others</v>
          </cell>
          <cell r="D2253">
            <v>0</v>
          </cell>
          <cell r="E2253">
            <v>0</v>
          </cell>
          <cell r="F2253">
            <v>0</v>
          </cell>
          <cell r="G2253">
            <v>0</v>
          </cell>
          <cell r="H2253">
            <v>0</v>
          </cell>
          <cell r="I2253">
            <v>0</v>
          </cell>
          <cell r="J2253">
            <v>0</v>
          </cell>
        </row>
        <row r="2254">
          <cell r="B2254" t="str">
            <v>5-7234</v>
          </cell>
          <cell r="C2254" t="str">
            <v>Consumptions</v>
          </cell>
          <cell r="D2254">
            <v>0</v>
          </cell>
          <cell r="E2254">
            <v>0</v>
          </cell>
          <cell r="F2254">
            <v>0</v>
          </cell>
          <cell r="G2254">
            <v>0</v>
          </cell>
          <cell r="H2254">
            <v>0</v>
          </cell>
          <cell r="I2254">
            <v>0</v>
          </cell>
          <cell r="J2254">
            <v>0</v>
          </cell>
        </row>
        <row r="2255">
          <cell r="B2255" t="str">
            <v>5-7235</v>
          </cell>
          <cell r="C2255" t="str">
            <v>Fotocopy &amp; Printing</v>
          </cell>
          <cell r="D2255">
            <v>0</v>
          </cell>
          <cell r="E2255">
            <v>0</v>
          </cell>
          <cell r="F2255">
            <v>0</v>
          </cell>
          <cell r="G2255">
            <v>0</v>
          </cell>
          <cell r="H2255">
            <v>0</v>
          </cell>
          <cell r="I2255">
            <v>0</v>
          </cell>
          <cell r="J2255">
            <v>0</v>
          </cell>
        </row>
        <row r="2256">
          <cell r="B2256" t="str">
            <v>5-7236</v>
          </cell>
          <cell r="C2256" t="str">
            <v>Office Suplies</v>
          </cell>
          <cell r="D2256">
            <v>0</v>
          </cell>
          <cell r="E2256">
            <v>0</v>
          </cell>
          <cell r="F2256">
            <v>1450000</v>
          </cell>
          <cell r="G2256">
            <v>0</v>
          </cell>
          <cell r="H2256">
            <v>1450000</v>
          </cell>
          <cell r="I2256">
            <v>1450000</v>
          </cell>
          <cell r="J2256">
            <v>0</v>
          </cell>
        </row>
        <row r="2257">
          <cell r="B2257" t="str">
            <v>5-7239</v>
          </cell>
          <cell r="C2257" t="str">
            <v>Others</v>
          </cell>
          <cell r="D2257">
            <v>0</v>
          </cell>
          <cell r="E2257">
            <v>0</v>
          </cell>
          <cell r="F2257">
            <v>0</v>
          </cell>
          <cell r="G2257">
            <v>0</v>
          </cell>
          <cell r="H2257">
            <v>0</v>
          </cell>
          <cell r="I2257">
            <v>0</v>
          </cell>
          <cell r="J2257">
            <v>0</v>
          </cell>
        </row>
        <row r="2258">
          <cell r="B2258" t="str">
            <v>5-7240</v>
          </cell>
          <cell r="C2258" t="str">
            <v>TRANSPORTATION &amp; TELECOMUNICAT</v>
          </cell>
          <cell r="D2258">
            <v>0</v>
          </cell>
          <cell r="E2258">
            <v>0</v>
          </cell>
          <cell r="F2258">
            <v>0</v>
          </cell>
          <cell r="G2258">
            <v>0</v>
          </cell>
          <cell r="H2258">
            <v>0</v>
          </cell>
          <cell r="I2258">
            <v>0</v>
          </cell>
          <cell r="J2258">
            <v>0</v>
          </cell>
        </row>
        <row r="2259">
          <cell r="B2259" t="str">
            <v>5-7241</v>
          </cell>
          <cell r="C2259" t="str">
            <v>Mail &amp; Shipment</v>
          </cell>
          <cell r="D2259">
            <v>0</v>
          </cell>
          <cell r="E2259">
            <v>0</v>
          </cell>
          <cell r="F2259">
            <v>0</v>
          </cell>
          <cell r="G2259">
            <v>0</v>
          </cell>
          <cell r="H2259">
            <v>0</v>
          </cell>
          <cell r="I2259">
            <v>0</v>
          </cell>
          <cell r="J2259">
            <v>0</v>
          </cell>
        </row>
        <row r="2260">
          <cell r="B2260" t="str">
            <v>5-7242</v>
          </cell>
          <cell r="C2260" t="str">
            <v>Telephone</v>
          </cell>
          <cell r="D2260">
            <v>0</v>
          </cell>
          <cell r="E2260">
            <v>0</v>
          </cell>
          <cell r="F2260">
            <v>0</v>
          </cell>
          <cell r="G2260">
            <v>0</v>
          </cell>
          <cell r="H2260">
            <v>0</v>
          </cell>
          <cell r="I2260">
            <v>0</v>
          </cell>
          <cell r="J2260">
            <v>0</v>
          </cell>
        </row>
        <row r="2261">
          <cell r="B2261" t="str">
            <v>5-7243</v>
          </cell>
          <cell r="C2261" t="str">
            <v>Fuel</v>
          </cell>
          <cell r="D2261">
            <v>0</v>
          </cell>
          <cell r="E2261">
            <v>0</v>
          </cell>
          <cell r="F2261">
            <v>362000</v>
          </cell>
          <cell r="G2261">
            <v>0</v>
          </cell>
          <cell r="H2261">
            <v>362000</v>
          </cell>
          <cell r="I2261">
            <v>362000</v>
          </cell>
          <cell r="J2261">
            <v>0</v>
          </cell>
        </row>
        <row r="2262">
          <cell r="B2262" t="str">
            <v>5-7244</v>
          </cell>
          <cell r="C2262" t="str">
            <v>Toll &amp; Parking</v>
          </cell>
          <cell r="D2262">
            <v>0</v>
          </cell>
          <cell r="E2262">
            <v>0</v>
          </cell>
          <cell r="F2262">
            <v>0</v>
          </cell>
          <cell r="G2262">
            <v>0</v>
          </cell>
          <cell r="H2262">
            <v>0</v>
          </cell>
          <cell r="I2262">
            <v>0</v>
          </cell>
          <cell r="J2262">
            <v>0</v>
          </cell>
        </row>
        <row r="2263">
          <cell r="B2263" t="str">
            <v>5-7245</v>
          </cell>
          <cell r="C2263" t="str">
            <v>Accommodations</v>
          </cell>
          <cell r="D2263">
            <v>0</v>
          </cell>
          <cell r="E2263">
            <v>0</v>
          </cell>
          <cell r="F2263">
            <v>0</v>
          </cell>
          <cell r="G2263">
            <v>0</v>
          </cell>
          <cell r="H2263">
            <v>0</v>
          </cell>
          <cell r="I2263">
            <v>0</v>
          </cell>
          <cell r="J2263">
            <v>0</v>
          </cell>
        </row>
        <row r="2264">
          <cell r="B2264" t="str">
            <v>5-7246</v>
          </cell>
          <cell r="C2264" t="str">
            <v>Public Tranportation</v>
          </cell>
          <cell r="D2264">
            <v>0</v>
          </cell>
          <cell r="E2264">
            <v>0</v>
          </cell>
          <cell r="F2264">
            <v>1232000</v>
          </cell>
          <cell r="G2264">
            <v>0</v>
          </cell>
          <cell r="H2264">
            <v>1232000</v>
          </cell>
          <cell r="I2264">
            <v>1232000</v>
          </cell>
          <cell r="J2264">
            <v>0</v>
          </cell>
        </row>
        <row r="2265">
          <cell r="B2265" t="str">
            <v>5-7247</v>
          </cell>
          <cell r="C2265" t="str">
            <v>Joint Transportation Allocatio</v>
          </cell>
          <cell r="D2265">
            <v>0</v>
          </cell>
          <cell r="E2265">
            <v>0</v>
          </cell>
          <cell r="F2265">
            <v>0</v>
          </cell>
          <cell r="G2265">
            <v>0</v>
          </cell>
          <cell r="H2265">
            <v>0</v>
          </cell>
          <cell r="I2265">
            <v>0</v>
          </cell>
          <cell r="J2265">
            <v>0</v>
          </cell>
        </row>
        <row r="2266">
          <cell r="B2266" t="str">
            <v>5-7249</v>
          </cell>
          <cell r="C2266" t="str">
            <v>Others</v>
          </cell>
          <cell r="D2266">
            <v>0</v>
          </cell>
          <cell r="E2266">
            <v>0</v>
          </cell>
          <cell r="F2266">
            <v>0</v>
          </cell>
          <cell r="G2266">
            <v>0</v>
          </cell>
          <cell r="H2266">
            <v>0</v>
          </cell>
          <cell r="I2266">
            <v>0</v>
          </cell>
          <cell r="J2266">
            <v>0</v>
          </cell>
        </row>
        <row r="2267">
          <cell r="B2267" t="str">
            <v>5-7250</v>
          </cell>
          <cell r="C2267" t="str">
            <v>REPAIR &amp; MAINTENENCE</v>
          </cell>
          <cell r="D2267">
            <v>0</v>
          </cell>
          <cell r="E2267">
            <v>0</v>
          </cell>
          <cell r="F2267">
            <v>0</v>
          </cell>
          <cell r="G2267">
            <v>0</v>
          </cell>
          <cell r="H2267">
            <v>0</v>
          </cell>
          <cell r="I2267">
            <v>0</v>
          </cell>
          <cell r="J2267">
            <v>0</v>
          </cell>
        </row>
        <row r="2268">
          <cell r="B2268" t="str">
            <v>5-7251</v>
          </cell>
          <cell r="C2268" t="str">
            <v>R &amp; M - Computer &amp; audio visua</v>
          </cell>
          <cell r="D2268">
            <v>0</v>
          </cell>
          <cell r="E2268">
            <v>0</v>
          </cell>
          <cell r="F2268">
            <v>0</v>
          </cell>
          <cell r="G2268">
            <v>0</v>
          </cell>
          <cell r="H2268">
            <v>0</v>
          </cell>
          <cell r="I2268">
            <v>0</v>
          </cell>
          <cell r="J2268">
            <v>0</v>
          </cell>
        </row>
        <row r="2269">
          <cell r="B2269" t="str">
            <v>5-7252</v>
          </cell>
          <cell r="C2269" t="str">
            <v>R &amp; M - Telephone &amp; Faxs</v>
          </cell>
          <cell r="D2269">
            <v>0</v>
          </cell>
          <cell r="E2269">
            <v>0</v>
          </cell>
          <cell r="F2269">
            <v>0</v>
          </cell>
          <cell r="G2269">
            <v>0</v>
          </cell>
          <cell r="H2269">
            <v>0</v>
          </cell>
          <cell r="I2269">
            <v>0</v>
          </cell>
          <cell r="J2269">
            <v>0</v>
          </cell>
        </row>
        <row r="2270">
          <cell r="B2270" t="str">
            <v>5-7253</v>
          </cell>
          <cell r="C2270" t="str">
            <v>R &amp; M - Office Eqiupment</v>
          </cell>
          <cell r="D2270">
            <v>0</v>
          </cell>
          <cell r="E2270">
            <v>0</v>
          </cell>
          <cell r="F2270">
            <v>0</v>
          </cell>
          <cell r="G2270">
            <v>0</v>
          </cell>
          <cell r="H2270">
            <v>0</v>
          </cell>
          <cell r="I2270">
            <v>0</v>
          </cell>
          <cell r="J2270">
            <v>0</v>
          </cell>
        </row>
        <row r="2271">
          <cell r="B2271" t="str">
            <v>5-7254</v>
          </cell>
          <cell r="C2271" t="str">
            <v>R &amp; M - Cleaning Eqiupment</v>
          </cell>
          <cell r="D2271">
            <v>0</v>
          </cell>
          <cell r="E2271">
            <v>0</v>
          </cell>
          <cell r="F2271">
            <v>0</v>
          </cell>
          <cell r="G2271">
            <v>0</v>
          </cell>
          <cell r="H2271">
            <v>0</v>
          </cell>
          <cell r="I2271">
            <v>0</v>
          </cell>
          <cell r="J2271">
            <v>0</v>
          </cell>
        </row>
        <row r="2272">
          <cell r="B2272" t="str">
            <v>5-7255</v>
          </cell>
          <cell r="C2272" t="str">
            <v>R &amp; M - Other Eqiupment</v>
          </cell>
          <cell r="D2272">
            <v>0</v>
          </cell>
          <cell r="E2272">
            <v>0</v>
          </cell>
          <cell r="F2272">
            <v>0</v>
          </cell>
          <cell r="G2272">
            <v>0</v>
          </cell>
          <cell r="H2272">
            <v>0</v>
          </cell>
          <cell r="I2272">
            <v>0</v>
          </cell>
          <cell r="J2272">
            <v>0</v>
          </cell>
        </row>
        <row r="2273">
          <cell r="B2273" t="str">
            <v>5-7256</v>
          </cell>
          <cell r="C2273" t="str">
            <v>R &amp; M - Table &amp; Chairs</v>
          </cell>
          <cell r="D2273">
            <v>0</v>
          </cell>
          <cell r="E2273">
            <v>0</v>
          </cell>
          <cell r="F2273">
            <v>0</v>
          </cell>
          <cell r="G2273">
            <v>0</v>
          </cell>
          <cell r="H2273">
            <v>0</v>
          </cell>
          <cell r="I2273">
            <v>0</v>
          </cell>
          <cell r="J2273">
            <v>0</v>
          </cell>
        </row>
        <row r="2274">
          <cell r="B2274" t="str">
            <v>5-7257</v>
          </cell>
          <cell r="C2274" t="str">
            <v>R &amp; M - Cupboard &amp; Rack</v>
          </cell>
          <cell r="D2274">
            <v>0</v>
          </cell>
          <cell r="E2274">
            <v>0</v>
          </cell>
          <cell r="F2274">
            <v>0</v>
          </cell>
          <cell r="G2274">
            <v>0</v>
          </cell>
          <cell r="H2274">
            <v>0</v>
          </cell>
          <cell r="I2274">
            <v>0</v>
          </cell>
          <cell r="J2274">
            <v>0</v>
          </cell>
        </row>
        <row r="2275">
          <cell r="B2275" t="str">
            <v>5-7258</v>
          </cell>
          <cell r="C2275" t="str">
            <v>R &amp; M - Other Furniture</v>
          </cell>
          <cell r="D2275">
            <v>0</v>
          </cell>
          <cell r="E2275">
            <v>0</v>
          </cell>
          <cell r="F2275">
            <v>0</v>
          </cell>
          <cell r="G2275">
            <v>0</v>
          </cell>
          <cell r="H2275">
            <v>0</v>
          </cell>
          <cell r="I2275">
            <v>0</v>
          </cell>
          <cell r="J2275">
            <v>0</v>
          </cell>
        </row>
        <row r="2276">
          <cell r="B2276" t="str">
            <v>5-7259</v>
          </cell>
          <cell r="C2276" t="str">
            <v>Others &amp; Sedot WC</v>
          </cell>
          <cell r="D2276">
            <v>0</v>
          </cell>
          <cell r="E2276">
            <v>0</v>
          </cell>
          <cell r="F2276">
            <v>0</v>
          </cell>
          <cell r="G2276">
            <v>0</v>
          </cell>
          <cell r="H2276">
            <v>0</v>
          </cell>
          <cell r="I2276">
            <v>0</v>
          </cell>
          <cell r="J2276">
            <v>0</v>
          </cell>
        </row>
        <row r="2277">
          <cell r="B2277" t="str">
            <v>5-7260</v>
          </cell>
          <cell r="C2277" t="str">
            <v>PERLENGKAPAN &amp; BAHAN KEBERSIHA</v>
          </cell>
          <cell r="D2277">
            <v>0</v>
          </cell>
          <cell r="E2277">
            <v>0</v>
          </cell>
          <cell r="F2277">
            <v>0</v>
          </cell>
          <cell r="G2277">
            <v>0</v>
          </cell>
          <cell r="H2277">
            <v>0</v>
          </cell>
          <cell r="I2277">
            <v>0</v>
          </cell>
          <cell r="J2277">
            <v>0</v>
          </cell>
        </row>
        <row r="2278">
          <cell r="B2278" t="str">
            <v>5-7261</v>
          </cell>
          <cell r="C2278" t="str">
            <v>Broom</v>
          </cell>
          <cell r="D2278">
            <v>0</v>
          </cell>
          <cell r="E2278">
            <v>0</v>
          </cell>
          <cell r="F2278">
            <v>4332600</v>
          </cell>
          <cell r="G2278">
            <v>0</v>
          </cell>
          <cell r="H2278">
            <v>4332600</v>
          </cell>
          <cell r="I2278">
            <v>4332600</v>
          </cell>
          <cell r="J2278">
            <v>0</v>
          </cell>
        </row>
        <row r="2279">
          <cell r="B2279" t="str">
            <v>5-7262</v>
          </cell>
          <cell r="C2279" t="str">
            <v>Mop</v>
          </cell>
          <cell r="D2279">
            <v>0</v>
          </cell>
          <cell r="E2279">
            <v>0</v>
          </cell>
          <cell r="F2279">
            <v>497800</v>
          </cell>
          <cell r="G2279">
            <v>0</v>
          </cell>
          <cell r="H2279">
            <v>497800</v>
          </cell>
          <cell r="I2279">
            <v>497800</v>
          </cell>
          <cell r="J2279">
            <v>0</v>
          </cell>
        </row>
        <row r="2280">
          <cell r="B2280" t="str">
            <v>5-7263</v>
          </cell>
          <cell r="C2280" t="str">
            <v>Mop Linen</v>
          </cell>
          <cell r="D2280">
            <v>0</v>
          </cell>
          <cell r="E2280">
            <v>0</v>
          </cell>
          <cell r="F2280">
            <v>49000</v>
          </cell>
          <cell r="G2280">
            <v>0</v>
          </cell>
          <cell r="H2280">
            <v>49000</v>
          </cell>
          <cell r="I2280">
            <v>49000</v>
          </cell>
          <cell r="J2280">
            <v>0</v>
          </cell>
        </row>
        <row r="2281">
          <cell r="B2281" t="str">
            <v>5-7264</v>
          </cell>
          <cell r="C2281" t="str">
            <v>Floor cleaner material</v>
          </cell>
          <cell r="D2281">
            <v>0</v>
          </cell>
          <cell r="E2281">
            <v>0</v>
          </cell>
          <cell r="F2281">
            <v>809300</v>
          </cell>
          <cell r="G2281">
            <v>0</v>
          </cell>
          <cell r="H2281">
            <v>809300</v>
          </cell>
          <cell r="I2281">
            <v>809300</v>
          </cell>
          <cell r="J2281">
            <v>0</v>
          </cell>
        </row>
        <row r="2282">
          <cell r="B2282" t="str">
            <v>5-7265</v>
          </cell>
          <cell r="C2282" t="str">
            <v>Freshener</v>
          </cell>
          <cell r="D2282">
            <v>0</v>
          </cell>
          <cell r="E2282">
            <v>0</v>
          </cell>
          <cell r="F2282">
            <v>322900</v>
          </cell>
          <cell r="G2282">
            <v>0</v>
          </cell>
          <cell r="H2282">
            <v>322900</v>
          </cell>
          <cell r="I2282">
            <v>322900</v>
          </cell>
          <cell r="J2282">
            <v>0</v>
          </cell>
        </row>
        <row r="2283">
          <cell r="B2283" t="str">
            <v>5-7266</v>
          </cell>
          <cell r="C2283" t="str">
            <v>Tempat sampah</v>
          </cell>
          <cell r="D2283">
            <v>0</v>
          </cell>
          <cell r="E2283">
            <v>0</v>
          </cell>
          <cell r="F2283">
            <v>3315500</v>
          </cell>
          <cell r="G2283">
            <v>0</v>
          </cell>
          <cell r="H2283">
            <v>3315500</v>
          </cell>
          <cell r="I2283">
            <v>3315500</v>
          </cell>
          <cell r="J2283">
            <v>0</v>
          </cell>
        </row>
        <row r="2284">
          <cell r="B2284" t="str">
            <v>5-7269</v>
          </cell>
          <cell r="C2284" t="str">
            <v>Others</v>
          </cell>
          <cell r="D2284">
            <v>0</v>
          </cell>
          <cell r="E2284">
            <v>0</v>
          </cell>
          <cell r="F2284">
            <v>0</v>
          </cell>
          <cell r="G2284">
            <v>0</v>
          </cell>
          <cell r="H2284">
            <v>0</v>
          </cell>
          <cell r="I2284">
            <v>0</v>
          </cell>
          <cell r="J2284">
            <v>0</v>
          </cell>
        </row>
        <row r="2285">
          <cell r="B2285" t="str">
            <v>5-7290</v>
          </cell>
          <cell r="C2285" t="str">
            <v>LAIN-LAIN</v>
          </cell>
          <cell r="D2285">
            <v>0</v>
          </cell>
          <cell r="E2285">
            <v>0</v>
          </cell>
          <cell r="F2285">
            <v>0</v>
          </cell>
          <cell r="G2285">
            <v>0</v>
          </cell>
          <cell r="H2285">
            <v>0</v>
          </cell>
          <cell r="I2285">
            <v>0</v>
          </cell>
          <cell r="J2285">
            <v>0</v>
          </cell>
        </row>
        <row r="2286">
          <cell r="B2286" t="str">
            <v>5-7291</v>
          </cell>
          <cell r="C2286" t="str">
            <v>Profesional Fee</v>
          </cell>
          <cell r="D2286">
            <v>0</v>
          </cell>
          <cell r="E2286">
            <v>0</v>
          </cell>
          <cell r="F2286">
            <v>0</v>
          </cell>
          <cell r="G2286">
            <v>0</v>
          </cell>
          <cell r="H2286">
            <v>0</v>
          </cell>
          <cell r="I2286">
            <v>0</v>
          </cell>
          <cell r="J2286">
            <v>0</v>
          </cell>
        </row>
        <row r="2287">
          <cell r="B2287" t="str">
            <v>5-7310</v>
          </cell>
          <cell r="C2287" t="str">
            <v>CLASS &amp; BOARDING</v>
          </cell>
          <cell r="D2287">
            <v>0</v>
          </cell>
          <cell r="E2287">
            <v>0</v>
          </cell>
          <cell r="F2287">
            <v>0</v>
          </cell>
          <cell r="G2287">
            <v>0</v>
          </cell>
          <cell r="H2287">
            <v>0</v>
          </cell>
          <cell r="I2287">
            <v>0</v>
          </cell>
          <cell r="J2287">
            <v>0</v>
          </cell>
        </row>
        <row r="2288">
          <cell r="B2288" t="str">
            <v>5-7311</v>
          </cell>
          <cell r="C2288" t="str">
            <v>Class R &amp; M - Wages</v>
          </cell>
          <cell r="D2288">
            <v>0</v>
          </cell>
          <cell r="E2288">
            <v>0</v>
          </cell>
          <cell r="F2288">
            <v>1367834</v>
          </cell>
          <cell r="G2288">
            <v>0</v>
          </cell>
          <cell r="H2288">
            <v>1367834</v>
          </cell>
          <cell r="I2288">
            <v>1367834</v>
          </cell>
          <cell r="J2288">
            <v>0</v>
          </cell>
        </row>
        <row r="2289">
          <cell r="B2289" t="str">
            <v>5-7312</v>
          </cell>
          <cell r="C2289" t="str">
            <v>Class R &amp; M - Building Materia</v>
          </cell>
          <cell r="D2289">
            <v>0</v>
          </cell>
          <cell r="E2289">
            <v>0</v>
          </cell>
          <cell r="F2289">
            <v>517000</v>
          </cell>
          <cell r="G2289">
            <v>0</v>
          </cell>
          <cell r="H2289">
            <v>517000</v>
          </cell>
          <cell r="I2289">
            <v>517000</v>
          </cell>
          <cell r="J2289">
            <v>0</v>
          </cell>
        </row>
        <row r="2290">
          <cell r="B2290" t="str">
            <v>5-7313</v>
          </cell>
          <cell r="C2290" t="str">
            <v>Class R &amp; M -Ventilation&amp; door</v>
          </cell>
          <cell r="D2290">
            <v>0</v>
          </cell>
          <cell r="E2290">
            <v>0</v>
          </cell>
          <cell r="F2290">
            <v>0</v>
          </cell>
          <cell r="G2290">
            <v>0</v>
          </cell>
          <cell r="H2290">
            <v>0</v>
          </cell>
          <cell r="I2290">
            <v>0</v>
          </cell>
          <cell r="J2290">
            <v>0</v>
          </cell>
        </row>
        <row r="2291">
          <cell r="B2291" t="str">
            <v>5-7314</v>
          </cell>
          <cell r="C2291" t="str">
            <v>Class R &amp; M - Others</v>
          </cell>
          <cell r="D2291">
            <v>0</v>
          </cell>
          <cell r="E2291">
            <v>0</v>
          </cell>
          <cell r="F2291">
            <v>0</v>
          </cell>
          <cell r="G2291">
            <v>0</v>
          </cell>
          <cell r="H2291">
            <v>0</v>
          </cell>
          <cell r="I2291">
            <v>0</v>
          </cell>
          <cell r="J2291">
            <v>0</v>
          </cell>
        </row>
        <row r="2292">
          <cell r="B2292" t="str">
            <v>5-7315</v>
          </cell>
          <cell r="C2292" t="str">
            <v>Boarding R &amp; M - Wages</v>
          </cell>
          <cell r="D2292">
            <v>0</v>
          </cell>
          <cell r="E2292">
            <v>0</v>
          </cell>
          <cell r="F2292">
            <v>900000</v>
          </cell>
          <cell r="G2292">
            <v>0</v>
          </cell>
          <cell r="H2292">
            <v>900000</v>
          </cell>
          <cell r="I2292">
            <v>900000</v>
          </cell>
          <cell r="J2292">
            <v>0</v>
          </cell>
        </row>
        <row r="2293">
          <cell r="B2293" t="str">
            <v>5-7316</v>
          </cell>
          <cell r="C2293" t="str">
            <v>Boarding R &amp; M-Building Materi</v>
          </cell>
          <cell r="D2293">
            <v>0</v>
          </cell>
          <cell r="E2293">
            <v>0</v>
          </cell>
          <cell r="F2293">
            <v>9351600</v>
          </cell>
          <cell r="G2293">
            <v>0</v>
          </cell>
          <cell r="H2293">
            <v>9351600</v>
          </cell>
          <cell r="I2293">
            <v>9351600</v>
          </cell>
          <cell r="J2293">
            <v>0</v>
          </cell>
        </row>
        <row r="2294">
          <cell r="B2294" t="str">
            <v>5-7317</v>
          </cell>
          <cell r="C2294" t="str">
            <v>Boardin R &amp;M -Ventilation&amp;door</v>
          </cell>
          <cell r="D2294">
            <v>0</v>
          </cell>
          <cell r="E2294">
            <v>0</v>
          </cell>
          <cell r="F2294">
            <v>0</v>
          </cell>
          <cell r="G2294">
            <v>0</v>
          </cell>
          <cell r="H2294">
            <v>0</v>
          </cell>
          <cell r="I2294">
            <v>0</v>
          </cell>
          <cell r="J2294">
            <v>0</v>
          </cell>
        </row>
        <row r="2295">
          <cell r="B2295" t="str">
            <v>5-7318</v>
          </cell>
          <cell r="C2295" t="str">
            <v>Boarding R &amp; M - Others</v>
          </cell>
          <cell r="D2295">
            <v>0</v>
          </cell>
          <cell r="E2295">
            <v>0</v>
          </cell>
          <cell r="F2295">
            <v>0</v>
          </cell>
          <cell r="G2295">
            <v>0</v>
          </cell>
          <cell r="H2295">
            <v>0</v>
          </cell>
          <cell r="I2295">
            <v>0</v>
          </cell>
          <cell r="J2295">
            <v>0</v>
          </cell>
        </row>
        <row r="2296">
          <cell r="B2296" t="str">
            <v>5-7320</v>
          </cell>
          <cell r="C2296" t="str">
            <v>GEDUNG MASJID &amp; LIBRARY</v>
          </cell>
          <cell r="D2296">
            <v>0</v>
          </cell>
          <cell r="E2296">
            <v>0</v>
          </cell>
          <cell r="F2296">
            <v>0</v>
          </cell>
          <cell r="G2296">
            <v>0</v>
          </cell>
          <cell r="H2296">
            <v>0</v>
          </cell>
          <cell r="I2296">
            <v>0</v>
          </cell>
          <cell r="J2296">
            <v>0</v>
          </cell>
        </row>
        <row r="2297">
          <cell r="B2297" t="str">
            <v>5-7321</v>
          </cell>
          <cell r="C2297" t="str">
            <v>Masjid R &amp; M - Wages</v>
          </cell>
          <cell r="D2297">
            <v>0</v>
          </cell>
          <cell r="E2297">
            <v>0</v>
          </cell>
          <cell r="F2297">
            <v>0</v>
          </cell>
          <cell r="G2297">
            <v>0</v>
          </cell>
          <cell r="H2297">
            <v>0</v>
          </cell>
          <cell r="I2297">
            <v>0</v>
          </cell>
          <cell r="J2297">
            <v>0</v>
          </cell>
        </row>
        <row r="2298">
          <cell r="B2298" t="str">
            <v>5-7322</v>
          </cell>
          <cell r="C2298" t="str">
            <v>Masjid R &amp; M -Building Materia</v>
          </cell>
          <cell r="D2298">
            <v>0</v>
          </cell>
          <cell r="E2298">
            <v>0</v>
          </cell>
          <cell r="F2298">
            <v>0</v>
          </cell>
          <cell r="G2298">
            <v>0</v>
          </cell>
          <cell r="H2298">
            <v>0</v>
          </cell>
          <cell r="I2298">
            <v>0</v>
          </cell>
          <cell r="J2298">
            <v>0</v>
          </cell>
        </row>
        <row r="2299">
          <cell r="B2299" t="str">
            <v>5-7323</v>
          </cell>
          <cell r="C2299" t="str">
            <v>Masjid R &amp;M -Ventilation&amp; door</v>
          </cell>
          <cell r="D2299">
            <v>0</v>
          </cell>
          <cell r="E2299">
            <v>0</v>
          </cell>
          <cell r="F2299">
            <v>0</v>
          </cell>
          <cell r="G2299">
            <v>0</v>
          </cell>
          <cell r="H2299">
            <v>0</v>
          </cell>
          <cell r="I2299">
            <v>0</v>
          </cell>
          <cell r="J2299">
            <v>0</v>
          </cell>
        </row>
        <row r="2300">
          <cell r="B2300" t="str">
            <v>5-7324</v>
          </cell>
          <cell r="C2300" t="str">
            <v>Masjid R &amp; M - Others</v>
          </cell>
          <cell r="D2300">
            <v>0</v>
          </cell>
          <cell r="E2300">
            <v>0</v>
          </cell>
          <cell r="F2300">
            <v>0</v>
          </cell>
          <cell r="G2300">
            <v>0</v>
          </cell>
          <cell r="H2300">
            <v>0</v>
          </cell>
          <cell r="I2300">
            <v>0</v>
          </cell>
          <cell r="J2300">
            <v>0</v>
          </cell>
        </row>
        <row r="2301">
          <cell r="B2301" t="str">
            <v>5-7325</v>
          </cell>
          <cell r="C2301" t="str">
            <v>Library R &amp; M - Wages</v>
          </cell>
          <cell r="D2301">
            <v>0</v>
          </cell>
          <cell r="E2301">
            <v>0</v>
          </cell>
          <cell r="F2301">
            <v>0</v>
          </cell>
          <cell r="G2301">
            <v>0</v>
          </cell>
          <cell r="H2301">
            <v>0</v>
          </cell>
          <cell r="I2301">
            <v>0</v>
          </cell>
          <cell r="J2301">
            <v>0</v>
          </cell>
        </row>
        <row r="2302">
          <cell r="B2302" t="str">
            <v>5-7326</v>
          </cell>
          <cell r="C2302" t="str">
            <v>Library R &amp;M -Building Materia</v>
          </cell>
          <cell r="D2302">
            <v>0</v>
          </cell>
          <cell r="E2302">
            <v>0</v>
          </cell>
          <cell r="F2302">
            <v>0</v>
          </cell>
          <cell r="G2302">
            <v>0</v>
          </cell>
          <cell r="H2302">
            <v>0</v>
          </cell>
          <cell r="I2302">
            <v>0</v>
          </cell>
          <cell r="J2302">
            <v>0</v>
          </cell>
        </row>
        <row r="2303">
          <cell r="B2303" t="str">
            <v>5-7327</v>
          </cell>
          <cell r="C2303" t="str">
            <v>Library R&amp;M -Ventilation&amp; door</v>
          </cell>
          <cell r="D2303">
            <v>0</v>
          </cell>
          <cell r="E2303">
            <v>0</v>
          </cell>
          <cell r="F2303">
            <v>0</v>
          </cell>
          <cell r="G2303">
            <v>0</v>
          </cell>
          <cell r="H2303">
            <v>0</v>
          </cell>
          <cell r="I2303">
            <v>0</v>
          </cell>
          <cell r="J2303">
            <v>0</v>
          </cell>
        </row>
        <row r="2304">
          <cell r="B2304" t="str">
            <v>5-7328</v>
          </cell>
          <cell r="C2304" t="str">
            <v>Library R &amp; M - Others</v>
          </cell>
          <cell r="D2304">
            <v>0</v>
          </cell>
          <cell r="E2304">
            <v>0</v>
          </cell>
          <cell r="F2304">
            <v>0</v>
          </cell>
          <cell r="G2304">
            <v>0</v>
          </cell>
          <cell r="H2304">
            <v>0</v>
          </cell>
          <cell r="I2304">
            <v>0</v>
          </cell>
          <cell r="J2304">
            <v>0</v>
          </cell>
        </row>
        <row r="2305">
          <cell r="B2305" t="str">
            <v>5-7330</v>
          </cell>
          <cell r="C2305" t="str">
            <v>GEDUNG KANTOR &amp; KESEHATAN</v>
          </cell>
          <cell r="D2305">
            <v>0</v>
          </cell>
          <cell r="E2305">
            <v>0</v>
          </cell>
          <cell r="F2305">
            <v>0</v>
          </cell>
          <cell r="G2305">
            <v>0</v>
          </cell>
          <cell r="H2305">
            <v>0</v>
          </cell>
          <cell r="I2305">
            <v>0</v>
          </cell>
          <cell r="J2305">
            <v>0</v>
          </cell>
        </row>
        <row r="2306">
          <cell r="B2306" t="str">
            <v>5-7331</v>
          </cell>
          <cell r="C2306" t="str">
            <v>Office R &amp; M - Wages</v>
          </cell>
          <cell r="D2306">
            <v>0</v>
          </cell>
          <cell r="E2306">
            <v>0</v>
          </cell>
          <cell r="F2306">
            <v>0</v>
          </cell>
          <cell r="G2306">
            <v>0</v>
          </cell>
          <cell r="H2306">
            <v>0</v>
          </cell>
          <cell r="I2306">
            <v>0</v>
          </cell>
          <cell r="J2306">
            <v>0</v>
          </cell>
        </row>
        <row r="2307">
          <cell r="B2307" t="str">
            <v>5-7332</v>
          </cell>
          <cell r="C2307" t="str">
            <v>Office R &amp; M -Building Materia</v>
          </cell>
          <cell r="D2307">
            <v>0</v>
          </cell>
          <cell r="E2307">
            <v>0</v>
          </cell>
          <cell r="F2307">
            <v>0</v>
          </cell>
          <cell r="G2307">
            <v>0</v>
          </cell>
          <cell r="H2307">
            <v>0</v>
          </cell>
          <cell r="I2307">
            <v>0</v>
          </cell>
          <cell r="J2307">
            <v>0</v>
          </cell>
        </row>
        <row r="2308">
          <cell r="B2308" t="str">
            <v>5-7333</v>
          </cell>
          <cell r="C2308" t="str">
            <v>Office R &amp;M -Ventilation&amp; door</v>
          </cell>
          <cell r="D2308">
            <v>0</v>
          </cell>
          <cell r="E2308">
            <v>0</v>
          </cell>
          <cell r="F2308">
            <v>0</v>
          </cell>
          <cell r="G2308">
            <v>0</v>
          </cell>
          <cell r="H2308">
            <v>0</v>
          </cell>
          <cell r="I2308">
            <v>0</v>
          </cell>
          <cell r="J2308">
            <v>0</v>
          </cell>
        </row>
        <row r="2309">
          <cell r="B2309" t="str">
            <v>5-7334</v>
          </cell>
          <cell r="C2309" t="str">
            <v>Office R &amp; M - Others</v>
          </cell>
          <cell r="D2309">
            <v>0</v>
          </cell>
          <cell r="E2309">
            <v>0</v>
          </cell>
          <cell r="F2309">
            <v>0</v>
          </cell>
          <cell r="G2309">
            <v>0</v>
          </cell>
          <cell r="H2309">
            <v>0</v>
          </cell>
          <cell r="I2309">
            <v>0</v>
          </cell>
          <cell r="J2309">
            <v>0</v>
          </cell>
        </row>
        <row r="2310">
          <cell r="B2310" t="str">
            <v>5-7335</v>
          </cell>
          <cell r="C2310" t="str">
            <v>Healty room R &amp; M - Wages</v>
          </cell>
          <cell r="D2310">
            <v>0</v>
          </cell>
          <cell r="E2310">
            <v>0</v>
          </cell>
          <cell r="F2310">
            <v>0</v>
          </cell>
          <cell r="G2310">
            <v>0</v>
          </cell>
          <cell r="H2310">
            <v>0</v>
          </cell>
          <cell r="I2310">
            <v>0</v>
          </cell>
          <cell r="J2310">
            <v>0</v>
          </cell>
        </row>
        <row r="2311">
          <cell r="B2311" t="str">
            <v>5-7336</v>
          </cell>
          <cell r="C2311" t="str">
            <v>Healty R &amp;M -Building Materia</v>
          </cell>
          <cell r="D2311">
            <v>0</v>
          </cell>
          <cell r="E2311">
            <v>0</v>
          </cell>
          <cell r="F2311">
            <v>0</v>
          </cell>
          <cell r="G2311">
            <v>0</v>
          </cell>
          <cell r="H2311">
            <v>0</v>
          </cell>
          <cell r="I2311">
            <v>0</v>
          </cell>
          <cell r="J2311">
            <v>0</v>
          </cell>
        </row>
        <row r="2312">
          <cell r="B2312" t="str">
            <v>5-7337</v>
          </cell>
          <cell r="C2312" t="str">
            <v>Healty R&amp;M -Ventilation&amp; door</v>
          </cell>
          <cell r="D2312">
            <v>0</v>
          </cell>
          <cell r="E2312">
            <v>0</v>
          </cell>
          <cell r="F2312">
            <v>36000</v>
          </cell>
          <cell r="G2312">
            <v>0</v>
          </cell>
          <cell r="H2312">
            <v>36000</v>
          </cell>
          <cell r="I2312">
            <v>36000</v>
          </cell>
          <cell r="J2312">
            <v>0</v>
          </cell>
        </row>
        <row r="2313">
          <cell r="B2313" t="str">
            <v>5-7338</v>
          </cell>
          <cell r="C2313" t="str">
            <v>Healty room R &amp; M - Others</v>
          </cell>
          <cell r="D2313">
            <v>0</v>
          </cell>
          <cell r="E2313">
            <v>0</v>
          </cell>
          <cell r="F2313">
            <v>0</v>
          </cell>
          <cell r="G2313">
            <v>0</v>
          </cell>
          <cell r="H2313">
            <v>0</v>
          </cell>
          <cell r="I2313">
            <v>0</v>
          </cell>
          <cell r="J2313">
            <v>0</v>
          </cell>
        </row>
        <row r="2314">
          <cell r="B2314" t="str">
            <v>5-7340</v>
          </cell>
          <cell r="C2314" t="str">
            <v>GEDUNG LOUNDRY &amp; RUANG MAKAN</v>
          </cell>
          <cell r="D2314">
            <v>0</v>
          </cell>
          <cell r="E2314">
            <v>0</v>
          </cell>
          <cell r="F2314">
            <v>0</v>
          </cell>
          <cell r="G2314">
            <v>0</v>
          </cell>
          <cell r="H2314">
            <v>0</v>
          </cell>
          <cell r="I2314">
            <v>0</v>
          </cell>
          <cell r="J2314">
            <v>0</v>
          </cell>
        </row>
        <row r="2315">
          <cell r="B2315" t="str">
            <v>5-7341</v>
          </cell>
          <cell r="C2315" t="str">
            <v>Loudry R &amp; M - Wages</v>
          </cell>
          <cell r="D2315">
            <v>0</v>
          </cell>
          <cell r="E2315">
            <v>0</v>
          </cell>
          <cell r="F2315">
            <v>0</v>
          </cell>
          <cell r="G2315">
            <v>0</v>
          </cell>
          <cell r="H2315">
            <v>0</v>
          </cell>
          <cell r="I2315">
            <v>0</v>
          </cell>
          <cell r="J2315">
            <v>0</v>
          </cell>
        </row>
        <row r="2316">
          <cell r="B2316" t="str">
            <v>5-7342</v>
          </cell>
          <cell r="C2316" t="str">
            <v>Loudry R &amp; M -Building Materia</v>
          </cell>
          <cell r="D2316">
            <v>0</v>
          </cell>
          <cell r="E2316">
            <v>0</v>
          </cell>
          <cell r="F2316">
            <v>0</v>
          </cell>
          <cell r="G2316">
            <v>0</v>
          </cell>
          <cell r="H2316">
            <v>0</v>
          </cell>
          <cell r="I2316">
            <v>0</v>
          </cell>
          <cell r="J2316">
            <v>0</v>
          </cell>
        </row>
        <row r="2317">
          <cell r="B2317" t="str">
            <v>5-7343</v>
          </cell>
          <cell r="C2317" t="str">
            <v>Loundry R&amp;M -Ventilation&amp; door</v>
          </cell>
          <cell r="D2317">
            <v>0</v>
          </cell>
          <cell r="E2317">
            <v>0</v>
          </cell>
          <cell r="F2317">
            <v>0</v>
          </cell>
          <cell r="G2317">
            <v>0</v>
          </cell>
          <cell r="H2317">
            <v>0</v>
          </cell>
          <cell r="I2317">
            <v>0</v>
          </cell>
          <cell r="J2317">
            <v>0</v>
          </cell>
        </row>
        <row r="2318">
          <cell r="B2318" t="str">
            <v>5-7344</v>
          </cell>
          <cell r="C2318" t="str">
            <v>Loundry R &amp; M - Others</v>
          </cell>
          <cell r="D2318">
            <v>0</v>
          </cell>
          <cell r="E2318">
            <v>0</v>
          </cell>
          <cell r="F2318">
            <v>0</v>
          </cell>
          <cell r="G2318">
            <v>0</v>
          </cell>
          <cell r="H2318">
            <v>0</v>
          </cell>
          <cell r="I2318">
            <v>0</v>
          </cell>
          <cell r="J2318">
            <v>0</v>
          </cell>
        </row>
        <row r="2319">
          <cell r="B2319" t="str">
            <v>5-7345</v>
          </cell>
          <cell r="C2319" t="str">
            <v>DR &amp; Kitchen R &amp; M - Wages</v>
          </cell>
          <cell r="D2319">
            <v>0</v>
          </cell>
          <cell r="E2319">
            <v>0</v>
          </cell>
          <cell r="F2319">
            <v>0</v>
          </cell>
          <cell r="G2319">
            <v>0</v>
          </cell>
          <cell r="H2319">
            <v>0</v>
          </cell>
          <cell r="I2319">
            <v>0</v>
          </cell>
          <cell r="J2319">
            <v>0</v>
          </cell>
        </row>
        <row r="2320">
          <cell r="B2320" t="str">
            <v>5-7346</v>
          </cell>
          <cell r="C2320" t="str">
            <v>DRKitchen R&amp;M-Building Materia</v>
          </cell>
          <cell r="D2320">
            <v>0</v>
          </cell>
          <cell r="E2320">
            <v>0</v>
          </cell>
          <cell r="F2320">
            <v>0</v>
          </cell>
          <cell r="G2320">
            <v>0</v>
          </cell>
          <cell r="H2320">
            <v>0</v>
          </cell>
          <cell r="I2320">
            <v>0</v>
          </cell>
          <cell r="J2320">
            <v>0</v>
          </cell>
        </row>
        <row r="2321">
          <cell r="B2321" t="str">
            <v>5-7347</v>
          </cell>
          <cell r="C2321" t="str">
            <v>DRKitchen R&amp;M-Ventilation&amp;door</v>
          </cell>
          <cell r="D2321">
            <v>0</v>
          </cell>
          <cell r="E2321">
            <v>0</v>
          </cell>
          <cell r="F2321">
            <v>0</v>
          </cell>
          <cell r="G2321">
            <v>0</v>
          </cell>
          <cell r="H2321">
            <v>0</v>
          </cell>
          <cell r="I2321">
            <v>0</v>
          </cell>
          <cell r="J2321">
            <v>0</v>
          </cell>
        </row>
        <row r="2322">
          <cell r="B2322" t="str">
            <v>5-7348</v>
          </cell>
          <cell r="C2322" t="str">
            <v>DR Kitchen R &amp; M - Others</v>
          </cell>
          <cell r="D2322">
            <v>0</v>
          </cell>
          <cell r="E2322">
            <v>0</v>
          </cell>
          <cell r="F2322">
            <v>0</v>
          </cell>
          <cell r="G2322">
            <v>0</v>
          </cell>
          <cell r="H2322">
            <v>0</v>
          </cell>
          <cell r="I2322">
            <v>0</v>
          </cell>
          <cell r="J2322">
            <v>0</v>
          </cell>
        </row>
        <row r="2323">
          <cell r="B2323" t="str">
            <v>5-7350</v>
          </cell>
          <cell r="C2323" t="str">
            <v>GEDUNG PERUMAHAN &amp; RADIO</v>
          </cell>
          <cell r="D2323">
            <v>0</v>
          </cell>
          <cell r="E2323">
            <v>0</v>
          </cell>
          <cell r="F2323">
            <v>0</v>
          </cell>
          <cell r="G2323">
            <v>0</v>
          </cell>
          <cell r="H2323">
            <v>0</v>
          </cell>
          <cell r="I2323">
            <v>0</v>
          </cell>
          <cell r="J2323">
            <v>0</v>
          </cell>
        </row>
        <row r="2324">
          <cell r="B2324" t="str">
            <v>5-7351</v>
          </cell>
          <cell r="C2324" t="str">
            <v>Housing R &amp; M - Wages</v>
          </cell>
          <cell r="D2324">
            <v>0</v>
          </cell>
          <cell r="E2324">
            <v>0</v>
          </cell>
          <cell r="F2324">
            <v>0</v>
          </cell>
          <cell r="G2324">
            <v>0</v>
          </cell>
          <cell r="H2324">
            <v>0</v>
          </cell>
          <cell r="I2324">
            <v>0</v>
          </cell>
          <cell r="J2324">
            <v>0</v>
          </cell>
        </row>
        <row r="2325">
          <cell r="B2325" t="str">
            <v>5-7352</v>
          </cell>
          <cell r="C2325" t="str">
            <v>Housing R &amp; M-Building Materia</v>
          </cell>
          <cell r="D2325">
            <v>0</v>
          </cell>
          <cell r="E2325">
            <v>0</v>
          </cell>
          <cell r="F2325">
            <v>1579400</v>
          </cell>
          <cell r="G2325">
            <v>0</v>
          </cell>
          <cell r="H2325">
            <v>1579400</v>
          </cell>
          <cell r="I2325">
            <v>1579400</v>
          </cell>
          <cell r="J2325">
            <v>0</v>
          </cell>
        </row>
        <row r="2326">
          <cell r="B2326" t="str">
            <v>5-7353</v>
          </cell>
          <cell r="C2326" t="str">
            <v>Housing R&amp;M -Ventilation&amp; door</v>
          </cell>
          <cell r="D2326">
            <v>0</v>
          </cell>
          <cell r="E2326">
            <v>0</v>
          </cell>
          <cell r="F2326">
            <v>0</v>
          </cell>
          <cell r="G2326">
            <v>0</v>
          </cell>
          <cell r="H2326">
            <v>0</v>
          </cell>
          <cell r="I2326">
            <v>0</v>
          </cell>
          <cell r="J2326">
            <v>0</v>
          </cell>
        </row>
        <row r="2327">
          <cell r="B2327" t="str">
            <v>5-7354</v>
          </cell>
          <cell r="C2327" t="str">
            <v>Housing R &amp; M - Others</v>
          </cell>
          <cell r="D2327">
            <v>0</v>
          </cell>
          <cell r="E2327">
            <v>0</v>
          </cell>
          <cell r="F2327">
            <v>0</v>
          </cell>
          <cell r="G2327">
            <v>0</v>
          </cell>
          <cell r="H2327">
            <v>0</v>
          </cell>
          <cell r="I2327">
            <v>0</v>
          </cell>
          <cell r="J2327">
            <v>0</v>
          </cell>
        </row>
        <row r="2328">
          <cell r="B2328" t="str">
            <v>5-7355</v>
          </cell>
          <cell r="C2328" t="str">
            <v>Radio R &amp; M - Wages</v>
          </cell>
          <cell r="D2328">
            <v>0</v>
          </cell>
          <cell r="E2328">
            <v>0</v>
          </cell>
          <cell r="F2328">
            <v>0</v>
          </cell>
          <cell r="G2328">
            <v>0</v>
          </cell>
          <cell r="H2328">
            <v>0</v>
          </cell>
          <cell r="I2328">
            <v>0</v>
          </cell>
          <cell r="J2328">
            <v>0</v>
          </cell>
        </row>
        <row r="2329">
          <cell r="B2329" t="str">
            <v>5-7356</v>
          </cell>
          <cell r="C2329" t="str">
            <v>Radio R&amp;M-Building Materia</v>
          </cell>
          <cell r="D2329">
            <v>0</v>
          </cell>
          <cell r="E2329">
            <v>0</v>
          </cell>
          <cell r="F2329">
            <v>0</v>
          </cell>
          <cell r="G2329">
            <v>0</v>
          </cell>
          <cell r="H2329">
            <v>0</v>
          </cell>
          <cell r="I2329">
            <v>0</v>
          </cell>
          <cell r="J2329">
            <v>0</v>
          </cell>
        </row>
        <row r="2330">
          <cell r="B2330" t="str">
            <v>5-7357</v>
          </cell>
          <cell r="C2330" t="str">
            <v>Radio R&amp;M-Ventilation&amp;door</v>
          </cell>
          <cell r="D2330">
            <v>0</v>
          </cell>
          <cell r="E2330">
            <v>0</v>
          </cell>
          <cell r="F2330">
            <v>0</v>
          </cell>
          <cell r="G2330">
            <v>0</v>
          </cell>
          <cell r="H2330">
            <v>0</v>
          </cell>
          <cell r="I2330">
            <v>0</v>
          </cell>
          <cell r="J2330">
            <v>0</v>
          </cell>
        </row>
        <row r="2331">
          <cell r="B2331" t="str">
            <v>5-7358</v>
          </cell>
          <cell r="C2331" t="str">
            <v>Radio R &amp; M - Others</v>
          </cell>
          <cell r="D2331">
            <v>0</v>
          </cell>
          <cell r="E2331">
            <v>0</v>
          </cell>
          <cell r="F2331">
            <v>0</v>
          </cell>
          <cell r="G2331">
            <v>0</v>
          </cell>
          <cell r="H2331">
            <v>0</v>
          </cell>
          <cell r="I2331">
            <v>0</v>
          </cell>
          <cell r="J2331">
            <v>0</v>
          </cell>
        </row>
        <row r="2332">
          <cell r="B2332" t="str">
            <v>5-7360</v>
          </cell>
          <cell r="C2332" t="str">
            <v>GEDUNG GUDANG &amp; TEMPAT PARKIR</v>
          </cell>
          <cell r="D2332">
            <v>0</v>
          </cell>
          <cell r="E2332">
            <v>0</v>
          </cell>
          <cell r="F2332">
            <v>0</v>
          </cell>
          <cell r="G2332">
            <v>0</v>
          </cell>
          <cell r="H2332">
            <v>0</v>
          </cell>
          <cell r="I2332">
            <v>0</v>
          </cell>
          <cell r="J2332">
            <v>0</v>
          </cell>
        </row>
        <row r="2333">
          <cell r="B2333" t="str">
            <v>5-7361</v>
          </cell>
          <cell r="C2333" t="str">
            <v>Warehouse R &amp; M - Wages</v>
          </cell>
          <cell r="D2333">
            <v>0</v>
          </cell>
          <cell r="E2333">
            <v>0</v>
          </cell>
          <cell r="F2333">
            <v>497500</v>
          </cell>
          <cell r="G2333">
            <v>0</v>
          </cell>
          <cell r="H2333">
            <v>497500</v>
          </cell>
          <cell r="I2333">
            <v>497500</v>
          </cell>
          <cell r="J2333">
            <v>0</v>
          </cell>
        </row>
        <row r="2334">
          <cell r="B2334" t="str">
            <v>5-7362</v>
          </cell>
          <cell r="C2334" t="str">
            <v>Warehouse R&amp;M-Building Materia</v>
          </cell>
          <cell r="D2334">
            <v>0</v>
          </cell>
          <cell r="E2334">
            <v>0</v>
          </cell>
          <cell r="F2334">
            <v>0</v>
          </cell>
          <cell r="G2334">
            <v>0</v>
          </cell>
          <cell r="H2334">
            <v>0</v>
          </cell>
          <cell r="I2334">
            <v>0</v>
          </cell>
          <cell r="J2334">
            <v>0</v>
          </cell>
        </row>
        <row r="2335">
          <cell r="B2335" t="str">
            <v>5-7363</v>
          </cell>
          <cell r="C2335" t="str">
            <v>Warehouse R&amp;M-Ventilation&amp;door</v>
          </cell>
          <cell r="D2335">
            <v>0</v>
          </cell>
          <cell r="E2335">
            <v>0</v>
          </cell>
          <cell r="F2335">
            <v>0</v>
          </cell>
          <cell r="G2335">
            <v>0</v>
          </cell>
          <cell r="H2335">
            <v>0</v>
          </cell>
          <cell r="I2335">
            <v>0</v>
          </cell>
          <cell r="J2335">
            <v>0</v>
          </cell>
        </row>
        <row r="2336">
          <cell r="B2336" t="str">
            <v>5-7364</v>
          </cell>
          <cell r="C2336" t="str">
            <v>Warehouse R &amp; M - Others</v>
          </cell>
          <cell r="D2336">
            <v>0</v>
          </cell>
          <cell r="E2336">
            <v>0</v>
          </cell>
          <cell r="F2336">
            <v>0</v>
          </cell>
          <cell r="G2336">
            <v>0</v>
          </cell>
          <cell r="H2336">
            <v>0</v>
          </cell>
          <cell r="I2336">
            <v>0</v>
          </cell>
          <cell r="J2336">
            <v>0</v>
          </cell>
        </row>
        <row r="2337">
          <cell r="B2337" t="str">
            <v>5-7365</v>
          </cell>
          <cell r="C2337" t="str">
            <v>Public Fasilities R &amp; M -Wages</v>
          </cell>
          <cell r="D2337">
            <v>0</v>
          </cell>
          <cell r="E2337">
            <v>0</v>
          </cell>
          <cell r="F2337">
            <v>0</v>
          </cell>
          <cell r="G2337">
            <v>0</v>
          </cell>
          <cell r="H2337">
            <v>0</v>
          </cell>
          <cell r="I2337">
            <v>0</v>
          </cell>
          <cell r="J2337">
            <v>0</v>
          </cell>
        </row>
        <row r="2338">
          <cell r="B2338" t="str">
            <v>5-7366</v>
          </cell>
          <cell r="C2338" t="str">
            <v>Parking R&amp;M-Building Materia</v>
          </cell>
          <cell r="D2338">
            <v>0</v>
          </cell>
          <cell r="E2338">
            <v>0</v>
          </cell>
          <cell r="F2338">
            <v>0</v>
          </cell>
          <cell r="G2338">
            <v>0</v>
          </cell>
          <cell r="H2338">
            <v>0</v>
          </cell>
          <cell r="I2338">
            <v>0</v>
          </cell>
          <cell r="J2338">
            <v>0</v>
          </cell>
        </row>
        <row r="2339">
          <cell r="B2339" t="str">
            <v>5-7367</v>
          </cell>
          <cell r="C2339" t="str">
            <v>Public Fa R&amp;M-Ventilation&amp;door</v>
          </cell>
          <cell r="D2339">
            <v>0</v>
          </cell>
          <cell r="E2339">
            <v>0</v>
          </cell>
          <cell r="F2339">
            <v>0</v>
          </cell>
          <cell r="G2339">
            <v>0</v>
          </cell>
          <cell r="H2339">
            <v>0</v>
          </cell>
          <cell r="I2339">
            <v>0</v>
          </cell>
          <cell r="J2339">
            <v>0</v>
          </cell>
        </row>
        <row r="2340">
          <cell r="B2340" t="str">
            <v>5-7368</v>
          </cell>
          <cell r="C2340" t="str">
            <v>Parking R &amp; M - Others</v>
          </cell>
          <cell r="D2340">
            <v>0</v>
          </cell>
          <cell r="E2340">
            <v>0</v>
          </cell>
          <cell r="F2340">
            <v>0</v>
          </cell>
          <cell r="G2340">
            <v>0</v>
          </cell>
          <cell r="H2340">
            <v>0</v>
          </cell>
          <cell r="I2340">
            <v>0</v>
          </cell>
          <cell r="J2340">
            <v>0</v>
          </cell>
        </row>
        <row r="2341">
          <cell r="B2341" t="str">
            <v>5-7370</v>
          </cell>
          <cell r="C2341" t="str">
            <v>GEDUNG OLAH RAGA &amp; AULA</v>
          </cell>
          <cell r="D2341">
            <v>0</v>
          </cell>
          <cell r="E2341">
            <v>0</v>
          </cell>
          <cell r="F2341">
            <v>0</v>
          </cell>
          <cell r="G2341">
            <v>0</v>
          </cell>
          <cell r="H2341">
            <v>0</v>
          </cell>
          <cell r="I2341">
            <v>0</v>
          </cell>
          <cell r="J2341">
            <v>0</v>
          </cell>
        </row>
        <row r="2342">
          <cell r="B2342" t="str">
            <v>5-7371</v>
          </cell>
          <cell r="C2342" t="str">
            <v>Sport Building R &amp; M - Wages</v>
          </cell>
          <cell r="D2342">
            <v>0</v>
          </cell>
          <cell r="E2342">
            <v>0</v>
          </cell>
          <cell r="F2342">
            <v>0</v>
          </cell>
          <cell r="G2342">
            <v>0</v>
          </cell>
          <cell r="H2342">
            <v>0</v>
          </cell>
          <cell r="I2342">
            <v>0</v>
          </cell>
          <cell r="J2342">
            <v>0</v>
          </cell>
        </row>
        <row r="2343">
          <cell r="B2343" t="str">
            <v>5-7372</v>
          </cell>
          <cell r="C2343" t="str">
            <v>Sport Bui R&amp;M-Building Materia</v>
          </cell>
          <cell r="D2343">
            <v>0</v>
          </cell>
          <cell r="E2343">
            <v>0</v>
          </cell>
          <cell r="F2343">
            <v>3100000</v>
          </cell>
          <cell r="G2343">
            <v>0</v>
          </cell>
          <cell r="H2343">
            <v>3100000</v>
          </cell>
          <cell r="I2343">
            <v>3100000</v>
          </cell>
          <cell r="J2343">
            <v>0</v>
          </cell>
        </row>
        <row r="2344">
          <cell r="B2344" t="str">
            <v>5-7373</v>
          </cell>
          <cell r="C2344" t="str">
            <v>Sport Bui R&amp;M-Ventilation&amp;door</v>
          </cell>
          <cell r="D2344">
            <v>0</v>
          </cell>
          <cell r="E2344">
            <v>0</v>
          </cell>
          <cell r="F2344">
            <v>0</v>
          </cell>
          <cell r="G2344">
            <v>0</v>
          </cell>
          <cell r="H2344">
            <v>0</v>
          </cell>
          <cell r="I2344">
            <v>0</v>
          </cell>
          <cell r="J2344">
            <v>0</v>
          </cell>
        </row>
        <row r="2345">
          <cell r="B2345" t="str">
            <v>5-7374</v>
          </cell>
          <cell r="C2345" t="str">
            <v>Sport Building R &amp; M - Others</v>
          </cell>
          <cell r="D2345">
            <v>0</v>
          </cell>
          <cell r="E2345">
            <v>0</v>
          </cell>
          <cell r="F2345">
            <v>0</v>
          </cell>
          <cell r="G2345">
            <v>0</v>
          </cell>
          <cell r="H2345">
            <v>0</v>
          </cell>
          <cell r="I2345">
            <v>0</v>
          </cell>
          <cell r="J2345">
            <v>0</v>
          </cell>
        </row>
        <row r="2346">
          <cell r="B2346" t="str">
            <v>5-7375</v>
          </cell>
          <cell r="C2346" t="str">
            <v>Hall R &amp; M -Wages</v>
          </cell>
          <cell r="D2346">
            <v>0</v>
          </cell>
          <cell r="E2346">
            <v>0</v>
          </cell>
          <cell r="F2346">
            <v>0</v>
          </cell>
          <cell r="G2346">
            <v>0</v>
          </cell>
          <cell r="H2346">
            <v>0</v>
          </cell>
          <cell r="I2346">
            <v>0</v>
          </cell>
          <cell r="J2346">
            <v>0</v>
          </cell>
        </row>
        <row r="2347">
          <cell r="B2347" t="str">
            <v>5-7376</v>
          </cell>
          <cell r="C2347" t="str">
            <v>Hall R&amp;M-Building Materia</v>
          </cell>
          <cell r="D2347">
            <v>0</v>
          </cell>
          <cell r="E2347">
            <v>0</v>
          </cell>
          <cell r="F2347">
            <v>0</v>
          </cell>
          <cell r="G2347">
            <v>0</v>
          </cell>
          <cell r="H2347">
            <v>0</v>
          </cell>
          <cell r="I2347">
            <v>0</v>
          </cell>
          <cell r="J2347">
            <v>0</v>
          </cell>
        </row>
        <row r="2348">
          <cell r="B2348" t="str">
            <v>5-7377</v>
          </cell>
          <cell r="C2348" t="str">
            <v>Hall R&amp;M-Ventilation&amp;door</v>
          </cell>
          <cell r="D2348">
            <v>0</v>
          </cell>
          <cell r="E2348">
            <v>0</v>
          </cell>
          <cell r="F2348">
            <v>0</v>
          </cell>
          <cell r="G2348">
            <v>0</v>
          </cell>
          <cell r="H2348">
            <v>0</v>
          </cell>
          <cell r="I2348">
            <v>0</v>
          </cell>
          <cell r="J2348">
            <v>0</v>
          </cell>
        </row>
        <row r="2349">
          <cell r="B2349" t="str">
            <v>5-7378</v>
          </cell>
          <cell r="C2349" t="str">
            <v>Hall R &amp; M - Others</v>
          </cell>
          <cell r="D2349">
            <v>0</v>
          </cell>
          <cell r="E2349">
            <v>0</v>
          </cell>
          <cell r="F2349">
            <v>0</v>
          </cell>
          <cell r="G2349">
            <v>0</v>
          </cell>
          <cell r="H2349">
            <v>0</v>
          </cell>
          <cell r="I2349">
            <v>0</v>
          </cell>
          <cell r="J2349">
            <v>0</v>
          </cell>
        </row>
        <row r="2350">
          <cell r="B2350" t="str">
            <v>5-7380</v>
          </cell>
          <cell r="C2350" t="str">
            <v>GEDUNG POS SATPAM &amp;TOILET UMUM</v>
          </cell>
          <cell r="D2350">
            <v>0</v>
          </cell>
          <cell r="E2350">
            <v>0</v>
          </cell>
          <cell r="F2350">
            <v>0</v>
          </cell>
          <cell r="G2350">
            <v>0</v>
          </cell>
          <cell r="H2350">
            <v>0</v>
          </cell>
          <cell r="I2350">
            <v>0</v>
          </cell>
          <cell r="J2350">
            <v>0</v>
          </cell>
        </row>
        <row r="2351">
          <cell r="B2351" t="str">
            <v>5-7381</v>
          </cell>
          <cell r="C2351" t="str">
            <v>Security post R &amp; M - Wages</v>
          </cell>
          <cell r="D2351">
            <v>0</v>
          </cell>
          <cell r="E2351">
            <v>0</v>
          </cell>
          <cell r="F2351">
            <v>0</v>
          </cell>
          <cell r="G2351">
            <v>0</v>
          </cell>
          <cell r="H2351">
            <v>0</v>
          </cell>
          <cell r="I2351">
            <v>0</v>
          </cell>
          <cell r="J2351">
            <v>0</v>
          </cell>
        </row>
        <row r="2352">
          <cell r="B2352" t="str">
            <v>5-7382</v>
          </cell>
          <cell r="C2352" t="str">
            <v>Security P R&amp;M-Building Mater</v>
          </cell>
          <cell r="D2352">
            <v>0</v>
          </cell>
          <cell r="E2352">
            <v>0</v>
          </cell>
          <cell r="F2352">
            <v>0</v>
          </cell>
          <cell r="G2352">
            <v>0</v>
          </cell>
          <cell r="H2352">
            <v>0</v>
          </cell>
          <cell r="I2352">
            <v>0</v>
          </cell>
          <cell r="J2352">
            <v>0</v>
          </cell>
        </row>
        <row r="2353">
          <cell r="B2353" t="str">
            <v>5-7383</v>
          </cell>
          <cell r="C2353" t="str">
            <v>SecurityP R&amp;M-Ventilation&amp;door</v>
          </cell>
          <cell r="D2353">
            <v>0</v>
          </cell>
          <cell r="E2353">
            <v>0</v>
          </cell>
          <cell r="F2353">
            <v>0</v>
          </cell>
          <cell r="G2353">
            <v>0</v>
          </cell>
          <cell r="H2353">
            <v>0</v>
          </cell>
          <cell r="I2353">
            <v>0</v>
          </cell>
          <cell r="J2353">
            <v>0</v>
          </cell>
        </row>
        <row r="2354">
          <cell r="B2354" t="str">
            <v>5-7384</v>
          </cell>
          <cell r="C2354" t="str">
            <v>Security post R &amp; M - Others</v>
          </cell>
          <cell r="D2354">
            <v>0</v>
          </cell>
          <cell r="E2354">
            <v>0</v>
          </cell>
          <cell r="F2354">
            <v>0</v>
          </cell>
          <cell r="G2354">
            <v>0</v>
          </cell>
          <cell r="H2354">
            <v>0</v>
          </cell>
          <cell r="I2354">
            <v>0</v>
          </cell>
          <cell r="J2354">
            <v>0</v>
          </cell>
        </row>
        <row r="2355">
          <cell r="B2355" t="str">
            <v>5-7385</v>
          </cell>
          <cell r="C2355" t="str">
            <v>Public Restroom R &amp; M -Wages</v>
          </cell>
          <cell r="D2355">
            <v>0</v>
          </cell>
          <cell r="E2355">
            <v>0</v>
          </cell>
          <cell r="F2355">
            <v>0</v>
          </cell>
          <cell r="G2355">
            <v>0</v>
          </cell>
          <cell r="H2355">
            <v>0</v>
          </cell>
          <cell r="I2355">
            <v>0</v>
          </cell>
          <cell r="J2355">
            <v>0</v>
          </cell>
        </row>
        <row r="2356">
          <cell r="B2356" t="str">
            <v>5-7386</v>
          </cell>
          <cell r="C2356" t="str">
            <v>P Restrom R&amp;M-Building Materia</v>
          </cell>
          <cell r="D2356">
            <v>0</v>
          </cell>
          <cell r="E2356">
            <v>0</v>
          </cell>
          <cell r="F2356">
            <v>0</v>
          </cell>
          <cell r="G2356">
            <v>0</v>
          </cell>
          <cell r="H2356">
            <v>0</v>
          </cell>
          <cell r="I2356">
            <v>0</v>
          </cell>
          <cell r="J2356">
            <v>0</v>
          </cell>
        </row>
        <row r="2357">
          <cell r="B2357" t="str">
            <v>5-7387</v>
          </cell>
          <cell r="C2357" t="str">
            <v>P Restrom R&amp;M-Ventilation&amp;door</v>
          </cell>
          <cell r="D2357">
            <v>0</v>
          </cell>
          <cell r="E2357">
            <v>0</v>
          </cell>
          <cell r="F2357">
            <v>0</v>
          </cell>
          <cell r="G2357">
            <v>0</v>
          </cell>
          <cell r="H2357">
            <v>0</v>
          </cell>
          <cell r="I2357">
            <v>0</v>
          </cell>
          <cell r="J2357">
            <v>0</v>
          </cell>
        </row>
        <row r="2358">
          <cell r="B2358" t="str">
            <v>5-7388</v>
          </cell>
          <cell r="C2358" t="str">
            <v>Public Restroom R &amp; M - Others</v>
          </cell>
          <cell r="D2358">
            <v>0</v>
          </cell>
          <cell r="E2358">
            <v>0</v>
          </cell>
          <cell r="F2358">
            <v>0</v>
          </cell>
          <cell r="G2358">
            <v>0</v>
          </cell>
          <cell r="H2358">
            <v>0</v>
          </cell>
          <cell r="I2358">
            <v>0</v>
          </cell>
          <cell r="J2358">
            <v>0</v>
          </cell>
        </row>
        <row r="2359">
          <cell r="B2359" t="str">
            <v>5-7390</v>
          </cell>
          <cell r="C2359" t="str">
            <v>GEDUNG LAIN-LAIN</v>
          </cell>
          <cell r="D2359">
            <v>0</v>
          </cell>
          <cell r="E2359">
            <v>0</v>
          </cell>
          <cell r="F2359">
            <v>0</v>
          </cell>
          <cell r="G2359">
            <v>0</v>
          </cell>
          <cell r="H2359">
            <v>0</v>
          </cell>
          <cell r="I2359">
            <v>0</v>
          </cell>
          <cell r="J2359">
            <v>0</v>
          </cell>
        </row>
        <row r="2360">
          <cell r="B2360" t="str">
            <v>5-7391</v>
          </cell>
          <cell r="C2360" t="str">
            <v>Other Building R &amp; M - Wages</v>
          </cell>
          <cell r="D2360">
            <v>0</v>
          </cell>
          <cell r="E2360">
            <v>0</v>
          </cell>
          <cell r="F2360">
            <v>0</v>
          </cell>
          <cell r="G2360">
            <v>0</v>
          </cell>
          <cell r="H2360">
            <v>0</v>
          </cell>
          <cell r="I2360">
            <v>0</v>
          </cell>
          <cell r="J2360">
            <v>0</v>
          </cell>
        </row>
        <row r="2361">
          <cell r="B2361" t="str">
            <v>5-7392</v>
          </cell>
          <cell r="C2361" t="str">
            <v>Other Build R&amp;M-Building Mater</v>
          </cell>
          <cell r="D2361">
            <v>0</v>
          </cell>
          <cell r="E2361">
            <v>0</v>
          </cell>
          <cell r="F2361">
            <v>0</v>
          </cell>
          <cell r="G2361">
            <v>0</v>
          </cell>
          <cell r="H2361">
            <v>0</v>
          </cell>
          <cell r="I2361">
            <v>0</v>
          </cell>
          <cell r="J2361">
            <v>0</v>
          </cell>
        </row>
        <row r="2362">
          <cell r="B2362" t="str">
            <v>5-7393</v>
          </cell>
          <cell r="C2362" t="str">
            <v>Other Bui R&amp;M-Ventilation&amp;door</v>
          </cell>
          <cell r="D2362">
            <v>0</v>
          </cell>
          <cell r="E2362">
            <v>0</v>
          </cell>
          <cell r="F2362">
            <v>0</v>
          </cell>
          <cell r="G2362">
            <v>0</v>
          </cell>
          <cell r="H2362">
            <v>0</v>
          </cell>
          <cell r="I2362">
            <v>0</v>
          </cell>
          <cell r="J2362">
            <v>0</v>
          </cell>
        </row>
        <row r="2363">
          <cell r="B2363" t="str">
            <v>5-7394</v>
          </cell>
          <cell r="C2363" t="str">
            <v>Other Building R &amp; M - Others</v>
          </cell>
          <cell r="D2363">
            <v>0</v>
          </cell>
          <cell r="E2363">
            <v>0</v>
          </cell>
          <cell r="F2363">
            <v>0</v>
          </cell>
          <cell r="G2363">
            <v>0</v>
          </cell>
          <cell r="H2363">
            <v>0</v>
          </cell>
          <cell r="I2363">
            <v>0</v>
          </cell>
          <cell r="J2363">
            <v>0</v>
          </cell>
        </row>
        <row r="2364">
          <cell r="B2364" t="str">
            <v>5-7410</v>
          </cell>
          <cell r="C2364" t="str">
            <v>LANDSCAPING 1</v>
          </cell>
          <cell r="D2364">
            <v>0</v>
          </cell>
          <cell r="E2364">
            <v>0</v>
          </cell>
          <cell r="F2364">
            <v>0</v>
          </cell>
          <cell r="G2364">
            <v>0</v>
          </cell>
          <cell r="H2364">
            <v>0</v>
          </cell>
          <cell r="I2364">
            <v>0</v>
          </cell>
          <cell r="J2364">
            <v>0</v>
          </cell>
        </row>
        <row r="2365">
          <cell r="B2365" t="str">
            <v>5-7411</v>
          </cell>
          <cell r="C2365" t="str">
            <v>Sewerge R &amp; M - Wages</v>
          </cell>
          <cell r="D2365">
            <v>0</v>
          </cell>
          <cell r="E2365">
            <v>0</v>
          </cell>
          <cell r="F2365">
            <v>0</v>
          </cell>
          <cell r="G2365">
            <v>0</v>
          </cell>
          <cell r="H2365">
            <v>0</v>
          </cell>
          <cell r="I2365">
            <v>0</v>
          </cell>
          <cell r="J2365">
            <v>0</v>
          </cell>
        </row>
        <row r="2366">
          <cell r="B2366" t="str">
            <v>5-7412</v>
          </cell>
          <cell r="C2366" t="str">
            <v>Sewerge R &amp; M - Material</v>
          </cell>
          <cell r="D2366">
            <v>0</v>
          </cell>
          <cell r="E2366">
            <v>0</v>
          </cell>
          <cell r="F2366">
            <v>0</v>
          </cell>
          <cell r="G2366">
            <v>0</v>
          </cell>
          <cell r="H2366">
            <v>0</v>
          </cell>
          <cell r="I2366">
            <v>0</v>
          </cell>
          <cell r="J2366">
            <v>0</v>
          </cell>
        </row>
        <row r="2367">
          <cell r="B2367" t="str">
            <v>5-7413</v>
          </cell>
          <cell r="C2367" t="str">
            <v>Sewerge R &amp; M - Other</v>
          </cell>
          <cell r="D2367">
            <v>0</v>
          </cell>
          <cell r="E2367">
            <v>0</v>
          </cell>
          <cell r="F2367">
            <v>0</v>
          </cell>
          <cell r="G2367">
            <v>0</v>
          </cell>
          <cell r="H2367">
            <v>0</v>
          </cell>
          <cell r="I2367">
            <v>0</v>
          </cell>
          <cell r="J2367">
            <v>0</v>
          </cell>
        </row>
        <row r="2368">
          <cell r="B2368" t="str">
            <v>5-7414</v>
          </cell>
          <cell r="C2368" t="str">
            <v>Roads R &amp; M - Wages</v>
          </cell>
          <cell r="D2368">
            <v>0</v>
          </cell>
          <cell r="E2368">
            <v>0</v>
          </cell>
          <cell r="F2368">
            <v>766251</v>
          </cell>
          <cell r="G2368">
            <v>0</v>
          </cell>
          <cell r="H2368">
            <v>766251</v>
          </cell>
          <cell r="I2368">
            <v>766251</v>
          </cell>
          <cell r="J2368">
            <v>0</v>
          </cell>
        </row>
        <row r="2369">
          <cell r="B2369" t="str">
            <v>5-7415</v>
          </cell>
          <cell r="C2369" t="str">
            <v>Roads R &amp; M - Material</v>
          </cell>
          <cell r="D2369">
            <v>0</v>
          </cell>
          <cell r="E2369">
            <v>0</v>
          </cell>
          <cell r="F2369">
            <v>0</v>
          </cell>
          <cell r="G2369">
            <v>0</v>
          </cell>
          <cell r="H2369">
            <v>0</v>
          </cell>
          <cell r="I2369">
            <v>0</v>
          </cell>
          <cell r="J2369">
            <v>0</v>
          </cell>
        </row>
        <row r="2370">
          <cell r="B2370" t="str">
            <v>5-7416</v>
          </cell>
          <cell r="C2370" t="str">
            <v>Roads R &amp; M - Other</v>
          </cell>
          <cell r="D2370">
            <v>0</v>
          </cell>
          <cell r="E2370">
            <v>0</v>
          </cell>
          <cell r="F2370">
            <v>0</v>
          </cell>
          <cell r="G2370">
            <v>0</v>
          </cell>
          <cell r="H2370">
            <v>0</v>
          </cell>
          <cell r="I2370">
            <v>0</v>
          </cell>
          <cell r="J2370">
            <v>0</v>
          </cell>
        </row>
        <row r="2371">
          <cell r="B2371" t="str">
            <v>5-7417</v>
          </cell>
          <cell r="C2371" t="str">
            <v>Field R &amp; M - Wages</v>
          </cell>
          <cell r="D2371">
            <v>0</v>
          </cell>
          <cell r="E2371">
            <v>0</v>
          </cell>
          <cell r="F2371">
            <v>0</v>
          </cell>
          <cell r="G2371">
            <v>0</v>
          </cell>
          <cell r="H2371">
            <v>0</v>
          </cell>
          <cell r="I2371">
            <v>0</v>
          </cell>
          <cell r="J2371">
            <v>0</v>
          </cell>
        </row>
        <row r="2372">
          <cell r="B2372" t="str">
            <v>5-7418</v>
          </cell>
          <cell r="C2372" t="str">
            <v>Field R &amp; M - Material</v>
          </cell>
          <cell r="D2372">
            <v>0</v>
          </cell>
          <cell r="E2372">
            <v>0</v>
          </cell>
          <cell r="F2372">
            <v>2910000</v>
          </cell>
          <cell r="G2372">
            <v>0</v>
          </cell>
          <cell r="H2372">
            <v>2910000</v>
          </cell>
          <cell r="I2372">
            <v>2910000</v>
          </cell>
          <cell r="J2372">
            <v>0</v>
          </cell>
        </row>
        <row r="2373">
          <cell r="B2373" t="str">
            <v>5-7419</v>
          </cell>
          <cell r="C2373" t="str">
            <v>Field R &amp; M - Other</v>
          </cell>
          <cell r="D2373">
            <v>0</v>
          </cell>
          <cell r="E2373">
            <v>0</v>
          </cell>
          <cell r="F2373">
            <v>0</v>
          </cell>
          <cell r="G2373">
            <v>0</v>
          </cell>
          <cell r="H2373">
            <v>0</v>
          </cell>
          <cell r="I2373">
            <v>0</v>
          </cell>
          <cell r="J2373">
            <v>0</v>
          </cell>
        </row>
        <row r="2374">
          <cell r="B2374" t="str">
            <v>5-7420</v>
          </cell>
          <cell r="C2374" t="str">
            <v>LANDSCAPING 2</v>
          </cell>
          <cell r="D2374">
            <v>0</v>
          </cell>
          <cell r="E2374">
            <v>0</v>
          </cell>
          <cell r="F2374">
            <v>0</v>
          </cell>
          <cell r="G2374">
            <v>0</v>
          </cell>
          <cell r="H2374">
            <v>0</v>
          </cell>
          <cell r="I2374">
            <v>0</v>
          </cell>
          <cell r="J2374">
            <v>0</v>
          </cell>
        </row>
        <row r="2375">
          <cell r="B2375" t="str">
            <v>5-7421</v>
          </cell>
          <cell r="C2375" t="str">
            <v>Fence R &amp; M - Wages</v>
          </cell>
          <cell r="D2375">
            <v>0</v>
          </cell>
          <cell r="E2375">
            <v>0</v>
          </cell>
          <cell r="F2375">
            <v>0</v>
          </cell>
          <cell r="G2375">
            <v>0</v>
          </cell>
          <cell r="H2375">
            <v>0</v>
          </cell>
          <cell r="I2375">
            <v>0</v>
          </cell>
          <cell r="J2375">
            <v>0</v>
          </cell>
        </row>
        <row r="2376">
          <cell r="B2376" t="str">
            <v>5-7422</v>
          </cell>
          <cell r="C2376" t="str">
            <v>Fence R &amp; M - Material</v>
          </cell>
          <cell r="D2376">
            <v>0</v>
          </cell>
          <cell r="E2376">
            <v>0</v>
          </cell>
          <cell r="F2376">
            <v>0</v>
          </cell>
          <cell r="G2376">
            <v>0</v>
          </cell>
          <cell r="H2376">
            <v>0</v>
          </cell>
          <cell r="I2376">
            <v>0</v>
          </cell>
          <cell r="J2376">
            <v>0</v>
          </cell>
        </row>
        <row r="2377">
          <cell r="B2377" t="str">
            <v>5-7423</v>
          </cell>
          <cell r="C2377" t="str">
            <v>Fence R &amp; M - Other</v>
          </cell>
          <cell r="D2377">
            <v>0</v>
          </cell>
          <cell r="E2377">
            <v>0</v>
          </cell>
          <cell r="F2377">
            <v>0</v>
          </cell>
          <cell r="G2377">
            <v>0</v>
          </cell>
          <cell r="H2377">
            <v>0</v>
          </cell>
          <cell r="I2377">
            <v>0</v>
          </cell>
          <cell r="J2377">
            <v>0</v>
          </cell>
        </row>
        <row r="2378">
          <cell r="B2378" t="str">
            <v>5-7424</v>
          </cell>
          <cell r="C2378" t="str">
            <v>Parking Area R &amp; M - Wages</v>
          </cell>
          <cell r="D2378">
            <v>0</v>
          </cell>
          <cell r="E2378">
            <v>0</v>
          </cell>
          <cell r="F2378">
            <v>0</v>
          </cell>
          <cell r="G2378">
            <v>0</v>
          </cell>
          <cell r="H2378">
            <v>0</v>
          </cell>
          <cell r="I2378">
            <v>0</v>
          </cell>
          <cell r="J2378">
            <v>0</v>
          </cell>
        </row>
        <row r="2379">
          <cell r="B2379" t="str">
            <v>5-7425</v>
          </cell>
          <cell r="C2379" t="str">
            <v>Parking Area R &amp; M - Material</v>
          </cell>
          <cell r="D2379">
            <v>0</v>
          </cell>
          <cell r="E2379">
            <v>0</v>
          </cell>
          <cell r="F2379">
            <v>0</v>
          </cell>
          <cell r="G2379">
            <v>0</v>
          </cell>
          <cell r="H2379">
            <v>0</v>
          </cell>
          <cell r="I2379">
            <v>0</v>
          </cell>
          <cell r="J2379">
            <v>0</v>
          </cell>
        </row>
        <row r="2380">
          <cell r="B2380" t="str">
            <v>5-7426</v>
          </cell>
          <cell r="C2380" t="str">
            <v>Parking Area R &amp; M - Other</v>
          </cell>
          <cell r="D2380">
            <v>0</v>
          </cell>
          <cell r="E2380">
            <v>0</v>
          </cell>
          <cell r="F2380">
            <v>0</v>
          </cell>
          <cell r="G2380">
            <v>0</v>
          </cell>
          <cell r="H2380">
            <v>0</v>
          </cell>
          <cell r="I2380">
            <v>0</v>
          </cell>
          <cell r="J2380">
            <v>0</v>
          </cell>
        </row>
        <row r="2381">
          <cell r="B2381" t="str">
            <v>5-7427</v>
          </cell>
          <cell r="C2381" t="str">
            <v>Garden R &amp; M - Wages</v>
          </cell>
          <cell r="D2381">
            <v>0</v>
          </cell>
          <cell r="E2381">
            <v>0</v>
          </cell>
          <cell r="F2381">
            <v>1933760</v>
          </cell>
          <cell r="G2381">
            <v>0</v>
          </cell>
          <cell r="H2381">
            <v>1933760</v>
          </cell>
          <cell r="I2381">
            <v>1933760</v>
          </cell>
          <cell r="J2381">
            <v>0</v>
          </cell>
        </row>
        <row r="2382">
          <cell r="B2382" t="str">
            <v>5-7428</v>
          </cell>
          <cell r="C2382" t="str">
            <v>Garden R &amp; M - Material</v>
          </cell>
          <cell r="D2382">
            <v>0</v>
          </cell>
          <cell r="E2382">
            <v>0</v>
          </cell>
          <cell r="F2382">
            <v>3600000</v>
          </cell>
          <cell r="G2382">
            <v>0</v>
          </cell>
          <cell r="H2382">
            <v>3600000</v>
          </cell>
          <cell r="I2382">
            <v>3600000</v>
          </cell>
          <cell r="J2382">
            <v>0</v>
          </cell>
        </row>
        <row r="2383">
          <cell r="B2383" t="str">
            <v>5-7429</v>
          </cell>
          <cell r="C2383" t="str">
            <v>Garden R &amp; M - Other</v>
          </cell>
          <cell r="D2383">
            <v>0</v>
          </cell>
          <cell r="E2383">
            <v>0</v>
          </cell>
          <cell r="F2383">
            <v>0</v>
          </cell>
          <cell r="G2383">
            <v>0</v>
          </cell>
          <cell r="H2383">
            <v>0</v>
          </cell>
          <cell r="I2383">
            <v>0</v>
          </cell>
          <cell r="J2383">
            <v>0</v>
          </cell>
        </row>
        <row r="2384">
          <cell r="B2384" t="str">
            <v>5-7430</v>
          </cell>
          <cell r="C2384" t="str">
            <v>INTALASI LISTRIK DAN AIR</v>
          </cell>
          <cell r="D2384">
            <v>0</v>
          </cell>
          <cell r="E2384">
            <v>0</v>
          </cell>
          <cell r="F2384">
            <v>0</v>
          </cell>
          <cell r="G2384">
            <v>0</v>
          </cell>
          <cell r="H2384">
            <v>0</v>
          </cell>
          <cell r="I2384">
            <v>0</v>
          </cell>
          <cell r="J2384">
            <v>0</v>
          </cell>
        </row>
        <row r="2385">
          <cell r="B2385" t="str">
            <v>5-7431</v>
          </cell>
          <cell r="C2385" t="str">
            <v>Electricity Intala R&amp;M - Wages</v>
          </cell>
          <cell r="D2385">
            <v>0</v>
          </cell>
          <cell r="E2385">
            <v>0</v>
          </cell>
          <cell r="F2385">
            <v>575000</v>
          </cell>
          <cell r="G2385">
            <v>0</v>
          </cell>
          <cell r="H2385">
            <v>575000</v>
          </cell>
          <cell r="I2385">
            <v>575000</v>
          </cell>
          <cell r="J2385">
            <v>0</v>
          </cell>
        </row>
        <row r="2386">
          <cell r="B2386" t="str">
            <v>5-7432</v>
          </cell>
          <cell r="C2386" t="str">
            <v>Electricity Intal R&amp;M-Material</v>
          </cell>
          <cell r="D2386">
            <v>0</v>
          </cell>
          <cell r="E2386">
            <v>0</v>
          </cell>
          <cell r="F2386">
            <v>2945500</v>
          </cell>
          <cell r="G2386">
            <v>0</v>
          </cell>
          <cell r="H2386">
            <v>2945500</v>
          </cell>
          <cell r="I2386">
            <v>2945500</v>
          </cell>
          <cell r="J2386">
            <v>0</v>
          </cell>
        </row>
        <row r="2387">
          <cell r="B2387" t="str">
            <v>5-7433</v>
          </cell>
          <cell r="C2387" t="str">
            <v>Electricity Intala R&amp;M - Other</v>
          </cell>
          <cell r="D2387">
            <v>0</v>
          </cell>
          <cell r="E2387">
            <v>0</v>
          </cell>
          <cell r="F2387">
            <v>0</v>
          </cell>
          <cell r="G2387">
            <v>0</v>
          </cell>
          <cell r="H2387">
            <v>0</v>
          </cell>
          <cell r="I2387">
            <v>0</v>
          </cell>
          <cell r="J2387">
            <v>0</v>
          </cell>
        </row>
        <row r="2388">
          <cell r="B2388" t="str">
            <v>5-7434</v>
          </cell>
          <cell r="C2388" t="str">
            <v>Lighting Intalatio R&amp;M - Wages</v>
          </cell>
          <cell r="D2388">
            <v>0</v>
          </cell>
          <cell r="E2388">
            <v>0</v>
          </cell>
          <cell r="F2388">
            <v>0</v>
          </cell>
          <cell r="G2388">
            <v>0</v>
          </cell>
          <cell r="H2388">
            <v>0</v>
          </cell>
          <cell r="I2388">
            <v>0</v>
          </cell>
          <cell r="J2388">
            <v>0</v>
          </cell>
        </row>
        <row r="2389">
          <cell r="B2389" t="str">
            <v>5-7435</v>
          </cell>
          <cell r="C2389" t="str">
            <v>Lighting Intalati R&amp;M-Material</v>
          </cell>
          <cell r="D2389">
            <v>0</v>
          </cell>
          <cell r="E2389">
            <v>0</v>
          </cell>
          <cell r="F2389">
            <v>3245000</v>
          </cell>
          <cell r="G2389">
            <v>0</v>
          </cell>
          <cell r="H2389">
            <v>3245000</v>
          </cell>
          <cell r="I2389">
            <v>3245000</v>
          </cell>
          <cell r="J2389">
            <v>0</v>
          </cell>
        </row>
        <row r="2390">
          <cell r="B2390" t="str">
            <v>5-7436</v>
          </cell>
          <cell r="C2390" t="str">
            <v>Lighting Intalatio R&amp;M - Other</v>
          </cell>
          <cell r="D2390">
            <v>0</v>
          </cell>
          <cell r="E2390">
            <v>0</v>
          </cell>
          <cell r="F2390">
            <v>0</v>
          </cell>
          <cell r="G2390">
            <v>0</v>
          </cell>
          <cell r="H2390">
            <v>0</v>
          </cell>
          <cell r="I2390">
            <v>0</v>
          </cell>
          <cell r="J2390">
            <v>0</v>
          </cell>
        </row>
        <row r="2391">
          <cell r="B2391" t="str">
            <v>5-7437</v>
          </cell>
          <cell r="C2391" t="str">
            <v>Water Intalation R&amp;M - Wages</v>
          </cell>
          <cell r="D2391">
            <v>0</v>
          </cell>
          <cell r="E2391">
            <v>0</v>
          </cell>
          <cell r="F2391">
            <v>390000</v>
          </cell>
          <cell r="G2391">
            <v>0</v>
          </cell>
          <cell r="H2391">
            <v>390000</v>
          </cell>
          <cell r="I2391">
            <v>390000</v>
          </cell>
          <cell r="J2391">
            <v>0</v>
          </cell>
        </row>
        <row r="2392">
          <cell r="B2392" t="str">
            <v>5-7438</v>
          </cell>
          <cell r="C2392" t="str">
            <v>Water Intalation R&amp;M -Material</v>
          </cell>
          <cell r="D2392">
            <v>0</v>
          </cell>
          <cell r="E2392">
            <v>0</v>
          </cell>
          <cell r="F2392">
            <v>0</v>
          </cell>
          <cell r="G2392">
            <v>0</v>
          </cell>
          <cell r="H2392">
            <v>0</v>
          </cell>
          <cell r="I2392">
            <v>0</v>
          </cell>
          <cell r="J2392">
            <v>0</v>
          </cell>
        </row>
        <row r="2393">
          <cell r="B2393" t="str">
            <v>5-7439</v>
          </cell>
          <cell r="C2393" t="str">
            <v>Water Intalation R&amp;M - Others</v>
          </cell>
          <cell r="D2393">
            <v>0</v>
          </cell>
          <cell r="E2393">
            <v>0</v>
          </cell>
          <cell r="F2393">
            <v>0</v>
          </cell>
          <cell r="G2393">
            <v>0</v>
          </cell>
          <cell r="H2393">
            <v>0</v>
          </cell>
          <cell r="I2393">
            <v>0</v>
          </cell>
          <cell r="J2393">
            <v>0</v>
          </cell>
        </row>
        <row r="2394">
          <cell r="B2394" t="str">
            <v>5-7440</v>
          </cell>
          <cell r="C2394" t="str">
            <v>LAIN-LAIN INFRASTRUKTUR</v>
          </cell>
          <cell r="D2394">
            <v>0</v>
          </cell>
          <cell r="E2394">
            <v>0</v>
          </cell>
          <cell r="F2394">
            <v>0</v>
          </cell>
          <cell r="G2394">
            <v>0</v>
          </cell>
          <cell r="H2394">
            <v>0</v>
          </cell>
          <cell r="I2394">
            <v>0</v>
          </cell>
          <cell r="J2394">
            <v>0</v>
          </cell>
        </row>
        <row r="2395">
          <cell r="B2395" t="str">
            <v>5-7510</v>
          </cell>
          <cell r="C2395" t="str">
            <v>PERSONAL - GAJI</v>
          </cell>
          <cell r="D2395">
            <v>0</v>
          </cell>
          <cell r="E2395">
            <v>0</v>
          </cell>
          <cell r="F2395">
            <v>0</v>
          </cell>
          <cell r="G2395">
            <v>0</v>
          </cell>
          <cell r="H2395">
            <v>0</v>
          </cell>
          <cell r="I2395">
            <v>0</v>
          </cell>
          <cell r="J2395">
            <v>0</v>
          </cell>
        </row>
        <row r="2396">
          <cell r="B2396" t="str">
            <v>5-7511</v>
          </cell>
          <cell r="C2396" t="str">
            <v>Permanent Staff Salary</v>
          </cell>
          <cell r="D2396">
            <v>0</v>
          </cell>
          <cell r="E2396">
            <v>0</v>
          </cell>
          <cell r="F2396">
            <v>0</v>
          </cell>
          <cell r="G2396">
            <v>0</v>
          </cell>
          <cell r="H2396">
            <v>0</v>
          </cell>
          <cell r="I2396">
            <v>0</v>
          </cell>
          <cell r="J2396">
            <v>0</v>
          </cell>
        </row>
        <row r="2397">
          <cell r="B2397" t="str">
            <v>5-7512</v>
          </cell>
          <cell r="C2397" t="str">
            <v>Temporary Staff Salary</v>
          </cell>
          <cell r="D2397">
            <v>0</v>
          </cell>
          <cell r="E2397">
            <v>0</v>
          </cell>
          <cell r="F2397">
            <v>0</v>
          </cell>
          <cell r="G2397">
            <v>0</v>
          </cell>
          <cell r="H2397">
            <v>0</v>
          </cell>
          <cell r="I2397">
            <v>0</v>
          </cell>
          <cell r="J2397">
            <v>0</v>
          </cell>
        </row>
        <row r="2398">
          <cell r="B2398" t="str">
            <v>5-7513</v>
          </cell>
          <cell r="C2398" t="str">
            <v>Permanent Labour Salary</v>
          </cell>
          <cell r="D2398">
            <v>19521146</v>
          </cell>
          <cell r="E2398">
            <v>0</v>
          </cell>
          <cell r="F2398">
            <v>19747419</v>
          </cell>
          <cell r="G2398">
            <v>226273</v>
          </cell>
          <cell r="H2398">
            <v>19521146</v>
          </cell>
          <cell r="I2398">
            <v>39042292</v>
          </cell>
          <cell r="J2398">
            <v>0</v>
          </cell>
        </row>
        <row r="2399">
          <cell r="B2399" t="str">
            <v>5-7514</v>
          </cell>
          <cell r="C2399" t="str">
            <v>Temporary Labour Salary</v>
          </cell>
          <cell r="D2399">
            <v>1192912</v>
          </cell>
          <cell r="E2399">
            <v>0</v>
          </cell>
          <cell r="F2399">
            <v>1182068</v>
          </cell>
          <cell r="G2399">
            <v>0</v>
          </cell>
          <cell r="H2399">
            <v>1182068</v>
          </cell>
          <cell r="I2399">
            <v>2374980</v>
          </cell>
          <cell r="J2399">
            <v>0</v>
          </cell>
        </row>
        <row r="2400">
          <cell r="B2400" t="str">
            <v>5-7515</v>
          </cell>
          <cell r="C2400" t="str">
            <v>Honorarium santri Khidmah</v>
          </cell>
          <cell r="D2400">
            <v>0</v>
          </cell>
          <cell r="E2400">
            <v>0</v>
          </cell>
          <cell r="F2400">
            <v>0</v>
          </cell>
          <cell r="G2400">
            <v>0</v>
          </cell>
          <cell r="H2400">
            <v>0</v>
          </cell>
          <cell r="I2400">
            <v>0</v>
          </cell>
          <cell r="J2400">
            <v>0</v>
          </cell>
        </row>
        <row r="2401">
          <cell r="B2401" t="str">
            <v>5-7516</v>
          </cell>
          <cell r="C2401" t="str">
            <v>Staff overtime</v>
          </cell>
          <cell r="D2401" t="str">
            <v>0.00cr</v>
          </cell>
          <cell r="E2401">
            <v>0</v>
          </cell>
          <cell r="F2401">
            <v>226273</v>
          </cell>
          <cell r="G2401">
            <v>0</v>
          </cell>
          <cell r="H2401">
            <v>226273</v>
          </cell>
          <cell r="I2401">
            <v>226273</v>
          </cell>
          <cell r="J2401">
            <v>0</v>
          </cell>
        </row>
        <row r="2402">
          <cell r="B2402" t="str">
            <v>5-7517</v>
          </cell>
          <cell r="C2402" t="str">
            <v>Joint Salary Allocation</v>
          </cell>
          <cell r="D2402">
            <v>0</v>
          </cell>
          <cell r="E2402">
            <v>0</v>
          </cell>
          <cell r="F2402">
            <v>0</v>
          </cell>
          <cell r="G2402">
            <v>0</v>
          </cell>
          <cell r="H2402">
            <v>0</v>
          </cell>
          <cell r="I2402">
            <v>0</v>
          </cell>
          <cell r="J2402">
            <v>0</v>
          </cell>
        </row>
        <row r="2403">
          <cell r="B2403" t="str">
            <v>5-7519</v>
          </cell>
          <cell r="C2403" t="str">
            <v>Others Salary</v>
          </cell>
          <cell r="D2403">
            <v>0</v>
          </cell>
          <cell r="E2403">
            <v>0</v>
          </cell>
          <cell r="F2403">
            <v>0</v>
          </cell>
          <cell r="G2403">
            <v>0</v>
          </cell>
          <cell r="H2403">
            <v>0</v>
          </cell>
          <cell r="I2403">
            <v>0</v>
          </cell>
          <cell r="J2403">
            <v>0</v>
          </cell>
        </row>
        <row r="2404">
          <cell r="B2404" t="str">
            <v>5-7520</v>
          </cell>
          <cell r="C2404" t="str">
            <v>PERSONAL - ALLOWANCE OF</v>
          </cell>
          <cell r="D2404">
            <v>0</v>
          </cell>
          <cell r="E2404">
            <v>0</v>
          </cell>
          <cell r="F2404">
            <v>0</v>
          </cell>
          <cell r="G2404">
            <v>0</v>
          </cell>
          <cell r="H2404">
            <v>0</v>
          </cell>
          <cell r="I2404">
            <v>0</v>
          </cell>
          <cell r="J2404">
            <v>0</v>
          </cell>
        </row>
        <row r="2405">
          <cell r="B2405" t="str">
            <v>5-7521</v>
          </cell>
          <cell r="C2405" t="str">
            <v>Allowance of Hulled Rice</v>
          </cell>
          <cell r="D2405">
            <v>2855200</v>
          </cell>
          <cell r="E2405">
            <v>0</v>
          </cell>
          <cell r="F2405">
            <v>3015000</v>
          </cell>
          <cell r="G2405">
            <v>0</v>
          </cell>
          <cell r="H2405">
            <v>3015000</v>
          </cell>
          <cell r="I2405">
            <v>5870200</v>
          </cell>
          <cell r="J2405">
            <v>0</v>
          </cell>
        </row>
        <row r="2406">
          <cell r="B2406" t="str">
            <v>5-7522</v>
          </cell>
          <cell r="C2406" t="str">
            <v>Alowance of doctor and medicin</v>
          </cell>
          <cell r="D2406">
            <v>169700</v>
          </cell>
          <cell r="E2406">
            <v>0</v>
          </cell>
          <cell r="F2406">
            <v>295805.32</v>
          </cell>
          <cell r="G2406">
            <v>0</v>
          </cell>
          <cell r="H2406">
            <v>295805.32</v>
          </cell>
          <cell r="I2406">
            <v>465505.32</v>
          </cell>
          <cell r="J2406">
            <v>0</v>
          </cell>
        </row>
        <row r="2407">
          <cell r="B2407" t="str">
            <v>5-7523</v>
          </cell>
          <cell r="C2407" t="str">
            <v>Alowance of spectacles</v>
          </cell>
          <cell r="D2407">
            <v>0</v>
          </cell>
          <cell r="E2407">
            <v>0</v>
          </cell>
          <cell r="F2407">
            <v>0</v>
          </cell>
          <cell r="G2407">
            <v>0</v>
          </cell>
          <cell r="H2407">
            <v>0</v>
          </cell>
          <cell r="I2407">
            <v>0</v>
          </cell>
          <cell r="J2407">
            <v>0</v>
          </cell>
        </row>
        <row r="2408">
          <cell r="B2408" t="str">
            <v>5-7524</v>
          </cell>
          <cell r="C2408" t="str">
            <v>Allowance of operation&amp;hospita</v>
          </cell>
          <cell r="D2408">
            <v>0</v>
          </cell>
          <cell r="E2408">
            <v>0</v>
          </cell>
          <cell r="F2408">
            <v>0</v>
          </cell>
          <cell r="G2408">
            <v>0</v>
          </cell>
          <cell r="H2408">
            <v>0</v>
          </cell>
          <cell r="I2408">
            <v>0</v>
          </cell>
          <cell r="J2408">
            <v>0</v>
          </cell>
        </row>
        <row r="2409">
          <cell r="B2409" t="str">
            <v>5-7525</v>
          </cell>
          <cell r="C2409" t="str">
            <v>Allowance of disaster &amp; die</v>
          </cell>
          <cell r="D2409">
            <v>0</v>
          </cell>
          <cell r="E2409">
            <v>0</v>
          </cell>
          <cell r="F2409">
            <v>0</v>
          </cell>
          <cell r="G2409">
            <v>0</v>
          </cell>
          <cell r="H2409">
            <v>0</v>
          </cell>
          <cell r="I2409">
            <v>0</v>
          </cell>
          <cell r="J2409">
            <v>0</v>
          </cell>
        </row>
        <row r="2410">
          <cell r="B2410" t="str">
            <v>5-7526</v>
          </cell>
          <cell r="C2410" t="str">
            <v>Allowance of hari raya</v>
          </cell>
          <cell r="D2410">
            <v>30021799</v>
          </cell>
          <cell r="E2410">
            <v>0</v>
          </cell>
          <cell r="F2410">
            <v>0</v>
          </cell>
          <cell r="G2410">
            <v>0</v>
          </cell>
          <cell r="H2410">
            <v>0</v>
          </cell>
          <cell r="I2410">
            <v>30021799</v>
          </cell>
          <cell r="J2410">
            <v>0</v>
          </cell>
        </row>
        <row r="2411">
          <cell r="B2411" t="str">
            <v>5-7527</v>
          </cell>
          <cell r="C2411" t="str">
            <v>Allowance of birth</v>
          </cell>
          <cell r="D2411">
            <v>0</v>
          </cell>
          <cell r="E2411">
            <v>0</v>
          </cell>
          <cell r="F2411">
            <v>0</v>
          </cell>
          <cell r="G2411">
            <v>0</v>
          </cell>
          <cell r="H2411">
            <v>0</v>
          </cell>
          <cell r="I2411">
            <v>0</v>
          </cell>
          <cell r="J2411">
            <v>0</v>
          </cell>
        </row>
        <row r="2412">
          <cell r="B2412" t="str">
            <v>5-7528</v>
          </cell>
          <cell r="C2412" t="str">
            <v>Allowance of married</v>
          </cell>
          <cell r="D2412">
            <v>0</v>
          </cell>
          <cell r="E2412">
            <v>0</v>
          </cell>
          <cell r="F2412">
            <v>0</v>
          </cell>
          <cell r="G2412">
            <v>0</v>
          </cell>
          <cell r="H2412">
            <v>0</v>
          </cell>
          <cell r="I2412">
            <v>0</v>
          </cell>
          <cell r="J2412">
            <v>0</v>
          </cell>
        </row>
        <row r="2413">
          <cell r="B2413" t="str">
            <v>5-7529</v>
          </cell>
          <cell r="C2413" t="str">
            <v>Allowance of house rent&amp;others</v>
          </cell>
          <cell r="D2413">
            <v>0</v>
          </cell>
          <cell r="E2413">
            <v>0</v>
          </cell>
          <cell r="F2413">
            <v>0</v>
          </cell>
          <cell r="G2413">
            <v>0</v>
          </cell>
          <cell r="H2413">
            <v>0</v>
          </cell>
          <cell r="I2413">
            <v>0</v>
          </cell>
          <cell r="J2413">
            <v>0</v>
          </cell>
        </row>
        <row r="2414">
          <cell r="B2414" t="str">
            <v>5-7530</v>
          </cell>
          <cell r="C2414" t="str">
            <v>OFFICE</v>
          </cell>
          <cell r="D2414">
            <v>0</v>
          </cell>
          <cell r="E2414">
            <v>0</v>
          </cell>
          <cell r="F2414">
            <v>0</v>
          </cell>
          <cell r="G2414">
            <v>0</v>
          </cell>
          <cell r="H2414">
            <v>0</v>
          </cell>
          <cell r="I2414">
            <v>0</v>
          </cell>
          <cell r="J2414">
            <v>0</v>
          </cell>
        </row>
        <row r="2415">
          <cell r="B2415" t="str">
            <v>5-7531</v>
          </cell>
          <cell r="C2415" t="str">
            <v>Stationary papers</v>
          </cell>
          <cell r="D2415">
            <v>0</v>
          </cell>
          <cell r="E2415">
            <v>0</v>
          </cell>
          <cell r="F2415">
            <v>0</v>
          </cell>
          <cell r="G2415">
            <v>0</v>
          </cell>
          <cell r="H2415">
            <v>0</v>
          </cell>
          <cell r="I2415">
            <v>0</v>
          </cell>
          <cell r="J2415">
            <v>0</v>
          </cell>
        </row>
        <row r="2416">
          <cell r="B2416" t="str">
            <v>5-7532</v>
          </cell>
          <cell r="C2416" t="str">
            <v>Stationary written toolls</v>
          </cell>
          <cell r="D2416">
            <v>0</v>
          </cell>
          <cell r="E2416">
            <v>0</v>
          </cell>
          <cell r="F2416">
            <v>0</v>
          </cell>
          <cell r="G2416">
            <v>0</v>
          </cell>
          <cell r="H2416">
            <v>0</v>
          </cell>
          <cell r="I2416">
            <v>0</v>
          </cell>
          <cell r="J2416">
            <v>0</v>
          </cell>
        </row>
        <row r="2417">
          <cell r="B2417" t="str">
            <v>5-7533</v>
          </cell>
          <cell r="C2417" t="str">
            <v>Stationary Others</v>
          </cell>
          <cell r="D2417">
            <v>0</v>
          </cell>
          <cell r="E2417">
            <v>0</v>
          </cell>
          <cell r="F2417">
            <v>0</v>
          </cell>
          <cell r="G2417">
            <v>0</v>
          </cell>
          <cell r="H2417">
            <v>0</v>
          </cell>
          <cell r="I2417">
            <v>0</v>
          </cell>
          <cell r="J2417">
            <v>0</v>
          </cell>
        </row>
        <row r="2418">
          <cell r="B2418" t="str">
            <v>5-7534</v>
          </cell>
          <cell r="C2418" t="str">
            <v>Consumptions</v>
          </cell>
          <cell r="D2418">
            <v>0</v>
          </cell>
          <cell r="E2418">
            <v>0</v>
          </cell>
          <cell r="F2418">
            <v>0</v>
          </cell>
          <cell r="G2418">
            <v>0</v>
          </cell>
          <cell r="H2418">
            <v>0</v>
          </cell>
          <cell r="I2418">
            <v>0</v>
          </cell>
          <cell r="J2418">
            <v>0</v>
          </cell>
        </row>
        <row r="2419">
          <cell r="B2419" t="str">
            <v>5-7535</v>
          </cell>
          <cell r="C2419" t="str">
            <v>Fotocopy &amp; Printing</v>
          </cell>
          <cell r="D2419">
            <v>0</v>
          </cell>
          <cell r="E2419">
            <v>0</v>
          </cell>
          <cell r="F2419">
            <v>0</v>
          </cell>
          <cell r="G2419">
            <v>0</v>
          </cell>
          <cell r="H2419">
            <v>0</v>
          </cell>
          <cell r="I2419">
            <v>0</v>
          </cell>
          <cell r="J2419">
            <v>0</v>
          </cell>
        </row>
        <row r="2420">
          <cell r="B2420" t="str">
            <v>5-7536</v>
          </cell>
          <cell r="C2420" t="str">
            <v>Office Suplies</v>
          </cell>
          <cell r="D2420">
            <v>0</v>
          </cell>
          <cell r="E2420">
            <v>0</v>
          </cell>
          <cell r="F2420">
            <v>0</v>
          </cell>
          <cell r="G2420">
            <v>0</v>
          </cell>
          <cell r="H2420">
            <v>0</v>
          </cell>
          <cell r="I2420">
            <v>0</v>
          </cell>
          <cell r="J2420">
            <v>0</v>
          </cell>
        </row>
        <row r="2421">
          <cell r="B2421" t="str">
            <v>5-7539</v>
          </cell>
          <cell r="C2421" t="str">
            <v>Others</v>
          </cell>
          <cell r="D2421">
            <v>0</v>
          </cell>
          <cell r="E2421">
            <v>0</v>
          </cell>
          <cell r="F2421">
            <v>0</v>
          </cell>
          <cell r="G2421">
            <v>0</v>
          </cell>
          <cell r="H2421">
            <v>0</v>
          </cell>
          <cell r="I2421">
            <v>0</v>
          </cell>
          <cell r="J2421">
            <v>0</v>
          </cell>
        </row>
        <row r="2422">
          <cell r="B2422" t="str">
            <v>5-7540</v>
          </cell>
          <cell r="C2422" t="str">
            <v>TRANSPORTATION &amp; TELECOMUNICAT</v>
          </cell>
          <cell r="D2422">
            <v>0</v>
          </cell>
          <cell r="E2422">
            <v>0</v>
          </cell>
          <cell r="F2422">
            <v>0</v>
          </cell>
          <cell r="G2422">
            <v>0</v>
          </cell>
          <cell r="H2422">
            <v>0</v>
          </cell>
          <cell r="I2422">
            <v>0</v>
          </cell>
          <cell r="J2422">
            <v>0</v>
          </cell>
        </row>
        <row r="2423">
          <cell r="B2423" t="str">
            <v>5-7541</v>
          </cell>
          <cell r="C2423" t="str">
            <v>Mail &amp; Shipment</v>
          </cell>
          <cell r="D2423">
            <v>0</v>
          </cell>
          <cell r="E2423">
            <v>0</v>
          </cell>
          <cell r="F2423">
            <v>0</v>
          </cell>
          <cell r="G2423">
            <v>0</v>
          </cell>
          <cell r="H2423">
            <v>0</v>
          </cell>
          <cell r="I2423">
            <v>0</v>
          </cell>
          <cell r="J2423">
            <v>0</v>
          </cell>
        </row>
        <row r="2424">
          <cell r="B2424" t="str">
            <v>5-7542</v>
          </cell>
          <cell r="C2424" t="str">
            <v>Telephone</v>
          </cell>
          <cell r="D2424">
            <v>0</v>
          </cell>
          <cell r="E2424">
            <v>0</v>
          </cell>
          <cell r="F2424">
            <v>0</v>
          </cell>
          <cell r="G2424">
            <v>0</v>
          </cell>
          <cell r="H2424">
            <v>0</v>
          </cell>
          <cell r="I2424">
            <v>0</v>
          </cell>
          <cell r="J2424">
            <v>0</v>
          </cell>
        </row>
        <row r="2425">
          <cell r="B2425" t="str">
            <v>5-7543</v>
          </cell>
          <cell r="C2425" t="str">
            <v>Fuel</v>
          </cell>
          <cell r="D2425">
            <v>0</v>
          </cell>
          <cell r="E2425">
            <v>0</v>
          </cell>
          <cell r="F2425">
            <v>0</v>
          </cell>
          <cell r="G2425">
            <v>0</v>
          </cell>
          <cell r="H2425">
            <v>0</v>
          </cell>
          <cell r="I2425">
            <v>0</v>
          </cell>
          <cell r="J2425">
            <v>0</v>
          </cell>
        </row>
        <row r="2426">
          <cell r="B2426" t="str">
            <v>5-7544</v>
          </cell>
          <cell r="C2426" t="str">
            <v>Toll &amp; Parking</v>
          </cell>
          <cell r="D2426">
            <v>0</v>
          </cell>
          <cell r="E2426">
            <v>0</v>
          </cell>
          <cell r="F2426">
            <v>0</v>
          </cell>
          <cell r="G2426">
            <v>0</v>
          </cell>
          <cell r="H2426">
            <v>0</v>
          </cell>
          <cell r="I2426">
            <v>0</v>
          </cell>
          <cell r="J2426">
            <v>0</v>
          </cell>
        </row>
        <row r="2427">
          <cell r="B2427" t="str">
            <v>5-7545</v>
          </cell>
          <cell r="C2427" t="str">
            <v>Accommodations</v>
          </cell>
          <cell r="D2427">
            <v>0</v>
          </cell>
          <cell r="E2427">
            <v>0</v>
          </cell>
          <cell r="F2427">
            <v>0</v>
          </cell>
          <cell r="G2427">
            <v>0</v>
          </cell>
          <cell r="H2427">
            <v>0</v>
          </cell>
          <cell r="I2427">
            <v>0</v>
          </cell>
          <cell r="J2427">
            <v>0</v>
          </cell>
        </row>
        <row r="2428">
          <cell r="B2428" t="str">
            <v>5-7546</v>
          </cell>
          <cell r="C2428" t="str">
            <v>Public Tranportation</v>
          </cell>
          <cell r="D2428">
            <v>0</v>
          </cell>
          <cell r="E2428">
            <v>0</v>
          </cell>
          <cell r="F2428">
            <v>0</v>
          </cell>
          <cell r="G2428">
            <v>0</v>
          </cell>
          <cell r="H2428">
            <v>0</v>
          </cell>
          <cell r="I2428">
            <v>0</v>
          </cell>
          <cell r="J2428">
            <v>0</v>
          </cell>
        </row>
        <row r="2429">
          <cell r="B2429" t="str">
            <v>5-7547</v>
          </cell>
          <cell r="C2429" t="str">
            <v>Joint Transportation Allocatio</v>
          </cell>
          <cell r="D2429">
            <v>0</v>
          </cell>
          <cell r="E2429">
            <v>0</v>
          </cell>
          <cell r="F2429">
            <v>0</v>
          </cell>
          <cell r="G2429">
            <v>0</v>
          </cell>
          <cell r="H2429">
            <v>0</v>
          </cell>
          <cell r="I2429">
            <v>0</v>
          </cell>
          <cell r="J2429">
            <v>0</v>
          </cell>
        </row>
        <row r="2430">
          <cell r="B2430" t="str">
            <v>5-7549</v>
          </cell>
          <cell r="C2430" t="str">
            <v>Others</v>
          </cell>
          <cell r="D2430">
            <v>0</v>
          </cell>
          <cell r="E2430">
            <v>0</v>
          </cell>
          <cell r="F2430">
            <v>0</v>
          </cell>
          <cell r="G2430">
            <v>0</v>
          </cell>
          <cell r="H2430">
            <v>0</v>
          </cell>
          <cell r="I2430">
            <v>0</v>
          </cell>
          <cell r="J2430">
            <v>0</v>
          </cell>
        </row>
        <row r="2431">
          <cell r="B2431" t="str">
            <v>5-7550</v>
          </cell>
          <cell r="C2431" t="str">
            <v>REPAIR &amp; MAINTENENCE</v>
          </cell>
          <cell r="D2431">
            <v>0</v>
          </cell>
          <cell r="E2431">
            <v>0</v>
          </cell>
          <cell r="F2431">
            <v>0</v>
          </cell>
          <cell r="G2431">
            <v>0</v>
          </cell>
          <cell r="H2431">
            <v>0</v>
          </cell>
          <cell r="I2431">
            <v>0</v>
          </cell>
          <cell r="J2431">
            <v>0</v>
          </cell>
        </row>
        <row r="2432">
          <cell r="B2432" t="str">
            <v>5-7551</v>
          </cell>
          <cell r="C2432" t="str">
            <v>R &amp; M - Computer &amp; audio visua</v>
          </cell>
          <cell r="D2432">
            <v>0</v>
          </cell>
          <cell r="E2432">
            <v>0</v>
          </cell>
          <cell r="F2432">
            <v>0</v>
          </cell>
          <cell r="G2432">
            <v>0</v>
          </cell>
          <cell r="H2432">
            <v>0</v>
          </cell>
          <cell r="I2432">
            <v>0</v>
          </cell>
          <cell r="J2432">
            <v>0</v>
          </cell>
        </row>
        <row r="2433">
          <cell r="B2433" t="str">
            <v>5-7552</v>
          </cell>
          <cell r="C2433" t="str">
            <v>R &amp; M - Telephone &amp; Faxs</v>
          </cell>
          <cell r="D2433">
            <v>0</v>
          </cell>
          <cell r="E2433">
            <v>0</v>
          </cell>
          <cell r="F2433">
            <v>0</v>
          </cell>
          <cell r="G2433">
            <v>0</v>
          </cell>
          <cell r="H2433">
            <v>0</v>
          </cell>
          <cell r="I2433">
            <v>0</v>
          </cell>
          <cell r="J2433">
            <v>0</v>
          </cell>
        </row>
        <row r="2434">
          <cell r="B2434" t="str">
            <v>5-7553</v>
          </cell>
          <cell r="C2434" t="str">
            <v>R &amp; M - Office Eqiupment</v>
          </cell>
          <cell r="D2434">
            <v>0</v>
          </cell>
          <cell r="E2434">
            <v>0</v>
          </cell>
          <cell r="F2434">
            <v>0</v>
          </cell>
          <cell r="G2434">
            <v>0</v>
          </cell>
          <cell r="H2434">
            <v>0</v>
          </cell>
          <cell r="I2434">
            <v>0</v>
          </cell>
          <cell r="J2434">
            <v>0</v>
          </cell>
        </row>
        <row r="2435">
          <cell r="B2435" t="str">
            <v>5-7554</v>
          </cell>
          <cell r="C2435" t="str">
            <v>R &amp; M - Cleaning Eqiupment</v>
          </cell>
          <cell r="D2435">
            <v>0</v>
          </cell>
          <cell r="E2435">
            <v>0</v>
          </cell>
          <cell r="F2435">
            <v>0</v>
          </cell>
          <cell r="G2435">
            <v>0</v>
          </cell>
          <cell r="H2435">
            <v>0</v>
          </cell>
          <cell r="I2435">
            <v>0</v>
          </cell>
          <cell r="J2435">
            <v>0</v>
          </cell>
        </row>
        <row r="2436">
          <cell r="B2436" t="str">
            <v>5-7555</v>
          </cell>
          <cell r="C2436" t="str">
            <v>R &amp; M - Other Eqiupment</v>
          </cell>
          <cell r="D2436">
            <v>0</v>
          </cell>
          <cell r="E2436">
            <v>0</v>
          </cell>
          <cell r="F2436">
            <v>0</v>
          </cell>
          <cell r="G2436">
            <v>0</v>
          </cell>
          <cell r="H2436">
            <v>0</v>
          </cell>
          <cell r="I2436">
            <v>0</v>
          </cell>
          <cell r="J2436">
            <v>0</v>
          </cell>
        </row>
        <row r="2437">
          <cell r="B2437" t="str">
            <v>5-7556</v>
          </cell>
          <cell r="C2437" t="str">
            <v>R &amp; M - Table &amp; Chairs</v>
          </cell>
          <cell r="D2437">
            <v>0</v>
          </cell>
          <cell r="E2437">
            <v>0</v>
          </cell>
          <cell r="F2437">
            <v>0</v>
          </cell>
          <cell r="G2437">
            <v>0</v>
          </cell>
          <cell r="H2437">
            <v>0</v>
          </cell>
          <cell r="I2437">
            <v>0</v>
          </cell>
          <cell r="J2437">
            <v>0</v>
          </cell>
        </row>
        <row r="2438">
          <cell r="B2438" t="str">
            <v>5-7557</v>
          </cell>
          <cell r="C2438" t="str">
            <v>R &amp; M - Cupboard &amp; Rack</v>
          </cell>
          <cell r="D2438">
            <v>0</v>
          </cell>
          <cell r="E2438">
            <v>0</v>
          </cell>
          <cell r="F2438">
            <v>0</v>
          </cell>
          <cell r="G2438">
            <v>0</v>
          </cell>
          <cell r="H2438">
            <v>0</v>
          </cell>
          <cell r="I2438">
            <v>0</v>
          </cell>
          <cell r="J2438">
            <v>0</v>
          </cell>
        </row>
        <row r="2439">
          <cell r="B2439" t="str">
            <v>5-7558</v>
          </cell>
          <cell r="C2439" t="str">
            <v>R &amp; M - Other Furniture</v>
          </cell>
          <cell r="D2439">
            <v>0</v>
          </cell>
          <cell r="E2439">
            <v>0</v>
          </cell>
          <cell r="F2439">
            <v>0</v>
          </cell>
          <cell r="G2439">
            <v>0</v>
          </cell>
          <cell r="H2439">
            <v>0</v>
          </cell>
          <cell r="I2439">
            <v>0</v>
          </cell>
          <cell r="J2439">
            <v>0</v>
          </cell>
        </row>
        <row r="2440">
          <cell r="B2440" t="str">
            <v>5-7559</v>
          </cell>
          <cell r="C2440" t="str">
            <v>R &amp; M Others</v>
          </cell>
          <cell r="D2440">
            <v>0</v>
          </cell>
          <cell r="E2440">
            <v>0</v>
          </cell>
          <cell r="F2440">
            <v>0</v>
          </cell>
          <cell r="G2440">
            <v>0</v>
          </cell>
          <cell r="H2440">
            <v>0</v>
          </cell>
          <cell r="I2440">
            <v>0</v>
          </cell>
          <cell r="J2440">
            <v>0</v>
          </cell>
        </row>
        <row r="2441">
          <cell r="B2441" t="str">
            <v>5-7560</v>
          </cell>
          <cell r="C2441" t="str">
            <v>PERLENGKAPAN SATPAM</v>
          </cell>
          <cell r="D2441">
            <v>0</v>
          </cell>
          <cell r="E2441">
            <v>0</v>
          </cell>
          <cell r="F2441">
            <v>0</v>
          </cell>
          <cell r="G2441">
            <v>0</v>
          </cell>
          <cell r="H2441">
            <v>0</v>
          </cell>
          <cell r="I2441">
            <v>0</v>
          </cell>
          <cell r="J2441">
            <v>0</v>
          </cell>
        </row>
        <row r="2442">
          <cell r="B2442" t="str">
            <v>5-7561</v>
          </cell>
          <cell r="C2442" t="str">
            <v>Security Stick</v>
          </cell>
          <cell r="D2442">
            <v>0</v>
          </cell>
          <cell r="E2442">
            <v>0</v>
          </cell>
          <cell r="F2442">
            <v>0</v>
          </cell>
          <cell r="G2442">
            <v>0</v>
          </cell>
          <cell r="H2442">
            <v>0</v>
          </cell>
          <cell r="I2442">
            <v>0</v>
          </cell>
          <cell r="J2442">
            <v>0</v>
          </cell>
        </row>
        <row r="2443">
          <cell r="B2443" t="str">
            <v>5-7562</v>
          </cell>
          <cell r="C2443" t="str">
            <v>Handcuffs</v>
          </cell>
          <cell r="D2443">
            <v>0</v>
          </cell>
          <cell r="E2443">
            <v>0</v>
          </cell>
          <cell r="F2443">
            <v>0</v>
          </cell>
          <cell r="G2443">
            <v>0</v>
          </cell>
          <cell r="H2443">
            <v>0</v>
          </cell>
          <cell r="I2443">
            <v>0</v>
          </cell>
          <cell r="J2443">
            <v>0</v>
          </cell>
        </row>
        <row r="2444">
          <cell r="B2444" t="str">
            <v>5-7563</v>
          </cell>
          <cell r="C2444" t="str">
            <v>Others</v>
          </cell>
          <cell r="D2444">
            <v>0</v>
          </cell>
          <cell r="E2444">
            <v>0</v>
          </cell>
          <cell r="F2444">
            <v>0</v>
          </cell>
          <cell r="G2444">
            <v>0</v>
          </cell>
          <cell r="H2444">
            <v>0</v>
          </cell>
          <cell r="I2444">
            <v>0</v>
          </cell>
          <cell r="J2444">
            <v>0</v>
          </cell>
        </row>
        <row r="2445">
          <cell r="B2445" t="str">
            <v>5-7590</v>
          </cell>
          <cell r="C2445" t="str">
            <v>LAIN-LAIN</v>
          </cell>
          <cell r="D2445">
            <v>0</v>
          </cell>
          <cell r="E2445">
            <v>0</v>
          </cell>
          <cell r="F2445">
            <v>0</v>
          </cell>
          <cell r="G2445">
            <v>0</v>
          </cell>
          <cell r="H2445">
            <v>0</v>
          </cell>
          <cell r="I2445">
            <v>0</v>
          </cell>
          <cell r="J2445">
            <v>0</v>
          </cell>
        </row>
        <row r="2446">
          <cell r="B2446" t="str">
            <v>5-7591</v>
          </cell>
          <cell r="C2446" t="str">
            <v>Training &amp; Workshop</v>
          </cell>
          <cell r="D2446">
            <v>0</v>
          </cell>
          <cell r="E2446">
            <v>0</v>
          </cell>
          <cell r="F2446">
            <v>0</v>
          </cell>
          <cell r="G2446">
            <v>0</v>
          </cell>
          <cell r="H2446">
            <v>0</v>
          </cell>
          <cell r="I2446">
            <v>0</v>
          </cell>
          <cell r="J2446">
            <v>0</v>
          </cell>
        </row>
        <row r="2447">
          <cell r="B2447" t="str">
            <v>5-7610</v>
          </cell>
          <cell r="C2447" t="str">
            <v>LISTRIK 1</v>
          </cell>
          <cell r="D2447">
            <v>0</v>
          </cell>
          <cell r="E2447">
            <v>0</v>
          </cell>
          <cell r="F2447">
            <v>0</v>
          </cell>
          <cell r="G2447">
            <v>0</v>
          </cell>
          <cell r="H2447">
            <v>0</v>
          </cell>
          <cell r="I2447">
            <v>0</v>
          </cell>
          <cell r="J2447">
            <v>0</v>
          </cell>
        </row>
        <row r="2448">
          <cell r="B2448" t="str">
            <v>5-7611</v>
          </cell>
          <cell r="C2448" t="str">
            <v>Electricity - Housing 1</v>
          </cell>
          <cell r="D2448">
            <v>1608492</v>
          </cell>
          <cell r="E2448">
            <v>0</v>
          </cell>
          <cell r="F2448">
            <v>1142517</v>
          </cell>
          <cell r="G2448">
            <v>1032012</v>
          </cell>
          <cell r="H2448">
            <v>110505</v>
          </cell>
          <cell r="I2448">
            <v>1718997</v>
          </cell>
          <cell r="J2448">
            <v>0</v>
          </cell>
        </row>
        <row r="2449">
          <cell r="B2449" t="str">
            <v>5-7612</v>
          </cell>
          <cell r="C2449" t="str">
            <v>Electricity - Housing 2</v>
          </cell>
          <cell r="D2449">
            <v>1180200</v>
          </cell>
          <cell r="E2449">
            <v>0</v>
          </cell>
          <cell r="F2449">
            <v>701100</v>
          </cell>
          <cell r="G2449">
            <v>708600</v>
          </cell>
          <cell r="H2449">
            <v>-7500</v>
          </cell>
          <cell r="I2449">
            <v>1172700</v>
          </cell>
          <cell r="J2449">
            <v>0</v>
          </cell>
        </row>
        <row r="2450">
          <cell r="B2450" t="str">
            <v>5-7613</v>
          </cell>
          <cell r="C2450" t="str">
            <v>Electricity - Boarding SDITQ</v>
          </cell>
          <cell r="D2450" t="str">
            <v>964,800.00cr</v>
          </cell>
          <cell r="E2450">
            <v>0</v>
          </cell>
          <cell r="F2450">
            <v>962937</v>
          </cell>
          <cell r="G2450">
            <v>0</v>
          </cell>
          <cell r="H2450">
            <v>962937</v>
          </cell>
          <cell r="I2450" t="str">
            <v>1,863.00cr</v>
          </cell>
          <cell r="J2450">
            <v>0</v>
          </cell>
        </row>
        <row r="2451">
          <cell r="B2451" t="str">
            <v>5-7614</v>
          </cell>
          <cell r="C2451" t="str">
            <v>Electricity - MTW 1</v>
          </cell>
          <cell r="D2451">
            <v>2086239</v>
          </cell>
          <cell r="E2451">
            <v>0</v>
          </cell>
          <cell r="F2451">
            <v>1971300</v>
          </cell>
          <cell r="G2451">
            <v>1302825</v>
          </cell>
          <cell r="H2451">
            <v>668475</v>
          </cell>
          <cell r="I2451">
            <v>2754714</v>
          </cell>
          <cell r="J2451">
            <v>0</v>
          </cell>
        </row>
        <row r="2452">
          <cell r="B2452" t="str">
            <v>5-7615</v>
          </cell>
          <cell r="C2452" t="str">
            <v>Electricity - MTW 2</v>
          </cell>
          <cell r="D2452">
            <v>521500</v>
          </cell>
          <cell r="E2452">
            <v>0</v>
          </cell>
          <cell r="F2452">
            <v>7763590</v>
          </cell>
          <cell r="G2452">
            <v>1931175</v>
          </cell>
          <cell r="H2452">
            <v>5832415</v>
          </cell>
          <cell r="I2452">
            <v>6353915</v>
          </cell>
          <cell r="J2452">
            <v>0</v>
          </cell>
        </row>
        <row r="2453">
          <cell r="B2453" t="str">
            <v>5-7616</v>
          </cell>
          <cell r="C2453" t="str">
            <v>Electricity - Boarding</v>
          </cell>
          <cell r="D2453">
            <v>2996607</v>
          </cell>
          <cell r="E2453">
            <v>0</v>
          </cell>
          <cell r="F2453">
            <v>320400</v>
          </cell>
          <cell r="G2453">
            <v>2006145</v>
          </cell>
          <cell r="H2453">
            <v>-1685745</v>
          </cell>
          <cell r="I2453">
            <v>1310862</v>
          </cell>
          <cell r="J2453">
            <v>0</v>
          </cell>
        </row>
        <row r="2454">
          <cell r="B2454" t="str">
            <v>5-7617</v>
          </cell>
          <cell r="C2454" t="str">
            <v>Electricity - Masjid</v>
          </cell>
          <cell r="D2454">
            <v>1469100</v>
          </cell>
          <cell r="E2454">
            <v>0</v>
          </cell>
          <cell r="F2454">
            <v>0</v>
          </cell>
          <cell r="G2454">
            <v>1165800</v>
          </cell>
          <cell r="H2454">
            <v>-1165800</v>
          </cell>
          <cell r="I2454">
            <v>303300</v>
          </cell>
          <cell r="J2454">
            <v>0</v>
          </cell>
        </row>
        <row r="2455">
          <cell r="B2455" t="str">
            <v>5-7618</v>
          </cell>
          <cell r="C2455" t="str">
            <v>Electricity - Radio</v>
          </cell>
          <cell r="D2455">
            <v>4795413</v>
          </cell>
          <cell r="E2455">
            <v>0</v>
          </cell>
          <cell r="F2455">
            <v>2741199</v>
          </cell>
          <cell r="G2455">
            <v>2996955</v>
          </cell>
          <cell r="H2455">
            <v>-255756</v>
          </cell>
          <cell r="I2455">
            <v>4539657</v>
          </cell>
          <cell r="J2455">
            <v>0</v>
          </cell>
        </row>
        <row r="2456">
          <cell r="B2456" t="str">
            <v>5-7619</v>
          </cell>
          <cell r="C2456" t="str">
            <v>MAK</v>
          </cell>
          <cell r="D2456">
            <v>2400600</v>
          </cell>
          <cell r="E2456">
            <v>0</v>
          </cell>
          <cell r="F2456">
            <v>560700</v>
          </cell>
          <cell r="G2456">
            <v>1813800</v>
          </cell>
          <cell r="H2456">
            <v>-1253100</v>
          </cell>
          <cell r="I2456">
            <v>1147500</v>
          </cell>
          <cell r="J2456">
            <v>0</v>
          </cell>
        </row>
        <row r="2457">
          <cell r="B2457" t="str">
            <v>5-7620</v>
          </cell>
          <cell r="C2457" t="str">
            <v>LISTRIK 2</v>
          </cell>
          <cell r="D2457">
            <v>0</v>
          </cell>
          <cell r="E2457">
            <v>0</v>
          </cell>
          <cell r="F2457">
            <v>0</v>
          </cell>
          <cell r="G2457">
            <v>0</v>
          </cell>
          <cell r="H2457">
            <v>0</v>
          </cell>
          <cell r="I2457">
            <v>0</v>
          </cell>
          <cell r="J2457">
            <v>0</v>
          </cell>
        </row>
        <row r="2458">
          <cell r="B2458" t="str">
            <v>5-7630</v>
          </cell>
          <cell r="C2458" t="str">
            <v>BAHAN BAKAR DISEL</v>
          </cell>
          <cell r="D2458">
            <v>0</v>
          </cell>
          <cell r="E2458">
            <v>0</v>
          </cell>
          <cell r="F2458">
            <v>0</v>
          </cell>
          <cell r="G2458">
            <v>0</v>
          </cell>
          <cell r="H2458">
            <v>0</v>
          </cell>
          <cell r="I2458">
            <v>0</v>
          </cell>
          <cell r="J2458">
            <v>0</v>
          </cell>
        </row>
        <row r="2459">
          <cell r="B2459" t="str">
            <v>5-7631</v>
          </cell>
          <cell r="C2459" t="str">
            <v>Solar</v>
          </cell>
          <cell r="D2459">
            <v>0</v>
          </cell>
          <cell r="E2459">
            <v>0</v>
          </cell>
          <cell r="F2459">
            <v>0</v>
          </cell>
          <cell r="G2459">
            <v>0</v>
          </cell>
          <cell r="H2459">
            <v>0</v>
          </cell>
          <cell r="I2459">
            <v>0</v>
          </cell>
          <cell r="J2459">
            <v>0</v>
          </cell>
        </row>
        <row r="2460">
          <cell r="B2460" t="str">
            <v>5-7640</v>
          </cell>
          <cell r="C2460" t="str">
            <v>AIR</v>
          </cell>
          <cell r="D2460">
            <v>0</v>
          </cell>
          <cell r="E2460">
            <v>0</v>
          </cell>
          <cell r="F2460">
            <v>0</v>
          </cell>
          <cell r="G2460">
            <v>0</v>
          </cell>
          <cell r="H2460">
            <v>0</v>
          </cell>
          <cell r="I2460">
            <v>0</v>
          </cell>
          <cell r="J2460">
            <v>0</v>
          </cell>
        </row>
        <row r="2461">
          <cell r="B2461" t="str">
            <v>5-7641</v>
          </cell>
          <cell r="C2461" t="str">
            <v>Air Bersih</v>
          </cell>
          <cell r="D2461">
            <v>0</v>
          </cell>
          <cell r="E2461">
            <v>0</v>
          </cell>
          <cell r="F2461">
            <v>0</v>
          </cell>
          <cell r="G2461">
            <v>0</v>
          </cell>
          <cell r="H2461">
            <v>0</v>
          </cell>
          <cell r="I2461">
            <v>0</v>
          </cell>
          <cell r="J2461">
            <v>0</v>
          </cell>
        </row>
        <row r="2462">
          <cell r="B2462" t="str">
            <v>5-7710</v>
          </cell>
          <cell r="C2462" t="str">
            <v>PERSONAL - GAJI</v>
          </cell>
          <cell r="D2462">
            <v>0</v>
          </cell>
          <cell r="E2462">
            <v>0</v>
          </cell>
          <cell r="F2462">
            <v>0</v>
          </cell>
          <cell r="G2462">
            <v>0</v>
          </cell>
          <cell r="H2462">
            <v>0</v>
          </cell>
          <cell r="I2462">
            <v>0</v>
          </cell>
          <cell r="J2462">
            <v>0</v>
          </cell>
        </row>
        <row r="2463">
          <cell r="B2463" t="str">
            <v>5-7711</v>
          </cell>
          <cell r="C2463" t="str">
            <v>Permanent Staff Salary</v>
          </cell>
          <cell r="D2463">
            <v>5313500</v>
          </cell>
          <cell r="E2463">
            <v>0</v>
          </cell>
          <cell r="F2463">
            <v>5484594</v>
          </cell>
          <cell r="G2463">
            <v>171094</v>
          </cell>
          <cell r="H2463">
            <v>5313500</v>
          </cell>
          <cell r="I2463">
            <v>10627000</v>
          </cell>
          <cell r="J2463">
            <v>0</v>
          </cell>
        </row>
        <row r="2464">
          <cell r="B2464" t="str">
            <v>5-7712</v>
          </cell>
          <cell r="C2464" t="str">
            <v>Temporary Staff Salary</v>
          </cell>
          <cell r="D2464">
            <v>0</v>
          </cell>
          <cell r="E2464">
            <v>0</v>
          </cell>
          <cell r="F2464">
            <v>0</v>
          </cell>
          <cell r="G2464">
            <v>0</v>
          </cell>
          <cell r="H2464">
            <v>0</v>
          </cell>
          <cell r="I2464">
            <v>0</v>
          </cell>
          <cell r="J2464">
            <v>0</v>
          </cell>
        </row>
        <row r="2465">
          <cell r="B2465" t="str">
            <v>5-7713</v>
          </cell>
          <cell r="C2465" t="str">
            <v>Permanent Labour Salary</v>
          </cell>
          <cell r="D2465">
            <v>0</v>
          </cell>
          <cell r="E2465">
            <v>0</v>
          </cell>
          <cell r="F2465">
            <v>0</v>
          </cell>
          <cell r="G2465">
            <v>0</v>
          </cell>
          <cell r="H2465">
            <v>0</v>
          </cell>
          <cell r="I2465">
            <v>0</v>
          </cell>
          <cell r="J2465">
            <v>0</v>
          </cell>
        </row>
        <row r="2466">
          <cell r="B2466" t="str">
            <v>5-7714</v>
          </cell>
          <cell r="C2466" t="str">
            <v>Temporary Labour Salary</v>
          </cell>
          <cell r="D2466">
            <v>0</v>
          </cell>
          <cell r="E2466">
            <v>0</v>
          </cell>
          <cell r="F2466">
            <v>0</v>
          </cell>
          <cell r="G2466">
            <v>0</v>
          </cell>
          <cell r="H2466">
            <v>0</v>
          </cell>
          <cell r="I2466">
            <v>0</v>
          </cell>
          <cell r="J2466">
            <v>0</v>
          </cell>
        </row>
        <row r="2467">
          <cell r="B2467" t="str">
            <v>5-7715</v>
          </cell>
          <cell r="C2467" t="str">
            <v>Honorarium santri Khidmah</v>
          </cell>
          <cell r="D2467">
            <v>0</v>
          </cell>
          <cell r="E2467">
            <v>0</v>
          </cell>
          <cell r="F2467">
            <v>0</v>
          </cell>
          <cell r="G2467">
            <v>0</v>
          </cell>
          <cell r="H2467">
            <v>0</v>
          </cell>
          <cell r="I2467">
            <v>0</v>
          </cell>
          <cell r="J2467">
            <v>0</v>
          </cell>
        </row>
        <row r="2468">
          <cell r="B2468" t="str">
            <v>5-7716</v>
          </cell>
          <cell r="C2468" t="str">
            <v>Staff overtime</v>
          </cell>
          <cell r="D2468" t="str">
            <v>0.00cr</v>
          </cell>
          <cell r="E2468">
            <v>0</v>
          </cell>
          <cell r="F2468">
            <v>171094</v>
          </cell>
          <cell r="G2468">
            <v>0</v>
          </cell>
          <cell r="H2468">
            <v>171094</v>
          </cell>
          <cell r="I2468">
            <v>171094</v>
          </cell>
          <cell r="J2468">
            <v>0</v>
          </cell>
        </row>
        <row r="2469">
          <cell r="B2469" t="str">
            <v>5-7717</v>
          </cell>
          <cell r="C2469" t="str">
            <v>Joint Salary Allocation</v>
          </cell>
          <cell r="D2469">
            <v>0</v>
          </cell>
          <cell r="E2469">
            <v>0</v>
          </cell>
          <cell r="F2469">
            <v>0</v>
          </cell>
          <cell r="G2469">
            <v>0</v>
          </cell>
          <cell r="H2469">
            <v>0</v>
          </cell>
          <cell r="I2469">
            <v>0</v>
          </cell>
          <cell r="J2469">
            <v>0</v>
          </cell>
        </row>
        <row r="2470">
          <cell r="B2470" t="str">
            <v>5-7719</v>
          </cell>
          <cell r="C2470" t="str">
            <v>Others Salary</v>
          </cell>
          <cell r="D2470">
            <v>0</v>
          </cell>
          <cell r="E2470">
            <v>0</v>
          </cell>
          <cell r="F2470">
            <v>0</v>
          </cell>
          <cell r="G2470">
            <v>0</v>
          </cell>
          <cell r="H2470">
            <v>0</v>
          </cell>
          <cell r="I2470">
            <v>0</v>
          </cell>
          <cell r="J2470">
            <v>0</v>
          </cell>
        </row>
        <row r="2471">
          <cell r="B2471" t="str">
            <v>5-7720</v>
          </cell>
          <cell r="C2471" t="str">
            <v>PERSONAL - ALLOWANCE OF</v>
          </cell>
          <cell r="D2471">
            <v>0</v>
          </cell>
          <cell r="E2471">
            <v>0</v>
          </cell>
          <cell r="F2471">
            <v>0</v>
          </cell>
          <cell r="G2471">
            <v>0</v>
          </cell>
          <cell r="H2471">
            <v>0</v>
          </cell>
          <cell r="I2471">
            <v>0</v>
          </cell>
          <cell r="J2471">
            <v>0</v>
          </cell>
        </row>
        <row r="2472">
          <cell r="B2472" t="str">
            <v>5-7721</v>
          </cell>
          <cell r="C2472" t="str">
            <v>Allowance of Hulled Rice</v>
          </cell>
          <cell r="D2472">
            <v>808400</v>
          </cell>
          <cell r="E2472">
            <v>0</v>
          </cell>
          <cell r="F2472">
            <v>846000</v>
          </cell>
          <cell r="G2472">
            <v>0</v>
          </cell>
          <cell r="H2472">
            <v>846000</v>
          </cell>
          <cell r="I2472">
            <v>1654400</v>
          </cell>
          <cell r="J2472">
            <v>0</v>
          </cell>
        </row>
        <row r="2473">
          <cell r="B2473" t="str">
            <v>5-7722</v>
          </cell>
          <cell r="C2473" t="str">
            <v>Alowance of doctor and medicin</v>
          </cell>
          <cell r="D2473">
            <v>62000</v>
          </cell>
          <cell r="E2473">
            <v>0</v>
          </cell>
          <cell r="F2473">
            <v>10526.48</v>
          </cell>
          <cell r="G2473">
            <v>0</v>
          </cell>
          <cell r="H2473">
            <v>10526.48</v>
          </cell>
          <cell r="I2473">
            <v>72526.48</v>
          </cell>
          <cell r="J2473">
            <v>0</v>
          </cell>
        </row>
        <row r="2474">
          <cell r="B2474" t="str">
            <v>5-7723</v>
          </cell>
          <cell r="C2474" t="str">
            <v>Alowance of spectacles</v>
          </cell>
          <cell r="D2474">
            <v>0</v>
          </cell>
          <cell r="E2474">
            <v>0</v>
          </cell>
          <cell r="F2474">
            <v>0</v>
          </cell>
          <cell r="G2474">
            <v>0</v>
          </cell>
          <cell r="H2474">
            <v>0</v>
          </cell>
          <cell r="I2474">
            <v>0</v>
          </cell>
          <cell r="J2474">
            <v>0</v>
          </cell>
        </row>
        <row r="2475">
          <cell r="B2475" t="str">
            <v>5-7724</v>
          </cell>
          <cell r="C2475" t="str">
            <v>Allowance of operation&amp;hospita</v>
          </cell>
          <cell r="D2475">
            <v>0</v>
          </cell>
          <cell r="E2475">
            <v>0</v>
          </cell>
          <cell r="F2475">
            <v>0</v>
          </cell>
          <cell r="G2475">
            <v>0</v>
          </cell>
          <cell r="H2475">
            <v>0</v>
          </cell>
          <cell r="I2475">
            <v>0</v>
          </cell>
          <cell r="J2475">
            <v>0</v>
          </cell>
        </row>
        <row r="2476">
          <cell r="B2476" t="str">
            <v>5-7725</v>
          </cell>
          <cell r="C2476" t="str">
            <v>Allowance of disaster &amp; die</v>
          </cell>
          <cell r="D2476">
            <v>0</v>
          </cell>
          <cell r="E2476">
            <v>0</v>
          </cell>
          <cell r="F2476">
            <v>0</v>
          </cell>
          <cell r="G2476">
            <v>0</v>
          </cell>
          <cell r="H2476">
            <v>0</v>
          </cell>
          <cell r="I2476">
            <v>0</v>
          </cell>
          <cell r="J2476">
            <v>0</v>
          </cell>
        </row>
        <row r="2477">
          <cell r="B2477" t="str">
            <v>5-7726</v>
          </cell>
          <cell r="C2477" t="str">
            <v>Allowance of hari raya</v>
          </cell>
          <cell r="D2477">
            <v>5313500</v>
          </cell>
          <cell r="E2477">
            <v>0</v>
          </cell>
          <cell r="F2477">
            <v>0</v>
          </cell>
          <cell r="G2477">
            <v>0</v>
          </cell>
          <cell r="H2477">
            <v>0</v>
          </cell>
          <cell r="I2477">
            <v>5313500</v>
          </cell>
          <cell r="J2477">
            <v>0</v>
          </cell>
        </row>
        <row r="2478">
          <cell r="B2478" t="str">
            <v>5-7727</v>
          </cell>
          <cell r="C2478" t="str">
            <v>Allowance of birth</v>
          </cell>
          <cell r="D2478">
            <v>0</v>
          </cell>
          <cell r="E2478">
            <v>0</v>
          </cell>
          <cell r="F2478">
            <v>0</v>
          </cell>
          <cell r="G2478">
            <v>0</v>
          </cell>
          <cell r="H2478">
            <v>0</v>
          </cell>
          <cell r="I2478">
            <v>0</v>
          </cell>
          <cell r="J2478">
            <v>0</v>
          </cell>
        </row>
        <row r="2479">
          <cell r="B2479" t="str">
            <v>5-7728</v>
          </cell>
          <cell r="C2479" t="str">
            <v>Allowance of married</v>
          </cell>
          <cell r="D2479">
            <v>0</v>
          </cell>
          <cell r="E2479">
            <v>0</v>
          </cell>
          <cell r="F2479">
            <v>0</v>
          </cell>
          <cell r="G2479">
            <v>0</v>
          </cell>
          <cell r="H2479">
            <v>0</v>
          </cell>
          <cell r="I2479">
            <v>0</v>
          </cell>
          <cell r="J2479">
            <v>0</v>
          </cell>
        </row>
        <row r="2480">
          <cell r="B2480" t="str">
            <v>5-7729</v>
          </cell>
          <cell r="C2480" t="str">
            <v>Allowance of house rent&amp;others</v>
          </cell>
          <cell r="D2480">
            <v>0</v>
          </cell>
          <cell r="E2480">
            <v>0</v>
          </cell>
          <cell r="F2480">
            <v>0</v>
          </cell>
          <cell r="G2480">
            <v>0</v>
          </cell>
          <cell r="H2480">
            <v>0</v>
          </cell>
          <cell r="I2480">
            <v>0</v>
          </cell>
          <cell r="J2480">
            <v>0</v>
          </cell>
        </row>
        <row r="2481">
          <cell r="B2481" t="str">
            <v>5-7730</v>
          </cell>
          <cell r="C2481" t="str">
            <v>OFFICE</v>
          </cell>
          <cell r="D2481">
            <v>0</v>
          </cell>
          <cell r="E2481">
            <v>0</v>
          </cell>
          <cell r="F2481">
            <v>0</v>
          </cell>
          <cell r="G2481">
            <v>0</v>
          </cell>
          <cell r="H2481">
            <v>0</v>
          </cell>
          <cell r="I2481">
            <v>0</v>
          </cell>
          <cell r="J2481">
            <v>0</v>
          </cell>
        </row>
        <row r="2482">
          <cell r="B2482" t="str">
            <v>5-7731</v>
          </cell>
          <cell r="C2482" t="str">
            <v>Stationary papers</v>
          </cell>
          <cell r="D2482">
            <v>0</v>
          </cell>
          <cell r="E2482">
            <v>0</v>
          </cell>
          <cell r="F2482">
            <v>0</v>
          </cell>
          <cell r="G2482">
            <v>0</v>
          </cell>
          <cell r="H2482">
            <v>0</v>
          </cell>
          <cell r="I2482">
            <v>0</v>
          </cell>
          <cell r="J2482">
            <v>0</v>
          </cell>
        </row>
        <row r="2483">
          <cell r="B2483" t="str">
            <v>5-7732</v>
          </cell>
          <cell r="C2483" t="str">
            <v>Stationary written toolls</v>
          </cell>
          <cell r="D2483">
            <v>0</v>
          </cell>
          <cell r="E2483">
            <v>0</v>
          </cell>
          <cell r="F2483">
            <v>0</v>
          </cell>
          <cell r="G2483">
            <v>0</v>
          </cell>
          <cell r="H2483">
            <v>0</v>
          </cell>
          <cell r="I2483">
            <v>0</v>
          </cell>
          <cell r="J2483">
            <v>0</v>
          </cell>
        </row>
        <row r="2484">
          <cell r="B2484" t="str">
            <v>5-7733</v>
          </cell>
          <cell r="C2484" t="str">
            <v>Stationary Others</v>
          </cell>
          <cell r="D2484">
            <v>0</v>
          </cell>
          <cell r="E2484">
            <v>0</v>
          </cell>
          <cell r="F2484">
            <v>0</v>
          </cell>
          <cell r="G2484">
            <v>0</v>
          </cell>
          <cell r="H2484">
            <v>0</v>
          </cell>
          <cell r="I2484">
            <v>0</v>
          </cell>
          <cell r="J2484">
            <v>0</v>
          </cell>
        </row>
        <row r="2485">
          <cell r="B2485" t="str">
            <v>5-7734</v>
          </cell>
          <cell r="C2485" t="str">
            <v>Consumptions</v>
          </cell>
          <cell r="D2485">
            <v>0</v>
          </cell>
          <cell r="E2485">
            <v>0</v>
          </cell>
          <cell r="F2485">
            <v>3802000</v>
          </cell>
          <cell r="G2485">
            <v>0</v>
          </cell>
          <cell r="H2485">
            <v>3802000</v>
          </cell>
          <cell r="I2485">
            <v>3802000</v>
          </cell>
          <cell r="J2485">
            <v>0</v>
          </cell>
        </row>
        <row r="2486">
          <cell r="B2486" t="str">
            <v>5-7735</v>
          </cell>
          <cell r="C2486" t="str">
            <v>Fotocopy &amp; Printing</v>
          </cell>
          <cell r="D2486">
            <v>0</v>
          </cell>
          <cell r="E2486">
            <v>0</v>
          </cell>
          <cell r="F2486">
            <v>1302500</v>
          </cell>
          <cell r="G2486">
            <v>0</v>
          </cell>
          <cell r="H2486">
            <v>1302500</v>
          </cell>
          <cell r="I2486">
            <v>1302500</v>
          </cell>
          <cell r="J2486">
            <v>0</v>
          </cell>
        </row>
        <row r="2487">
          <cell r="B2487" t="str">
            <v>5-7736</v>
          </cell>
          <cell r="C2487" t="str">
            <v>Office Suplies</v>
          </cell>
          <cell r="D2487">
            <v>0</v>
          </cell>
          <cell r="E2487">
            <v>0</v>
          </cell>
          <cell r="F2487">
            <v>165000</v>
          </cell>
          <cell r="G2487">
            <v>0</v>
          </cell>
          <cell r="H2487">
            <v>165000</v>
          </cell>
          <cell r="I2487">
            <v>165000</v>
          </cell>
          <cell r="J2487">
            <v>0</v>
          </cell>
        </row>
        <row r="2488">
          <cell r="B2488" t="str">
            <v>5-7739</v>
          </cell>
          <cell r="C2488" t="str">
            <v>Others</v>
          </cell>
          <cell r="D2488">
            <v>0</v>
          </cell>
          <cell r="E2488">
            <v>0</v>
          </cell>
          <cell r="F2488">
            <v>0</v>
          </cell>
          <cell r="G2488">
            <v>0</v>
          </cell>
          <cell r="H2488">
            <v>0</v>
          </cell>
          <cell r="I2488">
            <v>0</v>
          </cell>
          <cell r="J2488">
            <v>0</v>
          </cell>
        </row>
        <row r="2489">
          <cell r="B2489" t="str">
            <v>5-7740</v>
          </cell>
          <cell r="C2489" t="str">
            <v>TRANSPORTATION &amp; TELECOMUNICAT</v>
          </cell>
          <cell r="D2489">
            <v>0</v>
          </cell>
          <cell r="E2489">
            <v>0</v>
          </cell>
          <cell r="F2489">
            <v>0</v>
          </cell>
          <cell r="G2489">
            <v>0</v>
          </cell>
          <cell r="H2489">
            <v>0</v>
          </cell>
          <cell r="I2489">
            <v>0</v>
          </cell>
          <cell r="J2489">
            <v>0</v>
          </cell>
        </row>
        <row r="2490">
          <cell r="B2490" t="str">
            <v>5-7741</v>
          </cell>
          <cell r="C2490" t="str">
            <v>Mail &amp; Shipment</v>
          </cell>
          <cell r="D2490">
            <v>0</v>
          </cell>
          <cell r="E2490">
            <v>0</v>
          </cell>
          <cell r="F2490">
            <v>0</v>
          </cell>
          <cell r="G2490">
            <v>0</v>
          </cell>
          <cell r="H2490">
            <v>0</v>
          </cell>
          <cell r="I2490">
            <v>0</v>
          </cell>
          <cell r="J2490">
            <v>0</v>
          </cell>
        </row>
        <row r="2491">
          <cell r="B2491" t="str">
            <v>5-7742</v>
          </cell>
          <cell r="C2491" t="str">
            <v>Telephone</v>
          </cell>
          <cell r="D2491">
            <v>0</v>
          </cell>
          <cell r="E2491">
            <v>0</v>
          </cell>
          <cell r="F2491">
            <v>36000</v>
          </cell>
          <cell r="G2491">
            <v>0</v>
          </cell>
          <cell r="H2491">
            <v>36000</v>
          </cell>
          <cell r="I2491">
            <v>36000</v>
          </cell>
          <cell r="J2491">
            <v>0</v>
          </cell>
        </row>
        <row r="2492">
          <cell r="B2492" t="str">
            <v>5-7743</v>
          </cell>
          <cell r="C2492" t="str">
            <v>Fuel</v>
          </cell>
          <cell r="D2492">
            <v>0</v>
          </cell>
          <cell r="E2492">
            <v>0</v>
          </cell>
          <cell r="F2492">
            <v>1680000</v>
          </cell>
          <cell r="G2492">
            <v>0</v>
          </cell>
          <cell r="H2492">
            <v>1680000</v>
          </cell>
          <cell r="I2492">
            <v>1680000</v>
          </cell>
          <cell r="J2492">
            <v>0</v>
          </cell>
        </row>
        <row r="2493">
          <cell r="B2493" t="str">
            <v>5-7744</v>
          </cell>
          <cell r="C2493" t="str">
            <v>Toll &amp; Parking</v>
          </cell>
          <cell r="D2493">
            <v>0</v>
          </cell>
          <cell r="E2493">
            <v>0</v>
          </cell>
          <cell r="F2493">
            <v>198000</v>
          </cell>
          <cell r="G2493">
            <v>0</v>
          </cell>
          <cell r="H2493">
            <v>198000</v>
          </cell>
          <cell r="I2493">
            <v>198000</v>
          </cell>
          <cell r="J2493">
            <v>0</v>
          </cell>
        </row>
        <row r="2494">
          <cell r="B2494" t="str">
            <v>5-7745</v>
          </cell>
          <cell r="C2494" t="str">
            <v>Accommodations</v>
          </cell>
          <cell r="D2494">
            <v>0</v>
          </cell>
          <cell r="E2494">
            <v>0</v>
          </cell>
          <cell r="F2494">
            <v>330000</v>
          </cell>
          <cell r="G2494">
            <v>0</v>
          </cell>
          <cell r="H2494">
            <v>330000</v>
          </cell>
          <cell r="I2494">
            <v>330000</v>
          </cell>
          <cell r="J2494">
            <v>0</v>
          </cell>
        </row>
        <row r="2495">
          <cell r="B2495" t="str">
            <v>5-7746</v>
          </cell>
          <cell r="C2495" t="str">
            <v>Public Tranportation</v>
          </cell>
          <cell r="D2495">
            <v>0</v>
          </cell>
          <cell r="E2495">
            <v>0</v>
          </cell>
          <cell r="F2495">
            <v>0</v>
          </cell>
          <cell r="G2495">
            <v>0</v>
          </cell>
          <cell r="H2495">
            <v>0</v>
          </cell>
          <cell r="I2495">
            <v>0</v>
          </cell>
          <cell r="J2495">
            <v>0</v>
          </cell>
        </row>
        <row r="2496">
          <cell r="B2496" t="str">
            <v>5-7747</v>
          </cell>
          <cell r="C2496" t="str">
            <v>Joint Transportation Allocatio</v>
          </cell>
          <cell r="D2496">
            <v>0</v>
          </cell>
          <cell r="E2496">
            <v>0</v>
          </cell>
          <cell r="F2496">
            <v>0</v>
          </cell>
          <cell r="G2496">
            <v>0</v>
          </cell>
          <cell r="H2496">
            <v>0</v>
          </cell>
          <cell r="I2496">
            <v>0</v>
          </cell>
          <cell r="J2496">
            <v>0</v>
          </cell>
        </row>
        <row r="2497">
          <cell r="B2497" t="str">
            <v>5-7749</v>
          </cell>
          <cell r="C2497" t="str">
            <v>Others</v>
          </cell>
          <cell r="D2497">
            <v>0</v>
          </cell>
          <cell r="E2497">
            <v>0</v>
          </cell>
          <cell r="F2497">
            <v>0</v>
          </cell>
          <cell r="G2497">
            <v>0</v>
          </cell>
          <cell r="H2497">
            <v>0</v>
          </cell>
          <cell r="I2497">
            <v>0</v>
          </cell>
          <cell r="J2497">
            <v>0</v>
          </cell>
        </row>
        <row r="2498">
          <cell r="B2498" t="str">
            <v>5-7750</v>
          </cell>
          <cell r="C2498" t="str">
            <v>REPAIR &amp; MAINTENENCE</v>
          </cell>
          <cell r="D2498">
            <v>0</v>
          </cell>
          <cell r="E2498">
            <v>0</v>
          </cell>
          <cell r="F2498">
            <v>0</v>
          </cell>
          <cell r="G2498">
            <v>0</v>
          </cell>
          <cell r="H2498">
            <v>0</v>
          </cell>
          <cell r="I2498">
            <v>0</v>
          </cell>
          <cell r="J2498">
            <v>0</v>
          </cell>
        </row>
        <row r="2499">
          <cell r="B2499" t="str">
            <v>5-7751</v>
          </cell>
          <cell r="C2499" t="str">
            <v>R &amp; M - Computer &amp; audio visua</v>
          </cell>
          <cell r="D2499">
            <v>0</v>
          </cell>
          <cell r="E2499">
            <v>0</v>
          </cell>
          <cell r="F2499">
            <v>0</v>
          </cell>
          <cell r="G2499">
            <v>0</v>
          </cell>
          <cell r="H2499">
            <v>0</v>
          </cell>
          <cell r="I2499">
            <v>0</v>
          </cell>
          <cell r="J2499">
            <v>0</v>
          </cell>
        </row>
        <row r="2500">
          <cell r="B2500" t="str">
            <v>5-7752</v>
          </cell>
          <cell r="C2500" t="str">
            <v>R &amp; M - Telephone &amp; Faxs</v>
          </cell>
          <cell r="D2500">
            <v>0</v>
          </cell>
          <cell r="E2500">
            <v>0</v>
          </cell>
          <cell r="F2500">
            <v>0</v>
          </cell>
          <cell r="G2500">
            <v>0</v>
          </cell>
          <cell r="H2500">
            <v>0</v>
          </cell>
          <cell r="I2500">
            <v>0</v>
          </cell>
          <cell r="J2500">
            <v>0</v>
          </cell>
        </row>
        <row r="2501">
          <cell r="B2501" t="str">
            <v>5-7753</v>
          </cell>
          <cell r="C2501" t="str">
            <v>R &amp; M - Office Eqiupment</v>
          </cell>
          <cell r="D2501">
            <v>0</v>
          </cell>
          <cell r="E2501">
            <v>0</v>
          </cell>
          <cell r="F2501">
            <v>0</v>
          </cell>
          <cell r="G2501">
            <v>0</v>
          </cell>
          <cell r="H2501">
            <v>0</v>
          </cell>
          <cell r="I2501">
            <v>0</v>
          </cell>
          <cell r="J2501">
            <v>0</v>
          </cell>
        </row>
        <row r="2502">
          <cell r="B2502" t="str">
            <v>5-7754</v>
          </cell>
          <cell r="C2502" t="str">
            <v>R &amp; M - Warehouse Eqiupment</v>
          </cell>
          <cell r="D2502">
            <v>0</v>
          </cell>
          <cell r="E2502">
            <v>0</v>
          </cell>
          <cell r="F2502">
            <v>0</v>
          </cell>
          <cell r="G2502">
            <v>0</v>
          </cell>
          <cell r="H2502">
            <v>0</v>
          </cell>
          <cell r="I2502">
            <v>0</v>
          </cell>
          <cell r="J2502">
            <v>0</v>
          </cell>
        </row>
        <row r="2503">
          <cell r="B2503" t="str">
            <v>5-7755</v>
          </cell>
          <cell r="C2503" t="str">
            <v>R &amp; M - Other Eqiupment</v>
          </cell>
          <cell r="D2503">
            <v>0</v>
          </cell>
          <cell r="E2503">
            <v>0</v>
          </cell>
          <cell r="F2503">
            <v>0</v>
          </cell>
          <cell r="G2503">
            <v>0</v>
          </cell>
          <cell r="H2503">
            <v>0</v>
          </cell>
          <cell r="I2503">
            <v>0</v>
          </cell>
          <cell r="J2503">
            <v>0</v>
          </cell>
        </row>
        <row r="2504">
          <cell r="B2504" t="str">
            <v>5-7756</v>
          </cell>
          <cell r="C2504" t="str">
            <v>R &amp; M - Table &amp; Chairs</v>
          </cell>
          <cell r="D2504">
            <v>0</v>
          </cell>
          <cell r="E2504">
            <v>0</v>
          </cell>
          <cell r="F2504">
            <v>0</v>
          </cell>
          <cell r="G2504">
            <v>0</v>
          </cell>
          <cell r="H2504">
            <v>0</v>
          </cell>
          <cell r="I2504">
            <v>0</v>
          </cell>
          <cell r="J2504">
            <v>0</v>
          </cell>
        </row>
        <row r="2505">
          <cell r="B2505" t="str">
            <v>5-7757</v>
          </cell>
          <cell r="C2505" t="str">
            <v>R &amp; M - Cupboard &amp; Rack</v>
          </cell>
          <cell r="D2505">
            <v>0</v>
          </cell>
          <cell r="E2505">
            <v>0</v>
          </cell>
          <cell r="F2505">
            <v>0</v>
          </cell>
          <cell r="G2505">
            <v>0</v>
          </cell>
          <cell r="H2505">
            <v>0</v>
          </cell>
          <cell r="I2505">
            <v>0</v>
          </cell>
          <cell r="J2505">
            <v>0</v>
          </cell>
        </row>
        <row r="2506">
          <cell r="B2506" t="str">
            <v>5-7758</v>
          </cell>
          <cell r="C2506" t="str">
            <v>R &amp; M - Other Furniture</v>
          </cell>
          <cell r="D2506">
            <v>0</v>
          </cell>
          <cell r="E2506">
            <v>0</v>
          </cell>
          <cell r="F2506">
            <v>0</v>
          </cell>
          <cell r="G2506">
            <v>0</v>
          </cell>
          <cell r="H2506">
            <v>0</v>
          </cell>
          <cell r="I2506">
            <v>0</v>
          </cell>
          <cell r="J2506">
            <v>0</v>
          </cell>
        </row>
        <row r="2507">
          <cell r="B2507" t="str">
            <v>5-7759</v>
          </cell>
          <cell r="C2507" t="str">
            <v>R &amp; M Others</v>
          </cell>
          <cell r="D2507">
            <v>0</v>
          </cell>
          <cell r="E2507">
            <v>0</v>
          </cell>
          <cell r="F2507">
            <v>0</v>
          </cell>
          <cell r="G2507">
            <v>0</v>
          </cell>
          <cell r="H2507">
            <v>0</v>
          </cell>
          <cell r="I2507">
            <v>0</v>
          </cell>
          <cell r="J2507">
            <v>0</v>
          </cell>
        </row>
        <row r="2508">
          <cell r="B2508" t="str">
            <v>5-7760</v>
          </cell>
          <cell r="C2508" t="str">
            <v>PERLENGKAPAN GUDANG</v>
          </cell>
          <cell r="D2508">
            <v>0</v>
          </cell>
          <cell r="E2508">
            <v>0</v>
          </cell>
          <cell r="F2508">
            <v>0</v>
          </cell>
          <cell r="G2508">
            <v>0</v>
          </cell>
          <cell r="H2508">
            <v>0</v>
          </cell>
          <cell r="I2508">
            <v>0</v>
          </cell>
          <cell r="J2508">
            <v>0</v>
          </cell>
        </row>
        <row r="2509">
          <cell r="B2509" t="str">
            <v>5-7761</v>
          </cell>
          <cell r="C2509" t="str">
            <v>Palet</v>
          </cell>
          <cell r="D2509">
            <v>0</v>
          </cell>
          <cell r="E2509">
            <v>0</v>
          </cell>
          <cell r="F2509">
            <v>0</v>
          </cell>
          <cell r="G2509">
            <v>0</v>
          </cell>
          <cell r="H2509">
            <v>0</v>
          </cell>
          <cell r="I2509">
            <v>0</v>
          </cell>
          <cell r="J2509">
            <v>0</v>
          </cell>
        </row>
        <row r="2510">
          <cell r="B2510" t="str">
            <v>5-7770</v>
          </cell>
          <cell r="C2510" t="str">
            <v>SEWA GEDUNG</v>
          </cell>
          <cell r="D2510">
            <v>0</v>
          </cell>
          <cell r="E2510">
            <v>0</v>
          </cell>
          <cell r="F2510">
            <v>0</v>
          </cell>
          <cell r="G2510">
            <v>0</v>
          </cell>
          <cell r="H2510">
            <v>0</v>
          </cell>
          <cell r="I2510">
            <v>0</v>
          </cell>
          <cell r="J2510">
            <v>0</v>
          </cell>
        </row>
        <row r="2511">
          <cell r="B2511" t="str">
            <v>5-7771</v>
          </cell>
          <cell r="C2511" t="str">
            <v>Warehouse Rent</v>
          </cell>
          <cell r="D2511">
            <v>0</v>
          </cell>
          <cell r="E2511">
            <v>0</v>
          </cell>
          <cell r="F2511">
            <v>0</v>
          </cell>
          <cell r="G2511">
            <v>0</v>
          </cell>
          <cell r="H2511">
            <v>0</v>
          </cell>
          <cell r="I2511">
            <v>0</v>
          </cell>
          <cell r="J2511">
            <v>0</v>
          </cell>
        </row>
        <row r="2512">
          <cell r="B2512" t="str">
            <v>5-7790</v>
          </cell>
          <cell r="C2512" t="str">
            <v>LAIN-LAIN</v>
          </cell>
          <cell r="D2512">
            <v>0</v>
          </cell>
          <cell r="E2512">
            <v>0</v>
          </cell>
          <cell r="F2512">
            <v>0</v>
          </cell>
          <cell r="G2512">
            <v>0</v>
          </cell>
          <cell r="H2512">
            <v>0</v>
          </cell>
          <cell r="I2512">
            <v>0</v>
          </cell>
          <cell r="J2512">
            <v>0</v>
          </cell>
        </row>
        <row r="2513">
          <cell r="B2513" t="str">
            <v>5-7791</v>
          </cell>
          <cell r="C2513" t="str">
            <v>Training &amp; Workshop</v>
          </cell>
          <cell r="D2513">
            <v>0</v>
          </cell>
          <cell r="E2513">
            <v>0</v>
          </cell>
          <cell r="F2513">
            <v>0</v>
          </cell>
          <cell r="G2513">
            <v>0</v>
          </cell>
          <cell r="H2513">
            <v>0</v>
          </cell>
          <cell r="I2513">
            <v>0</v>
          </cell>
          <cell r="J2513">
            <v>0</v>
          </cell>
        </row>
        <row r="2514">
          <cell r="B2514" t="str">
            <v>5-7810</v>
          </cell>
          <cell r="C2514" t="str">
            <v>PERALATAN</v>
          </cell>
          <cell r="D2514">
            <v>0</v>
          </cell>
          <cell r="E2514">
            <v>0</v>
          </cell>
          <cell r="F2514">
            <v>0</v>
          </cell>
          <cell r="G2514">
            <v>0</v>
          </cell>
          <cell r="H2514">
            <v>0</v>
          </cell>
          <cell r="I2514">
            <v>0</v>
          </cell>
          <cell r="J2514">
            <v>0</v>
          </cell>
        </row>
        <row r="2515">
          <cell r="B2515" t="str">
            <v>5-7811</v>
          </cell>
          <cell r="C2515" t="str">
            <v>R&amp;M -Computer</v>
          </cell>
          <cell r="D2515">
            <v>0</v>
          </cell>
          <cell r="E2515">
            <v>0</v>
          </cell>
          <cell r="F2515">
            <v>0</v>
          </cell>
          <cell r="G2515">
            <v>0</v>
          </cell>
          <cell r="H2515">
            <v>0</v>
          </cell>
          <cell r="I2515">
            <v>0</v>
          </cell>
          <cell r="J2515">
            <v>0</v>
          </cell>
        </row>
        <row r="2516">
          <cell r="B2516" t="str">
            <v>5-7812</v>
          </cell>
          <cell r="C2516" t="str">
            <v>R&amp;M -Telephone &amp; Faks</v>
          </cell>
          <cell r="D2516">
            <v>0</v>
          </cell>
          <cell r="E2516">
            <v>0</v>
          </cell>
          <cell r="F2516">
            <v>0</v>
          </cell>
          <cell r="G2516">
            <v>0</v>
          </cell>
          <cell r="H2516">
            <v>0</v>
          </cell>
          <cell r="I2516">
            <v>0</v>
          </cell>
          <cell r="J2516">
            <v>0</v>
          </cell>
        </row>
        <row r="2517">
          <cell r="B2517" t="str">
            <v>5-7813</v>
          </cell>
          <cell r="C2517" t="str">
            <v>R&amp;M -Electricity and Water</v>
          </cell>
          <cell r="D2517">
            <v>0</v>
          </cell>
          <cell r="E2517">
            <v>0</v>
          </cell>
          <cell r="F2517">
            <v>360000</v>
          </cell>
          <cell r="G2517">
            <v>0</v>
          </cell>
          <cell r="H2517">
            <v>360000</v>
          </cell>
          <cell r="I2517">
            <v>360000</v>
          </cell>
          <cell r="J2517">
            <v>0</v>
          </cell>
        </row>
        <row r="2518">
          <cell r="B2518" t="str">
            <v>5-7814</v>
          </cell>
          <cell r="C2518" t="str">
            <v>R&amp;M -Office Suplies</v>
          </cell>
          <cell r="D2518">
            <v>0</v>
          </cell>
          <cell r="E2518">
            <v>0</v>
          </cell>
          <cell r="F2518">
            <v>500000</v>
          </cell>
          <cell r="G2518">
            <v>0</v>
          </cell>
          <cell r="H2518">
            <v>500000</v>
          </cell>
          <cell r="I2518">
            <v>500000</v>
          </cell>
          <cell r="J2518">
            <v>0</v>
          </cell>
        </row>
        <row r="2519">
          <cell r="B2519" t="str">
            <v>5-7815</v>
          </cell>
          <cell r="C2519" t="str">
            <v>R&amp;M -peralatan pembalajaran</v>
          </cell>
          <cell r="D2519">
            <v>0</v>
          </cell>
          <cell r="E2519">
            <v>0</v>
          </cell>
          <cell r="F2519">
            <v>0</v>
          </cell>
          <cell r="G2519">
            <v>0</v>
          </cell>
          <cell r="H2519">
            <v>0</v>
          </cell>
          <cell r="I2519">
            <v>0</v>
          </cell>
          <cell r="J2519">
            <v>0</v>
          </cell>
        </row>
        <row r="2520">
          <cell r="B2520" t="str">
            <v>5-7816</v>
          </cell>
          <cell r="C2520" t="str">
            <v>R&amp;M -Kitchen &amp; Laundry</v>
          </cell>
          <cell r="D2520">
            <v>0</v>
          </cell>
          <cell r="E2520">
            <v>0</v>
          </cell>
          <cell r="F2520">
            <v>0</v>
          </cell>
          <cell r="G2520">
            <v>0</v>
          </cell>
          <cell r="H2520">
            <v>0</v>
          </cell>
          <cell r="I2520">
            <v>0</v>
          </cell>
          <cell r="J2520">
            <v>0</v>
          </cell>
        </row>
        <row r="2521">
          <cell r="B2521" t="str">
            <v>5-7817</v>
          </cell>
          <cell r="C2521" t="str">
            <v>R&amp;M -Cleaning&amp;Repairing</v>
          </cell>
          <cell r="D2521">
            <v>0</v>
          </cell>
          <cell r="E2521">
            <v>0</v>
          </cell>
          <cell r="F2521">
            <v>0</v>
          </cell>
          <cell r="G2521">
            <v>0</v>
          </cell>
          <cell r="H2521">
            <v>0</v>
          </cell>
          <cell r="I2521">
            <v>0</v>
          </cell>
          <cell r="J2521">
            <v>0</v>
          </cell>
        </row>
        <row r="2522">
          <cell r="B2522" t="str">
            <v>5-7818</v>
          </cell>
          <cell r="C2522" t="str">
            <v>R&amp;M -Sporty &amp; Healty</v>
          </cell>
          <cell r="D2522">
            <v>0</v>
          </cell>
          <cell r="E2522">
            <v>0</v>
          </cell>
          <cell r="F2522">
            <v>0</v>
          </cell>
          <cell r="G2522">
            <v>0</v>
          </cell>
          <cell r="H2522">
            <v>0</v>
          </cell>
          <cell r="I2522">
            <v>0</v>
          </cell>
          <cell r="J2522">
            <v>0</v>
          </cell>
        </row>
        <row r="2523">
          <cell r="B2523" t="str">
            <v>5-7819</v>
          </cell>
          <cell r="C2523" t="str">
            <v>R&amp;M -Others</v>
          </cell>
          <cell r="D2523">
            <v>0</v>
          </cell>
          <cell r="E2523">
            <v>0</v>
          </cell>
          <cell r="F2523">
            <v>95500</v>
          </cell>
          <cell r="G2523">
            <v>0</v>
          </cell>
          <cell r="H2523">
            <v>95500</v>
          </cell>
          <cell r="I2523">
            <v>95500</v>
          </cell>
          <cell r="J2523">
            <v>0</v>
          </cell>
        </row>
        <row r="2524">
          <cell r="B2524" t="str">
            <v>5-7820</v>
          </cell>
          <cell r="C2524" t="str">
            <v>MEBELAIR</v>
          </cell>
          <cell r="D2524">
            <v>0</v>
          </cell>
          <cell r="E2524">
            <v>0</v>
          </cell>
          <cell r="F2524">
            <v>0</v>
          </cell>
          <cell r="G2524">
            <v>0</v>
          </cell>
          <cell r="H2524">
            <v>0</v>
          </cell>
          <cell r="I2524">
            <v>0</v>
          </cell>
          <cell r="J2524">
            <v>0</v>
          </cell>
        </row>
        <row r="2525">
          <cell r="B2525" t="str">
            <v>5-7821</v>
          </cell>
          <cell r="C2525" t="str">
            <v>R&amp;M -Table and Chair</v>
          </cell>
          <cell r="D2525">
            <v>0</v>
          </cell>
          <cell r="E2525">
            <v>0</v>
          </cell>
          <cell r="F2525">
            <v>0</v>
          </cell>
          <cell r="G2525">
            <v>0</v>
          </cell>
          <cell r="H2525">
            <v>0</v>
          </cell>
          <cell r="I2525">
            <v>0</v>
          </cell>
          <cell r="J2525">
            <v>0</v>
          </cell>
        </row>
        <row r="2526">
          <cell r="B2526" t="str">
            <v>5-7822</v>
          </cell>
          <cell r="C2526" t="str">
            <v>R&amp;M -Cupboard and Rack</v>
          </cell>
          <cell r="D2526">
            <v>0</v>
          </cell>
          <cell r="E2526">
            <v>0</v>
          </cell>
          <cell r="F2526">
            <v>0</v>
          </cell>
          <cell r="G2526">
            <v>0</v>
          </cell>
          <cell r="H2526">
            <v>0</v>
          </cell>
          <cell r="I2526">
            <v>0</v>
          </cell>
          <cell r="J2526">
            <v>0</v>
          </cell>
        </row>
        <row r="2527">
          <cell r="B2527" t="str">
            <v>5-7823</v>
          </cell>
          <cell r="C2527" t="str">
            <v>R&amp;M -Iron Bed &amp; mattress</v>
          </cell>
          <cell r="D2527">
            <v>0</v>
          </cell>
          <cell r="E2527">
            <v>0</v>
          </cell>
          <cell r="F2527">
            <v>9000000</v>
          </cell>
          <cell r="G2527">
            <v>0</v>
          </cell>
          <cell r="H2527">
            <v>9000000</v>
          </cell>
          <cell r="I2527">
            <v>9000000</v>
          </cell>
          <cell r="J2527">
            <v>0</v>
          </cell>
        </row>
        <row r="2528">
          <cell r="B2528" t="str">
            <v>5-7824</v>
          </cell>
          <cell r="C2528" t="str">
            <v>R&amp;M -Office,Class &amp; Boarding</v>
          </cell>
          <cell r="D2528">
            <v>0</v>
          </cell>
          <cell r="E2528">
            <v>0</v>
          </cell>
          <cell r="F2528">
            <v>0</v>
          </cell>
          <cell r="G2528">
            <v>0</v>
          </cell>
          <cell r="H2528">
            <v>0</v>
          </cell>
          <cell r="I2528">
            <v>0</v>
          </cell>
          <cell r="J2528">
            <v>0</v>
          </cell>
        </row>
        <row r="2529">
          <cell r="B2529" t="str">
            <v>5-7825</v>
          </cell>
          <cell r="C2529" t="str">
            <v>R&amp;M -Perlengkapan pembelajaran</v>
          </cell>
          <cell r="D2529">
            <v>0</v>
          </cell>
          <cell r="E2529">
            <v>0</v>
          </cell>
          <cell r="F2529">
            <v>0</v>
          </cell>
          <cell r="G2529">
            <v>0</v>
          </cell>
          <cell r="H2529">
            <v>0</v>
          </cell>
          <cell r="I2529">
            <v>0</v>
          </cell>
          <cell r="J2529">
            <v>0</v>
          </cell>
        </row>
        <row r="2530">
          <cell r="B2530" t="str">
            <v>5-7826</v>
          </cell>
          <cell r="C2530" t="str">
            <v>R&amp;M -Kitchen &amp; Laundry</v>
          </cell>
          <cell r="D2530">
            <v>0</v>
          </cell>
          <cell r="E2530">
            <v>0</v>
          </cell>
          <cell r="F2530">
            <v>0</v>
          </cell>
          <cell r="G2530">
            <v>0</v>
          </cell>
          <cell r="H2530">
            <v>0</v>
          </cell>
          <cell r="I2530">
            <v>0</v>
          </cell>
          <cell r="J2530">
            <v>0</v>
          </cell>
        </row>
        <row r="2531">
          <cell r="B2531" t="str">
            <v>5-7827</v>
          </cell>
          <cell r="C2531" t="str">
            <v>R&amp;M -Cleaning &amp; Repairing</v>
          </cell>
          <cell r="D2531">
            <v>0</v>
          </cell>
          <cell r="E2531">
            <v>0</v>
          </cell>
          <cell r="F2531">
            <v>0</v>
          </cell>
          <cell r="G2531">
            <v>0</v>
          </cell>
          <cell r="H2531">
            <v>0</v>
          </cell>
          <cell r="I2531">
            <v>0</v>
          </cell>
          <cell r="J2531">
            <v>0</v>
          </cell>
        </row>
        <row r="2532">
          <cell r="B2532" t="str">
            <v>5-7828</v>
          </cell>
          <cell r="C2532" t="str">
            <v>R&amp;M -Sporty &amp; Healty</v>
          </cell>
          <cell r="D2532">
            <v>0</v>
          </cell>
          <cell r="E2532">
            <v>0</v>
          </cell>
          <cell r="F2532">
            <v>0</v>
          </cell>
          <cell r="G2532">
            <v>0</v>
          </cell>
          <cell r="H2532">
            <v>0</v>
          </cell>
          <cell r="I2532">
            <v>0</v>
          </cell>
          <cell r="J2532">
            <v>0</v>
          </cell>
        </row>
        <row r="2533">
          <cell r="B2533" t="str">
            <v>5-7829</v>
          </cell>
          <cell r="C2533" t="str">
            <v>R&amp;M -Others</v>
          </cell>
          <cell r="D2533">
            <v>0</v>
          </cell>
          <cell r="E2533">
            <v>0</v>
          </cell>
          <cell r="F2533">
            <v>0</v>
          </cell>
          <cell r="G2533">
            <v>0</v>
          </cell>
          <cell r="H2533">
            <v>0</v>
          </cell>
          <cell r="I2533">
            <v>0</v>
          </cell>
          <cell r="J2533">
            <v>0</v>
          </cell>
        </row>
        <row r="2534">
          <cell r="B2534" t="str">
            <v>5-7830</v>
          </cell>
          <cell r="C2534" t="str">
            <v>KENDARAAN</v>
          </cell>
          <cell r="D2534">
            <v>0</v>
          </cell>
          <cell r="E2534">
            <v>0</v>
          </cell>
          <cell r="F2534">
            <v>0</v>
          </cell>
          <cell r="G2534">
            <v>0</v>
          </cell>
          <cell r="H2534">
            <v>0</v>
          </cell>
          <cell r="I2534">
            <v>0</v>
          </cell>
          <cell r="J2534">
            <v>0</v>
          </cell>
        </row>
        <row r="2535">
          <cell r="B2535" t="str">
            <v>5-7831</v>
          </cell>
          <cell r="C2535" t="str">
            <v>Mobil</v>
          </cell>
          <cell r="D2535">
            <v>0</v>
          </cell>
          <cell r="E2535">
            <v>0</v>
          </cell>
          <cell r="F2535">
            <v>3968300</v>
          </cell>
          <cell r="G2535">
            <v>0</v>
          </cell>
          <cell r="H2535">
            <v>3968300</v>
          </cell>
          <cell r="I2535">
            <v>3968300</v>
          </cell>
          <cell r="J2535">
            <v>0</v>
          </cell>
        </row>
        <row r="2536">
          <cell r="B2536" t="str">
            <v>5-7832</v>
          </cell>
          <cell r="C2536" t="str">
            <v>Sepeda motor</v>
          </cell>
          <cell r="D2536">
            <v>0</v>
          </cell>
          <cell r="E2536">
            <v>0</v>
          </cell>
          <cell r="F2536">
            <v>291500</v>
          </cell>
          <cell r="G2536">
            <v>0</v>
          </cell>
          <cell r="H2536">
            <v>291500</v>
          </cell>
          <cell r="I2536">
            <v>291500</v>
          </cell>
          <cell r="J2536">
            <v>0</v>
          </cell>
        </row>
        <row r="2537">
          <cell r="B2537" t="str">
            <v>5-7833</v>
          </cell>
          <cell r="C2537" t="str">
            <v>Sepeda</v>
          </cell>
          <cell r="D2537">
            <v>0</v>
          </cell>
          <cell r="E2537">
            <v>0</v>
          </cell>
          <cell r="F2537">
            <v>0</v>
          </cell>
          <cell r="G2537">
            <v>0</v>
          </cell>
          <cell r="H2537">
            <v>0</v>
          </cell>
          <cell r="I2537">
            <v>0</v>
          </cell>
          <cell r="J2537">
            <v>0</v>
          </cell>
        </row>
        <row r="2538">
          <cell r="B2538" t="str">
            <v>5-7839</v>
          </cell>
          <cell r="C2538" t="str">
            <v>Lain-lain</v>
          </cell>
          <cell r="D2538">
            <v>0</v>
          </cell>
          <cell r="E2538">
            <v>0</v>
          </cell>
          <cell r="F2538">
            <v>0</v>
          </cell>
          <cell r="G2538">
            <v>0</v>
          </cell>
          <cell r="H2538">
            <v>0</v>
          </cell>
          <cell r="I2538">
            <v>0</v>
          </cell>
          <cell r="J2538">
            <v>0</v>
          </cell>
        </row>
        <row r="2539">
          <cell r="B2539" t="str">
            <v>5-7840</v>
          </cell>
          <cell r="C2539" t="str">
            <v>BOOK &amp; MATERIAL LIBRARY</v>
          </cell>
          <cell r="D2539">
            <v>0</v>
          </cell>
          <cell r="E2539">
            <v>0</v>
          </cell>
          <cell r="F2539">
            <v>0</v>
          </cell>
          <cell r="G2539">
            <v>0</v>
          </cell>
          <cell r="H2539">
            <v>0</v>
          </cell>
          <cell r="I2539">
            <v>0</v>
          </cell>
          <cell r="J2539">
            <v>0</v>
          </cell>
        </row>
        <row r="2540">
          <cell r="B2540" t="str">
            <v>5-7841</v>
          </cell>
          <cell r="C2540" t="str">
            <v>Religion Books</v>
          </cell>
          <cell r="D2540">
            <v>0</v>
          </cell>
          <cell r="E2540">
            <v>0</v>
          </cell>
          <cell r="F2540">
            <v>0</v>
          </cell>
          <cell r="G2540">
            <v>0</v>
          </cell>
          <cell r="H2540">
            <v>0</v>
          </cell>
          <cell r="I2540">
            <v>0</v>
          </cell>
          <cell r="J2540">
            <v>0</v>
          </cell>
        </row>
        <row r="2541">
          <cell r="B2541" t="str">
            <v>5-7842</v>
          </cell>
          <cell r="C2541" t="str">
            <v>Common Books</v>
          </cell>
          <cell r="D2541">
            <v>0</v>
          </cell>
          <cell r="E2541">
            <v>0</v>
          </cell>
          <cell r="F2541">
            <v>0</v>
          </cell>
          <cell r="G2541">
            <v>0</v>
          </cell>
          <cell r="H2541">
            <v>0</v>
          </cell>
          <cell r="I2541">
            <v>0</v>
          </cell>
          <cell r="J2541">
            <v>0</v>
          </cell>
        </row>
        <row r="2542">
          <cell r="B2542" t="str">
            <v>5-7843</v>
          </cell>
          <cell r="C2542" t="str">
            <v>Religion CD</v>
          </cell>
          <cell r="D2542">
            <v>0</v>
          </cell>
          <cell r="E2542">
            <v>0</v>
          </cell>
          <cell r="F2542">
            <v>0</v>
          </cell>
          <cell r="G2542">
            <v>0</v>
          </cell>
          <cell r="H2542">
            <v>0</v>
          </cell>
          <cell r="I2542">
            <v>0</v>
          </cell>
          <cell r="J2542">
            <v>0</v>
          </cell>
        </row>
        <row r="2543">
          <cell r="B2543" t="str">
            <v>5-7844</v>
          </cell>
          <cell r="C2543" t="str">
            <v>Common CD</v>
          </cell>
          <cell r="D2543">
            <v>0</v>
          </cell>
          <cell r="E2543">
            <v>0</v>
          </cell>
          <cell r="F2543">
            <v>0</v>
          </cell>
          <cell r="G2543">
            <v>0</v>
          </cell>
          <cell r="H2543">
            <v>0</v>
          </cell>
          <cell r="I2543">
            <v>0</v>
          </cell>
          <cell r="J2543">
            <v>0</v>
          </cell>
        </row>
        <row r="2544">
          <cell r="B2544" t="str">
            <v>5-7910</v>
          </cell>
          <cell r="C2544" t="str">
            <v>GEDUNG</v>
          </cell>
          <cell r="D2544">
            <v>0</v>
          </cell>
          <cell r="E2544">
            <v>0</v>
          </cell>
          <cell r="F2544">
            <v>0</v>
          </cell>
          <cell r="G2544">
            <v>0</v>
          </cell>
          <cell r="H2544">
            <v>0</v>
          </cell>
          <cell r="I2544">
            <v>0</v>
          </cell>
          <cell r="J2544">
            <v>0</v>
          </cell>
        </row>
        <row r="2545">
          <cell r="B2545" t="str">
            <v>5-7912</v>
          </cell>
          <cell r="C2545" t="str">
            <v>Depreciation-build-class&amp;offic</v>
          </cell>
          <cell r="D2545">
            <v>19647634.960000001</v>
          </cell>
          <cell r="E2545">
            <v>0</v>
          </cell>
          <cell r="F2545">
            <v>19647634.960000001</v>
          </cell>
          <cell r="G2545">
            <v>0</v>
          </cell>
          <cell r="H2545">
            <v>19647634.960000001</v>
          </cell>
          <cell r="I2545">
            <v>39295269.920000002</v>
          </cell>
          <cell r="J2545">
            <v>0</v>
          </cell>
        </row>
        <row r="2546">
          <cell r="B2546" t="str">
            <v>5-7913</v>
          </cell>
          <cell r="C2546" t="str">
            <v>Depreciation-building-Boarding</v>
          </cell>
          <cell r="D2546">
            <v>30533521.300000001</v>
          </cell>
          <cell r="E2546">
            <v>0</v>
          </cell>
          <cell r="F2546">
            <v>30533521.300000001</v>
          </cell>
          <cell r="G2546">
            <v>0</v>
          </cell>
          <cell r="H2546">
            <v>30533521.300000001</v>
          </cell>
          <cell r="I2546">
            <v>61067042.600000001</v>
          </cell>
          <cell r="J2546">
            <v>0</v>
          </cell>
        </row>
        <row r="2547">
          <cell r="B2547" t="str">
            <v>5-7914</v>
          </cell>
          <cell r="C2547" t="str">
            <v>Depreciation-building -housing</v>
          </cell>
          <cell r="D2547">
            <v>4052198.33</v>
          </cell>
          <cell r="E2547">
            <v>0</v>
          </cell>
          <cell r="F2547">
            <v>4052198.33</v>
          </cell>
          <cell r="G2547">
            <v>0</v>
          </cell>
          <cell r="H2547">
            <v>4052198.33</v>
          </cell>
          <cell r="I2547">
            <v>8104396.6600000001</v>
          </cell>
          <cell r="J2547">
            <v>0</v>
          </cell>
        </row>
        <row r="2548">
          <cell r="B2548" t="str">
            <v>5-7915</v>
          </cell>
          <cell r="C2548" t="str">
            <v>Depreciation-building - masjid</v>
          </cell>
          <cell r="D2548">
            <v>1019985.63</v>
          </cell>
          <cell r="E2548">
            <v>0</v>
          </cell>
          <cell r="F2548">
            <v>1019985.63</v>
          </cell>
          <cell r="G2548">
            <v>0</v>
          </cell>
          <cell r="H2548">
            <v>1019985.63</v>
          </cell>
          <cell r="I2548">
            <v>2039971.26</v>
          </cell>
          <cell r="J2548">
            <v>0</v>
          </cell>
        </row>
        <row r="2549">
          <cell r="B2549" t="str">
            <v>5-7916</v>
          </cell>
          <cell r="C2549" t="str">
            <v>Depreciation-building - Swimmi</v>
          </cell>
          <cell r="D2549">
            <v>3674327.02</v>
          </cell>
          <cell r="E2549">
            <v>0</v>
          </cell>
          <cell r="F2549">
            <v>3674327.02</v>
          </cell>
          <cell r="G2549">
            <v>0</v>
          </cell>
          <cell r="H2549">
            <v>3674327.02</v>
          </cell>
          <cell r="I2549">
            <v>7348654.04</v>
          </cell>
          <cell r="J2549">
            <v>0</v>
          </cell>
        </row>
        <row r="2550">
          <cell r="B2550" t="str">
            <v>5-7917</v>
          </cell>
          <cell r="C2550" t="str">
            <v>Depreciation-buildin-Gedung SG</v>
          </cell>
          <cell r="D2550">
            <v>0</v>
          </cell>
          <cell r="E2550">
            <v>0</v>
          </cell>
          <cell r="F2550">
            <v>0</v>
          </cell>
          <cell r="G2550">
            <v>0</v>
          </cell>
          <cell r="H2550">
            <v>0</v>
          </cell>
          <cell r="I2550">
            <v>0</v>
          </cell>
          <cell r="J2550">
            <v>0</v>
          </cell>
        </row>
        <row r="2551">
          <cell r="B2551" t="str">
            <v>5-7918</v>
          </cell>
          <cell r="C2551" t="str">
            <v>Depreciation-build-Kitchen&amp;Lou</v>
          </cell>
          <cell r="D2551">
            <v>1795077.08</v>
          </cell>
          <cell r="E2551">
            <v>0</v>
          </cell>
          <cell r="F2551">
            <v>1795077.08</v>
          </cell>
          <cell r="G2551">
            <v>0</v>
          </cell>
          <cell r="H2551">
            <v>1795077.08</v>
          </cell>
          <cell r="I2551">
            <v>3590154.16</v>
          </cell>
          <cell r="J2551">
            <v>0</v>
          </cell>
        </row>
        <row r="2552">
          <cell r="B2552" t="str">
            <v>5-7919</v>
          </cell>
          <cell r="C2552" t="str">
            <v>Depreciation-building - others</v>
          </cell>
          <cell r="D2552">
            <v>1111354.17</v>
          </cell>
          <cell r="E2552">
            <v>0</v>
          </cell>
          <cell r="F2552">
            <v>1111354.17</v>
          </cell>
          <cell r="G2552">
            <v>0</v>
          </cell>
          <cell r="H2552">
            <v>1111354.17</v>
          </cell>
          <cell r="I2552">
            <v>2222708.34</v>
          </cell>
          <cell r="J2552">
            <v>0</v>
          </cell>
        </row>
        <row r="2553">
          <cell r="B2553" t="str">
            <v>5-7920</v>
          </cell>
          <cell r="C2553" t="str">
            <v>INFRASTRUCTURE</v>
          </cell>
          <cell r="D2553">
            <v>0</v>
          </cell>
          <cell r="E2553">
            <v>0</v>
          </cell>
          <cell r="F2553">
            <v>0</v>
          </cell>
          <cell r="G2553">
            <v>0</v>
          </cell>
          <cell r="H2553">
            <v>0</v>
          </cell>
          <cell r="I2553">
            <v>0</v>
          </cell>
          <cell r="J2553">
            <v>0</v>
          </cell>
        </row>
        <row r="2554">
          <cell r="B2554" t="str">
            <v>5-7921</v>
          </cell>
          <cell r="C2554" t="str">
            <v>Depreciation-Infrasruc- roads</v>
          </cell>
          <cell r="D2554">
            <v>314068.53999999998</v>
          </cell>
          <cell r="E2554">
            <v>0</v>
          </cell>
          <cell r="F2554">
            <v>314068.53999999998</v>
          </cell>
          <cell r="G2554">
            <v>0</v>
          </cell>
          <cell r="H2554">
            <v>314068.53999999998</v>
          </cell>
          <cell r="I2554">
            <v>628137.07999999996</v>
          </cell>
          <cell r="J2554">
            <v>0</v>
          </cell>
        </row>
        <row r="2555">
          <cell r="B2555" t="str">
            <v>5-7922</v>
          </cell>
          <cell r="C2555" t="str">
            <v>Depreciation-Infrasruc-sewerge</v>
          </cell>
          <cell r="D2555">
            <v>0</v>
          </cell>
          <cell r="E2555">
            <v>0</v>
          </cell>
          <cell r="F2555">
            <v>0</v>
          </cell>
          <cell r="G2555">
            <v>0</v>
          </cell>
          <cell r="H2555">
            <v>0</v>
          </cell>
          <cell r="I2555">
            <v>0</v>
          </cell>
          <cell r="J2555">
            <v>0</v>
          </cell>
        </row>
        <row r="2556">
          <cell r="B2556" t="str">
            <v>5-7923</v>
          </cell>
          <cell r="C2556" t="str">
            <v>Depreciation-Infrasruc- garden</v>
          </cell>
          <cell r="D2556">
            <v>19647.080000000002</v>
          </cell>
          <cell r="E2556">
            <v>0</v>
          </cell>
          <cell r="F2556">
            <v>788342.92</v>
          </cell>
          <cell r="G2556">
            <v>0</v>
          </cell>
          <cell r="H2556">
            <v>788342.92</v>
          </cell>
          <cell r="I2556">
            <v>807990</v>
          </cell>
          <cell r="J2556">
            <v>0</v>
          </cell>
        </row>
        <row r="2557">
          <cell r="B2557" t="str">
            <v>5-7924</v>
          </cell>
          <cell r="C2557" t="str">
            <v>Depreciation-Infrasruc - Field</v>
          </cell>
          <cell r="D2557">
            <v>719911.46</v>
          </cell>
          <cell r="E2557">
            <v>0</v>
          </cell>
          <cell r="F2557">
            <v>719911.46</v>
          </cell>
          <cell r="G2557">
            <v>0</v>
          </cell>
          <cell r="H2557">
            <v>719911.46</v>
          </cell>
          <cell r="I2557">
            <v>1439822.92</v>
          </cell>
          <cell r="J2557">
            <v>0</v>
          </cell>
        </row>
        <row r="2558">
          <cell r="B2558" t="str">
            <v>5-7925</v>
          </cell>
          <cell r="C2558" t="str">
            <v>Depreciation-Infrasruc- Fence</v>
          </cell>
          <cell r="D2558">
            <v>992770.83</v>
          </cell>
          <cell r="E2558">
            <v>0</v>
          </cell>
          <cell r="F2558">
            <v>992770.83</v>
          </cell>
          <cell r="G2558">
            <v>0</v>
          </cell>
          <cell r="H2558">
            <v>992770.83</v>
          </cell>
          <cell r="I2558">
            <v>1985541.66</v>
          </cell>
          <cell r="J2558">
            <v>0</v>
          </cell>
        </row>
        <row r="2559">
          <cell r="B2559" t="str">
            <v>5-7926</v>
          </cell>
          <cell r="C2559" t="str">
            <v>Depreciation-Infrasruc- garage</v>
          </cell>
          <cell r="D2559">
            <v>1131482.92</v>
          </cell>
          <cell r="E2559">
            <v>0</v>
          </cell>
          <cell r="F2559">
            <v>1131482.92</v>
          </cell>
          <cell r="G2559">
            <v>0</v>
          </cell>
          <cell r="H2559">
            <v>1131482.92</v>
          </cell>
          <cell r="I2559">
            <v>2262965.84</v>
          </cell>
          <cell r="J2559">
            <v>0</v>
          </cell>
        </row>
        <row r="2560">
          <cell r="B2560" t="str">
            <v>5-7927</v>
          </cell>
          <cell r="C2560" t="str">
            <v>Depreciation-Infrasruc-Intalat</v>
          </cell>
          <cell r="D2560">
            <v>6227816.6699999999</v>
          </cell>
          <cell r="E2560">
            <v>0</v>
          </cell>
          <cell r="F2560">
            <v>6242816.6699999999</v>
          </cell>
          <cell r="G2560">
            <v>0</v>
          </cell>
          <cell r="H2560">
            <v>6242816.6699999999</v>
          </cell>
          <cell r="I2560">
            <v>12470633.34</v>
          </cell>
          <cell r="J2560">
            <v>0</v>
          </cell>
        </row>
        <row r="2561">
          <cell r="B2561" t="str">
            <v>5-7928</v>
          </cell>
          <cell r="C2561" t="str">
            <v>Depreciation-Infrasruc-Public</v>
          </cell>
          <cell r="D2561">
            <v>85972.29</v>
          </cell>
          <cell r="E2561">
            <v>0</v>
          </cell>
          <cell r="F2561">
            <v>85972.29</v>
          </cell>
          <cell r="G2561">
            <v>0</v>
          </cell>
          <cell r="H2561">
            <v>85972.29</v>
          </cell>
          <cell r="I2561">
            <v>171944.58</v>
          </cell>
          <cell r="J2561">
            <v>0</v>
          </cell>
        </row>
        <row r="2562">
          <cell r="B2562" t="str">
            <v>5-7929</v>
          </cell>
          <cell r="C2562" t="str">
            <v>Depreciation-Infrasruc- others</v>
          </cell>
          <cell r="D2562">
            <v>0</v>
          </cell>
          <cell r="E2562">
            <v>0</v>
          </cell>
          <cell r="F2562">
            <v>0</v>
          </cell>
          <cell r="G2562">
            <v>0</v>
          </cell>
          <cell r="H2562">
            <v>0</v>
          </cell>
          <cell r="I2562">
            <v>0</v>
          </cell>
          <cell r="J2562">
            <v>0</v>
          </cell>
        </row>
        <row r="2563">
          <cell r="B2563" t="str">
            <v>5-7930</v>
          </cell>
          <cell r="C2563" t="str">
            <v>EQUIPMENT</v>
          </cell>
          <cell r="D2563">
            <v>0</v>
          </cell>
          <cell r="E2563">
            <v>0</v>
          </cell>
          <cell r="F2563">
            <v>0</v>
          </cell>
          <cell r="G2563">
            <v>0</v>
          </cell>
          <cell r="H2563">
            <v>0</v>
          </cell>
          <cell r="I2563">
            <v>0</v>
          </cell>
          <cell r="J2563">
            <v>0</v>
          </cell>
        </row>
        <row r="2564">
          <cell r="B2564" t="str">
            <v>5-7931</v>
          </cell>
          <cell r="C2564" t="str">
            <v>Depre.Equipment Computer&amp;Audio</v>
          </cell>
          <cell r="D2564">
            <v>16561835.720000001</v>
          </cell>
          <cell r="E2564">
            <v>0</v>
          </cell>
          <cell r="F2564">
            <v>16279393.710000001</v>
          </cell>
          <cell r="G2564">
            <v>0</v>
          </cell>
          <cell r="H2564">
            <v>16279393.710000001</v>
          </cell>
          <cell r="I2564">
            <v>32841229.43</v>
          </cell>
          <cell r="J2564">
            <v>0</v>
          </cell>
        </row>
        <row r="2565">
          <cell r="B2565" t="str">
            <v>5-7932</v>
          </cell>
          <cell r="C2565" t="str">
            <v>Depre.Equipment telephone&amp;faks</v>
          </cell>
          <cell r="D2565">
            <v>749614.01</v>
          </cell>
          <cell r="E2565">
            <v>0</v>
          </cell>
          <cell r="F2565">
            <v>751447.34</v>
          </cell>
          <cell r="G2565">
            <v>0</v>
          </cell>
          <cell r="H2565">
            <v>751447.34</v>
          </cell>
          <cell r="I2565">
            <v>1501061.35</v>
          </cell>
          <cell r="J2565">
            <v>0</v>
          </cell>
        </row>
        <row r="2566">
          <cell r="B2566" t="str">
            <v>5-7933</v>
          </cell>
          <cell r="C2566" t="str">
            <v>Depre.Equipment Cleaning&amp;Maint</v>
          </cell>
          <cell r="D2566">
            <v>1426716.67</v>
          </cell>
          <cell r="E2566">
            <v>0</v>
          </cell>
          <cell r="F2566">
            <v>1426716.67</v>
          </cell>
          <cell r="G2566">
            <v>0</v>
          </cell>
          <cell r="H2566">
            <v>1426716.67</v>
          </cell>
          <cell r="I2566">
            <v>2853433.34</v>
          </cell>
          <cell r="J2566">
            <v>0</v>
          </cell>
        </row>
        <row r="2567">
          <cell r="B2567" t="str">
            <v>5-7934</v>
          </cell>
          <cell r="C2567" t="str">
            <v>Depre.Equipment Office</v>
          </cell>
          <cell r="D2567">
            <v>1073610.67</v>
          </cell>
          <cell r="E2567">
            <v>0</v>
          </cell>
          <cell r="F2567">
            <v>1074445</v>
          </cell>
          <cell r="G2567">
            <v>0</v>
          </cell>
          <cell r="H2567">
            <v>1074445</v>
          </cell>
          <cell r="I2567">
            <v>2148055.67</v>
          </cell>
          <cell r="J2567">
            <v>0</v>
          </cell>
        </row>
        <row r="2568">
          <cell r="B2568" t="str">
            <v>5-7935</v>
          </cell>
          <cell r="C2568" t="str">
            <v>Depre.Equipment Teaching</v>
          </cell>
          <cell r="D2568">
            <v>213616.67</v>
          </cell>
          <cell r="E2568">
            <v>0</v>
          </cell>
          <cell r="F2568">
            <v>213616.67</v>
          </cell>
          <cell r="G2568">
            <v>0</v>
          </cell>
          <cell r="H2568">
            <v>213616.67</v>
          </cell>
          <cell r="I2568">
            <v>427233.34</v>
          </cell>
          <cell r="J2568">
            <v>0</v>
          </cell>
        </row>
        <row r="2569">
          <cell r="B2569" t="str">
            <v>5-7936</v>
          </cell>
          <cell r="C2569" t="str">
            <v>Depre.Equipment Kitchen&amp;Loundr</v>
          </cell>
          <cell r="D2569">
            <v>1075233.67</v>
          </cell>
          <cell r="E2569">
            <v>0</v>
          </cell>
          <cell r="F2569">
            <v>1100800.02</v>
          </cell>
          <cell r="G2569">
            <v>0</v>
          </cell>
          <cell r="H2569">
            <v>1100800.02</v>
          </cell>
          <cell r="I2569">
            <v>2176033.69</v>
          </cell>
          <cell r="J2569">
            <v>0</v>
          </cell>
        </row>
        <row r="2570">
          <cell r="B2570" t="str">
            <v>5-7937</v>
          </cell>
          <cell r="C2570" t="str">
            <v>Depre.Equipment Sport&amp;healthy</v>
          </cell>
          <cell r="D2570">
            <v>702200</v>
          </cell>
          <cell r="E2570">
            <v>0</v>
          </cell>
          <cell r="F2570">
            <v>702200</v>
          </cell>
          <cell r="G2570">
            <v>0</v>
          </cell>
          <cell r="H2570">
            <v>702200</v>
          </cell>
          <cell r="I2570">
            <v>1404400</v>
          </cell>
          <cell r="J2570">
            <v>0</v>
          </cell>
        </row>
        <row r="2571">
          <cell r="B2571" t="str">
            <v>5-7939</v>
          </cell>
          <cell r="C2571" t="str">
            <v>Depre.Equipment Other</v>
          </cell>
          <cell r="D2571">
            <v>2280515</v>
          </cell>
          <cell r="E2571">
            <v>0</v>
          </cell>
          <cell r="F2571">
            <v>2934811.88</v>
          </cell>
          <cell r="G2571">
            <v>0</v>
          </cell>
          <cell r="H2571">
            <v>2934811.88</v>
          </cell>
          <cell r="I2571">
            <v>5215326.88</v>
          </cell>
          <cell r="J2571">
            <v>0</v>
          </cell>
        </row>
        <row r="2572">
          <cell r="B2572" t="str">
            <v>5-7940</v>
          </cell>
          <cell r="C2572" t="str">
            <v>FURNITURE</v>
          </cell>
          <cell r="D2572">
            <v>0</v>
          </cell>
          <cell r="E2572">
            <v>0</v>
          </cell>
          <cell r="F2572">
            <v>0</v>
          </cell>
          <cell r="G2572">
            <v>0</v>
          </cell>
          <cell r="H2572">
            <v>0</v>
          </cell>
          <cell r="I2572">
            <v>0</v>
          </cell>
          <cell r="J2572">
            <v>0</v>
          </cell>
        </row>
        <row r="2573">
          <cell r="B2573" t="str">
            <v>5-7941</v>
          </cell>
          <cell r="C2573" t="str">
            <v>Depre.Furniture- table &amp; chair</v>
          </cell>
          <cell r="D2573">
            <v>7615529.6799999997</v>
          </cell>
          <cell r="E2573">
            <v>0</v>
          </cell>
          <cell r="F2573">
            <v>7726698.3499999996</v>
          </cell>
          <cell r="G2573">
            <v>0</v>
          </cell>
          <cell r="H2573">
            <v>7726698.3499999996</v>
          </cell>
          <cell r="I2573">
            <v>15342228.029999999</v>
          </cell>
          <cell r="J2573">
            <v>0</v>
          </cell>
        </row>
        <row r="2574">
          <cell r="B2574" t="str">
            <v>5-7942</v>
          </cell>
          <cell r="C2574" t="str">
            <v>Depre.Furniture-Cupboard&amp; Rack</v>
          </cell>
          <cell r="D2574">
            <v>4691190</v>
          </cell>
          <cell r="E2574">
            <v>0</v>
          </cell>
          <cell r="F2574">
            <v>4969990</v>
          </cell>
          <cell r="G2574">
            <v>0</v>
          </cell>
          <cell r="H2574">
            <v>4969990</v>
          </cell>
          <cell r="I2574">
            <v>9661180</v>
          </cell>
          <cell r="J2574">
            <v>0</v>
          </cell>
        </row>
        <row r="2575">
          <cell r="B2575" t="str">
            <v>5-7943</v>
          </cell>
          <cell r="C2575" t="str">
            <v>Depre.Furniture-Iron Bed&amp;Mattr</v>
          </cell>
          <cell r="D2575">
            <v>19814940.550000001</v>
          </cell>
          <cell r="E2575">
            <v>0</v>
          </cell>
          <cell r="F2575">
            <v>19814940.550000001</v>
          </cell>
          <cell r="G2575">
            <v>0</v>
          </cell>
          <cell r="H2575">
            <v>19814940.550000001</v>
          </cell>
          <cell r="I2575">
            <v>39629881.100000001</v>
          </cell>
          <cell r="J2575">
            <v>0</v>
          </cell>
        </row>
        <row r="2576">
          <cell r="B2576" t="str">
            <v>5-7944</v>
          </cell>
          <cell r="C2576" t="str">
            <v>Depre.Fixture-class,office&amp;boa</v>
          </cell>
          <cell r="D2576">
            <v>2053930</v>
          </cell>
          <cell r="E2576">
            <v>0</v>
          </cell>
          <cell r="F2576">
            <v>2006429</v>
          </cell>
          <cell r="G2576">
            <v>0</v>
          </cell>
          <cell r="H2576">
            <v>2006429</v>
          </cell>
          <cell r="I2576">
            <v>4060359</v>
          </cell>
          <cell r="J2576">
            <v>0</v>
          </cell>
        </row>
        <row r="2577">
          <cell r="B2577" t="str">
            <v>5-7945</v>
          </cell>
          <cell r="C2577" t="str">
            <v>Depre.Fixture - Teaching</v>
          </cell>
          <cell r="D2577">
            <v>378600</v>
          </cell>
          <cell r="E2577">
            <v>0</v>
          </cell>
          <cell r="F2577">
            <v>396100</v>
          </cell>
          <cell r="G2577">
            <v>0</v>
          </cell>
          <cell r="H2577">
            <v>396100</v>
          </cell>
          <cell r="I2577">
            <v>774700</v>
          </cell>
          <cell r="J2577">
            <v>0</v>
          </cell>
        </row>
        <row r="2578">
          <cell r="B2578" t="str">
            <v>5-7946</v>
          </cell>
          <cell r="C2578" t="str">
            <v>Depre.Fixture- Kitchen&amp;Loundry</v>
          </cell>
          <cell r="D2578">
            <v>406349.5</v>
          </cell>
          <cell r="E2578">
            <v>0</v>
          </cell>
          <cell r="F2578">
            <v>415099.5</v>
          </cell>
          <cell r="G2578">
            <v>0</v>
          </cell>
          <cell r="H2578">
            <v>415099.5</v>
          </cell>
          <cell r="I2578">
            <v>821449</v>
          </cell>
          <cell r="J2578">
            <v>0</v>
          </cell>
        </row>
        <row r="2579">
          <cell r="B2579" t="str">
            <v>5-7947</v>
          </cell>
          <cell r="C2579" t="str">
            <v>Depre.Fixture-cleaning&amp;mainten</v>
          </cell>
          <cell r="D2579">
            <v>416067</v>
          </cell>
          <cell r="E2579">
            <v>0</v>
          </cell>
          <cell r="F2579">
            <v>416067</v>
          </cell>
          <cell r="G2579">
            <v>0</v>
          </cell>
          <cell r="H2579">
            <v>416067</v>
          </cell>
          <cell r="I2579">
            <v>832134</v>
          </cell>
          <cell r="J2579">
            <v>0</v>
          </cell>
        </row>
        <row r="2580">
          <cell r="B2580" t="str">
            <v>5-7948</v>
          </cell>
          <cell r="C2580" t="str">
            <v>Depre.Fixture-sport &amp; healthy</v>
          </cell>
          <cell r="D2580">
            <v>176266.67</v>
          </cell>
          <cell r="E2580">
            <v>0</v>
          </cell>
          <cell r="F2580">
            <v>176266.67</v>
          </cell>
          <cell r="G2580">
            <v>0</v>
          </cell>
          <cell r="H2580">
            <v>176266.67</v>
          </cell>
          <cell r="I2580">
            <v>352533.34</v>
          </cell>
          <cell r="J2580">
            <v>0</v>
          </cell>
        </row>
        <row r="2581">
          <cell r="B2581" t="str">
            <v>5-7949</v>
          </cell>
          <cell r="C2581" t="str">
            <v>Depreciation Fixture - Others</v>
          </cell>
          <cell r="D2581">
            <v>1360946.67</v>
          </cell>
          <cell r="E2581">
            <v>0</v>
          </cell>
          <cell r="F2581">
            <v>1579211.33</v>
          </cell>
          <cell r="G2581">
            <v>0</v>
          </cell>
          <cell r="H2581">
            <v>1579211.33</v>
          </cell>
          <cell r="I2581">
            <v>2940158</v>
          </cell>
          <cell r="J2581">
            <v>0</v>
          </cell>
        </row>
        <row r="2582">
          <cell r="B2582" t="str">
            <v>5-7950</v>
          </cell>
          <cell r="C2582" t="str">
            <v>VEHICLE</v>
          </cell>
          <cell r="D2582">
            <v>0</v>
          </cell>
          <cell r="E2582">
            <v>0</v>
          </cell>
          <cell r="F2582">
            <v>0</v>
          </cell>
          <cell r="G2582">
            <v>0</v>
          </cell>
          <cell r="H2582">
            <v>0</v>
          </cell>
          <cell r="I2582">
            <v>0</v>
          </cell>
          <cell r="J2582">
            <v>0</v>
          </cell>
        </row>
        <row r="2583">
          <cell r="B2583" t="str">
            <v>5-7951</v>
          </cell>
          <cell r="C2583" t="str">
            <v>Depreciation - vehicle - car</v>
          </cell>
          <cell r="D2583">
            <v>3919270.83</v>
          </cell>
          <cell r="E2583">
            <v>0</v>
          </cell>
          <cell r="F2583">
            <v>3919270.83</v>
          </cell>
          <cell r="G2583">
            <v>0</v>
          </cell>
          <cell r="H2583">
            <v>3919270.83</v>
          </cell>
          <cell r="I2583">
            <v>7838541.6600000001</v>
          </cell>
          <cell r="J2583">
            <v>0</v>
          </cell>
        </row>
        <row r="2584">
          <cell r="B2584" t="str">
            <v>5-7952</v>
          </cell>
          <cell r="C2584" t="str">
            <v>Depreciation-vehicle-Motorcycl</v>
          </cell>
          <cell r="D2584">
            <v>0</v>
          </cell>
          <cell r="E2584">
            <v>0</v>
          </cell>
          <cell r="F2584">
            <v>0</v>
          </cell>
          <cell r="G2584">
            <v>0</v>
          </cell>
          <cell r="H2584">
            <v>0</v>
          </cell>
          <cell r="I2584">
            <v>0</v>
          </cell>
          <cell r="J2584">
            <v>0</v>
          </cell>
        </row>
        <row r="2585">
          <cell r="B2585" t="str">
            <v>5-7953</v>
          </cell>
          <cell r="C2585" t="str">
            <v>Depreciation - vehicle-bicycle</v>
          </cell>
          <cell r="D2585">
            <v>0</v>
          </cell>
          <cell r="E2585">
            <v>0</v>
          </cell>
          <cell r="F2585">
            <v>0</v>
          </cell>
          <cell r="G2585">
            <v>0</v>
          </cell>
          <cell r="H2585">
            <v>0</v>
          </cell>
          <cell r="I2585">
            <v>0</v>
          </cell>
          <cell r="J2585">
            <v>0</v>
          </cell>
        </row>
        <row r="2586">
          <cell r="B2586" t="str">
            <v>5-7960</v>
          </cell>
          <cell r="C2586" t="str">
            <v>BOOKS &amp; LIBRARY MATERIAL</v>
          </cell>
          <cell r="D2586">
            <v>0</v>
          </cell>
          <cell r="E2586">
            <v>0</v>
          </cell>
          <cell r="F2586">
            <v>0</v>
          </cell>
          <cell r="G2586">
            <v>0</v>
          </cell>
          <cell r="H2586">
            <v>0</v>
          </cell>
          <cell r="I2586">
            <v>0</v>
          </cell>
          <cell r="J2586">
            <v>0</v>
          </cell>
        </row>
        <row r="2587">
          <cell r="B2587" t="str">
            <v>5-7961</v>
          </cell>
          <cell r="C2587" t="str">
            <v>Depre.library material&amp;book-Bo</v>
          </cell>
          <cell r="D2587">
            <v>644243</v>
          </cell>
          <cell r="E2587">
            <v>0</v>
          </cell>
          <cell r="F2587">
            <v>646650.32999999996</v>
          </cell>
          <cell r="G2587">
            <v>0</v>
          </cell>
          <cell r="H2587">
            <v>646650.32999999996</v>
          </cell>
          <cell r="I2587">
            <v>1290893.33</v>
          </cell>
          <cell r="J2587">
            <v>0</v>
          </cell>
        </row>
        <row r="2588">
          <cell r="B2588" t="str">
            <v>5-7962</v>
          </cell>
          <cell r="C2588" t="str">
            <v>Depre.library material&amp;book-CD</v>
          </cell>
          <cell r="D2588">
            <v>0</v>
          </cell>
          <cell r="E2588">
            <v>0</v>
          </cell>
          <cell r="F2588">
            <v>0</v>
          </cell>
          <cell r="G2588">
            <v>0</v>
          </cell>
          <cell r="H2588">
            <v>0</v>
          </cell>
          <cell r="I2588">
            <v>0</v>
          </cell>
          <cell r="J2588">
            <v>0</v>
          </cell>
        </row>
        <row r="2589">
          <cell r="B2589" t="str">
            <v>5-7963</v>
          </cell>
          <cell r="C2589" t="str">
            <v>Depre.library material&amp;book-DL</v>
          </cell>
          <cell r="D2589">
            <v>0</v>
          </cell>
          <cell r="E2589">
            <v>0</v>
          </cell>
          <cell r="F2589">
            <v>0</v>
          </cell>
          <cell r="G2589">
            <v>0</v>
          </cell>
          <cell r="H2589">
            <v>0</v>
          </cell>
          <cell r="I2589">
            <v>0</v>
          </cell>
          <cell r="J2589">
            <v>0</v>
          </cell>
        </row>
        <row r="2590">
          <cell r="B2590" t="str">
            <v>5-7990</v>
          </cell>
          <cell r="C2590" t="str">
            <v>OTHER FIXED ASSET</v>
          </cell>
          <cell r="D2590">
            <v>0</v>
          </cell>
          <cell r="E2590">
            <v>0</v>
          </cell>
          <cell r="F2590">
            <v>0</v>
          </cell>
          <cell r="G2590">
            <v>0</v>
          </cell>
          <cell r="H2590">
            <v>0</v>
          </cell>
          <cell r="I2590">
            <v>0</v>
          </cell>
          <cell r="J2590">
            <v>0</v>
          </cell>
        </row>
        <row r="2591">
          <cell r="B2591" t="str">
            <v>5-7991</v>
          </cell>
          <cell r="C2591" t="str">
            <v>Depre.Other fixed asset-softwa</v>
          </cell>
          <cell r="D2591">
            <v>688033.27</v>
          </cell>
          <cell r="E2591">
            <v>0</v>
          </cell>
          <cell r="F2591">
            <v>675232.27</v>
          </cell>
          <cell r="G2591">
            <v>0</v>
          </cell>
          <cell r="H2591">
            <v>675232.27</v>
          </cell>
          <cell r="I2591">
            <v>1363265.54</v>
          </cell>
          <cell r="J2591">
            <v>0</v>
          </cell>
        </row>
        <row r="2592">
          <cell r="B2592" t="str">
            <v>5-8110</v>
          </cell>
          <cell r="C2592" t="str">
            <v>PERSONAL - GAJI</v>
          </cell>
          <cell r="D2592">
            <v>0</v>
          </cell>
          <cell r="E2592">
            <v>0</v>
          </cell>
          <cell r="F2592">
            <v>0</v>
          </cell>
          <cell r="G2592">
            <v>0</v>
          </cell>
          <cell r="H2592">
            <v>0</v>
          </cell>
          <cell r="I2592">
            <v>0</v>
          </cell>
          <cell r="J2592">
            <v>0</v>
          </cell>
        </row>
        <row r="2593">
          <cell r="B2593" t="str">
            <v>5-8111</v>
          </cell>
          <cell r="C2593" t="str">
            <v>Permanent Staff Salary</v>
          </cell>
          <cell r="D2593">
            <v>0</v>
          </cell>
          <cell r="E2593">
            <v>0</v>
          </cell>
          <cell r="F2593">
            <v>0</v>
          </cell>
          <cell r="G2593">
            <v>0</v>
          </cell>
          <cell r="H2593">
            <v>0</v>
          </cell>
          <cell r="I2593">
            <v>0</v>
          </cell>
          <cell r="J2593">
            <v>0</v>
          </cell>
        </row>
        <row r="2594">
          <cell r="B2594" t="str">
            <v>5-8112</v>
          </cell>
          <cell r="C2594" t="str">
            <v>Temporary Staff Salary</v>
          </cell>
          <cell r="D2594">
            <v>0</v>
          </cell>
          <cell r="E2594">
            <v>0</v>
          </cell>
          <cell r="F2594">
            <v>0</v>
          </cell>
          <cell r="G2594">
            <v>0</v>
          </cell>
          <cell r="H2594">
            <v>0</v>
          </cell>
          <cell r="I2594">
            <v>0</v>
          </cell>
          <cell r="J2594">
            <v>0</v>
          </cell>
        </row>
        <row r="2595">
          <cell r="B2595" t="str">
            <v>5-8113</v>
          </cell>
          <cell r="C2595" t="str">
            <v>Permanent Labour Salary</v>
          </cell>
          <cell r="D2595">
            <v>22082277</v>
          </cell>
          <cell r="E2595">
            <v>0</v>
          </cell>
          <cell r="F2595">
            <v>23901469</v>
          </cell>
          <cell r="G2595">
            <v>1705239</v>
          </cell>
          <cell r="H2595">
            <v>22196230</v>
          </cell>
          <cell r="I2595">
            <v>44278507</v>
          </cell>
          <cell r="J2595">
            <v>0</v>
          </cell>
        </row>
        <row r="2596">
          <cell r="B2596" t="str">
            <v>5-8114</v>
          </cell>
          <cell r="C2596" t="str">
            <v>Temporary Labour Salary</v>
          </cell>
          <cell r="D2596">
            <v>3887500</v>
          </cell>
          <cell r="E2596">
            <v>0</v>
          </cell>
          <cell r="F2596">
            <v>16076619</v>
          </cell>
          <cell r="G2596">
            <v>0</v>
          </cell>
          <cell r="H2596">
            <v>16076619</v>
          </cell>
          <cell r="I2596">
            <v>19964119</v>
          </cell>
          <cell r="J2596">
            <v>0</v>
          </cell>
        </row>
        <row r="2597">
          <cell r="B2597" t="str">
            <v>5-8115</v>
          </cell>
          <cell r="C2597" t="str">
            <v>Honorarium santri Khidmah</v>
          </cell>
          <cell r="D2597">
            <v>0</v>
          </cell>
          <cell r="E2597">
            <v>0</v>
          </cell>
          <cell r="F2597">
            <v>0</v>
          </cell>
          <cell r="G2597">
            <v>0</v>
          </cell>
          <cell r="H2597">
            <v>0</v>
          </cell>
          <cell r="I2597">
            <v>0</v>
          </cell>
          <cell r="J2597">
            <v>0</v>
          </cell>
        </row>
        <row r="2598">
          <cell r="B2598" t="str">
            <v>5-8116</v>
          </cell>
          <cell r="C2598" t="str">
            <v>Staff overtime</v>
          </cell>
          <cell r="D2598">
            <v>0</v>
          </cell>
          <cell r="E2598">
            <v>0</v>
          </cell>
          <cell r="F2598">
            <v>1705239</v>
          </cell>
          <cell r="G2598">
            <v>0</v>
          </cell>
          <cell r="H2598">
            <v>1705239</v>
          </cell>
          <cell r="I2598">
            <v>1705239</v>
          </cell>
          <cell r="J2598">
            <v>0</v>
          </cell>
        </row>
        <row r="2599">
          <cell r="B2599" t="str">
            <v>5-8117</v>
          </cell>
          <cell r="C2599" t="str">
            <v>Joint Salary Allocation</v>
          </cell>
          <cell r="D2599">
            <v>180495</v>
          </cell>
          <cell r="E2599">
            <v>0</v>
          </cell>
          <cell r="F2599">
            <v>180495</v>
          </cell>
          <cell r="G2599">
            <v>0</v>
          </cell>
          <cell r="H2599">
            <v>180495</v>
          </cell>
          <cell r="I2599">
            <v>360990</v>
          </cell>
          <cell r="J2599">
            <v>0</v>
          </cell>
        </row>
        <row r="2600">
          <cell r="B2600" t="str">
            <v>5-8119</v>
          </cell>
          <cell r="C2600" t="str">
            <v>Others Salary</v>
          </cell>
          <cell r="D2600">
            <v>0</v>
          </cell>
          <cell r="E2600">
            <v>0</v>
          </cell>
          <cell r="F2600">
            <v>0</v>
          </cell>
          <cell r="G2600">
            <v>0</v>
          </cell>
          <cell r="H2600">
            <v>0</v>
          </cell>
          <cell r="I2600">
            <v>0</v>
          </cell>
          <cell r="J2600">
            <v>0</v>
          </cell>
        </row>
        <row r="2601">
          <cell r="B2601" t="str">
            <v>5-8120</v>
          </cell>
          <cell r="C2601" t="str">
            <v>PERSONAL - ALLOWANCE OF</v>
          </cell>
          <cell r="D2601">
            <v>0</v>
          </cell>
          <cell r="E2601">
            <v>0</v>
          </cell>
          <cell r="F2601">
            <v>0</v>
          </cell>
          <cell r="G2601">
            <v>0</v>
          </cell>
          <cell r="H2601">
            <v>0</v>
          </cell>
          <cell r="I2601">
            <v>0</v>
          </cell>
          <cell r="J2601">
            <v>0</v>
          </cell>
        </row>
        <row r="2602">
          <cell r="B2602" t="str">
            <v>5-8121</v>
          </cell>
          <cell r="C2602" t="str">
            <v>Allowance of Hulled Rice</v>
          </cell>
          <cell r="D2602">
            <v>2605800</v>
          </cell>
          <cell r="E2602">
            <v>0</v>
          </cell>
          <cell r="F2602">
            <v>2727000</v>
          </cell>
          <cell r="G2602">
            <v>0</v>
          </cell>
          <cell r="H2602">
            <v>2727000</v>
          </cell>
          <cell r="I2602">
            <v>5332800</v>
          </cell>
          <cell r="J2602">
            <v>0</v>
          </cell>
        </row>
        <row r="2603">
          <cell r="B2603" t="str">
            <v>5-8122</v>
          </cell>
          <cell r="C2603" t="str">
            <v>Alowance of doctor and medicin</v>
          </cell>
          <cell r="D2603">
            <v>195900</v>
          </cell>
          <cell r="E2603">
            <v>0</v>
          </cell>
          <cell r="F2603">
            <v>454148.23</v>
          </cell>
          <cell r="G2603">
            <v>41800</v>
          </cell>
          <cell r="H2603">
            <v>412348.23</v>
          </cell>
          <cell r="I2603">
            <v>608248.23</v>
          </cell>
          <cell r="J2603">
            <v>0</v>
          </cell>
        </row>
        <row r="2604">
          <cell r="B2604" t="str">
            <v>5-8123</v>
          </cell>
          <cell r="C2604" t="str">
            <v>Alowance of spectacles</v>
          </cell>
          <cell r="D2604">
            <v>0</v>
          </cell>
          <cell r="E2604">
            <v>0</v>
          </cell>
          <cell r="F2604">
            <v>0</v>
          </cell>
          <cell r="G2604">
            <v>0</v>
          </cell>
          <cell r="H2604">
            <v>0</v>
          </cell>
          <cell r="I2604">
            <v>0</v>
          </cell>
          <cell r="J2604">
            <v>0</v>
          </cell>
        </row>
        <row r="2605">
          <cell r="B2605" t="str">
            <v>5-8124</v>
          </cell>
          <cell r="C2605" t="str">
            <v>Allowance of operation&amp;hospita</v>
          </cell>
          <cell r="D2605">
            <v>0</v>
          </cell>
          <cell r="E2605">
            <v>0</v>
          </cell>
          <cell r="F2605">
            <v>0</v>
          </cell>
          <cell r="G2605">
            <v>0</v>
          </cell>
          <cell r="H2605">
            <v>0</v>
          </cell>
          <cell r="I2605">
            <v>0</v>
          </cell>
          <cell r="J2605">
            <v>0</v>
          </cell>
        </row>
        <row r="2606">
          <cell r="B2606" t="str">
            <v>5-8125</v>
          </cell>
          <cell r="C2606" t="str">
            <v>Allowance of disaster &amp; die</v>
          </cell>
          <cell r="D2606">
            <v>0</v>
          </cell>
          <cell r="E2606">
            <v>0</v>
          </cell>
          <cell r="F2606">
            <v>0</v>
          </cell>
          <cell r="G2606">
            <v>0</v>
          </cell>
          <cell r="H2606">
            <v>0</v>
          </cell>
          <cell r="I2606">
            <v>0</v>
          </cell>
          <cell r="J2606">
            <v>0</v>
          </cell>
        </row>
        <row r="2607">
          <cell r="B2607" t="str">
            <v>5-8126</v>
          </cell>
          <cell r="C2607" t="str">
            <v>Allowance of hari raya</v>
          </cell>
          <cell r="D2607">
            <v>22146655</v>
          </cell>
          <cell r="E2607">
            <v>0</v>
          </cell>
          <cell r="F2607">
            <v>0</v>
          </cell>
          <cell r="G2607">
            <v>0</v>
          </cell>
          <cell r="H2607">
            <v>0</v>
          </cell>
          <cell r="I2607">
            <v>22146655</v>
          </cell>
          <cell r="J2607">
            <v>0</v>
          </cell>
        </row>
        <row r="2608">
          <cell r="B2608" t="str">
            <v>5-8127</v>
          </cell>
          <cell r="C2608" t="str">
            <v>Allowance of birth</v>
          </cell>
          <cell r="D2608">
            <v>0</v>
          </cell>
          <cell r="E2608">
            <v>0</v>
          </cell>
          <cell r="F2608">
            <v>400000</v>
          </cell>
          <cell r="G2608">
            <v>0</v>
          </cell>
          <cell r="H2608">
            <v>400000</v>
          </cell>
          <cell r="I2608">
            <v>400000</v>
          </cell>
          <cell r="J2608">
            <v>0</v>
          </cell>
        </row>
        <row r="2609">
          <cell r="B2609" t="str">
            <v>5-8128</v>
          </cell>
          <cell r="C2609" t="str">
            <v>Allowance of married</v>
          </cell>
          <cell r="D2609">
            <v>0</v>
          </cell>
          <cell r="E2609">
            <v>0</v>
          </cell>
          <cell r="F2609">
            <v>0</v>
          </cell>
          <cell r="G2609">
            <v>0</v>
          </cell>
          <cell r="H2609">
            <v>0</v>
          </cell>
          <cell r="I2609">
            <v>0</v>
          </cell>
          <cell r="J2609">
            <v>0</v>
          </cell>
        </row>
        <row r="2610">
          <cell r="B2610" t="str">
            <v>5-8129</v>
          </cell>
          <cell r="C2610" t="str">
            <v>Allowance of house rent&amp;others</v>
          </cell>
          <cell r="D2610">
            <v>0</v>
          </cell>
          <cell r="E2610">
            <v>0</v>
          </cell>
          <cell r="F2610">
            <v>0</v>
          </cell>
          <cell r="G2610">
            <v>0</v>
          </cell>
          <cell r="H2610">
            <v>0</v>
          </cell>
          <cell r="I2610">
            <v>0</v>
          </cell>
          <cell r="J2610">
            <v>0</v>
          </cell>
        </row>
        <row r="2611">
          <cell r="B2611" t="str">
            <v>5-8130</v>
          </cell>
          <cell r="C2611" t="str">
            <v>KANTOR LAYANAN MAKAN</v>
          </cell>
          <cell r="D2611">
            <v>0</v>
          </cell>
          <cell r="E2611">
            <v>0</v>
          </cell>
          <cell r="F2611">
            <v>0</v>
          </cell>
          <cell r="G2611">
            <v>0</v>
          </cell>
          <cell r="H2611">
            <v>0</v>
          </cell>
          <cell r="I2611">
            <v>0</v>
          </cell>
          <cell r="J2611">
            <v>0</v>
          </cell>
        </row>
        <row r="2612">
          <cell r="B2612" t="str">
            <v>5-8131</v>
          </cell>
          <cell r="C2612" t="str">
            <v>Stationary</v>
          </cell>
          <cell r="D2612">
            <v>0</v>
          </cell>
          <cell r="E2612">
            <v>0</v>
          </cell>
          <cell r="F2612">
            <v>0</v>
          </cell>
          <cell r="G2612">
            <v>0</v>
          </cell>
          <cell r="H2612">
            <v>0</v>
          </cell>
          <cell r="I2612">
            <v>0</v>
          </cell>
          <cell r="J2612">
            <v>0</v>
          </cell>
        </row>
        <row r="2613">
          <cell r="B2613" t="str">
            <v>5-8132</v>
          </cell>
          <cell r="C2613" t="str">
            <v>Telephone</v>
          </cell>
          <cell r="D2613">
            <v>0</v>
          </cell>
          <cell r="E2613">
            <v>0</v>
          </cell>
          <cell r="F2613">
            <v>212000</v>
          </cell>
          <cell r="G2613">
            <v>0</v>
          </cell>
          <cell r="H2613">
            <v>212000</v>
          </cell>
          <cell r="I2613">
            <v>212000</v>
          </cell>
          <cell r="J2613">
            <v>0</v>
          </cell>
        </row>
        <row r="2614">
          <cell r="B2614" t="str">
            <v>5-8133</v>
          </cell>
          <cell r="C2614" t="str">
            <v>Fuel</v>
          </cell>
          <cell r="D2614">
            <v>0</v>
          </cell>
          <cell r="E2614">
            <v>0</v>
          </cell>
          <cell r="F2614">
            <v>225000</v>
          </cell>
          <cell r="G2614">
            <v>0</v>
          </cell>
          <cell r="H2614">
            <v>225000</v>
          </cell>
          <cell r="I2614">
            <v>225000</v>
          </cell>
          <cell r="J2614">
            <v>0</v>
          </cell>
        </row>
        <row r="2615">
          <cell r="B2615" t="str">
            <v>5-8134</v>
          </cell>
          <cell r="C2615" t="str">
            <v>Public Tranportation</v>
          </cell>
          <cell r="D2615">
            <v>0</v>
          </cell>
          <cell r="E2615">
            <v>0</v>
          </cell>
          <cell r="F2615">
            <v>0</v>
          </cell>
          <cell r="G2615">
            <v>0</v>
          </cell>
          <cell r="H2615">
            <v>0</v>
          </cell>
          <cell r="I2615">
            <v>0</v>
          </cell>
          <cell r="J2615">
            <v>0</v>
          </cell>
        </row>
        <row r="2616">
          <cell r="B2616" t="str">
            <v>5-8135</v>
          </cell>
          <cell r="C2616" t="str">
            <v>Post</v>
          </cell>
          <cell r="D2616">
            <v>0</v>
          </cell>
          <cell r="E2616">
            <v>0</v>
          </cell>
          <cell r="F2616">
            <v>0</v>
          </cell>
          <cell r="G2616">
            <v>0</v>
          </cell>
          <cell r="H2616">
            <v>0</v>
          </cell>
          <cell r="I2616">
            <v>0</v>
          </cell>
          <cell r="J2616">
            <v>0</v>
          </cell>
        </row>
        <row r="2617">
          <cell r="B2617" t="str">
            <v>5-8136</v>
          </cell>
          <cell r="C2617" t="str">
            <v>Paket</v>
          </cell>
          <cell r="D2617">
            <v>0</v>
          </cell>
          <cell r="E2617">
            <v>0</v>
          </cell>
          <cell r="F2617">
            <v>0</v>
          </cell>
          <cell r="G2617">
            <v>0</v>
          </cell>
          <cell r="H2617">
            <v>0</v>
          </cell>
          <cell r="I2617">
            <v>0</v>
          </cell>
          <cell r="J2617">
            <v>0</v>
          </cell>
        </row>
        <row r="2618">
          <cell r="B2618" t="str">
            <v>5-8137</v>
          </cell>
          <cell r="C2618" t="str">
            <v>Office Supplies</v>
          </cell>
          <cell r="D2618">
            <v>0</v>
          </cell>
          <cell r="E2618">
            <v>0</v>
          </cell>
          <cell r="F2618">
            <v>294000</v>
          </cell>
          <cell r="G2618">
            <v>0</v>
          </cell>
          <cell r="H2618">
            <v>294000</v>
          </cell>
          <cell r="I2618">
            <v>294000</v>
          </cell>
          <cell r="J2618">
            <v>0</v>
          </cell>
        </row>
        <row r="2619">
          <cell r="B2619" t="str">
            <v>5-8140</v>
          </cell>
          <cell r="C2619" t="str">
            <v>REPAIR &amp; MAINTENENCE</v>
          </cell>
          <cell r="D2619">
            <v>0</v>
          </cell>
          <cell r="E2619">
            <v>0</v>
          </cell>
          <cell r="F2619">
            <v>0</v>
          </cell>
          <cell r="G2619">
            <v>0</v>
          </cell>
          <cell r="H2619">
            <v>0</v>
          </cell>
          <cell r="I2619">
            <v>0</v>
          </cell>
          <cell r="J2619">
            <v>0</v>
          </cell>
        </row>
        <row r="2620">
          <cell r="B2620" t="str">
            <v>5-8141</v>
          </cell>
          <cell r="C2620" t="str">
            <v>R &amp; M - Computer &amp; audio visua</v>
          </cell>
          <cell r="D2620">
            <v>0</v>
          </cell>
          <cell r="E2620">
            <v>0</v>
          </cell>
          <cell r="F2620">
            <v>0</v>
          </cell>
          <cell r="G2620">
            <v>0</v>
          </cell>
          <cell r="H2620">
            <v>0</v>
          </cell>
          <cell r="I2620">
            <v>0</v>
          </cell>
          <cell r="J2620">
            <v>0</v>
          </cell>
        </row>
        <row r="2621">
          <cell r="B2621" t="str">
            <v>5-8142</v>
          </cell>
          <cell r="C2621" t="str">
            <v>R &amp; M - Office Eqiupment</v>
          </cell>
          <cell r="D2621">
            <v>0</v>
          </cell>
          <cell r="E2621">
            <v>0</v>
          </cell>
          <cell r="F2621">
            <v>0</v>
          </cell>
          <cell r="G2621">
            <v>0</v>
          </cell>
          <cell r="H2621">
            <v>0</v>
          </cell>
          <cell r="I2621">
            <v>0</v>
          </cell>
          <cell r="J2621">
            <v>0</v>
          </cell>
        </row>
        <row r="2622">
          <cell r="B2622" t="str">
            <v>5-8143</v>
          </cell>
          <cell r="C2622" t="str">
            <v>R &amp; M - dining Eqiupment</v>
          </cell>
          <cell r="D2622">
            <v>0</v>
          </cell>
          <cell r="E2622">
            <v>0</v>
          </cell>
          <cell r="F2622">
            <v>0</v>
          </cell>
          <cell r="G2622">
            <v>0</v>
          </cell>
          <cell r="H2622">
            <v>0</v>
          </cell>
          <cell r="I2622">
            <v>0</v>
          </cell>
          <cell r="J2622">
            <v>0</v>
          </cell>
        </row>
        <row r="2623">
          <cell r="B2623" t="str">
            <v>5-8144</v>
          </cell>
          <cell r="C2623" t="str">
            <v>R &amp; M - Kitchen Eqiupment</v>
          </cell>
          <cell r="D2623">
            <v>0</v>
          </cell>
          <cell r="E2623">
            <v>0</v>
          </cell>
          <cell r="F2623">
            <v>0</v>
          </cell>
          <cell r="G2623">
            <v>0</v>
          </cell>
          <cell r="H2623">
            <v>0</v>
          </cell>
          <cell r="I2623">
            <v>0</v>
          </cell>
          <cell r="J2623">
            <v>0</v>
          </cell>
        </row>
        <row r="2624">
          <cell r="B2624" t="str">
            <v>5-8145</v>
          </cell>
          <cell r="C2624" t="str">
            <v>R &amp; M - Other Eqiupment</v>
          </cell>
          <cell r="D2624">
            <v>0</v>
          </cell>
          <cell r="E2624">
            <v>0</v>
          </cell>
          <cell r="F2624">
            <v>0</v>
          </cell>
          <cell r="G2624">
            <v>0</v>
          </cell>
          <cell r="H2624">
            <v>0</v>
          </cell>
          <cell r="I2624">
            <v>0</v>
          </cell>
          <cell r="J2624">
            <v>0</v>
          </cell>
        </row>
        <row r="2625">
          <cell r="B2625" t="str">
            <v>5-8146</v>
          </cell>
          <cell r="C2625" t="str">
            <v>R &amp; M - Table &amp; Chairs</v>
          </cell>
          <cell r="D2625">
            <v>0</v>
          </cell>
          <cell r="E2625">
            <v>0</v>
          </cell>
          <cell r="F2625">
            <v>0</v>
          </cell>
          <cell r="G2625">
            <v>0</v>
          </cell>
          <cell r="H2625">
            <v>0</v>
          </cell>
          <cell r="I2625">
            <v>0</v>
          </cell>
          <cell r="J2625">
            <v>0</v>
          </cell>
        </row>
        <row r="2626">
          <cell r="B2626" t="str">
            <v>5-8147</v>
          </cell>
          <cell r="C2626" t="str">
            <v>R &amp; M - Cupboard &amp; Rack</v>
          </cell>
          <cell r="D2626">
            <v>0</v>
          </cell>
          <cell r="E2626">
            <v>0</v>
          </cell>
          <cell r="F2626">
            <v>0</v>
          </cell>
          <cell r="G2626">
            <v>0</v>
          </cell>
          <cell r="H2626">
            <v>0</v>
          </cell>
          <cell r="I2626">
            <v>0</v>
          </cell>
          <cell r="J2626">
            <v>0</v>
          </cell>
        </row>
        <row r="2627">
          <cell r="B2627" t="str">
            <v>5-8148</v>
          </cell>
          <cell r="C2627" t="str">
            <v>R &amp; M - Other Furniture</v>
          </cell>
          <cell r="D2627">
            <v>0</v>
          </cell>
          <cell r="E2627">
            <v>0</v>
          </cell>
          <cell r="F2627">
            <v>0</v>
          </cell>
          <cell r="G2627">
            <v>0</v>
          </cell>
          <cell r="H2627">
            <v>0</v>
          </cell>
          <cell r="I2627">
            <v>0</v>
          </cell>
          <cell r="J2627">
            <v>0</v>
          </cell>
        </row>
        <row r="2628">
          <cell r="B2628" t="str">
            <v>5-8149</v>
          </cell>
          <cell r="C2628" t="str">
            <v>R &amp; M Others</v>
          </cell>
          <cell r="D2628">
            <v>0</v>
          </cell>
          <cell r="E2628">
            <v>0</v>
          </cell>
          <cell r="F2628">
            <v>0</v>
          </cell>
          <cell r="G2628">
            <v>0</v>
          </cell>
          <cell r="H2628">
            <v>0</v>
          </cell>
          <cell r="I2628">
            <v>0</v>
          </cell>
          <cell r="J2628">
            <v>0</v>
          </cell>
        </row>
        <row r="2629">
          <cell r="B2629" t="str">
            <v>5-8150</v>
          </cell>
          <cell r="C2629" t="str">
            <v>PERLENGKAPAN DAPUR &amp; MAKAN</v>
          </cell>
          <cell r="D2629">
            <v>0</v>
          </cell>
          <cell r="E2629">
            <v>0</v>
          </cell>
          <cell r="F2629">
            <v>0</v>
          </cell>
          <cell r="G2629">
            <v>0</v>
          </cell>
          <cell r="H2629">
            <v>0</v>
          </cell>
          <cell r="I2629">
            <v>0</v>
          </cell>
          <cell r="J2629">
            <v>0</v>
          </cell>
        </row>
        <row r="2630">
          <cell r="B2630" t="str">
            <v>5-8151</v>
          </cell>
          <cell r="C2630" t="str">
            <v>Cuterly</v>
          </cell>
          <cell r="D2630">
            <v>0</v>
          </cell>
          <cell r="E2630">
            <v>0</v>
          </cell>
          <cell r="F2630">
            <v>0</v>
          </cell>
          <cell r="G2630">
            <v>0</v>
          </cell>
          <cell r="H2630">
            <v>0</v>
          </cell>
          <cell r="I2630">
            <v>0</v>
          </cell>
          <cell r="J2630">
            <v>0</v>
          </cell>
        </row>
        <row r="2631">
          <cell r="B2631" t="str">
            <v>5-8152</v>
          </cell>
          <cell r="C2631" t="str">
            <v>Crockery</v>
          </cell>
          <cell r="D2631">
            <v>0</v>
          </cell>
          <cell r="E2631">
            <v>0</v>
          </cell>
          <cell r="F2631">
            <v>0</v>
          </cell>
          <cell r="G2631">
            <v>0</v>
          </cell>
          <cell r="H2631">
            <v>0</v>
          </cell>
          <cell r="I2631">
            <v>0</v>
          </cell>
          <cell r="J2631">
            <v>0</v>
          </cell>
        </row>
        <row r="2632">
          <cell r="B2632" t="str">
            <v>5-8153</v>
          </cell>
          <cell r="C2632" t="str">
            <v>Kitchen Supplies</v>
          </cell>
          <cell r="D2632">
            <v>0</v>
          </cell>
          <cell r="E2632">
            <v>0</v>
          </cell>
          <cell r="F2632">
            <v>1723500</v>
          </cell>
          <cell r="G2632">
            <v>0</v>
          </cell>
          <cell r="H2632">
            <v>1723500</v>
          </cell>
          <cell r="I2632">
            <v>1723500</v>
          </cell>
          <cell r="J2632">
            <v>0</v>
          </cell>
        </row>
        <row r="2633">
          <cell r="B2633" t="str">
            <v>5-8154</v>
          </cell>
          <cell r="C2633" t="str">
            <v>Spoon-fork-plate &amp; glass</v>
          </cell>
          <cell r="D2633">
            <v>0</v>
          </cell>
          <cell r="E2633">
            <v>0</v>
          </cell>
          <cell r="F2633">
            <v>1152400</v>
          </cell>
          <cell r="G2633">
            <v>0</v>
          </cell>
          <cell r="H2633">
            <v>1152400</v>
          </cell>
          <cell r="I2633">
            <v>1152400</v>
          </cell>
          <cell r="J2633">
            <v>0</v>
          </cell>
        </row>
        <row r="2634">
          <cell r="B2634" t="str">
            <v>5-8155</v>
          </cell>
          <cell r="C2634" t="str">
            <v>Dining Fixture</v>
          </cell>
          <cell r="D2634">
            <v>0</v>
          </cell>
          <cell r="E2634">
            <v>0</v>
          </cell>
          <cell r="F2634">
            <v>0</v>
          </cell>
          <cell r="G2634">
            <v>0</v>
          </cell>
          <cell r="H2634">
            <v>0</v>
          </cell>
          <cell r="I2634">
            <v>0</v>
          </cell>
          <cell r="J2634">
            <v>0</v>
          </cell>
        </row>
        <row r="2635">
          <cell r="B2635" t="str">
            <v>5-8156</v>
          </cell>
          <cell r="C2635" t="str">
            <v>Cleanig Supplies</v>
          </cell>
          <cell r="D2635">
            <v>0</v>
          </cell>
          <cell r="E2635">
            <v>0</v>
          </cell>
          <cell r="F2635">
            <v>6651100</v>
          </cell>
          <cell r="G2635">
            <v>0</v>
          </cell>
          <cell r="H2635">
            <v>6651100</v>
          </cell>
          <cell r="I2635">
            <v>6651100</v>
          </cell>
          <cell r="J2635">
            <v>0</v>
          </cell>
        </row>
        <row r="2636">
          <cell r="B2636" t="str">
            <v>5-8157</v>
          </cell>
          <cell r="C2636" t="str">
            <v>Linen</v>
          </cell>
          <cell r="D2636">
            <v>0</v>
          </cell>
          <cell r="E2636">
            <v>0</v>
          </cell>
          <cell r="F2636">
            <v>0</v>
          </cell>
          <cell r="G2636">
            <v>0</v>
          </cell>
          <cell r="H2636">
            <v>0</v>
          </cell>
          <cell r="I2636">
            <v>0</v>
          </cell>
          <cell r="J2636">
            <v>0</v>
          </cell>
        </row>
        <row r="2637">
          <cell r="B2637" t="str">
            <v>5-8159</v>
          </cell>
          <cell r="C2637" t="str">
            <v>Others</v>
          </cell>
          <cell r="D2637">
            <v>0</v>
          </cell>
          <cell r="E2637">
            <v>0</v>
          </cell>
          <cell r="F2637">
            <v>0</v>
          </cell>
          <cell r="G2637">
            <v>0</v>
          </cell>
          <cell r="H2637">
            <v>0</v>
          </cell>
          <cell r="I2637">
            <v>0</v>
          </cell>
          <cell r="J2637">
            <v>0</v>
          </cell>
        </row>
        <row r="2638">
          <cell r="B2638" t="str">
            <v>5-8160</v>
          </cell>
          <cell r="C2638" t="str">
            <v>BAHAN &amp; KEPERLUAN DAPUR</v>
          </cell>
          <cell r="D2638">
            <v>0</v>
          </cell>
          <cell r="E2638">
            <v>0</v>
          </cell>
          <cell r="F2638">
            <v>0</v>
          </cell>
          <cell r="G2638">
            <v>0</v>
          </cell>
          <cell r="H2638">
            <v>0</v>
          </cell>
          <cell r="I2638">
            <v>0</v>
          </cell>
          <cell r="J2638">
            <v>0</v>
          </cell>
        </row>
        <row r="2639">
          <cell r="B2639" t="str">
            <v>5-8161</v>
          </cell>
          <cell r="C2639" t="str">
            <v>Side Dish</v>
          </cell>
          <cell r="D2639">
            <v>3400000</v>
          </cell>
          <cell r="E2639">
            <v>0</v>
          </cell>
          <cell r="F2639">
            <v>238305900</v>
          </cell>
          <cell r="G2639">
            <v>0</v>
          </cell>
          <cell r="H2639">
            <v>238305900</v>
          </cell>
          <cell r="I2639">
            <v>241705900</v>
          </cell>
          <cell r="J2639">
            <v>0</v>
          </cell>
        </row>
        <row r="2640">
          <cell r="B2640" t="str">
            <v>5-8162</v>
          </cell>
          <cell r="C2640" t="str">
            <v>Hulled rice</v>
          </cell>
          <cell r="D2640">
            <v>2485175.5299999998</v>
          </cell>
          <cell r="E2640">
            <v>0</v>
          </cell>
          <cell r="F2640">
            <v>123007012.43000001</v>
          </cell>
          <cell r="G2640">
            <v>33729000</v>
          </cell>
          <cell r="H2640">
            <v>89278012.430000007</v>
          </cell>
          <cell r="I2640">
            <v>91763187.959999993</v>
          </cell>
          <cell r="J2640">
            <v>0</v>
          </cell>
        </row>
        <row r="2641">
          <cell r="B2641" t="str">
            <v>5-8163</v>
          </cell>
          <cell r="C2641" t="str">
            <v>Sugar/tea/coffee</v>
          </cell>
          <cell r="D2641">
            <v>0</v>
          </cell>
          <cell r="E2641">
            <v>0</v>
          </cell>
          <cell r="F2641">
            <v>5365700</v>
          </cell>
          <cell r="G2641">
            <v>0</v>
          </cell>
          <cell r="H2641">
            <v>5365700</v>
          </cell>
          <cell r="I2641">
            <v>5365700</v>
          </cell>
          <cell r="J2641">
            <v>0</v>
          </cell>
        </row>
        <row r="2642">
          <cell r="B2642" t="str">
            <v>5-8164</v>
          </cell>
          <cell r="C2642" t="str">
            <v>Milk</v>
          </cell>
          <cell r="D2642">
            <v>0</v>
          </cell>
          <cell r="E2642">
            <v>0</v>
          </cell>
          <cell r="F2642">
            <v>23735000</v>
          </cell>
          <cell r="G2642">
            <v>0</v>
          </cell>
          <cell r="H2642">
            <v>23735000</v>
          </cell>
          <cell r="I2642">
            <v>23735000</v>
          </cell>
          <cell r="J2642">
            <v>0</v>
          </cell>
        </row>
        <row r="2643">
          <cell r="B2643" t="str">
            <v>5-8165</v>
          </cell>
          <cell r="C2643" t="str">
            <v>Cooking Oil</v>
          </cell>
          <cell r="D2643">
            <v>0</v>
          </cell>
          <cell r="E2643">
            <v>0</v>
          </cell>
          <cell r="F2643">
            <v>10044000</v>
          </cell>
          <cell r="G2643">
            <v>0</v>
          </cell>
          <cell r="H2643">
            <v>10044000</v>
          </cell>
          <cell r="I2643">
            <v>10044000</v>
          </cell>
          <cell r="J2643">
            <v>0</v>
          </cell>
        </row>
        <row r="2644">
          <cell r="B2644" t="str">
            <v>5-8166</v>
          </cell>
          <cell r="C2644" t="str">
            <v>Kerosene &amp; gas LPG</v>
          </cell>
          <cell r="D2644">
            <v>0</v>
          </cell>
          <cell r="E2644">
            <v>0</v>
          </cell>
          <cell r="F2644">
            <v>33948000</v>
          </cell>
          <cell r="G2644">
            <v>0</v>
          </cell>
          <cell r="H2644">
            <v>33948000</v>
          </cell>
          <cell r="I2644">
            <v>33948000</v>
          </cell>
          <cell r="J2644">
            <v>0</v>
          </cell>
        </row>
        <row r="2645">
          <cell r="B2645" t="str">
            <v>5-8167</v>
          </cell>
          <cell r="C2645" t="str">
            <v>Lauk santri sakit</v>
          </cell>
          <cell r="D2645">
            <v>0</v>
          </cell>
          <cell r="E2645">
            <v>0</v>
          </cell>
          <cell r="F2645">
            <v>0</v>
          </cell>
          <cell r="G2645">
            <v>0</v>
          </cell>
          <cell r="H2645">
            <v>0</v>
          </cell>
          <cell r="I2645">
            <v>0</v>
          </cell>
          <cell r="J2645">
            <v>0</v>
          </cell>
        </row>
        <row r="2646">
          <cell r="B2646" t="str">
            <v>5-8168</v>
          </cell>
          <cell r="C2646" t="str">
            <v>Fruits</v>
          </cell>
          <cell r="D2646">
            <v>0</v>
          </cell>
          <cell r="E2646">
            <v>0</v>
          </cell>
          <cell r="F2646">
            <v>2700000</v>
          </cell>
          <cell r="G2646">
            <v>0</v>
          </cell>
          <cell r="H2646">
            <v>2700000</v>
          </cell>
          <cell r="I2646">
            <v>2700000</v>
          </cell>
          <cell r="J2646">
            <v>0</v>
          </cell>
        </row>
        <row r="2647">
          <cell r="B2647" t="str">
            <v>5-8169</v>
          </cell>
          <cell r="C2647" t="str">
            <v>Freight</v>
          </cell>
          <cell r="D2647">
            <v>0</v>
          </cell>
          <cell r="E2647">
            <v>0</v>
          </cell>
          <cell r="F2647">
            <v>0</v>
          </cell>
          <cell r="G2647">
            <v>0</v>
          </cell>
          <cell r="H2647">
            <v>0</v>
          </cell>
          <cell r="I2647">
            <v>0</v>
          </cell>
          <cell r="J2647">
            <v>0</v>
          </cell>
        </row>
        <row r="2648">
          <cell r="B2648" t="str">
            <v>5-8190</v>
          </cell>
          <cell r="C2648" t="str">
            <v>LAIN-LAIN</v>
          </cell>
          <cell r="D2648">
            <v>0</v>
          </cell>
          <cell r="E2648">
            <v>0</v>
          </cell>
          <cell r="F2648">
            <v>0</v>
          </cell>
          <cell r="G2648">
            <v>0</v>
          </cell>
          <cell r="H2648">
            <v>0</v>
          </cell>
          <cell r="I2648">
            <v>0</v>
          </cell>
          <cell r="J2648">
            <v>0</v>
          </cell>
        </row>
        <row r="2649">
          <cell r="B2649" t="str">
            <v>5-8191</v>
          </cell>
          <cell r="C2649" t="str">
            <v>Catering</v>
          </cell>
          <cell r="D2649">
            <v>0</v>
          </cell>
          <cell r="E2649">
            <v>0</v>
          </cell>
          <cell r="F2649">
            <v>0</v>
          </cell>
          <cell r="G2649">
            <v>0</v>
          </cell>
          <cell r="H2649">
            <v>0</v>
          </cell>
          <cell r="I2649">
            <v>0</v>
          </cell>
          <cell r="J2649">
            <v>0</v>
          </cell>
        </row>
        <row r="2650">
          <cell r="B2650" t="str">
            <v>5-8210</v>
          </cell>
          <cell r="C2650" t="str">
            <v>GAJI LOUNDRY</v>
          </cell>
          <cell r="D2650">
            <v>0</v>
          </cell>
          <cell r="E2650">
            <v>0</v>
          </cell>
          <cell r="F2650">
            <v>0</v>
          </cell>
          <cell r="G2650">
            <v>0</v>
          </cell>
          <cell r="H2650">
            <v>0</v>
          </cell>
          <cell r="I2650">
            <v>0</v>
          </cell>
          <cell r="J2650">
            <v>0</v>
          </cell>
        </row>
        <row r="2651">
          <cell r="B2651" t="str">
            <v>5-8211</v>
          </cell>
          <cell r="C2651" t="str">
            <v>Permanent Staff Salary</v>
          </cell>
          <cell r="D2651">
            <v>0</v>
          </cell>
          <cell r="E2651">
            <v>0</v>
          </cell>
          <cell r="F2651">
            <v>0</v>
          </cell>
          <cell r="G2651">
            <v>0</v>
          </cell>
          <cell r="H2651">
            <v>0</v>
          </cell>
          <cell r="I2651">
            <v>0</v>
          </cell>
          <cell r="J2651">
            <v>0</v>
          </cell>
        </row>
        <row r="2652">
          <cell r="B2652" t="str">
            <v>5-8212</v>
          </cell>
          <cell r="C2652" t="str">
            <v>Temporary Staff Salary</v>
          </cell>
          <cell r="D2652">
            <v>0</v>
          </cell>
          <cell r="E2652">
            <v>0</v>
          </cell>
          <cell r="F2652">
            <v>0</v>
          </cell>
          <cell r="G2652">
            <v>0</v>
          </cell>
          <cell r="H2652">
            <v>0</v>
          </cell>
          <cell r="I2652">
            <v>0</v>
          </cell>
          <cell r="J2652">
            <v>0</v>
          </cell>
        </row>
        <row r="2653">
          <cell r="B2653" t="str">
            <v>5-8213</v>
          </cell>
          <cell r="C2653" t="str">
            <v>Permanent Labour Salary</v>
          </cell>
          <cell r="D2653">
            <v>0</v>
          </cell>
          <cell r="E2653">
            <v>0</v>
          </cell>
          <cell r="F2653">
            <v>0</v>
          </cell>
          <cell r="G2653">
            <v>0</v>
          </cell>
          <cell r="H2653">
            <v>0</v>
          </cell>
          <cell r="I2653">
            <v>0</v>
          </cell>
          <cell r="J2653">
            <v>0</v>
          </cell>
        </row>
        <row r="2654">
          <cell r="B2654" t="str">
            <v>5-8214</v>
          </cell>
          <cell r="C2654" t="str">
            <v>Temporary Labour Salary</v>
          </cell>
          <cell r="D2654">
            <v>845000</v>
          </cell>
          <cell r="E2654">
            <v>0</v>
          </cell>
          <cell r="F2654">
            <v>1560000</v>
          </cell>
          <cell r="G2654">
            <v>0</v>
          </cell>
          <cell r="H2654">
            <v>1560000</v>
          </cell>
          <cell r="I2654">
            <v>2405000</v>
          </cell>
          <cell r="J2654">
            <v>0</v>
          </cell>
        </row>
        <row r="2655">
          <cell r="B2655" t="str">
            <v>5-8215</v>
          </cell>
          <cell r="C2655" t="str">
            <v>Honorarium santri Khidmah</v>
          </cell>
          <cell r="D2655">
            <v>0</v>
          </cell>
          <cell r="E2655">
            <v>0</v>
          </cell>
          <cell r="F2655">
            <v>0</v>
          </cell>
          <cell r="G2655">
            <v>0</v>
          </cell>
          <cell r="H2655">
            <v>0</v>
          </cell>
          <cell r="I2655">
            <v>0</v>
          </cell>
          <cell r="J2655">
            <v>0</v>
          </cell>
        </row>
        <row r="2656">
          <cell r="B2656" t="str">
            <v>5-8216</v>
          </cell>
          <cell r="C2656" t="str">
            <v>Staff overtime</v>
          </cell>
          <cell r="D2656">
            <v>0</v>
          </cell>
          <cell r="E2656">
            <v>0</v>
          </cell>
          <cell r="F2656">
            <v>0</v>
          </cell>
          <cell r="G2656">
            <v>0</v>
          </cell>
          <cell r="H2656">
            <v>0</v>
          </cell>
          <cell r="I2656">
            <v>0</v>
          </cell>
          <cell r="J2656">
            <v>0</v>
          </cell>
        </row>
        <row r="2657">
          <cell r="B2657" t="str">
            <v>5-8217</v>
          </cell>
          <cell r="C2657" t="str">
            <v>Joint Salary Allocation</v>
          </cell>
          <cell r="D2657">
            <v>0</v>
          </cell>
          <cell r="E2657">
            <v>0</v>
          </cell>
          <cell r="F2657">
            <v>0</v>
          </cell>
          <cell r="G2657">
            <v>0</v>
          </cell>
          <cell r="H2657">
            <v>0</v>
          </cell>
          <cell r="I2657">
            <v>0</v>
          </cell>
          <cell r="J2657">
            <v>0</v>
          </cell>
        </row>
        <row r="2658">
          <cell r="B2658" t="str">
            <v>5-8219</v>
          </cell>
          <cell r="C2658" t="str">
            <v>Others Salary</v>
          </cell>
          <cell r="D2658">
            <v>0</v>
          </cell>
          <cell r="E2658">
            <v>0</v>
          </cell>
          <cell r="F2658">
            <v>0</v>
          </cell>
          <cell r="G2658">
            <v>0</v>
          </cell>
          <cell r="H2658">
            <v>0</v>
          </cell>
          <cell r="I2658">
            <v>0</v>
          </cell>
          <cell r="J2658">
            <v>0</v>
          </cell>
        </row>
        <row r="2659">
          <cell r="B2659" t="str">
            <v>5-8220</v>
          </cell>
          <cell r="C2659" t="str">
            <v>PERSONAL - ALLOWANCE OF</v>
          </cell>
          <cell r="D2659">
            <v>0</v>
          </cell>
          <cell r="E2659">
            <v>0</v>
          </cell>
          <cell r="F2659">
            <v>0</v>
          </cell>
          <cell r="G2659">
            <v>0</v>
          </cell>
          <cell r="H2659">
            <v>0</v>
          </cell>
          <cell r="I2659">
            <v>0</v>
          </cell>
          <cell r="J2659">
            <v>0</v>
          </cell>
        </row>
        <row r="2660">
          <cell r="B2660" t="str">
            <v>5-8221</v>
          </cell>
          <cell r="C2660" t="str">
            <v>Allowance of Hulled Rice</v>
          </cell>
          <cell r="D2660">
            <v>378400</v>
          </cell>
          <cell r="E2660">
            <v>0</v>
          </cell>
          <cell r="F2660">
            <v>396000</v>
          </cell>
          <cell r="G2660">
            <v>0</v>
          </cell>
          <cell r="H2660">
            <v>396000</v>
          </cell>
          <cell r="I2660">
            <v>774400</v>
          </cell>
          <cell r="J2660">
            <v>0</v>
          </cell>
        </row>
        <row r="2661">
          <cell r="B2661" t="str">
            <v>5-8222</v>
          </cell>
          <cell r="C2661" t="str">
            <v>Alowance of doctor and medicin</v>
          </cell>
          <cell r="D2661">
            <v>0</v>
          </cell>
          <cell r="E2661">
            <v>0</v>
          </cell>
          <cell r="F2661">
            <v>0</v>
          </cell>
          <cell r="G2661">
            <v>0</v>
          </cell>
          <cell r="H2661">
            <v>0</v>
          </cell>
          <cell r="I2661">
            <v>0</v>
          </cell>
          <cell r="J2661">
            <v>0</v>
          </cell>
        </row>
        <row r="2662">
          <cell r="B2662" t="str">
            <v>5-8223</v>
          </cell>
          <cell r="C2662" t="str">
            <v>Alowance of spectacles</v>
          </cell>
          <cell r="D2662">
            <v>0</v>
          </cell>
          <cell r="E2662">
            <v>0</v>
          </cell>
          <cell r="F2662">
            <v>0</v>
          </cell>
          <cell r="G2662">
            <v>0</v>
          </cell>
          <cell r="H2662">
            <v>0</v>
          </cell>
          <cell r="I2662">
            <v>0</v>
          </cell>
          <cell r="J2662">
            <v>0</v>
          </cell>
        </row>
        <row r="2663">
          <cell r="B2663" t="str">
            <v>5-8224</v>
          </cell>
          <cell r="C2663" t="str">
            <v>Allowance of operation&amp;hospita</v>
          </cell>
          <cell r="D2663">
            <v>0</v>
          </cell>
          <cell r="E2663">
            <v>0</v>
          </cell>
          <cell r="F2663">
            <v>0</v>
          </cell>
          <cell r="G2663">
            <v>0</v>
          </cell>
          <cell r="H2663">
            <v>0</v>
          </cell>
          <cell r="I2663">
            <v>0</v>
          </cell>
          <cell r="J2663">
            <v>0</v>
          </cell>
        </row>
        <row r="2664">
          <cell r="B2664" t="str">
            <v>5-8225</v>
          </cell>
          <cell r="C2664" t="str">
            <v>Allowance of disaster &amp; die</v>
          </cell>
          <cell r="D2664">
            <v>0</v>
          </cell>
          <cell r="E2664">
            <v>0</v>
          </cell>
          <cell r="F2664">
            <v>0</v>
          </cell>
          <cell r="G2664">
            <v>0</v>
          </cell>
          <cell r="H2664">
            <v>0</v>
          </cell>
          <cell r="I2664">
            <v>0</v>
          </cell>
          <cell r="J2664">
            <v>0</v>
          </cell>
        </row>
        <row r="2665">
          <cell r="B2665" t="str">
            <v>5-8226</v>
          </cell>
          <cell r="C2665" t="str">
            <v>Allowance of hari raya</v>
          </cell>
          <cell r="D2665">
            <v>0</v>
          </cell>
          <cell r="E2665">
            <v>0</v>
          </cell>
          <cell r="F2665">
            <v>0</v>
          </cell>
          <cell r="G2665">
            <v>0</v>
          </cell>
          <cell r="H2665">
            <v>0</v>
          </cell>
          <cell r="I2665">
            <v>0</v>
          </cell>
          <cell r="J2665">
            <v>0</v>
          </cell>
        </row>
        <row r="2666">
          <cell r="B2666" t="str">
            <v>5-8227</v>
          </cell>
          <cell r="C2666" t="str">
            <v>Allowance of birth</v>
          </cell>
          <cell r="D2666">
            <v>0</v>
          </cell>
          <cell r="E2666">
            <v>0</v>
          </cell>
          <cell r="F2666">
            <v>0</v>
          </cell>
          <cell r="G2666">
            <v>0</v>
          </cell>
          <cell r="H2666">
            <v>0</v>
          </cell>
          <cell r="I2666">
            <v>0</v>
          </cell>
          <cell r="J2666">
            <v>0</v>
          </cell>
        </row>
        <row r="2667">
          <cell r="B2667" t="str">
            <v>5-8228</v>
          </cell>
          <cell r="C2667" t="str">
            <v>Allowance of married</v>
          </cell>
          <cell r="D2667">
            <v>0</v>
          </cell>
          <cell r="E2667">
            <v>0</v>
          </cell>
          <cell r="F2667">
            <v>0</v>
          </cell>
          <cell r="G2667">
            <v>0</v>
          </cell>
          <cell r="H2667">
            <v>0</v>
          </cell>
          <cell r="I2667">
            <v>0</v>
          </cell>
          <cell r="J2667">
            <v>0</v>
          </cell>
        </row>
        <row r="2668">
          <cell r="B2668" t="str">
            <v>5-8229</v>
          </cell>
          <cell r="C2668" t="str">
            <v>Allowance of house rent&amp;others</v>
          </cell>
          <cell r="D2668">
            <v>0</v>
          </cell>
          <cell r="E2668">
            <v>0</v>
          </cell>
          <cell r="F2668">
            <v>0</v>
          </cell>
          <cell r="G2668">
            <v>0</v>
          </cell>
          <cell r="H2668">
            <v>0</v>
          </cell>
          <cell r="I2668">
            <v>0</v>
          </cell>
          <cell r="J2668">
            <v>0</v>
          </cell>
        </row>
        <row r="2669">
          <cell r="B2669" t="str">
            <v>5-8230</v>
          </cell>
          <cell r="C2669" t="str">
            <v>KANTOR LAYANAN LAUNDRY</v>
          </cell>
          <cell r="D2669">
            <v>0</v>
          </cell>
          <cell r="E2669">
            <v>0</v>
          </cell>
          <cell r="F2669">
            <v>0</v>
          </cell>
          <cell r="G2669">
            <v>0</v>
          </cell>
          <cell r="H2669">
            <v>0</v>
          </cell>
          <cell r="I2669">
            <v>0</v>
          </cell>
          <cell r="J2669">
            <v>0</v>
          </cell>
        </row>
        <row r="2670">
          <cell r="B2670" t="str">
            <v>5-8231</v>
          </cell>
          <cell r="C2670" t="str">
            <v>Stationary</v>
          </cell>
          <cell r="D2670">
            <v>0</v>
          </cell>
          <cell r="E2670">
            <v>0</v>
          </cell>
          <cell r="F2670">
            <v>0</v>
          </cell>
          <cell r="G2670">
            <v>0</v>
          </cell>
          <cell r="H2670">
            <v>0</v>
          </cell>
          <cell r="I2670">
            <v>0</v>
          </cell>
          <cell r="J2670">
            <v>0</v>
          </cell>
        </row>
        <row r="2671">
          <cell r="B2671" t="str">
            <v>5-8232</v>
          </cell>
          <cell r="C2671" t="str">
            <v>Telephone</v>
          </cell>
          <cell r="D2671">
            <v>0</v>
          </cell>
          <cell r="E2671">
            <v>0</v>
          </cell>
          <cell r="F2671">
            <v>0</v>
          </cell>
          <cell r="G2671">
            <v>0</v>
          </cell>
          <cell r="H2671">
            <v>0</v>
          </cell>
          <cell r="I2671">
            <v>0</v>
          </cell>
          <cell r="J2671">
            <v>0</v>
          </cell>
        </row>
        <row r="2672">
          <cell r="B2672" t="str">
            <v>5-8233</v>
          </cell>
          <cell r="C2672" t="str">
            <v>Fuel</v>
          </cell>
          <cell r="D2672">
            <v>0</v>
          </cell>
          <cell r="E2672">
            <v>0</v>
          </cell>
          <cell r="F2672">
            <v>0</v>
          </cell>
          <cell r="G2672">
            <v>0</v>
          </cell>
          <cell r="H2672">
            <v>0</v>
          </cell>
          <cell r="I2672">
            <v>0</v>
          </cell>
          <cell r="J2672">
            <v>0</v>
          </cell>
        </row>
        <row r="2673">
          <cell r="B2673" t="str">
            <v>5-8234</v>
          </cell>
          <cell r="C2673" t="str">
            <v>Public Tranportation</v>
          </cell>
          <cell r="D2673">
            <v>0</v>
          </cell>
          <cell r="E2673">
            <v>0</v>
          </cell>
          <cell r="F2673">
            <v>0</v>
          </cell>
          <cell r="G2673">
            <v>0</v>
          </cell>
          <cell r="H2673">
            <v>0</v>
          </cell>
          <cell r="I2673">
            <v>0</v>
          </cell>
          <cell r="J2673">
            <v>0</v>
          </cell>
        </row>
        <row r="2674">
          <cell r="B2674" t="str">
            <v>5-8235</v>
          </cell>
          <cell r="C2674" t="str">
            <v>Post</v>
          </cell>
          <cell r="D2674">
            <v>0</v>
          </cell>
          <cell r="E2674">
            <v>0</v>
          </cell>
          <cell r="F2674">
            <v>0</v>
          </cell>
          <cell r="G2674">
            <v>0</v>
          </cell>
          <cell r="H2674">
            <v>0</v>
          </cell>
          <cell r="I2674">
            <v>0</v>
          </cell>
          <cell r="J2674">
            <v>0</v>
          </cell>
        </row>
        <row r="2675">
          <cell r="B2675" t="str">
            <v>5-8236</v>
          </cell>
          <cell r="C2675" t="str">
            <v>Paket</v>
          </cell>
          <cell r="D2675">
            <v>0</v>
          </cell>
          <cell r="E2675">
            <v>0</v>
          </cell>
          <cell r="F2675">
            <v>0</v>
          </cell>
          <cell r="G2675">
            <v>0</v>
          </cell>
          <cell r="H2675">
            <v>0</v>
          </cell>
          <cell r="I2675">
            <v>0</v>
          </cell>
          <cell r="J2675">
            <v>0</v>
          </cell>
        </row>
        <row r="2676">
          <cell r="B2676" t="str">
            <v>5-8237</v>
          </cell>
          <cell r="C2676" t="str">
            <v>Office Supplies</v>
          </cell>
          <cell r="D2676">
            <v>0</v>
          </cell>
          <cell r="E2676">
            <v>0</v>
          </cell>
          <cell r="F2676">
            <v>180000</v>
          </cell>
          <cell r="G2676">
            <v>0</v>
          </cell>
          <cell r="H2676">
            <v>180000</v>
          </cell>
          <cell r="I2676">
            <v>180000</v>
          </cell>
          <cell r="J2676">
            <v>0</v>
          </cell>
        </row>
        <row r="2677">
          <cell r="B2677" t="str">
            <v>5-8238</v>
          </cell>
          <cell r="C2677" t="str">
            <v>Ongkos Laundry</v>
          </cell>
          <cell r="D2677">
            <v>0</v>
          </cell>
          <cell r="E2677">
            <v>0</v>
          </cell>
          <cell r="F2677">
            <v>450000</v>
          </cell>
          <cell r="G2677">
            <v>1301500</v>
          </cell>
          <cell r="H2677">
            <v>-851500</v>
          </cell>
          <cell r="I2677" t="str">
            <v>851,500.00cr</v>
          </cell>
          <cell r="J2677">
            <v>0</v>
          </cell>
        </row>
        <row r="2678">
          <cell r="B2678" t="str">
            <v>5-8240</v>
          </cell>
          <cell r="C2678" t="str">
            <v>REPAIR &amp; MAINTENENCE</v>
          </cell>
          <cell r="D2678">
            <v>0</v>
          </cell>
          <cell r="E2678">
            <v>0</v>
          </cell>
          <cell r="F2678">
            <v>0</v>
          </cell>
          <cell r="G2678">
            <v>0</v>
          </cell>
          <cell r="H2678">
            <v>0</v>
          </cell>
          <cell r="I2678">
            <v>0</v>
          </cell>
          <cell r="J2678">
            <v>0</v>
          </cell>
        </row>
        <row r="2679">
          <cell r="B2679" t="str">
            <v>5-8241</v>
          </cell>
          <cell r="C2679" t="str">
            <v>R &amp; M - Computer &amp; audio visua</v>
          </cell>
          <cell r="D2679">
            <v>0</v>
          </cell>
          <cell r="E2679">
            <v>0</v>
          </cell>
          <cell r="F2679">
            <v>0</v>
          </cell>
          <cell r="G2679">
            <v>0</v>
          </cell>
          <cell r="H2679">
            <v>0</v>
          </cell>
          <cell r="I2679">
            <v>0</v>
          </cell>
          <cell r="J2679">
            <v>0</v>
          </cell>
        </row>
        <row r="2680">
          <cell r="B2680" t="str">
            <v>5-8242</v>
          </cell>
          <cell r="C2680" t="str">
            <v>R &amp; M - Office Eqiupment</v>
          </cell>
          <cell r="D2680">
            <v>0</v>
          </cell>
          <cell r="E2680">
            <v>0</v>
          </cell>
          <cell r="F2680">
            <v>0</v>
          </cell>
          <cell r="G2680">
            <v>0</v>
          </cell>
          <cell r="H2680">
            <v>0</v>
          </cell>
          <cell r="I2680">
            <v>0</v>
          </cell>
          <cell r="J2680">
            <v>0</v>
          </cell>
        </row>
        <row r="2681">
          <cell r="B2681" t="str">
            <v>5-8243</v>
          </cell>
          <cell r="C2681" t="str">
            <v>R &amp; M - washing Eqiupment</v>
          </cell>
          <cell r="D2681">
            <v>0</v>
          </cell>
          <cell r="E2681">
            <v>0</v>
          </cell>
          <cell r="F2681">
            <v>0</v>
          </cell>
          <cell r="G2681">
            <v>0</v>
          </cell>
          <cell r="H2681">
            <v>0</v>
          </cell>
          <cell r="I2681">
            <v>0</v>
          </cell>
          <cell r="J2681">
            <v>0</v>
          </cell>
        </row>
        <row r="2682">
          <cell r="B2682" t="str">
            <v>5-8244</v>
          </cell>
          <cell r="C2682" t="str">
            <v>R &amp; M -other laundry Eqiupment</v>
          </cell>
          <cell r="D2682">
            <v>0</v>
          </cell>
          <cell r="E2682">
            <v>0</v>
          </cell>
          <cell r="F2682">
            <v>0</v>
          </cell>
          <cell r="G2682">
            <v>0</v>
          </cell>
          <cell r="H2682">
            <v>0</v>
          </cell>
          <cell r="I2682">
            <v>0</v>
          </cell>
          <cell r="J2682">
            <v>0</v>
          </cell>
        </row>
        <row r="2683">
          <cell r="B2683" t="str">
            <v>5-8245</v>
          </cell>
          <cell r="C2683" t="str">
            <v>R &amp; M - Other Eqiupment</v>
          </cell>
          <cell r="D2683">
            <v>0</v>
          </cell>
          <cell r="E2683">
            <v>0</v>
          </cell>
          <cell r="F2683">
            <v>0</v>
          </cell>
          <cell r="G2683">
            <v>0</v>
          </cell>
          <cell r="H2683">
            <v>0</v>
          </cell>
          <cell r="I2683">
            <v>0</v>
          </cell>
          <cell r="J2683">
            <v>0</v>
          </cell>
        </row>
        <row r="2684">
          <cell r="B2684" t="str">
            <v>5-8246</v>
          </cell>
          <cell r="C2684" t="str">
            <v>R &amp; M - Table &amp; Chairs</v>
          </cell>
          <cell r="D2684">
            <v>0</v>
          </cell>
          <cell r="E2684">
            <v>0</v>
          </cell>
          <cell r="F2684">
            <v>0</v>
          </cell>
          <cell r="G2684">
            <v>0</v>
          </cell>
          <cell r="H2684">
            <v>0</v>
          </cell>
          <cell r="I2684">
            <v>0</v>
          </cell>
          <cell r="J2684">
            <v>0</v>
          </cell>
        </row>
        <row r="2685">
          <cell r="B2685" t="str">
            <v>5-8247</v>
          </cell>
          <cell r="C2685" t="str">
            <v>R &amp; M - Cupboard &amp; Rack</v>
          </cell>
          <cell r="D2685">
            <v>0</v>
          </cell>
          <cell r="E2685">
            <v>0</v>
          </cell>
          <cell r="F2685">
            <v>0</v>
          </cell>
          <cell r="G2685">
            <v>0</v>
          </cell>
          <cell r="H2685">
            <v>0</v>
          </cell>
          <cell r="I2685">
            <v>0</v>
          </cell>
          <cell r="J2685">
            <v>0</v>
          </cell>
        </row>
        <row r="2686">
          <cell r="B2686" t="str">
            <v>5-8248</v>
          </cell>
          <cell r="C2686" t="str">
            <v>R &amp; M - Other Furniture</v>
          </cell>
          <cell r="D2686">
            <v>0</v>
          </cell>
          <cell r="E2686">
            <v>0</v>
          </cell>
          <cell r="F2686">
            <v>0</v>
          </cell>
          <cell r="G2686">
            <v>0</v>
          </cell>
          <cell r="H2686">
            <v>0</v>
          </cell>
          <cell r="I2686">
            <v>0</v>
          </cell>
          <cell r="J2686">
            <v>0</v>
          </cell>
        </row>
        <row r="2687">
          <cell r="B2687" t="str">
            <v>5-8249</v>
          </cell>
          <cell r="C2687" t="str">
            <v>R &amp; M Others</v>
          </cell>
          <cell r="D2687">
            <v>0</v>
          </cell>
          <cell r="E2687">
            <v>0</v>
          </cell>
          <cell r="F2687">
            <v>0</v>
          </cell>
          <cell r="G2687">
            <v>0</v>
          </cell>
          <cell r="H2687">
            <v>0</v>
          </cell>
          <cell r="I2687">
            <v>0</v>
          </cell>
          <cell r="J2687">
            <v>0</v>
          </cell>
        </row>
        <row r="2688">
          <cell r="B2688" t="str">
            <v>5-8250</v>
          </cell>
          <cell r="C2688" t="str">
            <v>PERLENGKAPAN LAUNDRY</v>
          </cell>
          <cell r="D2688">
            <v>0</v>
          </cell>
          <cell r="E2688">
            <v>0</v>
          </cell>
          <cell r="F2688">
            <v>0</v>
          </cell>
          <cell r="G2688">
            <v>0</v>
          </cell>
          <cell r="H2688">
            <v>0</v>
          </cell>
          <cell r="I2688">
            <v>0</v>
          </cell>
          <cell r="J2688">
            <v>0</v>
          </cell>
        </row>
        <row r="2689">
          <cell r="B2689" t="str">
            <v>5-8251</v>
          </cell>
          <cell r="C2689" t="str">
            <v>Washing Supplies</v>
          </cell>
          <cell r="D2689">
            <v>0</v>
          </cell>
          <cell r="E2689">
            <v>0</v>
          </cell>
          <cell r="F2689">
            <v>0</v>
          </cell>
          <cell r="G2689">
            <v>0</v>
          </cell>
          <cell r="H2689">
            <v>0</v>
          </cell>
          <cell r="I2689">
            <v>0</v>
          </cell>
          <cell r="J2689">
            <v>0</v>
          </cell>
        </row>
        <row r="2690">
          <cell r="B2690" t="str">
            <v>5-8252</v>
          </cell>
          <cell r="C2690" t="str">
            <v>Drying Supplies</v>
          </cell>
          <cell r="D2690">
            <v>0</v>
          </cell>
          <cell r="E2690">
            <v>0</v>
          </cell>
          <cell r="F2690">
            <v>0</v>
          </cell>
          <cell r="G2690">
            <v>0</v>
          </cell>
          <cell r="H2690">
            <v>0</v>
          </cell>
          <cell r="I2690">
            <v>0</v>
          </cell>
          <cell r="J2690">
            <v>0</v>
          </cell>
        </row>
        <row r="2691">
          <cell r="B2691" t="str">
            <v>5-8253</v>
          </cell>
          <cell r="C2691" t="str">
            <v>Iron Supplies</v>
          </cell>
          <cell r="D2691">
            <v>0</v>
          </cell>
          <cell r="E2691">
            <v>0</v>
          </cell>
          <cell r="F2691">
            <v>0</v>
          </cell>
          <cell r="G2691">
            <v>0</v>
          </cell>
          <cell r="H2691">
            <v>0</v>
          </cell>
          <cell r="I2691">
            <v>0</v>
          </cell>
          <cell r="J2691">
            <v>0</v>
          </cell>
        </row>
        <row r="2692">
          <cell r="B2692" t="str">
            <v>5-8254</v>
          </cell>
          <cell r="C2692" t="str">
            <v>Storage Supplies</v>
          </cell>
          <cell r="D2692">
            <v>0</v>
          </cell>
          <cell r="E2692">
            <v>0</v>
          </cell>
          <cell r="F2692">
            <v>720000</v>
          </cell>
          <cell r="G2692">
            <v>0</v>
          </cell>
          <cell r="H2692">
            <v>720000</v>
          </cell>
          <cell r="I2692">
            <v>720000</v>
          </cell>
          <cell r="J2692">
            <v>0</v>
          </cell>
        </row>
        <row r="2693">
          <cell r="B2693" t="str">
            <v>5-8255</v>
          </cell>
          <cell r="C2693" t="str">
            <v>Cleaning Fixture</v>
          </cell>
          <cell r="D2693">
            <v>0</v>
          </cell>
          <cell r="E2693">
            <v>0</v>
          </cell>
          <cell r="F2693">
            <v>0</v>
          </cell>
          <cell r="G2693">
            <v>0</v>
          </cell>
          <cell r="H2693">
            <v>0</v>
          </cell>
          <cell r="I2693">
            <v>0</v>
          </cell>
          <cell r="J2693">
            <v>0</v>
          </cell>
        </row>
        <row r="2694">
          <cell r="B2694" t="str">
            <v>5-8256</v>
          </cell>
          <cell r="C2694" t="str">
            <v>Cleaning material</v>
          </cell>
          <cell r="D2694">
            <v>0</v>
          </cell>
          <cell r="E2694">
            <v>0</v>
          </cell>
          <cell r="F2694">
            <v>0</v>
          </cell>
          <cell r="G2694">
            <v>0</v>
          </cell>
          <cell r="H2694">
            <v>0</v>
          </cell>
          <cell r="I2694">
            <v>0</v>
          </cell>
          <cell r="J2694">
            <v>0</v>
          </cell>
        </row>
        <row r="2695">
          <cell r="B2695" t="str">
            <v>5-8259</v>
          </cell>
          <cell r="C2695" t="str">
            <v>Others</v>
          </cell>
          <cell r="D2695">
            <v>0</v>
          </cell>
          <cell r="E2695">
            <v>0</v>
          </cell>
          <cell r="F2695">
            <v>0</v>
          </cell>
          <cell r="G2695">
            <v>0</v>
          </cell>
          <cell r="H2695">
            <v>0</v>
          </cell>
          <cell r="I2695">
            <v>0</v>
          </cell>
          <cell r="J2695">
            <v>0</v>
          </cell>
        </row>
        <row r="2696">
          <cell r="B2696" t="str">
            <v>5-8260</v>
          </cell>
          <cell r="C2696" t="str">
            <v>BAHAN LAUNDRY</v>
          </cell>
          <cell r="D2696">
            <v>0</v>
          </cell>
          <cell r="E2696">
            <v>0</v>
          </cell>
          <cell r="F2696">
            <v>0</v>
          </cell>
          <cell r="G2696">
            <v>0</v>
          </cell>
          <cell r="H2696">
            <v>0</v>
          </cell>
          <cell r="I2696">
            <v>0</v>
          </cell>
          <cell r="J2696">
            <v>0</v>
          </cell>
        </row>
        <row r="2697">
          <cell r="B2697" t="str">
            <v>5-8261</v>
          </cell>
          <cell r="C2697" t="str">
            <v>Detergen</v>
          </cell>
          <cell r="D2697">
            <v>0</v>
          </cell>
          <cell r="E2697">
            <v>0</v>
          </cell>
          <cell r="F2697">
            <v>255000</v>
          </cell>
          <cell r="G2697">
            <v>0</v>
          </cell>
          <cell r="H2697">
            <v>255000</v>
          </cell>
          <cell r="I2697">
            <v>255000</v>
          </cell>
          <cell r="J2697">
            <v>0</v>
          </cell>
        </row>
        <row r="2698">
          <cell r="B2698" t="str">
            <v>5-8262</v>
          </cell>
          <cell r="C2698" t="str">
            <v>Whitener</v>
          </cell>
          <cell r="D2698">
            <v>0</v>
          </cell>
          <cell r="E2698">
            <v>0</v>
          </cell>
          <cell r="F2698">
            <v>0</v>
          </cell>
          <cell r="G2698">
            <v>0</v>
          </cell>
          <cell r="H2698">
            <v>0</v>
          </cell>
          <cell r="I2698">
            <v>0</v>
          </cell>
          <cell r="J2698">
            <v>0</v>
          </cell>
        </row>
        <row r="2699">
          <cell r="B2699" t="str">
            <v>5-8263</v>
          </cell>
          <cell r="C2699" t="str">
            <v>Freshener</v>
          </cell>
          <cell r="D2699">
            <v>0</v>
          </cell>
          <cell r="E2699">
            <v>0</v>
          </cell>
          <cell r="F2699">
            <v>0</v>
          </cell>
          <cell r="G2699">
            <v>0</v>
          </cell>
          <cell r="H2699">
            <v>0</v>
          </cell>
          <cell r="I2699">
            <v>0</v>
          </cell>
          <cell r="J2699">
            <v>0</v>
          </cell>
        </row>
        <row r="2700">
          <cell r="B2700" t="str">
            <v>5-8264</v>
          </cell>
          <cell r="C2700" t="str">
            <v>Softener</v>
          </cell>
          <cell r="D2700">
            <v>0</v>
          </cell>
          <cell r="E2700">
            <v>0</v>
          </cell>
          <cell r="F2700">
            <v>0</v>
          </cell>
          <cell r="G2700">
            <v>0</v>
          </cell>
          <cell r="H2700">
            <v>0</v>
          </cell>
          <cell r="I2700">
            <v>0</v>
          </cell>
          <cell r="J2700">
            <v>0</v>
          </cell>
        </row>
        <row r="2701">
          <cell r="B2701" t="str">
            <v>5-8265</v>
          </cell>
          <cell r="C2701" t="str">
            <v>Slippery</v>
          </cell>
          <cell r="D2701">
            <v>0</v>
          </cell>
          <cell r="E2701">
            <v>0</v>
          </cell>
          <cell r="F2701">
            <v>0</v>
          </cell>
          <cell r="G2701">
            <v>0</v>
          </cell>
          <cell r="H2701">
            <v>0</v>
          </cell>
          <cell r="I2701">
            <v>0</v>
          </cell>
          <cell r="J2701">
            <v>0</v>
          </cell>
        </row>
        <row r="2702">
          <cell r="B2702" t="str">
            <v>5-8290</v>
          </cell>
          <cell r="C2702" t="str">
            <v>LAIN-LAIN</v>
          </cell>
          <cell r="D2702">
            <v>0</v>
          </cell>
          <cell r="E2702">
            <v>0</v>
          </cell>
          <cell r="F2702">
            <v>0</v>
          </cell>
          <cell r="G2702">
            <v>0</v>
          </cell>
          <cell r="H2702">
            <v>0</v>
          </cell>
          <cell r="I2702">
            <v>0</v>
          </cell>
          <cell r="J2702">
            <v>0</v>
          </cell>
        </row>
        <row r="2703">
          <cell r="B2703" t="str">
            <v>5-8310</v>
          </cell>
          <cell r="C2703" t="str">
            <v>PERSONAL - GAJI</v>
          </cell>
          <cell r="D2703">
            <v>0</v>
          </cell>
          <cell r="E2703">
            <v>0</v>
          </cell>
          <cell r="F2703">
            <v>0</v>
          </cell>
          <cell r="G2703">
            <v>0</v>
          </cell>
          <cell r="H2703">
            <v>0</v>
          </cell>
          <cell r="I2703">
            <v>0</v>
          </cell>
          <cell r="J2703">
            <v>0</v>
          </cell>
        </row>
        <row r="2704">
          <cell r="B2704" t="str">
            <v>5-8311</v>
          </cell>
          <cell r="C2704" t="str">
            <v>Permanent Staff Salary</v>
          </cell>
          <cell r="D2704">
            <v>0</v>
          </cell>
          <cell r="E2704">
            <v>0</v>
          </cell>
          <cell r="F2704">
            <v>0</v>
          </cell>
          <cell r="G2704">
            <v>0</v>
          </cell>
          <cell r="H2704">
            <v>0</v>
          </cell>
          <cell r="I2704">
            <v>0</v>
          </cell>
          <cell r="J2704">
            <v>0</v>
          </cell>
        </row>
        <row r="2705">
          <cell r="B2705" t="str">
            <v>5-8312</v>
          </cell>
          <cell r="C2705" t="str">
            <v>Temporary Staff Salary</v>
          </cell>
          <cell r="D2705">
            <v>0</v>
          </cell>
          <cell r="E2705">
            <v>0</v>
          </cell>
          <cell r="F2705">
            <v>0</v>
          </cell>
          <cell r="G2705">
            <v>0</v>
          </cell>
          <cell r="H2705">
            <v>0</v>
          </cell>
          <cell r="I2705">
            <v>0</v>
          </cell>
          <cell r="J2705">
            <v>0</v>
          </cell>
        </row>
        <row r="2706">
          <cell r="B2706" t="str">
            <v>5-8313</v>
          </cell>
          <cell r="C2706" t="str">
            <v>Permanent Labour Salary</v>
          </cell>
          <cell r="D2706">
            <v>0</v>
          </cell>
          <cell r="E2706">
            <v>0</v>
          </cell>
          <cell r="F2706">
            <v>0</v>
          </cell>
          <cell r="G2706">
            <v>0</v>
          </cell>
          <cell r="H2706">
            <v>0</v>
          </cell>
          <cell r="I2706">
            <v>0</v>
          </cell>
          <cell r="J2706">
            <v>0</v>
          </cell>
        </row>
        <row r="2707">
          <cell r="B2707" t="str">
            <v>5-8314</v>
          </cell>
          <cell r="C2707" t="str">
            <v>Temporary Labour Salary</v>
          </cell>
          <cell r="D2707">
            <v>0</v>
          </cell>
          <cell r="E2707">
            <v>0</v>
          </cell>
          <cell r="F2707">
            <v>0</v>
          </cell>
          <cell r="G2707">
            <v>0</v>
          </cell>
          <cell r="H2707">
            <v>0</v>
          </cell>
          <cell r="I2707">
            <v>0</v>
          </cell>
          <cell r="J2707">
            <v>0</v>
          </cell>
        </row>
        <row r="2708">
          <cell r="B2708" t="str">
            <v>5-8315</v>
          </cell>
          <cell r="C2708" t="str">
            <v>Honorarium santri Khidmah</v>
          </cell>
          <cell r="D2708">
            <v>0</v>
          </cell>
          <cell r="E2708">
            <v>0</v>
          </cell>
          <cell r="F2708">
            <v>0</v>
          </cell>
          <cell r="G2708">
            <v>0</v>
          </cell>
          <cell r="H2708">
            <v>0</v>
          </cell>
          <cell r="I2708">
            <v>0</v>
          </cell>
          <cell r="J2708">
            <v>0</v>
          </cell>
        </row>
        <row r="2709">
          <cell r="B2709" t="str">
            <v>5-8316</v>
          </cell>
          <cell r="C2709" t="str">
            <v>Staff overtime</v>
          </cell>
          <cell r="D2709">
            <v>0</v>
          </cell>
          <cell r="E2709">
            <v>0</v>
          </cell>
          <cell r="F2709">
            <v>0</v>
          </cell>
          <cell r="G2709">
            <v>0</v>
          </cell>
          <cell r="H2709">
            <v>0</v>
          </cell>
          <cell r="I2709">
            <v>0</v>
          </cell>
          <cell r="J2709">
            <v>0</v>
          </cell>
        </row>
        <row r="2710">
          <cell r="B2710" t="str">
            <v>5-8317</v>
          </cell>
          <cell r="C2710" t="str">
            <v>Joint Salary Allocation</v>
          </cell>
          <cell r="D2710">
            <v>0</v>
          </cell>
          <cell r="E2710">
            <v>0</v>
          </cell>
          <cell r="F2710">
            <v>0</v>
          </cell>
          <cell r="G2710">
            <v>0</v>
          </cell>
          <cell r="H2710">
            <v>0</v>
          </cell>
          <cell r="I2710">
            <v>0</v>
          </cell>
          <cell r="J2710">
            <v>0</v>
          </cell>
        </row>
        <row r="2711">
          <cell r="B2711" t="str">
            <v>5-8319</v>
          </cell>
          <cell r="C2711" t="str">
            <v>Others Salary</v>
          </cell>
          <cell r="D2711">
            <v>0</v>
          </cell>
          <cell r="E2711">
            <v>0</v>
          </cell>
          <cell r="F2711">
            <v>0</v>
          </cell>
          <cell r="G2711">
            <v>0</v>
          </cell>
          <cell r="H2711">
            <v>0</v>
          </cell>
          <cell r="I2711">
            <v>0</v>
          </cell>
          <cell r="J2711">
            <v>0</v>
          </cell>
        </row>
        <row r="2712">
          <cell r="B2712" t="str">
            <v>5-8320</v>
          </cell>
          <cell r="C2712" t="str">
            <v>PERSONAL - ALLOWANCE OF</v>
          </cell>
          <cell r="D2712">
            <v>0</v>
          </cell>
          <cell r="E2712">
            <v>0</v>
          </cell>
          <cell r="F2712">
            <v>0</v>
          </cell>
          <cell r="G2712">
            <v>0</v>
          </cell>
          <cell r="H2712">
            <v>0</v>
          </cell>
          <cell r="I2712">
            <v>0</v>
          </cell>
          <cell r="J2712">
            <v>0</v>
          </cell>
        </row>
        <row r="2713">
          <cell r="B2713" t="str">
            <v>5-8321</v>
          </cell>
          <cell r="C2713" t="str">
            <v>Allowance of Hulled Rice</v>
          </cell>
          <cell r="D2713">
            <v>0</v>
          </cell>
          <cell r="E2713">
            <v>0</v>
          </cell>
          <cell r="F2713">
            <v>0</v>
          </cell>
          <cell r="G2713">
            <v>0</v>
          </cell>
          <cell r="H2713">
            <v>0</v>
          </cell>
          <cell r="I2713">
            <v>0</v>
          </cell>
          <cell r="J2713">
            <v>0</v>
          </cell>
        </row>
        <row r="2714">
          <cell r="B2714" t="str">
            <v>5-8322</v>
          </cell>
          <cell r="C2714" t="str">
            <v>Alowance of doctor and medicin</v>
          </cell>
          <cell r="D2714">
            <v>0</v>
          </cell>
          <cell r="E2714">
            <v>0</v>
          </cell>
          <cell r="F2714">
            <v>0</v>
          </cell>
          <cell r="G2714">
            <v>0</v>
          </cell>
          <cell r="H2714">
            <v>0</v>
          </cell>
          <cell r="I2714">
            <v>0</v>
          </cell>
          <cell r="J2714">
            <v>0</v>
          </cell>
        </row>
        <row r="2715">
          <cell r="B2715" t="str">
            <v>5-8323</v>
          </cell>
          <cell r="C2715" t="str">
            <v>Alowance of spectacles</v>
          </cell>
          <cell r="D2715">
            <v>0</v>
          </cell>
          <cell r="E2715">
            <v>0</v>
          </cell>
          <cell r="F2715">
            <v>0</v>
          </cell>
          <cell r="G2715">
            <v>0</v>
          </cell>
          <cell r="H2715">
            <v>0</v>
          </cell>
          <cell r="I2715">
            <v>0</v>
          </cell>
          <cell r="J2715">
            <v>0</v>
          </cell>
        </row>
        <row r="2716">
          <cell r="B2716" t="str">
            <v>5-8324</v>
          </cell>
          <cell r="C2716" t="str">
            <v>Allowance of operation&amp;hospita</v>
          </cell>
          <cell r="D2716">
            <v>0</v>
          </cell>
          <cell r="E2716">
            <v>0</v>
          </cell>
          <cell r="F2716">
            <v>0</v>
          </cell>
          <cell r="G2716">
            <v>0</v>
          </cell>
          <cell r="H2716">
            <v>0</v>
          </cell>
          <cell r="I2716">
            <v>0</v>
          </cell>
          <cell r="J2716">
            <v>0</v>
          </cell>
        </row>
        <row r="2717">
          <cell r="B2717" t="str">
            <v>5-8325</v>
          </cell>
          <cell r="C2717" t="str">
            <v>Allowance of disaster &amp; die</v>
          </cell>
          <cell r="D2717">
            <v>0</v>
          </cell>
          <cell r="E2717">
            <v>0</v>
          </cell>
          <cell r="F2717">
            <v>0</v>
          </cell>
          <cell r="G2717">
            <v>0</v>
          </cell>
          <cell r="H2717">
            <v>0</v>
          </cell>
          <cell r="I2717">
            <v>0</v>
          </cell>
          <cell r="J2717">
            <v>0</v>
          </cell>
        </row>
        <row r="2718">
          <cell r="B2718" t="str">
            <v>5-8326</v>
          </cell>
          <cell r="C2718" t="str">
            <v>Allowance of hari raya</v>
          </cell>
          <cell r="D2718">
            <v>0</v>
          </cell>
          <cell r="E2718">
            <v>0</v>
          </cell>
          <cell r="F2718">
            <v>0</v>
          </cell>
          <cell r="G2718">
            <v>0</v>
          </cell>
          <cell r="H2718">
            <v>0</v>
          </cell>
          <cell r="I2718">
            <v>0</v>
          </cell>
          <cell r="J2718">
            <v>0</v>
          </cell>
        </row>
        <row r="2719">
          <cell r="B2719" t="str">
            <v>5-8327</v>
          </cell>
          <cell r="C2719" t="str">
            <v>Allowance of birth</v>
          </cell>
          <cell r="D2719">
            <v>0</v>
          </cell>
          <cell r="E2719">
            <v>0</v>
          </cell>
          <cell r="F2719">
            <v>0</v>
          </cell>
          <cell r="G2719">
            <v>0</v>
          </cell>
          <cell r="H2719">
            <v>0</v>
          </cell>
          <cell r="I2719">
            <v>0</v>
          </cell>
          <cell r="J2719">
            <v>0</v>
          </cell>
        </row>
        <row r="2720">
          <cell r="B2720" t="str">
            <v>5-8328</v>
          </cell>
          <cell r="C2720" t="str">
            <v>Allowance of married</v>
          </cell>
          <cell r="D2720">
            <v>0</v>
          </cell>
          <cell r="E2720">
            <v>0</v>
          </cell>
          <cell r="F2720">
            <v>0</v>
          </cell>
          <cell r="G2720">
            <v>0</v>
          </cell>
          <cell r="H2720">
            <v>0</v>
          </cell>
          <cell r="I2720">
            <v>0</v>
          </cell>
          <cell r="J2720">
            <v>0</v>
          </cell>
        </row>
        <row r="2721">
          <cell r="B2721" t="str">
            <v>5-8329</v>
          </cell>
          <cell r="C2721" t="str">
            <v>Allowance of house rent&amp;others</v>
          </cell>
          <cell r="D2721">
            <v>0</v>
          </cell>
          <cell r="E2721">
            <v>0</v>
          </cell>
          <cell r="F2721">
            <v>0</v>
          </cell>
          <cell r="G2721">
            <v>0</v>
          </cell>
          <cell r="H2721">
            <v>0</v>
          </cell>
          <cell r="I2721">
            <v>0</v>
          </cell>
          <cell r="J2721">
            <v>0</v>
          </cell>
        </row>
        <row r="2722">
          <cell r="B2722" t="str">
            <v>5-8330</v>
          </cell>
          <cell r="C2722" t="str">
            <v>OFFICE</v>
          </cell>
          <cell r="D2722">
            <v>0</v>
          </cell>
          <cell r="E2722">
            <v>0</v>
          </cell>
          <cell r="F2722">
            <v>0</v>
          </cell>
          <cell r="G2722">
            <v>0</v>
          </cell>
          <cell r="H2722">
            <v>0</v>
          </cell>
          <cell r="I2722">
            <v>0</v>
          </cell>
          <cell r="J2722">
            <v>0</v>
          </cell>
        </row>
        <row r="2723">
          <cell r="B2723" t="str">
            <v>5-8331</v>
          </cell>
          <cell r="C2723" t="str">
            <v>Stationary papers</v>
          </cell>
          <cell r="D2723">
            <v>0</v>
          </cell>
          <cell r="E2723">
            <v>0</v>
          </cell>
          <cell r="F2723">
            <v>0</v>
          </cell>
          <cell r="G2723">
            <v>0</v>
          </cell>
          <cell r="H2723">
            <v>0</v>
          </cell>
          <cell r="I2723">
            <v>0</v>
          </cell>
          <cell r="J2723">
            <v>0</v>
          </cell>
        </row>
        <row r="2724">
          <cell r="B2724" t="str">
            <v>5-8332</v>
          </cell>
          <cell r="C2724" t="str">
            <v>Stationary written toolls</v>
          </cell>
          <cell r="D2724">
            <v>0</v>
          </cell>
          <cell r="E2724">
            <v>0</v>
          </cell>
          <cell r="F2724">
            <v>0</v>
          </cell>
          <cell r="G2724">
            <v>0</v>
          </cell>
          <cell r="H2724">
            <v>0</v>
          </cell>
          <cell r="I2724">
            <v>0</v>
          </cell>
          <cell r="J2724">
            <v>0</v>
          </cell>
        </row>
        <row r="2725">
          <cell r="B2725" t="str">
            <v>5-8333</v>
          </cell>
          <cell r="C2725" t="str">
            <v>Stationary Others</v>
          </cell>
          <cell r="D2725">
            <v>0</v>
          </cell>
          <cell r="E2725">
            <v>0</v>
          </cell>
          <cell r="F2725">
            <v>0</v>
          </cell>
          <cell r="G2725">
            <v>0</v>
          </cell>
          <cell r="H2725">
            <v>0</v>
          </cell>
          <cell r="I2725">
            <v>0</v>
          </cell>
          <cell r="J2725">
            <v>0</v>
          </cell>
        </row>
        <row r="2726">
          <cell r="B2726" t="str">
            <v>5-8334</v>
          </cell>
          <cell r="C2726" t="str">
            <v>Consumptions</v>
          </cell>
          <cell r="D2726">
            <v>0</v>
          </cell>
          <cell r="E2726">
            <v>0</v>
          </cell>
          <cell r="F2726">
            <v>0</v>
          </cell>
          <cell r="G2726">
            <v>0</v>
          </cell>
          <cell r="H2726">
            <v>0</v>
          </cell>
          <cell r="I2726">
            <v>0</v>
          </cell>
          <cell r="J2726">
            <v>0</v>
          </cell>
        </row>
        <row r="2727">
          <cell r="B2727" t="str">
            <v>5-8335</v>
          </cell>
          <cell r="C2727" t="str">
            <v>Fotocopy &amp; Printing</v>
          </cell>
          <cell r="D2727">
            <v>0</v>
          </cell>
          <cell r="E2727">
            <v>0</v>
          </cell>
          <cell r="F2727">
            <v>0</v>
          </cell>
          <cell r="G2727">
            <v>0</v>
          </cell>
          <cell r="H2727">
            <v>0</v>
          </cell>
          <cell r="I2727">
            <v>0</v>
          </cell>
          <cell r="J2727">
            <v>0</v>
          </cell>
        </row>
        <row r="2728">
          <cell r="B2728" t="str">
            <v>5-8336</v>
          </cell>
          <cell r="C2728" t="str">
            <v>Office Suplies</v>
          </cell>
          <cell r="D2728">
            <v>0</v>
          </cell>
          <cell r="E2728">
            <v>0</v>
          </cell>
          <cell r="F2728">
            <v>0</v>
          </cell>
          <cell r="G2728">
            <v>0</v>
          </cell>
          <cell r="H2728">
            <v>0</v>
          </cell>
          <cell r="I2728">
            <v>0</v>
          </cell>
          <cell r="J2728">
            <v>0</v>
          </cell>
        </row>
        <row r="2729">
          <cell r="B2729" t="str">
            <v>5-8339</v>
          </cell>
          <cell r="C2729" t="str">
            <v>Others</v>
          </cell>
          <cell r="D2729">
            <v>0</v>
          </cell>
          <cell r="E2729">
            <v>0</v>
          </cell>
          <cell r="F2729">
            <v>0</v>
          </cell>
          <cell r="G2729">
            <v>0</v>
          </cell>
          <cell r="H2729">
            <v>0</v>
          </cell>
          <cell r="I2729">
            <v>0</v>
          </cell>
          <cell r="J2729">
            <v>0</v>
          </cell>
        </row>
        <row r="2730">
          <cell r="B2730" t="str">
            <v>5-8340</v>
          </cell>
          <cell r="C2730" t="str">
            <v>TRANSPORTATION &amp; TELECOMUNICAT</v>
          </cell>
          <cell r="D2730">
            <v>0</v>
          </cell>
          <cell r="E2730">
            <v>0</v>
          </cell>
          <cell r="F2730">
            <v>0</v>
          </cell>
          <cell r="G2730">
            <v>0</v>
          </cell>
          <cell r="H2730">
            <v>0</v>
          </cell>
          <cell r="I2730">
            <v>0</v>
          </cell>
          <cell r="J2730">
            <v>0</v>
          </cell>
        </row>
        <row r="2731">
          <cell r="B2731" t="str">
            <v>5-8341</v>
          </cell>
          <cell r="C2731" t="str">
            <v>Mail &amp; Shipment</v>
          </cell>
          <cell r="D2731">
            <v>0</v>
          </cell>
          <cell r="E2731">
            <v>0</v>
          </cell>
          <cell r="F2731">
            <v>0</v>
          </cell>
          <cell r="G2731">
            <v>0</v>
          </cell>
          <cell r="H2731">
            <v>0</v>
          </cell>
          <cell r="I2731">
            <v>0</v>
          </cell>
          <cell r="J2731">
            <v>0</v>
          </cell>
        </row>
        <row r="2732">
          <cell r="B2732" t="str">
            <v>5-8342</v>
          </cell>
          <cell r="C2732" t="str">
            <v>Telephone</v>
          </cell>
          <cell r="D2732">
            <v>0</v>
          </cell>
          <cell r="E2732">
            <v>0</v>
          </cell>
          <cell r="F2732">
            <v>0</v>
          </cell>
          <cell r="G2732">
            <v>0</v>
          </cell>
          <cell r="H2732">
            <v>0</v>
          </cell>
          <cell r="I2732">
            <v>0</v>
          </cell>
          <cell r="J2732">
            <v>0</v>
          </cell>
        </row>
        <row r="2733">
          <cell r="B2733" t="str">
            <v>5-8343</v>
          </cell>
          <cell r="C2733" t="str">
            <v>Fuel</v>
          </cell>
          <cell r="D2733">
            <v>0</v>
          </cell>
          <cell r="E2733">
            <v>0</v>
          </cell>
          <cell r="F2733">
            <v>0</v>
          </cell>
          <cell r="G2733">
            <v>0</v>
          </cell>
          <cell r="H2733">
            <v>0</v>
          </cell>
          <cell r="I2733">
            <v>0</v>
          </cell>
          <cell r="J2733">
            <v>0</v>
          </cell>
        </row>
        <row r="2734">
          <cell r="B2734" t="str">
            <v>5-8344</v>
          </cell>
          <cell r="C2734" t="str">
            <v>Toll &amp; Parking</v>
          </cell>
          <cell r="D2734">
            <v>0</v>
          </cell>
          <cell r="E2734">
            <v>0</v>
          </cell>
          <cell r="F2734">
            <v>0</v>
          </cell>
          <cell r="G2734">
            <v>0</v>
          </cell>
          <cell r="H2734">
            <v>0</v>
          </cell>
          <cell r="I2734">
            <v>0</v>
          </cell>
          <cell r="J2734">
            <v>0</v>
          </cell>
        </row>
        <row r="2735">
          <cell r="B2735" t="str">
            <v>5-8345</v>
          </cell>
          <cell r="C2735" t="str">
            <v>Accommodations</v>
          </cell>
          <cell r="D2735">
            <v>0</v>
          </cell>
          <cell r="E2735">
            <v>0</v>
          </cell>
          <cell r="F2735">
            <v>0</v>
          </cell>
          <cell r="G2735">
            <v>0</v>
          </cell>
          <cell r="H2735">
            <v>0</v>
          </cell>
          <cell r="I2735">
            <v>0</v>
          </cell>
          <cell r="J2735">
            <v>0</v>
          </cell>
        </row>
        <row r="2736">
          <cell r="B2736" t="str">
            <v>5-8346</v>
          </cell>
          <cell r="C2736" t="str">
            <v>Public Tranportation</v>
          </cell>
          <cell r="D2736">
            <v>0</v>
          </cell>
          <cell r="E2736">
            <v>0</v>
          </cell>
          <cell r="F2736">
            <v>0</v>
          </cell>
          <cell r="G2736">
            <v>0</v>
          </cell>
          <cell r="H2736">
            <v>0</v>
          </cell>
          <cell r="I2736">
            <v>0</v>
          </cell>
          <cell r="J2736">
            <v>0</v>
          </cell>
        </row>
        <row r="2737">
          <cell r="B2737" t="str">
            <v>5-8347</v>
          </cell>
          <cell r="C2737" t="str">
            <v>Joint Transportation Allocatio</v>
          </cell>
          <cell r="D2737">
            <v>0</v>
          </cell>
          <cell r="E2737">
            <v>0</v>
          </cell>
          <cell r="F2737">
            <v>0</v>
          </cell>
          <cell r="G2737">
            <v>0</v>
          </cell>
          <cell r="H2737">
            <v>0</v>
          </cell>
          <cell r="I2737">
            <v>0</v>
          </cell>
          <cell r="J2737">
            <v>0</v>
          </cell>
        </row>
        <row r="2738">
          <cell r="B2738" t="str">
            <v>5-8349</v>
          </cell>
          <cell r="C2738" t="str">
            <v>Others</v>
          </cell>
          <cell r="D2738">
            <v>0</v>
          </cell>
          <cell r="E2738">
            <v>0</v>
          </cell>
          <cell r="F2738">
            <v>0</v>
          </cell>
          <cell r="G2738">
            <v>0</v>
          </cell>
          <cell r="H2738">
            <v>0</v>
          </cell>
          <cell r="I2738">
            <v>0</v>
          </cell>
          <cell r="J2738">
            <v>0</v>
          </cell>
        </row>
        <row r="2739">
          <cell r="B2739" t="str">
            <v>5-8350</v>
          </cell>
          <cell r="C2739" t="str">
            <v>REPAIR &amp; MAINTENENCE</v>
          </cell>
          <cell r="D2739">
            <v>0</v>
          </cell>
          <cell r="E2739">
            <v>0</v>
          </cell>
          <cell r="F2739">
            <v>0</v>
          </cell>
          <cell r="G2739">
            <v>0</v>
          </cell>
          <cell r="H2739">
            <v>0</v>
          </cell>
          <cell r="I2739">
            <v>0</v>
          </cell>
          <cell r="J2739">
            <v>0</v>
          </cell>
        </row>
        <row r="2740">
          <cell r="B2740" t="str">
            <v>5-8351</v>
          </cell>
          <cell r="C2740" t="str">
            <v>R &amp; M - Telephone &amp; Faxs</v>
          </cell>
          <cell r="D2740">
            <v>0</v>
          </cell>
          <cell r="E2740">
            <v>0</v>
          </cell>
          <cell r="F2740">
            <v>0</v>
          </cell>
          <cell r="G2740">
            <v>0</v>
          </cell>
          <cell r="H2740">
            <v>0</v>
          </cell>
          <cell r="I2740">
            <v>0</v>
          </cell>
          <cell r="J2740">
            <v>0</v>
          </cell>
        </row>
        <row r="2741">
          <cell r="B2741" t="str">
            <v>5-8352</v>
          </cell>
          <cell r="C2741" t="str">
            <v>R &amp; M - Office Eqiupment</v>
          </cell>
          <cell r="D2741">
            <v>0</v>
          </cell>
          <cell r="E2741">
            <v>0</v>
          </cell>
          <cell r="F2741">
            <v>0</v>
          </cell>
          <cell r="G2741">
            <v>0</v>
          </cell>
          <cell r="H2741">
            <v>0</v>
          </cell>
          <cell r="I2741">
            <v>0</v>
          </cell>
          <cell r="J2741">
            <v>0</v>
          </cell>
        </row>
        <row r="2742">
          <cell r="B2742" t="str">
            <v>5-8353</v>
          </cell>
          <cell r="C2742" t="str">
            <v>R &amp; M - Other Eqiupment</v>
          </cell>
          <cell r="D2742">
            <v>0</v>
          </cell>
          <cell r="E2742">
            <v>0</v>
          </cell>
          <cell r="F2742">
            <v>0</v>
          </cell>
          <cell r="G2742">
            <v>0</v>
          </cell>
          <cell r="H2742">
            <v>0</v>
          </cell>
          <cell r="I2742">
            <v>0</v>
          </cell>
          <cell r="J2742">
            <v>0</v>
          </cell>
        </row>
        <row r="2743">
          <cell r="B2743" t="str">
            <v>5-8354</v>
          </cell>
          <cell r="C2743" t="str">
            <v>R &amp; M - iron bed &amp; mattress</v>
          </cell>
          <cell r="D2743">
            <v>0</v>
          </cell>
          <cell r="E2743">
            <v>0</v>
          </cell>
          <cell r="F2743">
            <v>0</v>
          </cell>
          <cell r="G2743">
            <v>0</v>
          </cell>
          <cell r="H2743">
            <v>0</v>
          </cell>
          <cell r="I2743">
            <v>0</v>
          </cell>
          <cell r="J2743">
            <v>0</v>
          </cell>
        </row>
        <row r="2744">
          <cell r="B2744" t="str">
            <v>5-8355</v>
          </cell>
          <cell r="C2744" t="str">
            <v>R &amp; M - Table &amp; Chairs</v>
          </cell>
          <cell r="D2744">
            <v>0</v>
          </cell>
          <cell r="E2744">
            <v>0</v>
          </cell>
          <cell r="F2744">
            <v>0</v>
          </cell>
          <cell r="G2744">
            <v>0</v>
          </cell>
          <cell r="H2744">
            <v>0</v>
          </cell>
          <cell r="I2744">
            <v>0</v>
          </cell>
          <cell r="J2744">
            <v>0</v>
          </cell>
        </row>
        <row r="2745">
          <cell r="B2745" t="str">
            <v>5-8356</v>
          </cell>
          <cell r="C2745" t="str">
            <v>R &amp; M - Cupboard &amp; Rack</v>
          </cell>
          <cell r="D2745">
            <v>0</v>
          </cell>
          <cell r="E2745">
            <v>0</v>
          </cell>
          <cell r="F2745">
            <v>0</v>
          </cell>
          <cell r="G2745">
            <v>0</v>
          </cell>
          <cell r="H2745">
            <v>0</v>
          </cell>
          <cell r="I2745">
            <v>0</v>
          </cell>
          <cell r="J2745">
            <v>0</v>
          </cell>
        </row>
        <row r="2746">
          <cell r="B2746" t="str">
            <v>5-8357</v>
          </cell>
          <cell r="C2746" t="str">
            <v>R &amp; M - Other Furniture</v>
          </cell>
          <cell r="D2746">
            <v>0</v>
          </cell>
          <cell r="E2746">
            <v>0</v>
          </cell>
          <cell r="F2746">
            <v>0</v>
          </cell>
          <cell r="G2746">
            <v>0</v>
          </cell>
          <cell r="H2746">
            <v>0</v>
          </cell>
          <cell r="I2746">
            <v>0</v>
          </cell>
          <cell r="J2746">
            <v>0</v>
          </cell>
        </row>
        <row r="2747">
          <cell r="B2747" t="str">
            <v>5-8359</v>
          </cell>
          <cell r="C2747" t="str">
            <v>R &amp; M Others</v>
          </cell>
          <cell r="D2747">
            <v>0</v>
          </cell>
          <cell r="E2747">
            <v>0</v>
          </cell>
          <cell r="F2747">
            <v>0</v>
          </cell>
          <cell r="G2747">
            <v>0</v>
          </cell>
          <cell r="H2747">
            <v>0</v>
          </cell>
          <cell r="I2747">
            <v>0</v>
          </cell>
          <cell r="J2747">
            <v>0</v>
          </cell>
        </row>
        <row r="2748">
          <cell r="B2748" t="str">
            <v>5-8360</v>
          </cell>
          <cell r="C2748" t="str">
            <v>PERLENGKAPAN ASRAMA</v>
          </cell>
          <cell r="D2748">
            <v>0</v>
          </cell>
          <cell r="E2748">
            <v>0</v>
          </cell>
          <cell r="F2748">
            <v>0</v>
          </cell>
          <cell r="G2748">
            <v>0</v>
          </cell>
          <cell r="H2748">
            <v>0</v>
          </cell>
          <cell r="I2748">
            <v>0</v>
          </cell>
          <cell r="J2748">
            <v>0</v>
          </cell>
        </row>
        <row r="2749">
          <cell r="B2749" t="str">
            <v>5-8361</v>
          </cell>
          <cell r="C2749" t="str">
            <v>Broom &amp; mop</v>
          </cell>
          <cell r="D2749">
            <v>0</v>
          </cell>
          <cell r="E2749">
            <v>0</v>
          </cell>
          <cell r="F2749">
            <v>0</v>
          </cell>
          <cell r="G2749">
            <v>0</v>
          </cell>
          <cell r="H2749">
            <v>0</v>
          </cell>
          <cell r="I2749">
            <v>0</v>
          </cell>
          <cell r="J2749">
            <v>0</v>
          </cell>
        </row>
        <row r="2750">
          <cell r="B2750" t="str">
            <v>5-8362</v>
          </cell>
          <cell r="C2750" t="str">
            <v>Cleaning Supplies</v>
          </cell>
          <cell r="D2750">
            <v>0</v>
          </cell>
          <cell r="E2750">
            <v>0</v>
          </cell>
          <cell r="F2750">
            <v>0</v>
          </cell>
          <cell r="G2750">
            <v>0</v>
          </cell>
          <cell r="H2750">
            <v>0</v>
          </cell>
          <cell r="I2750">
            <v>0</v>
          </cell>
          <cell r="J2750">
            <v>0</v>
          </cell>
        </row>
        <row r="2751">
          <cell r="B2751" t="str">
            <v>5-8363</v>
          </cell>
          <cell r="C2751" t="str">
            <v>Sprei &amp; sarung bantal</v>
          </cell>
          <cell r="D2751">
            <v>0</v>
          </cell>
          <cell r="E2751">
            <v>0</v>
          </cell>
          <cell r="F2751">
            <v>0</v>
          </cell>
          <cell r="G2751">
            <v>0</v>
          </cell>
          <cell r="H2751">
            <v>0</v>
          </cell>
          <cell r="I2751">
            <v>0</v>
          </cell>
          <cell r="J2751">
            <v>0</v>
          </cell>
        </row>
        <row r="2752">
          <cell r="B2752" t="str">
            <v>5-8364</v>
          </cell>
          <cell r="C2752" t="str">
            <v>Sleeping Fixture</v>
          </cell>
          <cell r="D2752">
            <v>0</v>
          </cell>
          <cell r="E2752">
            <v>0</v>
          </cell>
          <cell r="F2752">
            <v>0</v>
          </cell>
          <cell r="G2752">
            <v>0</v>
          </cell>
          <cell r="H2752">
            <v>0</v>
          </cell>
          <cell r="I2752">
            <v>0</v>
          </cell>
          <cell r="J2752">
            <v>0</v>
          </cell>
        </row>
        <row r="2753">
          <cell r="B2753" t="str">
            <v>5-8365</v>
          </cell>
          <cell r="C2753" t="str">
            <v>Gorden</v>
          </cell>
          <cell r="D2753">
            <v>0</v>
          </cell>
          <cell r="E2753">
            <v>0</v>
          </cell>
          <cell r="F2753">
            <v>0</v>
          </cell>
          <cell r="G2753">
            <v>0</v>
          </cell>
          <cell r="H2753">
            <v>0</v>
          </cell>
          <cell r="I2753">
            <v>0</v>
          </cell>
          <cell r="J2753">
            <v>0</v>
          </cell>
        </row>
        <row r="2754">
          <cell r="B2754" t="str">
            <v>5-8366</v>
          </cell>
          <cell r="C2754" t="str">
            <v>Water Dipper &amp; pail</v>
          </cell>
          <cell r="D2754">
            <v>0</v>
          </cell>
          <cell r="E2754">
            <v>0</v>
          </cell>
          <cell r="F2754">
            <v>0</v>
          </cell>
          <cell r="G2754">
            <v>0</v>
          </cell>
          <cell r="H2754">
            <v>0</v>
          </cell>
          <cell r="I2754">
            <v>0</v>
          </cell>
          <cell r="J2754">
            <v>0</v>
          </cell>
        </row>
        <row r="2755">
          <cell r="B2755" t="str">
            <v>5-8367</v>
          </cell>
          <cell r="C2755" t="str">
            <v>Room Supplies</v>
          </cell>
          <cell r="D2755">
            <v>0</v>
          </cell>
          <cell r="E2755">
            <v>0</v>
          </cell>
          <cell r="F2755">
            <v>30000</v>
          </cell>
          <cell r="G2755">
            <v>0</v>
          </cell>
          <cell r="H2755">
            <v>30000</v>
          </cell>
          <cell r="I2755">
            <v>30000</v>
          </cell>
          <cell r="J2755">
            <v>0</v>
          </cell>
        </row>
        <row r="2756">
          <cell r="B2756" t="str">
            <v>5-8368</v>
          </cell>
          <cell r="C2756" t="str">
            <v>Boarding area Supplies</v>
          </cell>
          <cell r="D2756">
            <v>0</v>
          </cell>
          <cell r="E2756">
            <v>0</v>
          </cell>
          <cell r="F2756">
            <v>0</v>
          </cell>
          <cell r="G2756">
            <v>0</v>
          </cell>
          <cell r="H2756">
            <v>0</v>
          </cell>
          <cell r="I2756">
            <v>0</v>
          </cell>
          <cell r="J2756">
            <v>0</v>
          </cell>
        </row>
        <row r="2757">
          <cell r="B2757" t="str">
            <v>5-8369</v>
          </cell>
          <cell r="C2757" t="str">
            <v>Others</v>
          </cell>
          <cell r="D2757">
            <v>0</v>
          </cell>
          <cell r="E2757">
            <v>0</v>
          </cell>
          <cell r="F2757">
            <v>0</v>
          </cell>
          <cell r="G2757">
            <v>0</v>
          </cell>
          <cell r="H2757">
            <v>0</v>
          </cell>
          <cell r="I2757">
            <v>0</v>
          </cell>
          <cell r="J2757">
            <v>0</v>
          </cell>
        </row>
        <row r="2758">
          <cell r="B2758" t="str">
            <v>5-8390</v>
          </cell>
          <cell r="C2758" t="str">
            <v>LAIN-LAIN</v>
          </cell>
          <cell r="D2758">
            <v>0</v>
          </cell>
          <cell r="E2758">
            <v>0</v>
          </cell>
          <cell r="F2758">
            <v>0</v>
          </cell>
          <cell r="G2758">
            <v>0</v>
          </cell>
          <cell r="H2758">
            <v>0</v>
          </cell>
          <cell r="I2758">
            <v>0</v>
          </cell>
          <cell r="J2758">
            <v>0</v>
          </cell>
        </row>
        <row r="2759">
          <cell r="B2759" t="str">
            <v>6-1110</v>
          </cell>
          <cell r="C2759" t="str">
            <v>Kerugian</v>
          </cell>
          <cell r="D2759">
            <v>0</v>
          </cell>
          <cell r="E2759">
            <v>0</v>
          </cell>
          <cell r="F2759">
            <v>0</v>
          </cell>
          <cell r="G2759">
            <v>0</v>
          </cell>
          <cell r="H2759">
            <v>0</v>
          </cell>
          <cell r="I2759">
            <v>0</v>
          </cell>
          <cell r="J2759">
            <v>0</v>
          </cell>
        </row>
        <row r="2760">
          <cell r="B2760" t="str">
            <v>6-1111</v>
          </cell>
          <cell r="C2760" t="str">
            <v>Loss of Foreign Exchange</v>
          </cell>
          <cell r="D2760">
            <v>0</v>
          </cell>
          <cell r="E2760">
            <v>0</v>
          </cell>
          <cell r="F2760">
            <v>0</v>
          </cell>
          <cell r="G2760">
            <v>0</v>
          </cell>
          <cell r="H2760">
            <v>0</v>
          </cell>
          <cell r="I2760">
            <v>0</v>
          </cell>
          <cell r="J2760">
            <v>0</v>
          </cell>
        </row>
        <row r="2761">
          <cell r="B2761" t="str">
            <v>6-1112</v>
          </cell>
          <cell r="C2761" t="str">
            <v>Nature disaster</v>
          </cell>
          <cell r="D2761">
            <v>0</v>
          </cell>
          <cell r="E2761">
            <v>0</v>
          </cell>
          <cell r="F2761">
            <v>0</v>
          </cell>
          <cell r="G2761">
            <v>0</v>
          </cell>
          <cell r="H2761">
            <v>0</v>
          </cell>
          <cell r="I2761">
            <v>0</v>
          </cell>
          <cell r="J2761">
            <v>0</v>
          </cell>
        </row>
        <row r="2762">
          <cell r="B2762" t="str">
            <v>6-1113</v>
          </cell>
          <cell r="C2762" t="str">
            <v>Loss of Fixed asset sale</v>
          </cell>
          <cell r="D2762">
            <v>0</v>
          </cell>
          <cell r="E2762">
            <v>0</v>
          </cell>
          <cell r="F2762">
            <v>0</v>
          </cell>
          <cell r="G2762">
            <v>0</v>
          </cell>
          <cell r="H2762">
            <v>0</v>
          </cell>
          <cell r="I2762">
            <v>0</v>
          </cell>
          <cell r="J2762">
            <v>0</v>
          </cell>
        </row>
        <row r="2763">
          <cell r="B2763" t="str">
            <v>6-1114</v>
          </cell>
          <cell r="C2763" t="str">
            <v>Loss of Invesment</v>
          </cell>
          <cell r="D2763">
            <v>0</v>
          </cell>
          <cell r="E2763">
            <v>0</v>
          </cell>
          <cell r="F2763">
            <v>0</v>
          </cell>
          <cell r="G2763">
            <v>0</v>
          </cell>
          <cell r="H2763">
            <v>0</v>
          </cell>
          <cell r="I2763">
            <v>0</v>
          </cell>
          <cell r="J2763">
            <v>0</v>
          </cell>
        </row>
        <row r="2764">
          <cell r="B2764" t="str">
            <v>6-1115</v>
          </cell>
          <cell r="C2764" t="str">
            <v>Selisih kurang</v>
          </cell>
          <cell r="D2764">
            <v>0</v>
          </cell>
          <cell r="E2764">
            <v>0</v>
          </cell>
          <cell r="F2764">
            <v>1815044.18</v>
          </cell>
          <cell r="G2764">
            <v>0</v>
          </cell>
          <cell r="H2764">
            <v>1815044.18</v>
          </cell>
          <cell r="I2764">
            <v>1815044.18</v>
          </cell>
          <cell r="J2764">
            <v>0</v>
          </cell>
        </row>
        <row r="2765">
          <cell r="B2765" t="str">
            <v>6-1116</v>
          </cell>
          <cell r="C2765" t="str">
            <v>Pembulatan kurang</v>
          </cell>
          <cell r="D2765">
            <v>0</v>
          </cell>
          <cell r="E2765">
            <v>0</v>
          </cell>
          <cell r="F2765">
            <v>0</v>
          </cell>
          <cell r="G2765">
            <v>0</v>
          </cell>
          <cell r="H2765">
            <v>0</v>
          </cell>
          <cell r="I2765">
            <v>0</v>
          </cell>
          <cell r="J2765">
            <v>0</v>
          </cell>
        </row>
        <row r="2766">
          <cell r="B2766" t="str">
            <v>6-1117</v>
          </cell>
          <cell r="C2766" t="str">
            <v>Write off</v>
          </cell>
          <cell r="D2766">
            <v>196885930</v>
          </cell>
          <cell r="E2766">
            <v>0</v>
          </cell>
          <cell r="F2766">
            <v>18000</v>
          </cell>
          <cell r="G2766">
            <v>0</v>
          </cell>
          <cell r="H2766">
            <v>18000</v>
          </cell>
          <cell r="I2766">
            <v>196903930</v>
          </cell>
          <cell r="J2766">
            <v>0</v>
          </cell>
        </row>
        <row r="2767">
          <cell r="B2767" t="str">
            <v>6-1118</v>
          </cell>
          <cell r="C2767" t="str">
            <v>Interest Expense</v>
          </cell>
          <cell r="D2767">
            <v>582582.51</v>
          </cell>
          <cell r="E2767">
            <v>0</v>
          </cell>
          <cell r="F2767">
            <v>752193.58</v>
          </cell>
          <cell r="G2767">
            <v>0</v>
          </cell>
          <cell r="H2767">
            <v>752193.58</v>
          </cell>
          <cell r="I2767">
            <v>1334776.0900000001</v>
          </cell>
          <cell r="J2767">
            <v>0</v>
          </cell>
        </row>
        <row r="2768">
          <cell r="B2768" t="str">
            <v>6-1120</v>
          </cell>
          <cell r="C2768" t="str">
            <v>Fund-raiser 2 Expense</v>
          </cell>
          <cell r="D2768">
            <v>0</v>
          </cell>
          <cell r="E2768">
            <v>0</v>
          </cell>
          <cell r="F2768">
            <v>0</v>
          </cell>
          <cell r="G2768">
            <v>0</v>
          </cell>
          <cell r="H2768">
            <v>0</v>
          </cell>
          <cell r="I2768">
            <v>0</v>
          </cell>
          <cell r="J2768">
            <v>0</v>
          </cell>
        </row>
        <row r="2769">
          <cell r="B2769" t="str">
            <v>6-1210</v>
          </cell>
          <cell r="C2769" t="str">
            <v>CADANGAN PESANGON</v>
          </cell>
          <cell r="D2769">
            <v>0</v>
          </cell>
          <cell r="E2769">
            <v>0</v>
          </cell>
          <cell r="F2769">
            <v>0</v>
          </cell>
          <cell r="G2769">
            <v>0</v>
          </cell>
          <cell r="H2769">
            <v>0</v>
          </cell>
          <cell r="I2769">
            <v>0</v>
          </cell>
          <cell r="J2769">
            <v>0</v>
          </cell>
        </row>
        <row r="2770">
          <cell r="B2770" t="str">
            <v>6-1211</v>
          </cell>
          <cell r="C2770" t="str">
            <v>Cadangan pesangon</v>
          </cell>
          <cell r="D2770">
            <v>0</v>
          </cell>
          <cell r="E2770">
            <v>0</v>
          </cell>
          <cell r="F2770">
            <v>0</v>
          </cell>
          <cell r="G2770">
            <v>0</v>
          </cell>
          <cell r="H2770">
            <v>0</v>
          </cell>
          <cell r="I2770">
            <v>0</v>
          </cell>
          <cell r="J2770">
            <v>0</v>
          </cell>
        </row>
        <row r="2771">
          <cell r="B2771" t="str">
            <v>6-2520</v>
          </cell>
          <cell r="C2771" t="str">
            <v>Superannuation</v>
          </cell>
          <cell r="D2771">
            <v>0</v>
          </cell>
          <cell r="E2771">
            <v>0</v>
          </cell>
          <cell r="F2771">
            <v>0</v>
          </cell>
          <cell r="G2771">
            <v>0</v>
          </cell>
          <cell r="H2771">
            <v>0</v>
          </cell>
          <cell r="I2771">
            <v>0</v>
          </cell>
          <cell r="J2771">
            <v>0</v>
          </cell>
        </row>
        <row r="2772">
          <cell r="B2772" t="str">
            <v>6-2532</v>
          </cell>
          <cell r="C2772" t="str">
            <v>Salaries - Teachers</v>
          </cell>
          <cell r="D2772">
            <v>0</v>
          </cell>
          <cell r="E2772">
            <v>0</v>
          </cell>
          <cell r="F2772">
            <v>0</v>
          </cell>
          <cell r="G2772">
            <v>0</v>
          </cell>
          <cell r="H2772">
            <v>0</v>
          </cell>
          <cell r="I2772">
            <v>0</v>
          </cell>
          <cell r="J2772">
            <v>0</v>
          </cell>
        </row>
        <row r="2773">
          <cell r="B2773" t="str">
            <v>6-2550</v>
          </cell>
          <cell r="C2773" t="str">
            <v>Other Employer Expenses</v>
          </cell>
          <cell r="D2773">
            <v>0</v>
          </cell>
          <cell r="E2773">
            <v>0</v>
          </cell>
          <cell r="F2773">
            <v>0</v>
          </cell>
          <cell r="G2773">
            <v>0</v>
          </cell>
          <cell r="H2773">
            <v>0</v>
          </cell>
          <cell r="I2773">
            <v>0</v>
          </cell>
          <cell r="J2773">
            <v>0</v>
          </cell>
        </row>
        <row r="2774">
          <cell r="B2774" t="str">
            <v/>
          </cell>
          <cell r="C2774" t="str">
            <v/>
          </cell>
          <cell r="D2774">
            <v>0</v>
          </cell>
          <cell r="E2774">
            <v>0</v>
          </cell>
          <cell r="F2774">
            <v>0</v>
          </cell>
          <cell r="G2774">
            <v>0</v>
          </cell>
          <cell r="H2774">
            <v>0</v>
          </cell>
          <cell r="I2774">
            <v>0</v>
          </cell>
          <cell r="J2774">
            <v>0</v>
          </cell>
        </row>
        <row r="2775">
          <cell r="B2775" t="str">
            <v/>
          </cell>
          <cell r="C2775" t="str">
            <v/>
          </cell>
          <cell r="D2775">
            <v>0</v>
          </cell>
          <cell r="E2775" t="str">
            <v>Total:</v>
          </cell>
          <cell r="F2775">
            <v>14958068075.17</v>
          </cell>
          <cell r="G2775">
            <v>14958068075.17</v>
          </cell>
          <cell r="H2775">
            <v>0</v>
          </cell>
          <cell r="I2775">
            <v>0</v>
          </cell>
          <cell r="J2775">
            <v>0</v>
          </cell>
        </row>
        <row r="2776">
          <cell r="B2776">
            <v>0</v>
          </cell>
          <cell r="C2776">
            <v>0</v>
          </cell>
          <cell r="D2776">
            <v>0</v>
          </cell>
          <cell r="E2776">
            <v>0</v>
          </cell>
          <cell r="F2776">
            <v>0</v>
          </cell>
          <cell r="G2776">
            <v>0</v>
          </cell>
          <cell r="H2776">
            <v>0</v>
          </cell>
          <cell r="I2776">
            <v>0</v>
          </cell>
          <cell r="J2776">
            <v>0</v>
          </cell>
        </row>
        <row r="2777">
          <cell r="B2777">
            <v>0</v>
          </cell>
          <cell r="C2777">
            <v>0</v>
          </cell>
          <cell r="D2777">
            <v>0</v>
          </cell>
          <cell r="E2777">
            <v>0</v>
          </cell>
          <cell r="F2777">
            <v>0</v>
          </cell>
          <cell r="G2777">
            <v>0</v>
          </cell>
          <cell r="H2777">
            <v>0</v>
          </cell>
          <cell r="I2777">
            <v>0</v>
          </cell>
          <cell r="J2777">
            <v>0</v>
          </cell>
        </row>
        <row r="2778">
          <cell r="B2778">
            <v>0</v>
          </cell>
          <cell r="C2778">
            <v>0</v>
          </cell>
          <cell r="D2778">
            <v>0</v>
          </cell>
          <cell r="E2778">
            <v>0</v>
          </cell>
          <cell r="F2778">
            <v>0</v>
          </cell>
          <cell r="G2778">
            <v>0</v>
          </cell>
          <cell r="H2778">
            <v>0</v>
          </cell>
          <cell r="I2778">
            <v>0</v>
          </cell>
          <cell r="J2778">
            <v>0</v>
          </cell>
        </row>
        <row r="2779">
          <cell r="B2779">
            <v>0</v>
          </cell>
          <cell r="C2779">
            <v>0</v>
          </cell>
          <cell r="D2779">
            <v>0</v>
          </cell>
          <cell r="E2779">
            <v>0</v>
          </cell>
          <cell r="F2779">
            <v>0</v>
          </cell>
          <cell r="G2779">
            <v>0</v>
          </cell>
          <cell r="H2779">
            <v>0</v>
          </cell>
          <cell r="I2779">
            <v>0</v>
          </cell>
          <cell r="J2779">
            <v>0</v>
          </cell>
        </row>
        <row r="2780">
          <cell r="B2780">
            <v>0</v>
          </cell>
          <cell r="C2780">
            <v>0</v>
          </cell>
          <cell r="D2780">
            <v>0</v>
          </cell>
          <cell r="E2780">
            <v>0</v>
          </cell>
          <cell r="F2780">
            <v>0</v>
          </cell>
          <cell r="G2780">
            <v>0</v>
          </cell>
          <cell r="H2780">
            <v>0</v>
          </cell>
          <cell r="I2780">
            <v>0</v>
          </cell>
          <cell r="J2780">
            <v>0</v>
          </cell>
        </row>
        <row r="2781">
          <cell r="B2781">
            <v>0</v>
          </cell>
          <cell r="C2781">
            <v>0</v>
          </cell>
          <cell r="D2781">
            <v>0</v>
          </cell>
          <cell r="E2781">
            <v>0</v>
          </cell>
          <cell r="F2781">
            <v>0</v>
          </cell>
          <cell r="G2781">
            <v>0</v>
          </cell>
          <cell r="H2781">
            <v>0</v>
          </cell>
          <cell r="I2781">
            <v>0</v>
          </cell>
          <cell r="J2781">
            <v>0</v>
          </cell>
        </row>
        <row r="2782">
          <cell r="B2782">
            <v>0</v>
          </cell>
          <cell r="C2782">
            <v>0</v>
          </cell>
          <cell r="D2782">
            <v>0</v>
          </cell>
          <cell r="E2782">
            <v>0</v>
          </cell>
          <cell r="F2782">
            <v>0</v>
          </cell>
          <cell r="G2782">
            <v>0</v>
          </cell>
          <cell r="H2782">
            <v>0</v>
          </cell>
          <cell r="I2782">
            <v>0</v>
          </cell>
          <cell r="J2782">
            <v>0</v>
          </cell>
        </row>
        <row r="2783">
          <cell r="B2783">
            <v>0</v>
          </cell>
          <cell r="C2783">
            <v>0</v>
          </cell>
          <cell r="D2783">
            <v>0</v>
          </cell>
          <cell r="E2783">
            <v>0</v>
          </cell>
          <cell r="F2783">
            <v>0</v>
          </cell>
          <cell r="G2783">
            <v>0</v>
          </cell>
          <cell r="H2783">
            <v>0</v>
          </cell>
          <cell r="I2783">
            <v>0</v>
          </cell>
          <cell r="J2783">
            <v>0</v>
          </cell>
        </row>
        <row r="2784">
          <cell r="B2784">
            <v>0</v>
          </cell>
          <cell r="C2784">
            <v>0</v>
          </cell>
          <cell r="D2784">
            <v>0</v>
          </cell>
          <cell r="E2784">
            <v>0</v>
          </cell>
          <cell r="F2784">
            <v>0</v>
          </cell>
          <cell r="G2784">
            <v>0</v>
          </cell>
          <cell r="H2784">
            <v>0</v>
          </cell>
          <cell r="I2784">
            <v>0</v>
          </cell>
          <cell r="J2784">
            <v>0</v>
          </cell>
        </row>
        <row r="2785">
          <cell r="B2785">
            <v>0</v>
          </cell>
          <cell r="C2785">
            <v>0</v>
          </cell>
          <cell r="D2785">
            <v>0</v>
          </cell>
          <cell r="E2785">
            <v>0</v>
          </cell>
          <cell r="F2785">
            <v>0</v>
          </cell>
          <cell r="G2785">
            <v>0</v>
          </cell>
          <cell r="H2785">
            <v>0</v>
          </cell>
          <cell r="I2785">
            <v>0</v>
          </cell>
          <cell r="J2785">
            <v>0</v>
          </cell>
        </row>
        <row r="2786">
          <cell r="B2786">
            <v>0</v>
          </cell>
          <cell r="C2786">
            <v>0</v>
          </cell>
          <cell r="D2786">
            <v>0</v>
          </cell>
          <cell r="E2786">
            <v>0</v>
          </cell>
          <cell r="F2786">
            <v>0</v>
          </cell>
          <cell r="G2786">
            <v>0</v>
          </cell>
          <cell r="H2786">
            <v>0</v>
          </cell>
          <cell r="I2786">
            <v>0</v>
          </cell>
          <cell r="J2786">
            <v>0</v>
          </cell>
        </row>
        <row r="2787">
          <cell r="B2787">
            <v>0</v>
          </cell>
          <cell r="C2787">
            <v>0</v>
          </cell>
          <cell r="D2787">
            <v>0</v>
          </cell>
          <cell r="E2787">
            <v>0</v>
          </cell>
          <cell r="F2787">
            <v>0</v>
          </cell>
          <cell r="G2787">
            <v>0</v>
          </cell>
          <cell r="H2787">
            <v>0</v>
          </cell>
          <cell r="I2787">
            <v>0</v>
          </cell>
          <cell r="J2787">
            <v>0</v>
          </cell>
        </row>
        <row r="2788">
          <cell r="B2788">
            <v>0</v>
          </cell>
          <cell r="C2788">
            <v>0</v>
          </cell>
          <cell r="D2788">
            <v>0</v>
          </cell>
          <cell r="E2788">
            <v>0</v>
          </cell>
          <cell r="F2788">
            <v>0</v>
          </cell>
          <cell r="G2788">
            <v>0</v>
          </cell>
          <cell r="H2788">
            <v>0</v>
          </cell>
          <cell r="I2788">
            <v>0</v>
          </cell>
          <cell r="J2788">
            <v>0</v>
          </cell>
        </row>
        <row r="2789">
          <cell r="B2789">
            <v>0</v>
          </cell>
          <cell r="C2789">
            <v>0</v>
          </cell>
          <cell r="D2789">
            <v>0</v>
          </cell>
          <cell r="E2789">
            <v>0</v>
          </cell>
          <cell r="F2789">
            <v>0</v>
          </cell>
          <cell r="G2789">
            <v>0</v>
          </cell>
          <cell r="H2789">
            <v>0</v>
          </cell>
          <cell r="I2789">
            <v>0</v>
          </cell>
          <cell r="J2789">
            <v>0</v>
          </cell>
        </row>
        <row r="2790">
          <cell r="B2790">
            <v>0</v>
          </cell>
          <cell r="C2790">
            <v>0</v>
          </cell>
          <cell r="D2790">
            <v>0</v>
          </cell>
          <cell r="E2790">
            <v>0</v>
          </cell>
          <cell r="F2790">
            <v>0</v>
          </cell>
          <cell r="G2790">
            <v>0</v>
          </cell>
          <cell r="H2790">
            <v>0</v>
          </cell>
          <cell r="I2790">
            <v>0</v>
          </cell>
          <cell r="J2790">
            <v>0</v>
          </cell>
        </row>
        <row r="2791">
          <cell r="B2791">
            <v>0</v>
          </cell>
          <cell r="C2791">
            <v>0</v>
          </cell>
          <cell r="D2791">
            <v>0</v>
          </cell>
          <cell r="E2791">
            <v>0</v>
          </cell>
          <cell r="F2791">
            <v>0</v>
          </cell>
          <cell r="G2791">
            <v>0</v>
          </cell>
          <cell r="H2791">
            <v>0</v>
          </cell>
          <cell r="I2791">
            <v>0</v>
          </cell>
          <cell r="J2791">
            <v>0</v>
          </cell>
        </row>
        <row r="2792">
          <cell r="B2792">
            <v>0</v>
          </cell>
          <cell r="C2792">
            <v>0</v>
          </cell>
          <cell r="D2792">
            <v>0</v>
          </cell>
          <cell r="E2792">
            <v>0</v>
          </cell>
          <cell r="F2792">
            <v>0</v>
          </cell>
          <cell r="G2792">
            <v>0</v>
          </cell>
          <cell r="H2792">
            <v>0</v>
          </cell>
          <cell r="I2792">
            <v>0</v>
          </cell>
          <cell r="J2792">
            <v>0</v>
          </cell>
        </row>
        <row r="2793">
          <cell r="B2793">
            <v>0</v>
          </cell>
          <cell r="C2793">
            <v>0</v>
          </cell>
          <cell r="D2793">
            <v>0</v>
          </cell>
          <cell r="E2793">
            <v>0</v>
          </cell>
          <cell r="F2793">
            <v>0</v>
          </cell>
          <cell r="G2793">
            <v>0</v>
          </cell>
          <cell r="H2793">
            <v>0</v>
          </cell>
          <cell r="I2793">
            <v>0</v>
          </cell>
          <cell r="J2793">
            <v>0</v>
          </cell>
        </row>
        <row r="2794">
          <cell r="B2794">
            <v>0</v>
          </cell>
          <cell r="C2794">
            <v>0</v>
          </cell>
          <cell r="D2794">
            <v>0</v>
          </cell>
          <cell r="E2794">
            <v>0</v>
          </cell>
          <cell r="F2794">
            <v>0</v>
          </cell>
          <cell r="G2794">
            <v>0</v>
          </cell>
          <cell r="H2794">
            <v>0</v>
          </cell>
          <cell r="I2794">
            <v>0</v>
          </cell>
          <cell r="J2794">
            <v>0</v>
          </cell>
        </row>
        <row r="2795">
          <cell r="B2795">
            <v>0</v>
          </cell>
          <cell r="C2795">
            <v>0</v>
          </cell>
          <cell r="D2795">
            <v>0</v>
          </cell>
          <cell r="E2795">
            <v>0</v>
          </cell>
          <cell r="F2795">
            <v>0</v>
          </cell>
          <cell r="G2795">
            <v>0</v>
          </cell>
          <cell r="H2795">
            <v>0</v>
          </cell>
          <cell r="I2795">
            <v>0</v>
          </cell>
          <cell r="J2795">
            <v>0</v>
          </cell>
        </row>
        <row r="2796">
          <cell r="B2796">
            <v>0</v>
          </cell>
          <cell r="C2796">
            <v>0</v>
          </cell>
          <cell r="D2796">
            <v>0</v>
          </cell>
          <cell r="E2796">
            <v>0</v>
          </cell>
          <cell r="F2796">
            <v>0</v>
          </cell>
          <cell r="G2796">
            <v>0</v>
          </cell>
          <cell r="H2796">
            <v>0</v>
          </cell>
          <cell r="I2796">
            <v>0</v>
          </cell>
          <cell r="J2796">
            <v>0</v>
          </cell>
        </row>
        <row r="2797">
          <cell r="B2797">
            <v>0</v>
          </cell>
          <cell r="C2797">
            <v>0</v>
          </cell>
          <cell r="D2797">
            <v>0</v>
          </cell>
          <cell r="E2797">
            <v>0</v>
          </cell>
          <cell r="F2797">
            <v>0</v>
          </cell>
          <cell r="G2797">
            <v>0</v>
          </cell>
          <cell r="H2797">
            <v>0</v>
          </cell>
          <cell r="I2797">
            <v>0</v>
          </cell>
          <cell r="J2797">
            <v>0</v>
          </cell>
        </row>
        <row r="2798">
          <cell r="B2798">
            <v>0</v>
          </cell>
          <cell r="C2798">
            <v>0</v>
          </cell>
          <cell r="D2798">
            <v>0</v>
          </cell>
          <cell r="E2798">
            <v>0</v>
          </cell>
          <cell r="F2798">
            <v>0</v>
          </cell>
          <cell r="G2798">
            <v>0</v>
          </cell>
          <cell r="H2798">
            <v>0</v>
          </cell>
          <cell r="I2798">
            <v>0</v>
          </cell>
          <cell r="J2798">
            <v>0</v>
          </cell>
        </row>
        <row r="2799">
          <cell r="B2799">
            <v>0</v>
          </cell>
          <cell r="C2799">
            <v>0</v>
          </cell>
          <cell r="D2799">
            <v>0</v>
          </cell>
          <cell r="E2799">
            <v>0</v>
          </cell>
          <cell r="F2799">
            <v>0</v>
          </cell>
          <cell r="G2799">
            <v>0</v>
          </cell>
          <cell r="H2799">
            <v>0</v>
          </cell>
          <cell r="I2799">
            <v>0</v>
          </cell>
          <cell r="J2799">
            <v>0</v>
          </cell>
        </row>
        <row r="2800">
          <cell r="B2800">
            <v>0</v>
          </cell>
          <cell r="C2800">
            <v>0</v>
          </cell>
          <cell r="D2800">
            <v>0</v>
          </cell>
          <cell r="E2800">
            <v>0</v>
          </cell>
          <cell r="F2800">
            <v>0</v>
          </cell>
          <cell r="G2800">
            <v>0</v>
          </cell>
          <cell r="H2800">
            <v>0</v>
          </cell>
          <cell r="I2800">
            <v>0</v>
          </cell>
          <cell r="J2800">
            <v>0</v>
          </cell>
        </row>
        <row r="2801">
          <cell r="B2801">
            <v>0</v>
          </cell>
          <cell r="C2801">
            <v>0</v>
          </cell>
          <cell r="D2801">
            <v>0</v>
          </cell>
          <cell r="E2801">
            <v>0</v>
          </cell>
          <cell r="F2801">
            <v>0</v>
          </cell>
          <cell r="G2801">
            <v>0</v>
          </cell>
          <cell r="H2801">
            <v>0</v>
          </cell>
          <cell r="I2801">
            <v>0</v>
          </cell>
          <cell r="J2801">
            <v>0</v>
          </cell>
        </row>
        <row r="2802">
          <cell r="B2802">
            <v>0</v>
          </cell>
          <cell r="C2802">
            <v>0</v>
          </cell>
          <cell r="D2802">
            <v>0</v>
          </cell>
          <cell r="E2802">
            <v>0</v>
          </cell>
          <cell r="F2802">
            <v>0</v>
          </cell>
          <cell r="G2802">
            <v>0</v>
          </cell>
          <cell r="H2802">
            <v>0</v>
          </cell>
          <cell r="I2802">
            <v>0</v>
          </cell>
          <cell r="J2802">
            <v>0</v>
          </cell>
        </row>
        <row r="2803">
          <cell r="B2803">
            <v>0</v>
          </cell>
          <cell r="C2803">
            <v>0</v>
          </cell>
          <cell r="D2803">
            <v>0</v>
          </cell>
          <cell r="E2803">
            <v>0</v>
          </cell>
          <cell r="F2803">
            <v>0</v>
          </cell>
          <cell r="G2803">
            <v>0</v>
          </cell>
          <cell r="H2803">
            <v>0</v>
          </cell>
          <cell r="I2803">
            <v>0</v>
          </cell>
          <cell r="J2803">
            <v>0</v>
          </cell>
        </row>
        <row r="2804">
          <cell r="B2804">
            <v>0</v>
          </cell>
          <cell r="C2804">
            <v>0</v>
          </cell>
          <cell r="D2804">
            <v>0</v>
          </cell>
          <cell r="E2804">
            <v>0</v>
          </cell>
          <cell r="F2804">
            <v>0</v>
          </cell>
          <cell r="G2804">
            <v>0</v>
          </cell>
          <cell r="H2804">
            <v>0</v>
          </cell>
          <cell r="I2804">
            <v>0</v>
          </cell>
          <cell r="J2804">
            <v>0</v>
          </cell>
        </row>
        <row r="2805">
          <cell r="B2805">
            <v>0</v>
          </cell>
          <cell r="C2805">
            <v>0</v>
          </cell>
          <cell r="D2805">
            <v>0</v>
          </cell>
          <cell r="E2805">
            <v>0</v>
          </cell>
          <cell r="F2805">
            <v>0</v>
          </cell>
          <cell r="G2805">
            <v>0</v>
          </cell>
          <cell r="H2805">
            <v>0</v>
          </cell>
          <cell r="I2805">
            <v>0</v>
          </cell>
          <cell r="J2805">
            <v>0</v>
          </cell>
        </row>
        <row r="2806">
          <cell r="B2806">
            <v>0</v>
          </cell>
          <cell r="C2806">
            <v>0</v>
          </cell>
          <cell r="D2806">
            <v>0</v>
          </cell>
          <cell r="E2806">
            <v>0</v>
          </cell>
          <cell r="F2806">
            <v>0</v>
          </cell>
          <cell r="G2806">
            <v>0</v>
          </cell>
          <cell r="H2806">
            <v>0</v>
          </cell>
          <cell r="I2806">
            <v>0</v>
          </cell>
          <cell r="J2806">
            <v>0</v>
          </cell>
        </row>
        <row r="2807">
          <cell r="B2807">
            <v>0</v>
          </cell>
          <cell r="C2807">
            <v>0</v>
          </cell>
          <cell r="D2807">
            <v>0</v>
          </cell>
          <cell r="E2807">
            <v>0</v>
          </cell>
          <cell r="F2807">
            <v>0</v>
          </cell>
          <cell r="G2807">
            <v>0</v>
          </cell>
          <cell r="H2807">
            <v>0</v>
          </cell>
          <cell r="I2807">
            <v>0</v>
          </cell>
          <cell r="J2807">
            <v>0</v>
          </cell>
        </row>
        <row r="2808">
          <cell r="B2808">
            <v>0</v>
          </cell>
          <cell r="C2808">
            <v>0</v>
          </cell>
          <cell r="D2808">
            <v>0</v>
          </cell>
          <cell r="E2808">
            <v>0</v>
          </cell>
          <cell r="F2808">
            <v>0</v>
          </cell>
          <cell r="G2808">
            <v>0</v>
          </cell>
          <cell r="H2808">
            <v>0</v>
          </cell>
          <cell r="I2808">
            <v>0</v>
          </cell>
          <cell r="J2808">
            <v>0</v>
          </cell>
        </row>
        <row r="2809">
          <cell r="B2809">
            <v>0</v>
          </cell>
          <cell r="C2809">
            <v>0</v>
          </cell>
          <cell r="D2809">
            <v>0</v>
          </cell>
          <cell r="E2809">
            <v>0</v>
          </cell>
          <cell r="F2809">
            <v>0</v>
          </cell>
          <cell r="G2809">
            <v>0</v>
          </cell>
          <cell r="H2809">
            <v>0</v>
          </cell>
          <cell r="I2809">
            <v>0</v>
          </cell>
          <cell r="J2809">
            <v>0</v>
          </cell>
        </row>
        <row r="2810">
          <cell r="B2810">
            <v>0</v>
          </cell>
          <cell r="C2810">
            <v>0</v>
          </cell>
          <cell r="D2810">
            <v>0</v>
          </cell>
          <cell r="E2810">
            <v>0</v>
          </cell>
          <cell r="F2810">
            <v>0</v>
          </cell>
          <cell r="G2810">
            <v>0</v>
          </cell>
          <cell r="H2810">
            <v>0</v>
          </cell>
          <cell r="I2810">
            <v>0</v>
          </cell>
          <cell r="J2810">
            <v>0</v>
          </cell>
        </row>
        <row r="2811">
          <cell r="B2811">
            <v>0</v>
          </cell>
          <cell r="C2811">
            <v>0</v>
          </cell>
          <cell r="D2811">
            <v>0</v>
          </cell>
          <cell r="E2811">
            <v>0</v>
          </cell>
          <cell r="F2811">
            <v>0</v>
          </cell>
          <cell r="G2811">
            <v>0</v>
          </cell>
          <cell r="H2811">
            <v>0</v>
          </cell>
          <cell r="I2811">
            <v>0</v>
          </cell>
          <cell r="J2811">
            <v>0</v>
          </cell>
        </row>
        <row r="2812">
          <cell r="B2812">
            <v>0</v>
          </cell>
          <cell r="C2812">
            <v>0</v>
          </cell>
          <cell r="D2812">
            <v>0</v>
          </cell>
          <cell r="E2812">
            <v>0</v>
          </cell>
          <cell r="F2812">
            <v>0</v>
          </cell>
          <cell r="G2812">
            <v>0</v>
          </cell>
          <cell r="H2812">
            <v>0</v>
          </cell>
          <cell r="I2812">
            <v>0</v>
          </cell>
          <cell r="J2812">
            <v>0</v>
          </cell>
        </row>
        <row r="2813">
          <cell r="B2813">
            <v>0</v>
          </cell>
          <cell r="C2813">
            <v>0</v>
          </cell>
          <cell r="D2813">
            <v>0</v>
          </cell>
          <cell r="E2813">
            <v>0</v>
          </cell>
          <cell r="F2813">
            <v>0</v>
          </cell>
          <cell r="G2813">
            <v>0</v>
          </cell>
          <cell r="H2813">
            <v>0</v>
          </cell>
          <cell r="I2813">
            <v>0</v>
          </cell>
          <cell r="J2813">
            <v>0</v>
          </cell>
        </row>
        <row r="2814">
          <cell r="B2814">
            <v>0</v>
          </cell>
          <cell r="C2814">
            <v>0</v>
          </cell>
          <cell r="D2814">
            <v>0</v>
          </cell>
          <cell r="E2814">
            <v>0</v>
          </cell>
          <cell r="F2814">
            <v>0</v>
          </cell>
          <cell r="G2814">
            <v>0</v>
          </cell>
          <cell r="H2814">
            <v>0</v>
          </cell>
          <cell r="I2814">
            <v>0</v>
          </cell>
          <cell r="J2814">
            <v>0</v>
          </cell>
        </row>
        <row r="2815">
          <cell r="B2815">
            <v>0</v>
          </cell>
          <cell r="C2815">
            <v>0</v>
          </cell>
          <cell r="D2815">
            <v>0</v>
          </cell>
          <cell r="E2815">
            <v>0</v>
          </cell>
          <cell r="F2815">
            <v>0</v>
          </cell>
          <cell r="G2815">
            <v>0</v>
          </cell>
          <cell r="H2815">
            <v>0</v>
          </cell>
          <cell r="I2815">
            <v>0</v>
          </cell>
          <cell r="J2815">
            <v>0</v>
          </cell>
        </row>
        <row r="2816">
          <cell r="B2816">
            <v>0</v>
          </cell>
          <cell r="C2816">
            <v>0</v>
          </cell>
          <cell r="D2816">
            <v>0</v>
          </cell>
          <cell r="E2816">
            <v>0</v>
          </cell>
          <cell r="F2816">
            <v>0</v>
          </cell>
          <cell r="G2816">
            <v>0</v>
          </cell>
          <cell r="H2816">
            <v>0</v>
          </cell>
          <cell r="I2816">
            <v>0</v>
          </cell>
          <cell r="J2816">
            <v>0</v>
          </cell>
        </row>
        <row r="2817">
          <cell r="B2817">
            <v>0</v>
          </cell>
          <cell r="C2817">
            <v>0</v>
          </cell>
          <cell r="D2817">
            <v>0</v>
          </cell>
          <cell r="E2817">
            <v>0</v>
          </cell>
          <cell r="F2817">
            <v>0</v>
          </cell>
          <cell r="G2817">
            <v>0</v>
          </cell>
          <cell r="H2817">
            <v>0</v>
          </cell>
          <cell r="I2817">
            <v>0</v>
          </cell>
          <cell r="J2817">
            <v>0</v>
          </cell>
        </row>
        <row r="2818">
          <cell r="B2818">
            <v>0</v>
          </cell>
          <cell r="C2818">
            <v>0</v>
          </cell>
          <cell r="D2818">
            <v>0</v>
          </cell>
          <cell r="E2818">
            <v>0</v>
          </cell>
          <cell r="F2818">
            <v>0</v>
          </cell>
          <cell r="G2818">
            <v>0</v>
          </cell>
          <cell r="H2818">
            <v>0</v>
          </cell>
          <cell r="I2818">
            <v>0</v>
          </cell>
          <cell r="J2818">
            <v>0</v>
          </cell>
        </row>
        <row r="2819">
          <cell r="B2819">
            <v>0</v>
          </cell>
          <cell r="C2819">
            <v>0</v>
          </cell>
          <cell r="D2819">
            <v>0</v>
          </cell>
          <cell r="E2819">
            <v>0</v>
          </cell>
          <cell r="F2819">
            <v>0</v>
          </cell>
          <cell r="G2819">
            <v>0</v>
          </cell>
          <cell r="H2819">
            <v>0</v>
          </cell>
          <cell r="I2819">
            <v>0</v>
          </cell>
          <cell r="J2819">
            <v>0</v>
          </cell>
        </row>
        <row r="2820">
          <cell r="B2820">
            <v>0</v>
          </cell>
          <cell r="C2820">
            <v>0</v>
          </cell>
          <cell r="D2820">
            <v>0</v>
          </cell>
          <cell r="E2820">
            <v>0</v>
          </cell>
          <cell r="F2820">
            <v>0</v>
          </cell>
          <cell r="G2820">
            <v>0</v>
          </cell>
          <cell r="H2820">
            <v>0</v>
          </cell>
          <cell r="I2820">
            <v>0</v>
          </cell>
          <cell r="J2820">
            <v>0</v>
          </cell>
        </row>
        <row r="2821">
          <cell r="B2821">
            <v>0</v>
          </cell>
          <cell r="C2821">
            <v>0</v>
          </cell>
          <cell r="D2821">
            <v>0</v>
          </cell>
          <cell r="E2821">
            <v>0</v>
          </cell>
          <cell r="F2821">
            <v>0</v>
          </cell>
          <cell r="G2821">
            <v>0</v>
          </cell>
          <cell r="H2821">
            <v>0</v>
          </cell>
          <cell r="I2821">
            <v>0</v>
          </cell>
          <cell r="J2821">
            <v>0</v>
          </cell>
        </row>
        <row r="2822">
          <cell r="B2822">
            <v>0</v>
          </cell>
          <cell r="C2822">
            <v>0</v>
          </cell>
          <cell r="D2822">
            <v>0</v>
          </cell>
          <cell r="E2822">
            <v>0</v>
          </cell>
          <cell r="F2822">
            <v>0</v>
          </cell>
          <cell r="G2822">
            <v>0</v>
          </cell>
          <cell r="H2822">
            <v>0</v>
          </cell>
          <cell r="I2822">
            <v>0</v>
          </cell>
          <cell r="J2822">
            <v>0</v>
          </cell>
        </row>
        <row r="2823">
          <cell r="B2823">
            <v>0</v>
          </cell>
          <cell r="C2823">
            <v>0</v>
          </cell>
          <cell r="D2823">
            <v>0</v>
          </cell>
          <cell r="E2823">
            <v>0</v>
          </cell>
          <cell r="F2823">
            <v>0</v>
          </cell>
          <cell r="G2823">
            <v>0</v>
          </cell>
          <cell r="H2823">
            <v>0</v>
          </cell>
          <cell r="I2823">
            <v>0</v>
          </cell>
          <cell r="J2823">
            <v>0</v>
          </cell>
        </row>
        <row r="2824">
          <cell r="B2824">
            <v>0</v>
          </cell>
          <cell r="C2824">
            <v>0</v>
          </cell>
          <cell r="D2824">
            <v>0</v>
          </cell>
          <cell r="E2824">
            <v>0</v>
          </cell>
          <cell r="F2824">
            <v>0</v>
          </cell>
          <cell r="G2824">
            <v>0</v>
          </cell>
          <cell r="H2824">
            <v>0</v>
          </cell>
          <cell r="I2824">
            <v>0</v>
          </cell>
          <cell r="J2824">
            <v>0</v>
          </cell>
        </row>
        <row r="2825">
          <cell r="B2825">
            <v>0</v>
          </cell>
          <cell r="C2825">
            <v>0</v>
          </cell>
          <cell r="D2825">
            <v>0</v>
          </cell>
          <cell r="E2825">
            <v>0</v>
          </cell>
          <cell r="F2825">
            <v>0</v>
          </cell>
          <cell r="G2825">
            <v>0</v>
          </cell>
          <cell r="H2825">
            <v>0</v>
          </cell>
          <cell r="I2825">
            <v>0</v>
          </cell>
          <cell r="J2825">
            <v>0</v>
          </cell>
        </row>
        <row r="2826">
          <cell r="B2826">
            <v>0</v>
          </cell>
          <cell r="C2826">
            <v>0</v>
          </cell>
          <cell r="D2826">
            <v>0</v>
          </cell>
          <cell r="E2826">
            <v>0</v>
          </cell>
          <cell r="F2826">
            <v>0</v>
          </cell>
          <cell r="G2826">
            <v>0</v>
          </cell>
          <cell r="H2826">
            <v>0</v>
          </cell>
          <cell r="I2826">
            <v>0</v>
          </cell>
          <cell r="J2826">
            <v>0</v>
          </cell>
        </row>
        <row r="2827">
          <cell r="B2827">
            <v>0</v>
          </cell>
          <cell r="C2827">
            <v>0</v>
          </cell>
          <cell r="D2827">
            <v>0</v>
          </cell>
          <cell r="E2827">
            <v>0</v>
          </cell>
          <cell r="F2827">
            <v>0</v>
          </cell>
          <cell r="G2827">
            <v>0</v>
          </cell>
          <cell r="H2827">
            <v>0</v>
          </cell>
          <cell r="I2827">
            <v>0</v>
          </cell>
          <cell r="J2827">
            <v>0</v>
          </cell>
        </row>
        <row r="2828">
          <cell r="B2828">
            <v>0</v>
          </cell>
          <cell r="C2828">
            <v>0</v>
          </cell>
          <cell r="D2828">
            <v>0</v>
          </cell>
          <cell r="E2828">
            <v>0</v>
          </cell>
          <cell r="F2828">
            <v>0</v>
          </cell>
          <cell r="G2828">
            <v>0</v>
          </cell>
          <cell r="H2828">
            <v>0</v>
          </cell>
          <cell r="I2828">
            <v>0</v>
          </cell>
          <cell r="J2828">
            <v>0</v>
          </cell>
        </row>
        <row r="2829">
          <cell r="B2829">
            <v>0</v>
          </cell>
          <cell r="C2829">
            <v>0</v>
          </cell>
          <cell r="D2829">
            <v>0</v>
          </cell>
          <cell r="E2829">
            <v>0</v>
          </cell>
          <cell r="F2829">
            <v>0</v>
          </cell>
          <cell r="G2829">
            <v>0</v>
          </cell>
          <cell r="H2829">
            <v>0</v>
          </cell>
          <cell r="I2829">
            <v>0</v>
          </cell>
          <cell r="J2829">
            <v>0</v>
          </cell>
        </row>
        <row r="2830">
          <cell r="B2830">
            <v>0</v>
          </cell>
          <cell r="C2830">
            <v>0</v>
          </cell>
          <cell r="D2830">
            <v>0</v>
          </cell>
          <cell r="E2830">
            <v>0</v>
          </cell>
          <cell r="F2830">
            <v>0</v>
          </cell>
          <cell r="G2830">
            <v>0</v>
          </cell>
          <cell r="H2830">
            <v>0</v>
          </cell>
          <cell r="I2830">
            <v>0</v>
          </cell>
          <cell r="J2830">
            <v>0</v>
          </cell>
        </row>
        <row r="2831">
          <cell r="B2831">
            <v>0</v>
          </cell>
          <cell r="C2831">
            <v>0</v>
          </cell>
          <cell r="D2831">
            <v>0</v>
          </cell>
          <cell r="E2831">
            <v>0</v>
          </cell>
          <cell r="F2831">
            <v>0</v>
          </cell>
          <cell r="G2831">
            <v>0</v>
          </cell>
          <cell r="H2831">
            <v>0</v>
          </cell>
          <cell r="I2831">
            <v>0</v>
          </cell>
          <cell r="J2831">
            <v>0</v>
          </cell>
        </row>
        <row r="2832">
          <cell r="B2832">
            <v>0</v>
          </cell>
          <cell r="C2832">
            <v>0</v>
          </cell>
          <cell r="D2832">
            <v>0</v>
          </cell>
          <cell r="E2832">
            <v>0</v>
          </cell>
          <cell r="F2832">
            <v>0</v>
          </cell>
          <cell r="G2832">
            <v>0</v>
          </cell>
          <cell r="H2832">
            <v>0</v>
          </cell>
          <cell r="I2832">
            <v>0</v>
          </cell>
          <cell r="J2832">
            <v>0</v>
          </cell>
        </row>
        <row r="2833">
          <cell r="B2833">
            <v>0</v>
          </cell>
          <cell r="C2833">
            <v>0</v>
          </cell>
          <cell r="D2833">
            <v>0</v>
          </cell>
          <cell r="E2833">
            <v>0</v>
          </cell>
          <cell r="F2833">
            <v>0</v>
          </cell>
          <cell r="G2833">
            <v>0</v>
          </cell>
          <cell r="H2833">
            <v>0</v>
          </cell>
          <cell r="I2833">
            <v>0</v>
          </cell>
          <cell r="J2833">
            <v>0</v>
          </cell>
        </row>
        <row r="2834">
          <cell r="B2834">
            <v>0</v>
          </cell>
          <cell r="C2834">
            <v>0</v>
          </cell>
          <cell r="D2834">
            <v>0</v>
          </cell>
          <cell r="E2834">
            <v>0</v>
          </cell>
          <cell r="F2834">
            <v>0</v>
          </cell>
          <cell r="G2834">
            <v>0</v>
          </cell>
          <cell r="H2834">
            <v>0</v>
          </cell>
          <cell r="I2834">
            <v>0</v>
          </cell>
          <cell r="J2834">
            <v>0</v>
          </cell>
        </row>
        <row r="2835">
          <cell r="B2835">
            <v>0</v>
          </cell>
          <cell r="C2835">
            <v>0</v>
          </cell>
          <cell r="D2835">
            <v>0</v>
          </cell>
          <cell r="E2835">
            <v>0</v>
          </cell>
          <cell r="F2835">
            <v>0</v>
          </cell>
          <cell r="G2835">
            <v>0</v>
          </cell>
          <cell r="H2835">
            <v>0</v>
          </cell>
          <cell r="I2835">
            <v>0</v>
          </cell>
          <cell r="J2835">
            <v>0</v>
          </cell>
        </row>
        <row r="2836">
          <cell r="B2836">
            <v>0</v>
          </cell>
          <cell r="C2836">
            <v>0</v>
          </cell>
          <cell r="D2836">
            <v>0</v>
          </cell>
          <cell r="E2836">
            <v>0</v>
          </cell>
          <cell r="F2836">
            <v>0</v>
          </cell>
          <cell r="G2836">
            <v>0</v>
          </cell>
          <cell r="H2836">
            <v>0</v>
          </cell>
          <cell r="I2836">
            <v>0</v>
          </cell>
          <cell r="J2836">
            <v>0</v>
          </cell>
        </row>
        <row r="2837">
          <cell r="B2837">
            <v>0</v>
          </cell>
          <cell r="C2837">
            <v>0</v>
          </cell>
          <cell r="D2837">
            <v>0</v>
          </cell>
          <cell r="E2837">
            <v>0</v>
          </cell>
          <cell r="F2837">
            <v>0</v>
          </cell>
          <cell r="G2837">
            <v>0</v>
          </cell>
          <cell r="H2837">
            <v>0</v>
          </cell>
          <cell r="I2837">
            <v>0</v>
          </cell>
          <cell r="J2837">
            <v>0</v>
          </cell>
        </row>
        <row r="2838">
          <cell r="B2838">
            <v>0</v>
          </cell>
          <cell r="C2838">
            <v>0</v>
          </cell>
          <cell r="D2838">
            <v>0</v>
          </cell>
          <cell r="E2838">
            <v>0</v>
          </cell>
          <cell r="F2838">
            <v>0</v>
          </cell>
          <cell r="G2838">
            <v>0</v>
          </cell>
          <cell r="H2838">
            <v>0</v>
          </cell>
          <cell r="I2838">
            <v>0</v>
          </cell>
          <cell r="J2838">
            <v>0</v>
          </cell>
        </row>
        <row r="2839">
          <cell r="B2839">
            <v>0</v>
          </cell>
          <cell r="C2839">
            <v>0</v>
          </cell>
          <cell r="D2839">
            <v>0</v>
          </cell>
          <cell r="E2839">
            <v>0</v>
          </cell>
          <cell r="F2839">
            <v>0</v>
          </cell>
          <cell r="G2839">
            <v>0</v>
          </cell>
          <cell r="H2839">
            <v>0</v>
          </cell>
          <cell r="I2839">
            <v>0</v>
          </cell>
          <cell r="J2839">
            <v>0</v>
          </cell>
        </row>
        <row r="2840">
          <cell r="B2840">
            <v>0</v>
          </cell>
          <cell r="C2840">
            <v>0</v>
          </cell>
          <cell r="D2840">
            <v>0</v>
          </cell>
          <cell r="E2840">
            <v>0</v>
          </cell>
          <cell r="F2840">
            <v>0</v>
          </cell>
          <cell r="G2840">
            <v>0</v>
          </cell>
          <cell r="H2840">
            <v>0</v>
          </cell>
          <cell r="I2840">
            <v>0</v>
          </cell>
          <cell r="J2840">
            <v>0</v>
          </cell>
        </row>
        <row r="2841">
          <cell r="B2841">
            <v>0</v>
          </cell>
          <cell r="C2841">
            <v>0</v>
          </cell>
          <cell r="D2841">
            <v>0</v>
          </cell>
          <cell r="E2841">
            <v>0</v>
          </cell>
          <cell r="F2841">
            <v>0</v>
          </cell>
          <cell r="G2841">
            <v>0</v>
          </cell>
          <cell r="H2841">
            <v>0</v>
          </cell>
          <cell r="I2841">
            <v>0</v>
          </cell>
          <cell r="J2841">
            <v>0</v>
          </cell>
        </row>
        <row r="2842">
          <cell r="B2842">
            <v>0</v>
          </cell>
          <cell r="C2842">
            <v>0</v>
          </cell>
          <cell r="D2842">
            <v>0</v>
          </cell>
          <cell r="E2842">
            <v>0</v>
          </cell>
          <cell r="F2842">
            <v>0</v>
          </cell>
          <cell r="G2842">
            <v>0</v>
          </cell>
          <cell r="H2842">
            <v>0</v>
          </cell>
          <cell r="I2842">
            <v>0</v>
          </cell>
          <cell r="J2842">
            <v>0</v>
          </cell>
        </row>
        <row r="2843">
          <cell r="B2843">
            <v>0</v>
          </cell>
          <cell r="C2843">
            <v>0</v>
          </cell>
          <cell r="D2843">
            <v>0</v>
          </cell>
          <cell r="E2843">
            <v>0</v>
          </cell>
          <cell r="F2843">
            <v>0</v>
          </cell>
          <cell r="G2843">
            <v>0</v>
          </cell>
          <cell r="H2843">
            <v>0</v>
          </cell>
          <cell r="I2843">
            <v>0</v>
          </cell>
          <cell r="J2843">
            <v>0</v>
          </cell>
        </row>
        <row r="2844">
          <cell r="B2844">
            <v>0</v>
          </cell>
          <cell r="C2844">
            <v>0</v>
          </cell>
          <cell r="D2844">
            <v>0</v>
          </cell>
          <cell r="E2844">
            <v>0</v>
          </cell>
          <cell r="F2844">
            <v>0</v>
          </cell>
          <cell r="G2844">
            <v>0</v>
          </cell>
          <cell r="H2844">
            <v>0</v>
          </cell>
          <cell r="I2844">
            <v>0</v>
          </cell>
          <cell r="J2844">
            <v>0</v>
          </cell>
        </row>
        <row r="2845">
          <cell r="B2845">
            <v>0</v>
          </cell>
          <cell r="C2845">
            <v>0</v>
          </cell>
          <cell r="D2845">
            <v>0</v>
          </cell>
          <cell r="E2845">
            <v>0</v>
          </cell>
          <cell r="F2845">
            <v>0</v>
          </cell>
          <cell r="G2845">
            <v>0</v>
          </cell>
          <cell r="H2845">
            <v>0</v>
          </cell>
          <cell r="I2845">
            <v>0</v>
          </cell>
          <cell r="J2845">
            <v>0</v>
          </cell>
        </row>
        <row r="2846">
          <cell r="B2846">
            <v>0</v>
          </cell>
          <cell r="C2846">
            <v>0</v>
          </cell>
          <cell r="D2846">
            <v>0</v>
          </cell>
          <cell r="E2846">
            <v>0</v>
          </cell>
          <cell r="F2846">
            <v>0</v>
          </cell>
          <cell r="G2846">
            <v>0</v>
          </cell>
          <cell r="H2846">
            <v>0</v>
          </cell>
          <cell r="I2846">
            <v>0</v>
          </cell>
          <cell r="J2846">
            <v>0</v>
          </cell>
        </row>
        <row r="2847">
          <cell r="B2847">
            <v>0</v>
          </cell>
          <cell r="C2847">
            <v>0</v>
          </cell>
          <cell r="D2847">
            <v>0</v>
          </cell>
          <cell r="E2847">
            <v>0</v>
          </cell>
          <cell r="F2847">
            <v>0</v>
          </cell>
          <cell r="G2847">
            <v>0</v>
          </cell>
          <cell r="H2847">
            <v>0</v>
          </cell>
          <cell r="I2847">
            <v>0</v>
          </cell>
          <cell r="J2847">
            <v>0</v>
          </cell>
        </row>
        <row r="2848">
          <cell r="B2848">
            <v>0</v>
          </cell>
          <cell r="C2848">
            <v>0</v>
          </cell>
          <cell r="D2848">
            <v>0</v>
          </cell>
          <cell r="E2848">
            <v>0</v>
          </cell>
          <cell r="F2848">
            <v>0</v>
          </cell>
          <cell r="G2848">
            <v>0</v>
          </cell>
          <cell r="H2848">
            <v>0</v>
          </cell>
          <cell r="I2848">
            <v>0</v>
          </cell>
          <cell r="J2848">
            <v>0</v>
          </cell>
        </row>
        <row r="2849">
          <cell r="B2849">
            <v>0</v>
          </cell>
          <cell r="C2849">
            <v>0</v>
          </cell>
          <cell r="D2849">
            <v>0</v>
          </cell>
          <cell r="E2849">
            <v>0</v>
          </cell>
          <cell r="F2849">
            <v>0</v>
          </cell>
          <cell r="G2849">
            <v>0</v>
          </cell>
          <cell r="H2849">
            <v>0</v>
          </cell>
          <cell r="I2849">
            <v>0</v>
          </cell>
          <cell r="J2849">
            <v>0</v>
          </cell>
        </row>
        <row r="2850">
          <cell r="B2850">
            <v>0</v>
          </cell>
          <cell r="C2850">
            <v>0</v>
          </cell>
          <cell r="D2850">
            <v>0</v>
          </cell>
          <cell r="E2850">
            <v>0</v>
          </cell>
          <cell r="F2850">
            <v>0</v>
          </cell>
          <cell r="G2850">
            <v>0</v>
          </cell>
          <cell r="H2850">
            <v>0</v>
          </cell>
          <cell r="I2850">
            <v>0</v>
          </cell>
          <cell r="J2850">
            <v>0</v>
          </cell>
        </row>
        <row r="2851">
          <cell r="B2851">
            <v>0</v>
          </cell>
          <cell r="C2851">
            <v>0</v>
          </cell>
          <cell r="D2851">
            <v>0</v>
          </cell>
          <cell r="E2851">
            <v>0</v>
          </cell>
          <cell r="F2851">
            <v>0</v>
          </cell>
          <cell r="G2851">
            <v>0</v>
          </cell>
          <cell r="H2851">
            <v>0</v>
          </cell>
          <cell r="I2851">
            <v>0</v>
          </cell>
          <cell r="J2851">
            <v>0</v>
          </cell>
        </row>
        <row r="2852">
          <cell r="B2852">
            <v>0</v>
          </cell>
          <cell r="C2852">
            <v>0</v>
          </cell>
          <cell r="D2852">
            <v>0</v>
          </cell>
          <cell r="E2852">
            <v>0</v>
          </cell>
          <cell r="F2852">
            <v>0</v>
          </cell>
          <cell r="G2852">
            <v>0</v>
          </cell>
          <cell r="H2852">
            <v>0</v>
          </cell>
          <cell r="I2852">
            <v>0</v>
          </cell>
          <cell r="J2852">
            <v>0</v>
          </cell>
        </row>
        <row r="2853">
          <cell r="B2853">
            <v>0</v>
          </cell>
          <cell r="C2853">
            <v>0</v>
          </cell>
          <cell r="D2853">
            <v>0</v>
          </cell>
          <cell r="E2853">
            <v>0</v>
          </cell>
          <cell r="F2853">
            <v>0</v>
          </cell>
          <cell r="G2853">
            <v>0</v>
          </cell>
          <cell r="H2853">
            <v>0</v>
          </cell>
          <cell r="I2853">
            <v>0</v>
          </cell>
          <cell r="J2853">
            <v>0</v>
          </cell>
        </row>
        <row r="2854">
          <cell r="B2854">
            <v>0</v>
          </cell>
          <cell r="C2854">
            <v>0</v>
          </cell>
          <cell r="D2854">
            <v>0</v>
          </cell>
          <cell r="E2854">
            <v>0</v>
          </cell>
          <cell r="F2854">
            <v>0</v>
          </cell>
          <cell r="G2854">
            <v>0</v>
          </cell>
          <cell r="H2854">
            <v>0</v>
          </cell>
          <cell r="I2854">
            <v>0</v>
          </cell>
          <cell r="J2854">
            <v>0</v>
          </cell>
        </row>
        <row r="2855">
          <cell r="B2855">
            <v>0</v>
          </cell>
          <cell r="C2855">
            <v>0</v>
          </cell>
          <cell r="D2855">
            <v>0</v>
          </cell>
          <cell r="E2855">
            <v>0</v>
          </cell>
          <cell r="F2855">
            <v>0</v>
          </cell>
          <cell r="G2855">
            <v>0</v>
          </cell>
          <cell r="H2855">
            <v>0</v>
          </cell>
          <cell r="I2855">
            <v>0</v>
          </cell>
          <cell r="J2855">
            <v>0</v>
          </cell>
        </row>
        <row r="2856">
          <cell r="B2856">
            <v>0</v>
          </cell>
          <cell r="C2856">
            <v>0</v>
          </cell>
          <cell r="D2856">
            <v>0</v>
          </cell>
          <cell r="E2856">
            <v>0</v>
          </cell>
          <cell r="F2856">
            <v>0</v>
          </cell>
          <cell r="G2856">
            <v>0</v>
          </cell>
          <cell r="H2856">
            <v>0</v>
          </cell>
          <cell r="I2856">
            <v>0</v>
          </cell>
          <cell r="J2856">
            <v>0</v>
          </cell>
        </row>
        <row r="2857">
          <cell r="B2857">
            <v>0</v>
          </cell>
          <cell r="C2857">
            <v>0</v>
          </cell>
          <cell r="D2857">
            <v>0</v>
          </cell>
          <cell r="E2857">
            <v>0</v>
          </cell>
          <cell r="F2857">
            <v>0</v>
          </cell>
          <cell r="G2857">
            <v>0</v>
          </cell>
          <cell r="H2857">
            <v>0</v>
          </cell>
          <cell r="I2857">
            <v>0</v>
          </cell>
          <cell r="J2857">
            <v>0</v>
          </cell>
        </row>
        <row r="2858">
          <cell r="B2858">
            <v>0</v>
          </cell>
          <cell r="C2858">
            <v>0</v>
          </cell>
          <cell r="D2858">
            <v>0</v>
          </cell>
          <cell r="E2858">
            <v>0</v>
          </cell>
          <cell r="F2858">
            <v>0</v>
          </cell>
          <cell r="G2858">
            <v>0</v>
          </cell>
          <cell r="H2858">
            <v>0</v>
          </cell>
          <cell r="I2858">
            <v>0</v>
          </cell>
          <cell r="J2858">
            <v>0</v>
          </cell>
        </row>
        <row r="2859">
          <cell r="B2859">
            <v>0</v>
          </cell>
          <cell r="C2859">
            <v>0</v>
          </cell>
          <cell r="D2859">
            <v>0</v>
          </cell>
          <cell r="E2859">
            <v>0</v>
          </cell>
          <cell r="F2859">
            <v>0</v>
          </cell>
          <cell r="G2859">
            <v>0</v>
          </cell>
          <cell r="H2859">
            <v>0</v>
          </cell>
          <cell r="I2859">
            <v>0</v>
          </cell>
          <cell r="J2859">
            <v>0</v>
          </cell>
        </row>
        <row r="2860">
          <cell r="B2860">
            <v>0</v>
          </cell>
          <cell r="C2860">
            <v>0</v>
          </cell>
          <cell r="D2860">
            <v>0</v>
          </cell>
          <cell r="E2860">
            <v>0</v>
          </cell>
          <cell r="F2860">
            <v>0</v>
          </cell>
          <cell r="G2860">
            <v>0</v>
          </cell>
          <cell r="H2860">
            <v>0</v>
          </cell>
          <cell r="I2860">
            <v>0</v>
          </cell>
          <cell r="J2860">
            <v>0</v>
          </cell>
        </row>
        <row r="2861">
          <cell r="B2861">
            <v>0</v>
          </cell>
          <cell r="C2861">
            <v>0</v>
          </cell>
          <cell r="D2861">
            <v>0</v>
          </cell>
          <cell r="E2861">
            <v>0</v>
          </cell>
          <cell r="F2861">
            <v>0</v>
          </cell>
          <cell r="G2861">
            <v>0</v>
          </cell>
          <cell r="H2861">
            <v>0</v>
          </cell>
          <cell r="I2861">
            <v>0</v>
          </cell>
          <cell r="J2861">
            <v>0</v>
          </cell>
        </row>
        <row r="2862">
          <cell r="B2862">
            <v>0</v>
          </cell>
          <cell r="C2862">
            <v>0</v>
          </cell>
          <cell r="D2862">
            <v>0</v>
          </cell>
          <cell r="E2862">
            <v>0</v>
          </cell>
          <cell r="F2862">
            <v>0</v>
          </cell>
          <cell r="G2862">
            <v>0</v>
          </cell>
          <cell r="H2862">
            <v>0</v>
          </cell>
          <cell r="I2862">
            <v>0</v>
          </cell>
          <cell r="J2862">
            <v>0</v>
          </cell>
        </row>
        <row r="2863">
          <cell r="B2863">
            <v>0</v>
          </cell>
          <cell r="C2863">
            <v>0</v>
          </cell>
          <cell r="D2863">
            <v>0</v>
          </cell>
          <cell r="E2863">
            <v>0</v>
          </cell>
          <cell r="F2863">
            <v>0</v>
          </cell>
          <cell r="G2863">
            <v>0</v>
          </cell>
          <cell r="H2863">
            <v>0</v>
          </cell>
          <cell r="I2863">
            <v>0</v>
          </cell>
          <cell r="J2863">
            <v>0</v>
          </cell>
        </row>
        <row r="2864">
          <cell r="B2864">
            <v>0</v>
          </cell>
          <cell r="C2864">
            <v>0</v>
          </cell>
          <cell r="D2864">
            <v>0</v>
          </cell>
          <cell r="E2864">
            <v>0</v>
          </cell>
          <cell r="F2864">
            <v>0</v>
          </cell>
          <cell r="G2864">
            <v>0</v>
          </cell>
          <cell r="H2864">
            <v>0</v>
          </cell>
          <cell r="I2864">
            <v>0</v>
          </cell>
          <cell r="J2864">
            <v>0</v>
          </cell>
        </row>
        <row r="2865">
          <cell r="B2865">
            <v>0</v>
          </cell>
          <cell r="C2865">
            <v>0</v>
          </cell>
          <cell r="D2865">
            <v>0</v>
          </cell>
          <cell r="E2865">
            <v>0</v>
          </cell>
          <cell r="F2865">
            <v>0</v>
          </cell>
          <cell r="G2865">
            <v>0</v>
          </cell>
          <cell r="H2865">
            <v>0</v>
          </cell>
          <cell r="I2865">
            <v>0</v>
          </cell>
          <cell r="J2865">
            <v>0</v>
          </cell>
        </row>
        <row r="2866">
          <cell r="B2866">
            <v>0</v>
          </cell>
          <cell r="C2866">
            <v>0</v>
          </cell>
          <cell r="D2866">
            <v>0</v>
          </cell>
          <cell r="E2866">
            <v>0</v>
          </cell>
          <cell r="F2866">
            <v>0</v>
          </cell>
          <cell r="G2866">
            <v>0</v>
          </cell>
          <cell r="H2866">
            <v>0</v>
          </cell>
          <cell r="I2866">
            <v>0</v>
          </cell>
          <cell r="J2866">
            <v>0</v>
          </cell>
        </row>
        <row r="2867">
          <cell r="B2867">
            <v>0</v>
          </cell>
          <cell r="C2867">
            <v>0</v>
          </cell>
          <cell r="D2867">
            <v>0</v>
          </cell>
          <cell r="E2867">
            <v>0</v>
          </cell>
          <cell r="F2867">
            <v>0</v>
          </cell>
          <cell r="G2867">
            <v>0</v>
          </cell>
          <cell r="H2867">
            <v>0</v>
          </cell>
          <cell r="I2867">
            <v>0</v>
          </cell>
          <cell r="J2867">
            <v>0</v>
          </cell>
        </row>
        <row r="2868">
          <cell r="B2868">
            <v>0</v>
          </cell>
          <cell r="C2868">
            <v>0</v>
          </cell>
          <cell r="D2868">
            <v>0</v>
          </cell>
          <cell r="E2868">
            <v>0</v>
          </cell>
          <cell r="F2868">
            <v>0</v>
          </cell>
          <cell r="G2868">
            <v>0</v>
          </cell>
          <cell r="H2868">
            <v>0</v>
          </cell>
          <cell r="I2868">
            <v>0</v>
          </cell>
          <cell r="J2868">
            <v>0</v>
          </cell>
        </row>
        <row r="2869">
          <cell r="B2869">
            <v>0</v>
          </cell>
          <cell r="C2869">
            <v>0</v>
          </cell>
          <cell r="D2869">
            <v>0</v>
          </cell>
          <cell r="E2869">
            <v>0</v>
          </cell>
          <cell r="F2869">
            <v>0</v>
          </cell>
          <cell r="G2869">
            <v>0</v>
          </cell>
          <cell r="H2869">
            <v>0</v>
          </cell>
          <cell r="I2869">
            <v>0</v>
          </cell>
          <cell r="J2869">
            <v>0</v>
          </cell>
        </row>
        <row r="2870">
          <cell r="B2870">
            <v>0</v>
          </cell>
          <cell r="C2870">
            <v>0</v>
          </cell>
          <cell r="D2870">
            <v>0</v>
          </cell>
          <cell r="E2870">
            <v>0</v>
          </cell>
          <cell r="F2870">
            <v>0</v>
          </cell>
          <cell r="G2870">
            <v>0</v>
          </cell>
          <cell r="H2870">
            <v>0</v>
          </cell>
          <cell r="I2870">
            <v>0</v>
          </cell>
          <cell r="J2870">
            <v>0</v>
          </cell>
        </row>
        <row r="2871">
          <cell r="B2871">
            <v>0</v>
          </cell>
          <cell r="C2871">
            <v>0</v>
          </cell>
          <cell r="D2871">
            <v>0</v>
          </cell>
          <cell r="E2871">
            <v>0</v>
          </cell>
          <cell r="F2871">
            <v>0</v>
          </cell>
          <cell r="G2871">
            <v>0</v>
          </cell>
          <cell r="H2871">
            <v>0</v>
          </cell>
          <cell r="I2871">
            <v>0</v>
          </cell>
          <cell r="J2871">
            <v>0</v>
          </cell>
        </row>
        <row r="2872">
          <cell r="B2872">
            <v>0</v>
          </cell>
          <cell r="C2872">
            <v>0</v>
          </cell>
          <cell r="D2872">
            <v>0</v>
          </cell>
          <cell r="E2872">
            <v>0</v>
          </cell>
          <cell r="F2872">
            <v>0</v>
          </cell>
          <cell r="G2872">
            <v>0</v>
          </cell>
          <cell r="H2872">
            <v>0</v>
          </cell>
          <cell r="I2872">
            <v>0</v>
          </cell>
          <cell r="J2872">
            <v>0</v>
          </cell>
        </row>
        <row r="2873">
          <cell r="B2873">
            <v>0</v>
          </cell>
          <cell r="C2873">
            <v>0</v>
          </cell>
          <cell r="D2873">
            <v>0</v>
          </cell>
          <cell r="E2873">
            <v>0</v>
          </cell>
          <cell r="F2873">
            <v>0</v>
          </cell>
          <cell r="G2873">
            <v>0</v>
          </cell>
          <cell r="H2873">
            <v>0</v>
          </cell>
          <cell r="I2873">
            <v>0</v>
          </cell>
          <cell r="J2873">
            <v>0</v>
          </cell>
        </row>
        <row r="2874">
          <cell r="B2874">
            <v>0</v>
          </cell>
          <cell r="C2874">
            <v>0</v>
          </cell>
          <cell r="D2874">
            <v>0</v>
          </cell>
          <cell r="E2874">
            <v>0</v>
          </cell>
          <cell r="F2874">
            <v>0</v>
          </cell>
          <cell r="G2874">
            <v>0</v>
          </cell>
          <cell r="H2874">
            <v>0</v>
          </cell>
          <cell r="I2874">
            <v>0</v>
          </cell>
          <cell r="J2874">
            <v>0</v>
          </cell>
        </row>
        <row r="2875">
          <cell r="B2875">
            <v>0</v>
          </cell>
          <cell r="C2875">
            <v>0</v>
          </cell>
          <cell r="D2875">
            <v>0</v>
          </cell>
          <cell r="E2875">
            <v>0</v>
          </cell>
          <cell r="F2875">
            <v>0</v>
          </cell>
          <cell r="G2875">
            <v>0</v>
          </cell>
          <cell r="H2875">
            <v>0</v>
          </cell>
          <cell r="I2875">
            <v>0</v>
          </cell>
          <cell r="J2875">
            <v>0</v>
          </cell>
        </row>
        <row r="2876">
          <cell r="B2876">
            <v>0</v>
          </cell>
          <cell r="C2876">
            <v>0</v>
          </cell>
          <cell r="D2876">
            <v>0</v>
          </cell>
          <cell r="E2876">
            <v>0</v>
          </cell>
          <cell r="F2876">
            <v>0</v>
          </cell>
          <cell r="G2876">
            <v>0</v>
          </cell>
          <cell r="H2876">
            <v>0</v>
          </cell>
          <cell r="I2876">
            <v>0</v>
          </cell>
          <cell r="J2876">
            <v>0</v>
          </cell>
        </row>
        <row r="2877">
          <cell r="B2877">
            <v>0</v>
          </cell>
          <cell r="C2877">
            <v>0</v>
          </cell>
          <cell r="D2877">
            <v>0</v>
          </cell>
          <cell r="E2877">
            <v>0</v>
          </cell>
          <cell r="F2877">
            <v>0</v>
          </cell>
          <cell r="G2877">
            <v>0</v>
          </cell>
          <cell r="H2877">
            <v>0</v>
          </cell>
          <cell r="I2877">
            <v>0</v>
          </cell>
          <cell r="J2877">
            <v>0</v>
          </cell>
        </row>
        <row r="2878">
          <cell r="B2878">
            <v>0</v>
          </cell>
          <cell r="C2878">
            <v>0</v>
          </cell>
          <cell r="D2878">
            <v>0</v>
          </cell>
          <cell r="E2878">
            <v>0</v>
          </cell>
          <cell r="F2878">
            <v>0</v>
          </cell>
          <cell r="G2878">
            <v>0</v>
          </cell>
          <cell r="H2878">
            <v>0</v>
          </cell>
          <cell r="I2878">
            <v>0</v>
          </cell>
          <cell r="J2878">
            <v>0</v>
          </cell>
        </row>
        <row r="2879">
          <cell r="B2879">
            <v>0</v>
          </cell>
          <cell r="C2879">
            <v>0</v>
          </cell>
          <cell r="D2879">
            <v>0</v>
          </cell>
          <cell r="E2879">
            <v>0</v>
          </cell>
          <cell r="F2879">
            <v>0</v>
          </cell>
          <cell r="G2879">
            <v>0</v>
          </cell>
          <cell r="H2879">
            <v>0</v>
          </cell>
          <cell r="I2879">
            <v>0</v>
          </cell>
          <cell r="J2879">
            <v>0</v>
          </cell>
        </row>
        <row r="2880">
          <cell r="B2880">
            <v>0</v>
          </cell>
          <cell r="C2880">
            <v>0</v>
          </cell>
          <cell r="D2880">
            <v>0</v>
          </cell>
          <cell r="E2880">
            <v>0</v>
          </cell>
          <cell r="F2880">
            <v>0</v>
          </cell>
          <cell r="G2880">
            <v>0</v>
          </cell>
          <cell r="H2880">
            <v>0</v>
          </cell>
          <cell r="I2880">
            <v>0</v>
          </cell>
          <cell r="J2880">
            <v>0</v>
          </cell>
        </row>
        <row r="2881">
          <cell r="B2881">
            <v>0</v>
          </cell>
          <cell r="C2881">
            <v>0</v>
          </cell>
          <cell r="D2881">
            <v>0</v>
          </cell>
          <cell r="E2881">
            <v>0</v>
          </cell>
          <cell r="F2881">
            <v>0</v>
          </cell>
          <cell r="G2881">
            <v>0</v>
          </cell>
          <cell r="H2881">
            <v>0</v>
          </cell>
          <cell r="I2881">
            <v>0</v>
          </cell>
          <cell r="J2881">
            <v>0</v>
          </cell>
        </row>
        <row r="2882">
          <cell r="B2882">
            <v>0</v>
          </cell>
          <cell r="C2882">
            <v>0</v>
          </cell>
          <cell r="D2882">
            <v>0</v>
          </cell>
          <cell r="E2882">
            <v>0</v>
          </cell>
          <cell r="F2882">
            <v>0</v>
          </cell>
          <cell r="G2882">
            <v>0</v>
          </cell>
          <cell r="H2882">
            <v>0</v>
          </cell>
          <cell r="I2882">
            <v>0</v>
          </cell>
          <cell r="J2882">
            <v>0</v>
          </cell>
        </row>
        <row r="2883">
          <cell r="B2883">
            <v>0</v>
          </cell>
          <cell r="C2883">
            <v>0</v>
          </cell>
          <cell r="D2883">
            <v>0</v>
          </cell>
          <cell r="E2883">
            <v>0</v>
          </cell>
          <cell r="F2883">
            <v>0</v>
          </cell>
          <cell r="G2883">
            <v>0</v>
          </cell>
          <cell r="H2883">
            <v>0</v>
          </cell>
          <cell r="I2883">
            <v>0</v>
          </cell>
          <cell r="J2883">
            <v>0</v>
          </cell>
        </row>
        <row r="2884">
          <cell r="B2884">
            <v>0</v>
          </cell>
          <cell r="C2884">
            <v>0</v>
          </cell>
          <cell r="D2884">
            <v>0</v>
          </cell>
          <cell r="E2884">
            <v>0</v>
          </cell>
          <cell r="F2884">
            <v>0</v>
          </cell>
          <cell r="G2884">
            <v>0</v>
          </cell>
          <cell r="H2884">
            <v>0</v>
          </cell>
          <cell r="I2884">
            <v>0</v>
          </cell>
          <cell r="J2884">
            <v>0</v>
          </cell>
        </row>
        <row r="2885">
          <cell r="B2885">
            <v>0</v>
          </cell>
          <cell r="C2885">
            <v>0</v>
          </cell>
          <cell r="D2885">
            <v>0</v>
          </cell>
          <cell r="E2885">
            <v>0</v>
          </cell>
          <cell r="F2885">
            <v>0</v>
          </cell>
          <cell r="G2885">
            <v>0</v>
          </cell>
          <cell r="H2885">
            <v>0</v>
          </cell>
          <cell r="I2885">
            <v>0</v>
          </cell>
          <cell r="J2885">
            <v>0</v>
          </cell>
        </row>
        <row r="2886">
          <cell r="B2886">
            <v>0</v>
          </cell>
          <cell r="C2886">
            <v>0</v>
          </cell>
          <cell r="D2886">
            <v>0</v>
          </cell>
          <cell r="E2886">
            <v>0</v>
          </cell>
          <cell r="F2886">
            <v>0</v>
          </cell>
          <cell r="G2886">
            <v>0</v>
          </cell>
          <cell r="H2886">
            <v>0</v>
          </cell>
          <cell r="I2886">
            <v>0</v>
          </cell>
          <cell r="J2886">
            <v>0</v>
          </cell>
        </row>
        <row r="2887">
          <cell r="B2887">
            <v>0</v>
          </cell>
          <cell r="C2887">
            <v>0</v>
          </cell>
          <cell r="D2887">
            <v>0</v>
          </cell>
          <cell r="E2887">
            <v>0</v>
          </cell>
          <cell r="F2887">
            <v>0</v>
          </cell>
          <cell r="G2887">
            <v>0</v>
          </cell>
          <cell r="H2887">
            <v>0</v>
          </cell>
          <cell r="I2887">
            <v>0</v>
          </cell>
          <cell r="J2887">
            <v>0</v>
          </cell>
        </row>
        <row r="2888">
          <cell r="B2888">
            <v>0</v>
          </cell>
          <cell r="C2888">
            <v>0</v>
          </cell>
          <cell r="D2888">
            <v>0</v>
          </cell>
          <cell r="E2888">
            <v>0</v>
          </cell>
          <cell r="F2888">
            <v>0</v>
          </cell>
          <cell r="G2888">
            <v>0</v>
          </cell>
          <cell r="H2888">
            <v>0</v>
          </cell>
          <cell r="I2888">
            <v>0</v>
          </cell>
          <cell r="J2888">
            <v>0</v>
          </cell>
        </row>
        <row r="2889">
          <cell r="B2889">
            <v>0</v>
          </cell>
          <cell r="C2889">
            <v>0</v>
          </cell>
          <cell r="D2889">
            <v>0</v>
          </cell>
          <cell r="E2889">
            <v>0</v>
          </cell>
          <cell r="F2889">
            <v>0</v>
          </cell>
          <cell r="G2889">
            <v>0</v>
          </cell>
          <cell r="H2889">
            <v>0</v>
          </cell>
          <cell r="I2889">
            <v>0</v>
          </cell>
          <cell r="J2889">
            <v>0</v>
          </cell>
        </row>
        <row r="2890">
          <cell r="B2890">
            <v>0</v>
          </cell>
          <cell r="C2890">
            <v>0</v>
          </cell>
          <cell r="D2890">
            <v>0</v>
          </cell>
          <cell r="E2890">
            <v>0</v>
          </cell>
          <cell r="F2890">
            <v>0</v>
          </cell>
          <cell r="G2890">
            <v>0</v>
          </cell>
          <cell r="H2890">
            <v>0</v>
          </cell>
          <cell r="I2890">
            <v>0</v>
          </cell>
          <cell r="J2890">
            <v>0</v>
          </cell>
        </row>
        <row r="2891">
          <cell r="B2891">
            <v>0</v>
          </cell>
          <cell r="C2891">
            <v>0</v>
          </cell>
          <cell r="D2891">
            <v>0</v>
          </cell>
          <cell r="E2891">
            <v>0</v>
          </cell>
          <cell r="F2891">
            <v>0</v>
          </cell>
          <cell r="G2891">
            <v>0</v>
          </cell>
          <cell r="H2891">
            <v>0</v>
          </cell>
          <cell r="I2891">
            <v>0</v>
          </cell>
          <cell r="J2891">
            <v>0</v>
          </cell>
        </row>
        <row r="2892">
          <cell r="B2892">
            <v>0</v>
          </cell>
          <cell r="C2892">
            <v>0</v>
          </cell>
          <cell r="D2892">
            <v>0</v>
          </cell>
          <cell r="E2892">
            <v>0</v>
          </cell>
          <cell r="F2892">
            <v>0</v>
          </cell>
          <cell r="G2892">
            <v>0</v>
          </cell>
          <cell r="H2892">
            <v>0</v>
          </cell>
          <cell r="I2892">
            <v>0</v>
          </cell>
          <cell r="J2892">
            <v>0</v>
          </cell>
        </row>
        <row r="2893">
          <cell r="B2893">
            <v>0</v>
          </cell>
          <cell r="C2893">
            <v>0</v>
          </cell>
          <cell r="D2893">
            <v>0</v>
          </cell>
          <cell r="E2893">
            <v>0</v>
          </cell>
          <cell r="F2893">
            <v>0</v>
          </cell>
          <cell r="G2893">
            <v>0</v>
          </cell>
          <cell r="H2893">
            <v>0</v>
          </cell>
          <cell r="I2893">
            <v>0</v>
          </cell>
          <cell r="J2893">
            <v>0</v>
          </cell>
        </row>
        <row r="2894">
          <cell r="B2894">
            <v>0</v>
          </cell>
          <cell r="C2894">
            <v>0</v>
          </cell>
          <cell r="D2894">
            <v>0</v>
          </cell>
          <cell r="E2894">
            <v>0</v>
          </cell>
          <cell r="F2894">
            <v>0</v>
          </cell>
          <cell r="G2894">
            <v>0</v>
          </cell>
          <cell r="H2894">
            <v>0</v>
          </cell>
          <cell r="I2894">
            <v>0</v>
          </cell>
          <cell r="J2894">
            <v>0</v>
          </cell>
        </row>
        <row r="2895">
          <cell r="B2895">
            <v>0</v>
          </cell>
          <cell r="C2895">
            <v>0</v>
          </cell>
          <cell r="D2895">
            <v>0</v>
          </cell>
          <cell r="E2895">
            <v>0</v>
          </cell>
          <cell r="F2895">
            <v>0</v>
          </cell>
          <cell r="G2895">
            <v>0</v>
          </cell>
          <cell r="H2895">
            <v>0</v>
          </cell>
          <cell r="I2895">
            <v>0</v>
          </cell>
          <cell r="J2895">
            <v>0</v>
          </cell>
        </row>
        <row r="2896">
          <cell r="B2896">
            <v>0</v>
          </cell>
          <cell r="C2896">
            <v>0</v>
          </cell>
          <cell r="D2896">
            <v>0</v>
          </cell>
          <cell r="E2896">
            <v>0</v>
          </cell>
          <cell r="F2896">
            <v>0</v>
          </cell>
          <cell r="G2896">
            <v>0</v>
          </cell>
          <cell r="H2896">
            <v>0</v>
          </cell>
          <cell r="I2896">
            <v>0</v>
          </cell>
          <cell r="J2896">
            <v>0</v>
          </cell>
        </row>
        <row r="2897">
          <cell r="B2897">
            <v>0</v>
          </cell>
          <cell r="C2897">
            <v>0</v>
          </cell>
          <cell r="D2897">
            <v>0</v>
          </cell>
          <cell r="E2897">
            <v>0</v>
          </cell>
          <cell r="F2897">
            <v>0</v>
          </cell>
          <cell r="G2897">
            <v>0</v>
          </cell>
          <cell r="H2897">
            <v>0</v>
          </cell>
          <cell r="I2897">
            <v>0</v>
          </cell>
          <cell r="J2897">
            <v>0</v>
          </cell>
        </row>
        <row r="2898">
          <cell r="B2898">
            <v>0</v>
          </cell>
          <cell r="C2898">
            <v>0</v>
          </cell>
          <cell r="D2898">
            <v>0</v>
          </cell>
          <cell r="E2898">
            <v>0</v>
          </cell>
          <cell r="F2898">
            <v>0</v>
          </cell>
          <cell r="G2898">
            <v>0</v>
          </cell>
          <cell r="H2898">
            <v>0</v>
          </cell>
          <cell r="I2898">
            <v>0</v>
          </cell>
          <cell r="J2898">
            <v>0</v>
          </cell>
        </row>
        <row r="2899">
          <cell r="B2899">
            <v>0</v>
          </cell>
          <cell r="C2899">
            <v>0</v>
          </cell>
          <cell r="D2899">
            <v>0</v>
          </cell>
          <cell r="E2899">
            <v>0</v>
          </cell>
          <cell r="F2899">
            <v>0</v>
          </cell>
          <cell r="G2899">
            <v>0</v>
          </cell>
          <cell r="H2899">
            <v>0</v>
          </cell>
          <cell r="I2899">
            <v>0</v>
          </cell>
          <cell r="J2899">
            <v>0</v>
          </cell>
        </row>
        <row r="2900">
          <cell r="B2900">
            <v>0</v>
          </cell>
          <cell r="C2900">
            <v>0</v>
          </cell>
          <cell r="D2900">
            <v>0</v>
          </cell>
          <cell r="E2900">
            <v>0</v>
          </cell>
          <cell r="F2900">
            <v>0</v>
          </cell>
          <cell r="G2900">
            <v>0</v>
          </cell>
          <cell r="H2900">
            <v>0</v>
          </cell>
          <cell r="I2900">
            <v>0</v>
          </cell>
          <cell r="J2900">
            <v>0</v>
          </cell>
        </row>
        <row r="2901">
          <cell r="B2901">
            <v>0</v>
          </cell>
          <cell r="C2901">
            <v>0</v>
          </cell>
          <cell r="D2901">
            <v>0</v>
          </cell>
          <cell r="E2901">
            <v>0</v>
          </cell>
          <cell r="F2901">
            <v>0</v>
          </cell>
          <cell r="G2901">
            <v>0</v>
          </cell>
          <cell r="H2901">
            <v>0</v>
          </cell>
          <cell r="I2901">
            <v>0</v>
          </cell>
          <cell r="J2901">
            <v>0</v>
          </cell>
        </row>
        <row r="2902">
          <cell r="B2902">
            <v>0</v>
          </cell>
          <cell r="C2902">
            <v>0</v>
          </cell>
          <cell r="D2902">
            <v>0</v>
          </cell>
          <cell r="E2902">
            <v>0</v>
          </cell>
          <cell r="F2902">
            <v>0</v>
          </cell>
          <cell r="G2902">
            <v>0</v>
          </cell>
          <cell r="H2902">
            <v>0</v>
          </cell>
          <cell r="I2902">
            <v>0</v>
          </cell>
          <cell r="J2902">
            <v>0</v>
          </cell>
        </row>
        <row r="2903">
          <cell r="B2903">
            <v>0</v>
          </cell>
          <cell r="C2903">
            <v>0</v>
          </cell>
          <cell r="D2903">
            <v>0</v>
          </cell>
          <cell r="E2903">
            <v>0</v>
          </cell>
          <cell r="F2903">
            <v>0</v>
          </cell>
          <cell r="G2903">
            <v>0</v>
          </cell>
          <cell r="H2903">
            <v>0</v>
          </cell>
          <cell r="I2903">
            <v>0</v>
          </cell>
          <cell r="J2903">
            <v>0</v>
          </cell>
        </row>
        <row r="2904">
          <cell r="B2904">
            <v>0</v>
          </cell>
          <cell r="C2904">
            <v>0</v>
          </cell>
          <cell r="D2904">
            <v>0</v>
          </cell>
          <cell r="E2904">
            <v>0</v>
          </cell>
          <cell r="F2904">
            <v>0</v>
          </cell>
          <cell r="G2904">
            <v>0</v>
          </cell>
          <cell r="H2904">
            <v>0</v>
          </cell>
          <cell r="I2904">
            <v>0</v>
          </cell>
          <cell r="J2904">
            <v>0</v>
          </cell>
        </row>
        <row r="2905">
          <cell r="B2905">
            <v>0</v>
          </cell>
          <cell r="C2905">
            <v>0</v>
          </cell>
          <cell r="D2905">
            <v>0</v>
          </cell>
          <cell r="E2905">
            <v>0</v>
          </cell>
          <cell r="F2905">
            <v>0</v>
          </cell>
          <cell r="G2905">
            <v>0</v>
          </cell>
          <cell r="H2905">
            <v>0</v>
          </cell>
          <cell r="I2905">
            <v>0</v>
          </cell>
          <cell r="J2905">
            <v>0</v>
          </cell>
        </row>
        <row r="2906">
          <cell r="B2906">
            <v>0</v>
          </cell>
          <cell r="C2906">
            <v>0</v>
          </cell>
          <cell r="D2906">
            <v>0</v>
          </cell>
          <cell r="E2906">
            <v>0</v>
          </cell>
          <cell r="F2906">
            <v>0</v>
          </cell>
          <cell r="G2906">
            <v>0</v>
          </cell>
          <cell r="H2906">
            <v>0</v>
          </cell>
          <cell r="I2906">
            <v>0</v>
          </cell>
          <cell r="J2906">
            <v>0</v>
          </cell>
        </row>
        <row r="2907">
          <cell r="B2907">
            <v>0</v>
          </cell>
          <cell r="C2907">
            <v>0</v>
          </cell>
          <cell r="D2907">
            <v>0</v>
          </cell>
          <cell r="E2907">
            <v>0</v>
          </cell>
          <cell r="F2907">
            <v>0</v>
          </cell>
          <cell r="G2907">
            <v>0</v>
          </cell>
          <cell r="H2907">
            <v>0</v>
          </cell>
          <cell r="I2907">
            <v>0</v>
          </cell>
          <cell r="J2907">
            <v>0</v>
          </cell>
        </row>
        <row r="2908">
          <cell r="B2908">
            <v>0</v>
          </cell>
          <cell r="C2908">
            <v>0</v>
          </cell>
          <cell r="D2908">
            <v>0</v>
          </cell>
          <cell r="E2908">
            <v>0</v>
          </cell>
          <cell r="F2908">
            <v>0</v>
          </cell>
          <cell r="G2908">
            <v>0</v>
          </cell>
          <cell r="H2908">
            <v>0</v>
          </cell>
          <cell r="I2908">
            <v>0</v>
          </cell>
          <cell r="J2908">
            <v>0</v>
          </cell>
        </row>
        <row r="2909">
          <cell r="B2909">
            <v>0</v>
          </cell>
          <cell r="C2909">
            <v>0</v>
          </cell>
          <cell r="D2909">
            <v>0</v>
          </cell>
          <cell r="E2909">
            <v>0</v>
          </cell>
          <cell r="F2909">
            <v>0</v>
          </cell>
          <cell r="G2909">
            <v>0</v>
          </cell>
          <cell r="H2909">
            <v>0</v>
          </cell>
          <cell r="I2909">
            <v>0</v>
          </cell>
          <cell r="J2909">
            <v>0</v>
          </cell>
        </row>
        <row r="2910">
          <cell r="B2910">
            <v>0</v>
          </cell>
          <cell r="C2910">
            <v>0</v>
          </cell>
          <cell r="D2910">
            <v>0</v>
          </cell>
          <cell r="E2910">
            <v>0</v>
          </cell>
          <cell r="F2910">
            <v>0</v>
          </cell>
          <cell r="G2910">
            <v>0</v>
          </cell>
          <cell r="H2910">
            <v>0</v>
          </cell>
          <cell r="I2910">
            <v>0</v>
          </cell>
          <cell r="J2910">
            <v>0</v>
          </cell>
        </row>
        <row r="2911">
          <cell r="B2911">
            <v>0</v>
          </cell>
          <cell r="C2911">
            <v>0</v>
          </cell>
          <cell r="D2911">
            <v>0</v>
          </cell>
          <cell r="E2911">
            <v>0</v>
          </cell>
          <cell r="F2911">
            <v>0</v>
          </cell>
          <cell r="G2911">
            <v>0</v>
          </cell>
          <cell r="H2911">
            <v>0</v>
          </cell>
          <cell r="I2911">
            <v>0</v>
          </cell>
          <cell r="J2911">
            <v>0</v>
          </cell>
        </row>
        <row r="2912">
          <cell r="B2912">
            <v>0</v>
          </cell>
          <cell r="C2912">
            <v>0</v>
          </cell>
          <cell r="D2912">
            <v>0</v>
          </cell>
          <cell r="E2912">
            <v>0</v>
          </cell>
          <cell r="F2912">
            <v>0</v>
          </cell>
          <cell r="G2912">
            <v>0</v>
          </cell>
          <cell r="H2912">
            <v>0</v>
          </cell>
          <cell r="I2912">
            <v>0</v>
          </cell>
          <cell r="J2912">
            <v>0</v>
          </cell>
        </row>
        <row r="2913">
          <cell r="B2913">
            <v>0</v>
          </cell>
          <cell r="C2913">
            <v>0</v>
          </cell>
          <cell r="D2913">
            <v>0</v>
          </cell>
          <cell r="E2913">
            <v>0</v>
          </cell>
          <cell r="F2913">
            <v>0</v>
          </cell>
          <cell r="G2913">
            <v>0</v>
          </cell>
          <cell r="H2913">
            <v>0</v>
          </cell>
          <cell r="I2913">
            <v>0</v>
          </cell>
          <cell r="J2913">
            <v>0</v>
          </cell>
        </row>
        <row r="2914">
          <cell r="B2914">
            <v>0</v>
          </cell>
          <cell r="C2914">
            <v>0</v>
          </cell>
          <cell r="D2914">
            <v>0</v>
          </cell>
          <cell r="E2914">
            <v>0</v>
          </cell>
          <cell r="F2914">
            <v>0</v>
          </cell>
          <cell r="G2914">
            <v>0</v>
          </cell>
          <cell r="H2914">
            <v>0</v>
          </cell>
          <cell r="I2914">
            <v>0</v>
          </cell>
          <cell r="J2914">
            <v>0</v>
          </cell>
        </row>
        <row r="2915">
          <cell r="B2915">
            <v>0</v>
          </cell>
          <cell r="C2915">
            <v>0</v>
          </cell>
          <cell r="D2915">
            <v>0</v>
          </cell>
          <cell r="E2915">
            <v>0</v>
          </cell>
          <cell r="F2915">
            <v>0</v>
          </cell>
          <cell r="G2915">
            <v>0</v>
          </cell>
          <cell r="H2915">
            <v>0</v>
          </cell>
          <cell r="I2915">
            <v>0</v>
          </cell>
          <cell r="J2915">
            <v>0</v>
          </cell>
        </row>
        <row r="2916">
          <cell r="B2916">
            <v>0</v>
          </cell>
          <cell r="C2916">
            <v>0</v>
          </cell>
          <cell r="D2916">
            <v>0</v>
          </cell>
          <cell r="E2916">
            <v>0</v>
          </cell>
          <cell r="F2916">
            <v>0</v>
          </cell>
          <cell r="G2916">
            <v>0</v>
          </cell>
          <cell r="H2916">
            <v>0</v>
          </cell>
          <cell r="I2916">
            <v>0</v>
          </cell>
          <cell r="J2916">
            <v>0</v>
          </cell>
        </row>
        <row r="2917">
          <cell r="B2917">
            <v>0</v>
          </cell>
          <cell r="C2917">
            <v>0</v>
          </cell>
          <cell r="D2917">
            <v>0</v>
          </cell>
          <cell r="E2917">
            <v>0</v>
          </cell>
          <cell r="F2917">
            <v>0</v>
          </cell>
          <cell r="G2917">
            <v>0</v>
          </cell>
          <cell r="H2917">
            <v>0</v>
          </cell>
          <cell r="I2917">
            <v>0</v>
          </cell>
          <cell r="J2917">
            <v>0</v>
          </cell>
        </row>
        <row r="2918">
          <cell r="B2918">
            <v>0</v>
          </cell>
          <cell r="C2918">
            <v>0</v>
          </cell>
          <cell r="D2918">
            <v>0</v>
          </cell>
          <cell r="E2918">
            <v>0</v>
          </cell>
          <cell r="F2918">
            <v>0</v>
          </cell>
          <cell r="G2918">
            <v>0</v>
          </cell>
          <cell r="H2918">
            <v>0</v>
          </cell>
          <cell r="I2918">
            <v>0</v>
          </cell>
          <cell r="J2918">
            <v>0</v>
          </cell>
        </row>
        <row r="2919">
          <cell r="B2919">
            <v>0</v>
          </cell>
          <cell r="C2919">
            <v>0</v>
          </cell>
          <cell r="D2919">
            <v>0</v>
          </cell>
          <cell r="E2919">
            <v>0</v>
          </cell>
          <cell r="F2919">
            <v>0</v>
          </cell>
          <cell r="G2919">
            <v>0</v>
          </cell>
          <cell r="H2919">
            <v>0</v>
          </cell>
          <cell r="I2919">
            <v>0</v>
          </cell>
          <cell r="J2919">
            <v>0</v>
          </cell>
        </row>
        <row r="2920">
          <cell r="B2920">
            <v>0</v>
          </cell>
          <cell r="C2920">
            <v>0</v>
          </cell>
          <cell r="D2920">
            <v>0</v>
          </cell>
          <cell r="E2920">
            <v>0</v>
          </cell>
          <cell r="F2920">
            <v>0</v>
          </cell>
          <cell r="G2920">
            <v>0</v>
          </cell>
          <cell r="H2920">
            <v>0</v>
          </cell>
          <cell r="I2920">
            <v>0</v>
          </cell>
          <cell r="J2920">
            <v>0</v>
          </cell>
        </row>
        <row r="2921">
          <cell r="B2921">
            <v>0</v>
          </cell>
          <cell r="C2921">
            <v>0</v>
          </cell>
          <cell r="D2921">
            <v>0</v>
          </cell>
          <cell r="E2921">
            <v>0</v>
          </cell>
          <cell r="F2921">
            <v>0</v>
          </cell>
          <cell r="G2921">
            <v>0</v>
          </cell>
          <cell r="H2921">
            <v>0</v>
          </cell>
          <cell r="I2921">
            <v>0</v>
          </cell>
          <cell r="J2921">
            <v>0</v>
          </cell>
        </row>
        <row r="2922">
          <cell r="B2922">
            <v>0</v>
          </cell>
          <cell r="C2922">
            <v>0</v>
          </cell>
          <cell r="D2922">
            <v>0</v>
          </cell>
          <cell r="E2922">
            <v>0</v>
          </cell>
          <cell r="F2922">
            <v>0</v>
          </cell>
          <cell r="G2922">
            <v>0</v>
          </cell>
          <cell r="H2922">
            <v>0</v>
          </cell>
          <cell r="I2922">
            <v>0</v>
          </cell>
          <cell r="J2922">
            <v>0</v>
          </cell>
        </row>
        <row r="2923">
          <cell r="B2923">
            <v>0</v>
          </cell>
          <cell r="C2923">
            <v>0</v>
          </cell>
          <cell r="D2923">
            <v>0</v>
          </cell>
          <cell r="E2923">
            <v>0</v>
          </cell>
          <cell r="F2923">
            <v>0</v>
          </cell>
          <cell r="G2923">
            <v>0</v>
          </cell>
          <cell r="H2923">
            <v>0</v>
          </cell>
          <cell r="I2923">
            <v>0</v>
          </cell>
          <cell r="J2923">
            <v>0</v>
          </cell>
        </row>
        <row r="2924">
          <cell r="B2924">
            <v>0</v>
          </cell>
          <cell r="C2924">
            <v>0</v>
          </cell>
          <cell r="D2924">
            <v>0</v>
          </cell>
          <cell r="E2924">
            <v>0</v>
          </cell>
          <cell r="F2924">
            <v>0</v>
          </cell>
          <cell r="G2924">
            <v>0</v>
          </cell>
          <cell r="H2924">
            <v>0</v>
          </cell>
          <cell r="I2924">
            <v>0</v>
          </cell>
          <cell r="J2924">
            <v>0</v>
          </cell>
        </row>
        <row r="2925">
          <cell r="B2925">
            <v>0</v>
          </cell>
          <cell r="C2925">
            <v>0</v>
          </cell>
          <cell r="D2925">
            <v>0</v>
          </cell>
          <cell r="E2925">
            <v>0</v>
          </cell>
          <cell r="F2925">
            <v>0</v>
          </cell>
          <cell r="G2925">
            <v>0</v>
          </cell>
          <cell r="H2925">
            <v>0</v>
          </cell>
          <cell r="I2925">
            <v>0</v>
          </cell>
          <cell r="J2925">
            <v>0</v>
          </cell>
        </row>
        <row r="2926">
          <cell r="B2926">
            <v>0</v>
          </cell>
          <cell r="C2926">
            <v>0</v>
          </cell>
          <cell r="D2926">
            <v>0</v>
          </cell>
          <cell r="E2926">
            <v>0</v>
          </cell>
          <cell r="F2926">
            <v>0</v>
          </cell>
          <cell r="G2926">
            <v>0</v>
          </cell>
          <cell r="H2926">
            <v>0</v>
          </cell>
          <cell r="I2926">
            <v>0</v>
          </cell>
          <cell r="J2926">
            <v>0</v>
          </cell>
        </row>
        <row r="2927">
          <cell r="B2927">
            <v>0</v>
          </cell>
          <cell r="C2927">
            <v>0</v>
          </cell>
          <cell r="D2927">
            <v>0</v>
          </cell>
          <cell r="E2927">
            <v>0</v>
          </cell>
          <cell r="F2927">
            <v>0</v>
          </cell>
          <cell r="G2927">
            <v>0</v>
          </cell>
          <cell r="H2927">
            <v>0</v>
          </cell>
          <cell r="I2927">
            <v>0</v>
          </cell>
          <cell r="J2927">
            <v>0</v>
          </cell>
        </row>
        <row r="2928">
          <cell r="B2928">
            <v>0</v>
          </cell>
          <cell r="C2928">
            <v>0</v>
          </cell>
          <cell r="D2928">
            <v>0</v>
          </cell>
          <cell r="E2928">
            <v>0</v>
          </cell>
          <cell r="F2928">
            <v>0</v>
          </cell>
          <cell r="G2928">
            <v>0</v>
          </cell>
          <cell r="H2928">
            <v>0</v>
          </cell>
          <cell r="I2928">
            <v>0</v>
          </cell>
          <cell r="J2928">
            <v>0</v>
          </cell>
        </row>
        <row r="2929">
          <cell r="B2929">
            <v>0</v>
          </cell>
          <cell r="C2929">
            <v>0</v>
          </cell>
          <cell r="D2929">
            <v>0</v>
          </cell>
          <cell r="E2929">
            <v>0</v>
          </cell>
          <cell r="F2929">
            <v>0</v>
          </cell>
          <cell r="G2929">
            <v>0</v>
          </cell>
          <cell r="H2929">
            <v>0</v>
          </cell>
          <cell r="I2929">
            <v>0</v>
          </cell>
          <cell r="J2929">
            <v>0</v>
          </cell>
        </row>
        <row r="2930">
          <cell r="B2930">
            <v>0</v>
          </cell>
          <cell r="C2930">
            <v>0</v>
          </cell>
          <cell r="D2930">
            <v>0</v>
          </cell>
          <cell r="E2930">
            <v>0</v>
          </cell>
          <cell r="F2930">
            <v>0</v>
          </cell>
          <cell r="G2930">
            <v>0</v>
          </cell>
          <cell r="H2930">
            <v>0</v>
          </cell>
          <cell r="I2930">
            <v>0</v>
          </cell>
          <cell r="J2930">
            <v>0</v>
          </cell>
        </row>
        <row r="2931">
          <cell r="B2931">
            <v>0</v>
          </cell>
          <cell r="C2931">
            <v>0</v>
          </cell>
          <cell r="D2931">
            <v>0</v>
          </cell>
          <cell r="E2931">
            <v>0</v>
          </cell>
          <cell r="F2931">
            <v>0</v>
          </cell>
          <cell r="G2931">
            <v>0</v>
          </cell>
          <cell r="H2931">
            <v>0</v>
          </cell>
          <cell r="I2931">
            <v>0</v>
          </cell>
          <cell r="J2931">
            <v>0</v>
          </cell>
        </row>
        <row r="2932">
          <cell r="B2932">
            <v>0</v>
          </cell>
          <cell r="C2932">
            <v>0</v>
          </cell>
          <cell r="D2932">
            <v>0</v>
          </cell>
          <cell r="E2932">
            <v>0</v>
          </cell>
          <cell r="F2932">
            <v>0</v>
          </cell>
          <cell r="G2932">
            <v>0</v>
          </cell>
          <cell r="H2932">
            <v>0</v>
          </cell>
          <cell r="I2932">
            <v>0</v>
          </cell>
          <cell r="J2932">
            <v>0</v>
          </cell>
        </row>
        <row r="2933">
          <cell r="B2933">
            <v>0</v>
          </cell>
          <cell r="C2933">
            <v>0</v>
          </cell>
          <cell r="D2933">
            <v>0</v>
          </cell>
          <cell r="E2933">
            <v>0</v>
          </cell>
          <cell r="F2933">
            <v>0</v>
          </cell>
          <cell r="G2933">
            <v>0</v>
          </cell>
          <cell r="H2933">
            <v>0</v>
          </cell>
          <cell r="I2933">
            <v>0</v>
          </cell>
          <cell r="J2933">
            <v>0</v>
          </cell>
        </row>
        <row r="2934">
          <cell r="B2934">
            <v>0</v>
          </cell>
          <cell r="C2934">
            <v>0</v>
          </cell>
          <cell r="D2934">
            <v>0</v>
          </cell>
          <cell r="E2934">
            <v>0</v>
          </cell>
          <cell r="F2934">
            <v>0</v>
          </cell>
          <cell r="G2934">
            <v>0</v>
          </cell>
          <cell r="H2934">
            <v>0</v>
          </cell>
          <cell r="I2934">
            <v>0</v>
          </cell>
          <cell r="J2934">
            <v>0</v>
          </cell>
        </row>
        <row r="2935">
          <cell r="B2935">
            <v>0</v>
          </cell>
          <cell r="C2935">
            <v>0</v>
          </cell>
          <cell r="D2935">
            <v>0</v>
          </cell>
          <cell r="E2935">
            <v>0</v>
          </cell>
          <cell r="F2935">
            <v>0</v>
          </cell>
          <cell r="G2935">
            <v>0</v>
          </cell>
          <cell r="H2935">
            <v>0</v>
          </cell>
          <cell r="I2935">
            <v>0</v>
          </cell>
          <cell r="J2935">
            <v>0</v>
          </cell>
        </row>
        <row r="2936">
          <cell r="B2936">
            <v>0</v>
          </cell>
          <cell r="C2936">
            <v>0</v>
          </cell>
          <cell r="D2936">
            <v>0</v>
          </cell>
          <cell r="E2936">
            <v>0</v>
          </cell>
          <cell r="F2936">
            <v>0</v>
          </cell>
          <cell r="G2936">
            <v>0</v>
          </cell>
          <cell r="H2936">
            <v>0</v>
          </cell>
          <cell r="I2936">
            <v>0</v>
          </cell>
          <cell r="J2936">
            <v>0</v>
          </cell>
        </row>
        <row r="2937">
          <cell r="B2937">
            <v>0</v>
          </cell>
          <cell r="C2937">
            <v>0</v>
          </cell>
          <cell r="D2937">
            <v>0</v>
          </cell>
          <cell r="E2937">
            <v>0</v>
          </cell>
          <cell r="F2937">
            <v>0</v>
          </cell>
          <cell r="G2937">
            <v>0</v>
          </cell>
          <cell r="H2937">
            <v>0</v>
          </cell>
          <cell r="I2937">
            <v>0</v>
          </cell>
          <cell r="J2937">
            <v>0</v>
          </cell>
        </row>
        <row r="2938">
          <cell r="B2938">
            <v>0</v>
          </cell>
          <cell r="C2938">
            <v>0</v>
          </cell>
          <cell r="D2938">
            <v>0</v>
          </cell>
          <cell r="E2938">
            <v>0</v>
          </cell>
          <cell r="F2938">
            <v>0</v>
          </cell>
          <cell r="G2938">
            <v>0</v>
          </cell>
          <cell r="H2938">
            <v>0</v>
          </cell>
          <cell r="I2938">
            <v>0</v>
          </cell>
          <cell r="J2938">
            <v>0</v>
          </cell>
        </row>
        <row r="2939">
          <cell r="B2939">
            <v>0</v>
          </cell>
          <cell r="C2939">
            <v>0</v>
          </cell>
          <cell r="D2939">
            <v>0</v>
          </cell>
          <cell r="E2939">
            <v>0</v>
          </cell>
          <cell r="F2939">
            <v>0</v>
          </cell>
          <cell r="G2939">
            <v>0</v>
          </cell>
          <cell r="H2939">
            <v>0</v>
          </cell>
          <cell r="I2939">
            <v>0</v>
          </cell>
          <cell r="J2939">
            <v>0</v>
          </cell>
        </row>
        <row r="2940">
          <cell r="B2940">
            <v>0</v>
          </cell>
          <cell r="C2940">
            <v>0</v>
          </cell>
          <cell r="D2940">
            <v>0</v>
          </cell>
          <cell r="E2940">
            <v>0</v>
          </cell>
          <cell r="F2940">
            <v>0</v>
          </cell>
          <cell r="G2940">
            <v>0</v>
          </cell>
          <cell r="H2940">
            <v>0</v>
          </cell>
          <cell r="I2940">
            <v>0</v>
          </cell>
          <cell r="J2940">
            <v>0</v>
          </cell>
        </row>
        <row r="2941">
          <cell r="B2941">
            <v>0</v>
          </cell>
          <cell r="C2941">
            <v>0</v>
          </cell>
          <cell r="D2941">
            <v>0</v>
          </cell>
          <cell r="E2941">
            <v>0</v>
          </cell>
          <cell r="F2941">
            <v>0</v>
          </cell>
          <cell r="G2941">
            <v>0</v>
          </cell>
          <cell r="H2941">
            <v>0</v>
          </cell>
          <cell r="I2941">
            <v>0</v>
          </cell>
          <cell r="J2941">
            <v>0</v>
          </cell>
        </row>
        <row r="2942">
          <cell r="B2942">
            <v>0</v>
          </cell>
          <cell r="C2942">
            <v>0</v>
          </cell>
          <cell r="D2942">
            <v>0</v>
          </cell>
          <cell r="E2942">
            <v>0</v>
          </cell>
          <cell r="F2942">
            <v>0</v>
          </cell>
          <cell r="G2942">
            <v>0</v>
          </cell>
          <cell r="H2942">
            <v>0</v>
          </cell>
          <cell r="I2942">
            <v>0</v>
          </cell>
          <cell r="J2942">
            <v>0</v>
          </cell>
        </row>
        <row r="2943">
          <cell r="B2943">
            <v>0</v>
          </cell>
          <cell r="C2943">
            <v>0</v>
          </cell>
          <cell r="D2943">
            <v>0</v>
          </cell>
          <cell r="E2943">
            <v>0</v>
          </cell>
          <cell r="F2943">
            <v>0</v>
          </cell>
          <cell r="G2943">
            <v>0</v>
          </cell>
          <cell r="H2943">
            <v>0</v>
          </cell>
          <cell r="I2943">
            <v>0</v>
          </cell>
          <cell r="J2943">
            <v>0</v>
          </cell>
        </row>
        <row r="2944">
          <cell r="B2944">
            <v>0</v>
          </cell>
          <cell r="C2944">
            <v>0</v>
          </cell>
          <cell r="D2944">
            <v>0</v>
          </cell>
          <cell r="E2944">
            <v>0</v>
          </cell>
          <cell r="F2944">
            <v>0</v>
          </cell>
          <cell r="G2944">
            <v>0</v>
          </cell>
          <cell r="H2944">
            <v>0</v>
          </cell>
          <cell r="I2944">
            <v>0</v>
          </cell>
          <cell r="J2944">
            <v>0</v>
          </cell>
        </row>
        <row r="2945">
          <cell r="B2945">
            <v>0</v>
          </cell>
          <cell r="C2945">
            <v>0</v>
          </cell>
          <cell r="D2945">
            <v>0</v>
          </cell>
          <cell r="E2945">
            <v>0</v>
          </cell>
          <cell r="F2945">
            <v>0</v>
          </cell>
          <cell r="G2945">
            <v>0</v>
          </cell>
          <cell r="H2945">
            <v>0</v>
          </cell>
          <cell r="I2945">
            <v>0</v>
          </cell>
          <cell r="J2945">
            <v>0</v>
          </cell>
        </row>
        <row r="2946">
          <cell r="B2946">
            <v>0</v>
          </cell>
          <cell r="C2946">
            <v>0</v>
          </cell>
          <cell r="D2946">
            <v>0</v>
          </cell>
          <cell r="E2946">
            <v>0</v>
          </cell>
          <cell r="F2946">
            <v>0</v>
          </cell>
          <cell r="G2946">
            <v>0</v>
          </cell>
          <cell r="H2946">
            <v>0</v>
          </cell>
          <cell r="I2946">
            <v>0</v>
          </cell>
          <cell r="J2946">
            <v>0</v>
          </cell>
        </row>
        <row r="2947">
          <cell r="B2947">
            <v>0</v>
          </cell>
          <cell r="C2947">
            <v>0</v>
          </cell>
          <cell r="D2947">
            <v>0</v>
          </cell>
          <cell r="E2947">
            <v>0</v>
          </cell>
          <cell r="F2947">
            <v>0</v>
          </cell>
          <cell r="G2947">
            <v>0</v>
          </cell>
          <cell r="H2947">
            <v>0</v>
          </cell>
          <cell r="I2947">
            <v>0</v>
          </cell>
          <cell r="J2947">
            <v>0</v>
          </cell>
        </row>
        <row r="2948">
          <cell r="B2948">
            <v>0</v>
          </cell>
          <cell r="C2948">
            <v>0</v>
          </cell>
          <cell r="D2948">
            <v>0</v>
          </cell>
          <cell r="E2948">
            <v>0</v>
          </cell>
          <cell r="F2948">
            <v>0</v>
          </cell>
          <cell r="G2948">
            <v>0</v>
          </cell>
          <cell r="H2948">
            <v>0</v>
          </cell>
          <cell r="I2948">
            <v>0</v>
          </cell>
          <cell r="J2948">
            <v>0</v>
          </cell>
        </row>
        <row r="2949">
          <cell r="B2949">
            <v>0</v>
          </cell>
          <cell r="C2949">
            <v>0</v>
          </cell>
          <cell r="D2949">
            <v>0</v>
          </cell>
          <cell r="E2949">
            <v>0</v>
          </cell>
          <cell r="F2949">
            <v>0</v>
          </cell>
          <cell r="G2949">
            <v>0</v>
          </cell>
          <cell r="H2949">
            <v>0</v>
          </cell>
          <cell r="I2949">
            <v>0</v>
          </cell>
          <cell r="J2949">
            <v>0</v>
          </cell>
        </row>
        <row r="2950">
          <cell r="B2950">
            <v>0</v>
          </cell>
          <cell r="C2950">
            <v>0</v>
          </cell>
          <cell r="D2950">
            <v>0</v>
          </cell>
          <cell r="E2950">
            <v>0</v>
          </cell>
          <cell r="F2950">
            <v>0</v>
          </cell>
          <cell r="G2950">
            <v>0</v>
          </cell>
          <cell r="H2950">
            <v>0</v>
          </cell>
          <cell r="I2950">
            <v>0</v>
          </cell>
          <cell r="J2950">
            <v>0</v>
          </cell>
        </row>
        <row r="2951">
          <cell r="B2951">
            <v>0</v>
          </cell>
          <cell r="C2951">
            <v>0</v>
          </cell>
          <cell r="D2951">
            <v>0</v>
          </cell>
          <cell r="E2951">
            <v>0</v>
          </cell>
          <cell r="F2951">
            <v>0</v>
          </cell>
          <cell r="G2951">
            <v>0</v>
          </cell>
          <cell r="H2951">
            <v>0</v>
          </cell>
          <cell r="I2951">
            <v>0</v>
          </cell>
          <cell r="J2951">
            <v>0</v>
          </cell>
        </row>
        <row r="2952">
          <cell r="B2952">
            <v>0</v>
          </cell>
          <cell r="C2952">
            <v>0</v>
          </cell>
          <cell r="D2952">
            <v>0</v>
          </cell>
          <cell r="E2952">
            <v>0</v>
          </cell>
          <cell r="F2952">
            <v>0</v>
          </cell>
          <cell r="G2952">
            <v>0</v>
          </cell>
          <cell r="H2952">
            <v>0</v>
          </cell>
          <cell r="I2952">
            <v>0</v>
          </cell>
          <cell r="J2952">
            <v>0</v>
          </cell>
        </row>
        <row r="2953">
          <cell r="B2953">
            <v>0</v>
          </cell>
          <cell r="C2953">
            <v>0</v>
          </cell>
          <cell r="D2953">
            <v>0</v>
          </cell>
          <cell r="E2953">
            <v>0</v>
          </cell>
          <cell r="F2953">
            <v>0</v>
          </cell>
          <cell r="G2953">
            <v>0</v>
          </cell>
          <cell r="H2953">
            <v>0</v>
          </cell>
          <cell r="I2953">
            <v>0</v>
          </cell>
          <cell r="J2953">
            <v>0</v>
          </cell>
        </row>
        <row r="2954">
          <cell r="B2954">
            <v>0</v>
          </cell>
          <cell r="C2954">
            <v>0</v>
          </cell>
          <cell r="D2954">
            <v>0</v>
          </cell>
          <cell r="E2954">
            <v>0</v>
          </cell>
          <cell r="F2954">
            <v>0</v>
          </cell>
          <cell r="G2954">
            <v>0</v>
          </cell>
          <cell r="H2954">
            <v>0</v>
          </cell>
          <cell r="I2954">
            <v>0</v>
          </cell>
          <cell r="J2954">
            <v>0</v>
          </cell>
        </row>
        <row r="2955">
          <cell r="B2955">
            <v>0</v>
          </cell>
          <cell r="C2955">
            <v>0</v>
          </cell>
          <cell r="D2955">
            <v>0</v>
          </cell>
          <cell r="E2955">
            <v>0</v>
          </cell>
          <cell r="F2955">
            <v>0</v>
          </cell>
          <cell r="G2955">
            <v>0</v>
          </cell>
          <cell r="H2955">
            <v>0</v>
          </cell>
          <cell r="I2955">
            <v>0</v>
          </cell>
          <cell r="J2955">
            <v>0</v>
          </cell>
        </row>
        <row r="2956">
          <cell r="B2956">
            <v>0</v>
          </cell>
          <cell r="C2956">
            <v>0</v>
          </cell>
          <cell r="D2956">
            <v>0</v>
          </cell>
          <cell r="E2956">
            <v>0</v>
          </cell>
          <cell r="F2956">
            <v>0</v>
          </cell>
          <cell r="G2956">
            <v>0</v>
          </cell>
          <cell r="H2956">
            <v>0</v>
          </cell>
          <cell r="I2956">
            <v>0</v>
          </cell>
          <cell r="J2956">
            <v>0</v>
          </cell>
        </row>
        <row r="2957">
          <cell r="B2957">
            <v>0</v>
          </cell>
          <cell r="C2957">
            <v>0</v>
          </cell>
          <cell r="D2957">
            <v>0</v>
          </cell>
          <cell r="E2957">
            <v>0</v>
          </cell>
          <cell r="F2957">
            <v>0</v>
          </cell>
          <cell r="G2957">
            <v>0</v>
          </cell>
          <cell r="H2957">
            <v>0</v>
          </cell>
          <cell r="I2957">
            <v>0</v>
          </cell>
          <cell r="J2957">
            <v>0</v>
          </cell>
        </row>
        <row r="2958">
          <cell r="B2958">
            <v>0</v>
          </cell>
          <cell r="C2958">
            <v>0</v>
          </cell>
          <cell r="D2958">
            <v>0</v>
          </cell>
          <cell r="E2958">
            <v>0</v>
          </cell>
          <cell r="F2958">
            <v>0</v>
          </cell>
          <cell r="G2958">
            <v>0</v>
          </cell>
          <cell r="H2958">
            <v>0</v>
          </cell>
          <cell r="I2958">
            <v>0</v>
          </cell>
          <cell r="J2958">
            <v>0</v>
          </cell>
        </row>
        <row r="2959">
          <cell r="B2959">
            <v>0</v>
          </cell>
          <cell r="C2959">
            <v>0</v>
          </cell>
          <cell r="D2959">
            <v>0</v>
          </cell>
          <cell r="E2959">
            <v>0</v>
          </cell>
          <cell r="F2959">
            <v>0</v>
          </cell>
          <cell r="G2959">
            <v>0</v>
          </cell>
          <cell r="H2959">
            <v>0</v>
          </cell>
          <cell r="I2959">
            <v>0</v>
          </cell>
          <cell r="J2959">
            <v>0</v>
          </cell>
        </row>
        <row r="2960">
          <cell r="B2960">
            <v>0</v>
          </cell>
          <cell r="C2960">
            <v>0</v>
          </cell>
          <cell r="D2960">
            <v>0</v>
          </cell>
          <cell r="E2960">
            <v>0</v>
          </cell>
          <cell r="F2960">
            <v>0</v>
          </cell>
          <cell r="G2960">
            <v>0</v>
          </cell>
          <cell r="H2960">
            <v>0</v>
          </cell>
          <cell r="I2960">
            <v>0</v>
          </cell>
          <cell r="J2960">
            <v>0</v>
          </cell>
        </row>
        <row r="2961">
          <cell r="B2961">
            <v>0</v>
          </cell>
          <cell r="C2961">
            <v>0</v>
          </cell>
          <cell r="D2961">
            <v>0</v>
          </cell>
          <cell r="E2961">
            <v>0</v>
          </cell>
          <cell r="F2961">
            <v>0</v>
          </cell>
          <cell r="G2961">
            <v>0</v>
          </cell>
          <cell r="H2961">
            <v>0</v>
          </cell>
          <cell r="I2961">
            <v>0</v>
          </cell>
          <cell r="J2961">
            <v>0</v>
          </cell>
        </row>
        <row r="2962">
          <cell r="B2962">
            <v>0</v>
          </cell>
          <cell r="C2962">
            <v>0</v>
          </cell>
          <cell r="D2962">
            <v>0</v>
          </cell>
          <cell r="E2962">
            <v>0</v>
          </cell>
          <cell r="F2962">
            <v>0</v>
          </cell>
          <cell r="G2962">
            <v>0</v>
          </cell>
          <cell r="H2962">
            <v>0</v>
          </cell>
          <cell r="I2962">
            <v>0</v>
          </cell>
          <cell r="J2962">
            <v>0</v>
          </cell>
        </row>
        <row r="2963">
          <cell r="B2963">
            <v>0</v>
          </cell>
          <cell r="C2963">
            <v>0</v>
          </cell>
          <cell r="D2963">
            <v>0</v>
          </cell>
          <cell r="E2963">
            <v>0</v>
          </cell>
          <cell r="F2963">
            <v>0</v>
          </cell>
          <cell r="G2963">
            <v>0</v>
          </cell>
          <cell r="H2963">
            <v>0</v>
          </cell>
          <cell r="I2963">
            <v>0</v>
          </cell>
          <cell r="J2963">
            <v>0</v>
          </cell>
        </row>
        <row r="2964">
          <cell r="B2964">
            <v>0</v>
          </cell>
          <cell r="C2964">
            <v>0</v>
          </cell>
          <cell r="D2964">
            <v>0</v>
          </cell>
          <cell r="E2964">
            <v>0</v>
          </cell>
          <cell r="F2964">
            <v>0</v>
          </cell>
          <cell r="G2964">
            <v>0</v>
          </cell>
          <cell r="H2964">
            <v>0</v>
          </cell>
          <cell r="I2964">
            <v>0</v>
          </cell>
          <cell r="J2964">
            <v>0</v>
          </cell>
        </row>
        <row r="2965">
          <cell r="B2965">
            <v>0</v>
          </cell>
          <cell r="C2965">
            <v>0</v>
          </cell>
          <cell r="D2965">
            <v>0</v>
          </cell>
          <cell r="E2965">
            <v>0</v>
          </cell>
          <cell r="F2965">
            <v>0</v>
          </cell>
          <cell r="G2965">
            <v>0</v>
          </cell>
          <cell r="H2965">
            <v>0</v>
          </cell>
          <cell r="I2965">
            <v>0</v>
          </cell>
          <cell r="J2965">
            <v>0</v>
          </cell>
        </row>
        <row r="2966">
          <cell r="B2966">
            <v>0</v>
          </cell>
          <cell r="C2966">
            <v>0</v>
          </cell>
          <cell r="D2966">
            <v>0</v>
          </cell>
          <cell r="E2966">
            <v>0</v>
          </cell>
          <cell r="F2966">
            <v>0</v>
          </cell>
          <cell r="G2966">
            <v>0</v>
          </cell>
          <cell r="H2966">
            <v>0</v>
          </cell>
          <cell r="I2966">
            <v>0</v>
          </cell>
          <cell r="J2966">
            <v>0</v>
          </cell>
        </row>
        <row r="2967">
          <cell r="B2967">
            <v>0</v>
          </cell>
          <cell r="C2967">
            <v>0</v>
          </cell>
          <cell r="D2967">
            <v>0</v>
          </cell>
          <cell r="E2967">
            <v>0</v>
          </cell>
          <cell r="F2967">
            <v>0</v>
          </cell>
          <cell r="G2967">
            <v>0</v>
          </cell>
          <cell r="H2967">
            <v>0</v>
          </cell>
          <cell r="I2967">
            <v>0</v>
          </cell>
          <cell r="J2967">
            <v>0</v>
          </cell>
        </row>
        <row r="2968">
          <cell r="B2968">
            <v>0</v>
          </cell>
          <cell r="C2968">
            <v>0</v>
          </cell>
          <cell r="D2968">
            <v>0</v>
          </cell>
          <cell r="E2968">
            <v>0</v>
          </cell>
          <cell r="F2968">
            <v>0</v>
          </cell>
          <cell r="G2968">
            <v>0</v>
          </cell>
          <cell r="H2968">
            <v>0</v>
          </cell>
          <cell r="I2968">
            <v>0</v>
          </cell>
          <cell r="J2968">
            <v>0</v>
          </cell>
        </row>
        <row r="2969">
          <cell r="B2969">
            <v>0</v>
          </cell>
          <cell r="C2969">
            <v>0</v>
          </cell>
          <cell r="D2969">
            <v>0</v>
          </cell>
          <cell r="E2969">
            <v>0</v>
          </cell>
          <cell r="F2969">
            <v>0</v>
          </cell>
          <cell r="G2969">
            <v>0</v>
          </cell>
          <cell r="H2969">
            <v>0</v>
          </cell>
          <cell r="I2969">
            <v>0</v>
          </cell>
          <cell r="J2969">
            <v>0</v>
          </cell>
        </row>
        <row r="2970">
          <cell r="B2970">
            <v>0</v>
          </cell>
          <cell r="C2970">
            <v>0</v>
          </cell>
          <cell r="D2970">
            <v>0</v>
          </cell>
          <cell r="E2970">
            <v>0</v>
          </cell>
          <cell r="F2970">
            <v>0</v>
          </cell>
          <cell r="G2970">
            <v>0</v>
          </cell>
          <cell r="H2970">
            <v>0</v>
          </cell>
          <cell r="I2970">
            <v>0</v>
          </cell>
          <cell r="J2970">
            <v>0</v>
          </cell>
        </row>
        <row r="2971">
          <cell r="B2971">
            <v>0</v>
          </cell>
          <cell r="C2971">
            <v>0</v>
          </cell>
          <cell r="D2971">
            <v>0</v>
          </cell>
          <cell r="E2971">
            <v>0</v>
          </cell>
          <cell r="F2971">
            <v>0</v>
          </cell>
          <cell r="G2971">
            <v>0</v>
          </cell>
          <cell r="H2971">
            <v>0</v>
          </cell>
          <cell r="I2971">
            <v>0</v>
          </cell>
          <cell r="J2971">
            <v>0</v>
          </cell>
        </row>
        <row r="2972">
          <cell r="B2972">
            <v>0</v>
          </cell>
          <cell r="C2972">
            <v>0</v>
          </cell>
          <cell r="D2972">
            <v>0</v>
          </cell>
          <cell r="E2972">
            <v>0</v>
          </cell>
          <cell r="F2972">
            <v>0</v>
          </cell>
          <cell r="G2972">
            <v>0</v>
          </cell>
          <cell r="H2972">
            <v>0</v>
          </cell>
          <cell r="I2972">
            <v>0</v>
          </cell>
          <cell r="J2972">
            <v>0</v>
          </cell>
        </row>
        <row r="2973">
          <cell r="B2973">
            <v>0</v>
          </cell>
          <cell r="C2973">
            <v>0</v>
          </cell>
          <cell r="D2973">
            <v>0</v>
          </cell>
          <cell r="E2973">
            <v>0</v>
          </cell>
          <cell r="F2973">
            <v>0</v>
          </cell>
          <cell r="G2973">
            <v>0</v>
          </cell>
          <cell r="H2973">
            <v>0</v>
          </cell>
          <cell r="I2973">
            <v>0</v>
          </cell>
          <cell r="J2973">
            <v>0</v>
          </cell>
        </row>
        <row r="2974">
          <cell r="B2974">
            <v>0</v>
          </cell>
          <cell r="C2974">
            <v>0</v>
          </cell>
          <cell r="D2974">
            <v>0</v>
          </cell>
          <cell r="E2974">
            <v>0</v>
          </cell>
          <cell r="F2974">
            <v>0</v>
          </cell>
          <cell r="G2974">
            <v>0</v>
          </cell>
          <cell r="H2974">
            <v>0</v>
          </cell>
          <cell r="I2974">
            <v>0</v>
          </cell>
          <cell r="J2974">
            <v>0</v>
          </cell>
        </row>
        <row r="2975">
          <cell r="B2975">
            <v>0</v>
          </cell>
          <cell r="C2975">
            <v>0</v>
          </cell>
          <cell r="D2975">
            <v>0</v>
          </cell>
          <cell r="E2975">
            <v>0</v>
          </cell>
          <cell r="F2975">
            <v>0</v>
          </cell>
          <cell r="G2975">
            <v>0</v>
          </cell>
          <cell r="H2975">
            <v>0</v>
          </cell>
          <cell r="I2975">
            <v>0</v>
          </cell>
          <cell r="J2975">
            <v>0</v>
          </cell>
        </row>
        <row r="2976">
          <cell r="B2976">
            <v>0</v>
          </cell>
          <cell r="C2976">
            <v>0</v>
          </cell>
          <cell r="D2976">
            <v>0</v>
          </cell>
          <cell r="E2976">
            <v>0</v>
          </cell>
          <cell r="F2976">
            <v>0</v>
          </cell>
          <cell r="G2976">
            <v>0</v>
          </cell>
          <cell r="H2976">
            <v>0</v>
          </cell>
          <cell r="I2976">
            <v>0</v>
          </cell>
          <cell r="J2976">
            <v>0</v>
          </cell>
        </row>
        <row r="2977">
          <cell r="B2977">
            <v>0</v>
          </cell>
          <cell r="C2977">
            <v>0</v>
          </cell>
          <cell r="D2977">
            <v>0</v>
          </cell>
          <cell r="E2977">
            <v>0</v>
          </cell>
          <cell r="F2977">
            <v>0</v>
          </cell>
          <cell r="G2977">
            <v>0</v>
          </cell>
          <cell r="H2977">
            <v>0</v>
          </cell>
          <cell r="I2977">
            <v>0</v>
          </cell>
          <cell r="J2977">
            <v>0</v>
          </cell>
        </row>
        <row r="2978">
          <cell r="B2978">
            <v>0</v>
          </cell>
          <cell r="C2978">
            <v>0</v>
          </cell>
          <cell r="D2978">
            <v>0</v>
          </cell>
          <cell r="E2978">
            <v>0</v>
          </cell>
          <cell r="F2978">
            <v>0</v>
          </cell>
          <cell r="G2978">
            <v>0</v>
          </cell>
          <cell r="H2978">
            <v>0</v>
          </cell>
          <cell r="I2978">
            <v>0</v>
          </cell>
          <cell r="J2978">
            <v>0</v>
          </cell>
        </row>
        <row r="2979">
          <cell r="B2979">
            <v>0</v>
          </cell>
          <cell r="C2979">
            <v>0</v>
          </cell>
          <cell r="D2979">
            <v>0</v>
          </cell>
          <cell r="E2979">
            <v>0</v>
          </cell>
          <cell r="F2979">
            <v>0</v>
          </cell>
          <cell r="G2979">
            <v>0</v>
          </cell>
          <cell r="H2979">
            <v>0</v>
          </cell>
          <cell r="I2979">
            <v>0</v>
          </cell>
          <cell r="J2979">
            <v>0</v>
          </cell>
        </row>
        <row r="2980">
          <cell r="B2980">
            <v>0</v>
          </cell>
          <cell r="C2980">
            <v>0</v>
          </cell>
          <cell r="D2980">
            <v>0</v>
          </cell>
          <cell r="E2980">
            <v>0</v>
          </cell>
          <cell r="F2980">
            <v>0</v>
          </cell>
          <cell r="G2980">
            <v>0</v>
          </cell>
          <cell r="H2980">
            <v>0</v>
          </cell>
          <cell r="I2980">
            <v>0</v>
          </cell>
          <cell r="J2980">
            <v>0</v>
          </cell>
        </row>
        <row r="2981">
          <cell r="B2981">
            <v>0</v>
          </cell>
          <cell r="C2981">
            <v>0</v>
          </cell>
          <cell r="D2981">
            <v>0</v>
          </cell>
          <cell r="E2981">
            <v>0</v>
          </cell>
          <cell r="F2981">
            <v>0</v>
          </cell>
          <cell r="G2981">
            <v>0</v>
          </cell>
          <cell r="H2981">
            <v>0</v>
          </cell>
          <cell r="I2981">
            <v>0</v>
          </cell>
          <cell r="J2981">
            <v>0</v>
          </cell>
        </row>
        <row r="2982">
          <cell r="B2982">
            <v>0</v>
          </cell>
          <cell r="C2982">
            <v>0</v>
          </cell>
          <cell r="D2982">
            <v>0</v>
          </cell>
          <cell r="E2982">
            <v>0</v>
          </cell>
          <cell r="F2982">
            <v>0</v>
          </cell>
          <cell r="G2982">
            <v>0</v>
          </cell>
          <cell r="H2982">
            <v>0</v>
          </cell>
          <cell r="I2982">
            <v>0</v>
          </cell>
          <cell r="J2982">
            <v>0</v>
          </cell>
        </row>
        <row r="2983">
          <cell r="B2983">
            <v>0</v>
          </cell>
          <cell r="C2983">
            <v>0</v>
          </cell>
          <cell r="D2983">
            <v>0</v>
          </cell>
          <cell r="E2983">
            <v>0</v>
          </cell>
          <cell r="F2983">
            <v>0</v>
          </cell>
          <cell r="G2983">
            <v>0</v>
          </cell>
          <cell r="H2983">
            <v>0</v>
          </cell>
          <cell r="I2983">
            <v>0</v>
          </cell>
          <cell r="J2983">
            <v>0</v>
          </cell>
        </row>
        <row r="2984">
          <cell r="B2984">
            <v>0</v>
          </cell>
          <cell r="C2984">
            <v>0</v>
          </cell>
          <cell r="D2984">
            <v>0</v>
          </cell>
          <cell r="E2984">
            <v>0</v>
          </cell>
          <cell r="F2984">
            <v>0</v>
          </cell>
          <cell r="G2984">
            <v>0</v>
          </cell>
          <cell r="H2984">
            <v>0</v>
          </cell>
          <cell r="I2984">
            <v>0</v>
          </cell>
          <cell r="J2984">
            <v>0</v>
          </cell>
        </row>
        <row r="2985">
          <cell r="B2985">
            <v>0</v>
          </cell>
          <cell r="C2985">
            <v>0</v>
          </cell>
          <cell r="D2985">
            <v>0</v>
          </cell>
          <cell r="E2985">
            <v>0</v>
          </cell>
          <cell r="F2985">
            <v>0</v>
          </cell>
          <cell r="G2985">
            <v>0</v>
          </cell>
          <cell r="H2985">
            <v>0</v>
          </cell>
          <cell r="I2985">
            <v>0</v>
          </cell>
          <cell r="J2985">
            <v>0</v>
          </cell>
        </row>
        <row r="2986">
          <cell r="B2986">
            <v>0</v>
          </cell>
          <cell r="C2986">
            <v>0</v>
          </cell>
          <cell r="D2986">
            <v>0</v>
          </cell>
          <cell r="E2986">
            <v>0</v>
          </cell>
          <cell r="F2986">
            <v>0</v>
          </cell>
          <cell r="G2986">
            <v>0</v>
          </cell>
          <cell r="H2986">
            <v>0</v>
          </cell>
          <cell r="I2986">
            <v>0</v>
          </cell>
          <cell r="J2986">
            <v>0</v>
          </cell>
        </row>
        <row r="2987">
          <cell r="B2987">
            <v>0</v>
          </cell>
          <cell r="C2987">
            <v>0</v>
          </cell>
          <cell r="D2987">
            <v>0</v>
          </cell>
          <cell r="E2987">
            <v>0</v>
          </cell>
          <cell r="F2987">
            <v>0</v>
          </cell>
          <cell r="G2987">
            <v>0</v>
          </cell>
          <cell r="H2987">
            <v>0</v>
          </cell>
          <cell r="I2987">
            <v>0</v>
          </cell>
          <cell r="J2987">
            <v>0</v>
          </cell>
        </row>
        <row r="2988">
          <cell r="B2988">
            <v>0</v>
          </cell>
          <cell r="C2988">
            <v>0</v>
          </cell>
          <cell r="D2988">
            <v>0</v>
          </cell>
          <cell r="E2988">
            <v>0</v>
          </cell>
          <cell r="F2988">
            <v>0</v>
          </cell>
          <cell r="G2988">
            <v>0</v>
          </cell>
          <cell r="H2988">
            <v>0</v>
          </cell>
          <cell r="I2988">
            <v>0</v>
          </cell>
          <cell r="J2988">
            <v>0</v>
          </cell>
        </row>
        <row r="2989">
          <cell r="B2989">
            <v>0</v>
          </cell>
          <cell r="C2989">
            <v>0</v>
          </cell>
          <cell r="D2989">
            <v>0</v>
          </cell>
          <cell r="E2989">
            <v>0</v>
          </cell>
          <cell r="F2989">
            <v>0</v>
          </cell>
          <cell r="G2989">
            <v>0</v>
          </cell>
          <cell r="H2989">
            <v>0</v>
          </cell>
          <cell r="I2989">
            <v>0</v>
          </cell>
          <cell r="J2989">
            <v>0</v>
          </cell>
        </row>
        <row r="2990">
          <cell r="B2990">
            <v>0</v>
          </cell>
          <cell r="C2990">
            <v>0</v>
          </cell>
          <cell r="D2990">
            <v>0</v>
          </cell>
          <cell r="E2990">
            <v>0</v>
          </cell>
          <cell r="F2990">
            <v>0</v>
          </cell>
          <cell r="G2990">
            <v>0</v>
          </cell>
          <cell r="H2990">
            <v>0</v>
          </cell>
          <cell r="I2990">
            <v>0</v>
          </cell>
          <cell r="J2990">
            <v>0</v>
          </cell>
        </row>
        <row r="2991">
          <cell r="B2991">
            <v>0</v>
          </cell>
          <cell r="C2991">
            <v>0</v>
          </cell>
          <cell r="D2991">
            <v>0</v>
          </cell>
          <cell r="E2991">
            <v>0</v>
          </cell>
          <cell r="F2991">
            <v>0</v>
          </cell>
          <cell r="G2991">
            <v>0</v>
          </cell>
          <cell r="H2991">
            <v>0</v>
          </cell>
          <cell r="I2991">
            <v>0</v>
          </cell>
          <cell r="J2991">
            <v>0</v>
          </cell>
        </row>
        <row r="2992">
          <cell r="B2992">
            <v>0</v>
          </cell>
          <cell r="C2992">
            <v>0</v>
          </cell>
          <cell r="D2992">
            <v>0</v>
          </cell>
          <cell r="E2992">
            <v>0</v>
          </cell>
          <cell r="F2992">
            <v>0</v>
          </cell>
          <cell r="G2992">
            <v>0</v>
          </cell>
          <cell r="H2992">
            <v>0</v>
          </cell>
          <cell r="I2992">
            <v>0</v>
          </cell>
          <cell r="J2992">
            <v>0</v>
          </cell>
        </row>
        <row r="2993">
          <cell r="B2993">
            <v>0</v>
          </cell>
          <cell r="C2993">
            <v>0</v>
          </cell>
          <cell r="D2993">
            <v>0</v>
          </cell>
          <cell r="E2993">
            <v>0</v>
          </cell>
          <cell r="F2993">
            <v>0</v>
          </cell>
          <cell r="G2993">
            <v>0</v>
          </cell>
          <cell r="H2993">
            <v>0</v>
          </cell>
          <cell r="I2993">
            <v>0</v>
          </cell>
          <cell r="J2993">
            <v>0</v>
          </cell>
        </row>
        <row r="2994">
          <cell r="B2994">
            <v>0</v>
          </cell>
          <cell r="C2994">
            <v>0</v>
          </cell>
          <cell r="D2994">
            <v>0</v>
          </cell>
          <cell r="E2994">
            <v>0</v>
          </cell>
          <cell r="F2994">
            <v>0</v>
          </cell>
          <cell r="G2994">
            <v>0</v>
          </cell>
          <cell r="H2994">
            <v>0</v>
          </cell>
          <cell r="I2994">
            <v>0</v>
          </cell>
          <cell r="J2994">
            <v>0</v>
          </cell>
        </row>
        <row r="2995">
          <cell r="B2995">
            <v>0</v>
          </cell>
          <cell r="C2995">
            <v>0</v>
          </cell>
          <cell r="D2995">
            <v>0</v>
          </cell>
          <cell r="E2995">
            <v>0</v>
          </cell>
          <cell r="F2995">
            <v>0</v>
          </cell>
          <cell r="G2995">
            <v>0</v>
          </cell>
          <cell r="H2995">
            <v>0</v>
          </cell>
          <cell r="I2995">
            <v>0</v>
          </cell>
          <cell r="J2995">
            <v>0</v>
          </cell>
        </row>
        <row r="2996">
          <cell r="B2996">
            <v>0</v>
          </cell>
          <cell r="C2996">
            <v>0</v>
          </cell>
          <cell r="D2996">
            <v>0</v>
          </cell>
          <cell r="E2996">
            <v>0</v>
          </cell>
          <cell r="F2996">
            <v>0</v>
          </cell>
          <cell r="G2996">
            <v>0</v>
          </cell>
          <cell r="H2996">
            <v>0</v>
          </cell>
          <cell r="I2996">
            <v>0</v>
          </cell>
          <cell r="J2996">
            <v>0</v>
          </cell>
        </row>
        <row r="2997">
          <cell r="B2997">
            <v>0</v>
          </cell>
          <cell r="C2997">
            <v>0</v>
          </cell>
          <cell r="D2997">
            <v>0</v>
          </cell>
          <cell r="E2997">
            <v>0</v>
          </cell>
          <cell r="F2997">
            <v>0</v>
          </cell>
          <cell r="G2997">
            <v>0</v>
          </cell>
          <cell r="H2997">
            <v>0</v>
          </cell>
          <cell r="I2997">
            <v>0</v>
          </cell>
          <cell r="J2997">
            <v>0</v>
          </cell>
        </row>
        <row r="2998">
          <cell r="B2998">
            <v>0</v>
          </cell>
          <cell r="C2998">
            <v>0</v>
          </cell>
          <cell r="D2998">
            <v>0</v>
          </cell>
          <cell r="E2998">
            <v>0</v>
          </cell>
          <cell r="F2998">
            <v>0</v>
          </cell>
          <cell r="G2998">
            <v>0</v>
          </cell>
          <cell r="H2998">
            <v>0</v>
          </cell>
          <cell r="I2998">
            <v>0</v>
          </cell>
          <cell r="J2998">
            <v>0</v>
          </cell>
        </row>
        <row r="2999">
          <cell r="B2999">
            <v>0</v>
          </cell>
          <cell r="C2999">
            <v>0</v>
          </cell>
          <cell r="D2999">
            <v>0</v>
          </cell>
          <cell r="E2999">
            <v>0</v>
          </cell>
          <cell r="F2999">
            <v>0</v>
          </cell>
          <cell r="G2999">
            <v>0</v>
          </cell>
          <cell r="H2999">
            <v>0</v>
          </cell>
          <cell r="I2999">
            <v>0</v>
          </cell>
          <cell r="J2999">
            <v>0</v>
          </cell>
        </row>
        <row r="3000">
          <cell r="B3000">
            <v>0</v>
          </cell>
          <cell r="C3000">
            <v>0</v>
          </cell>
          <cell r="D3000">
            <v>0</v>
          </cell>
          <cell r="E3000">
            <v>0</v>
          </cell>
          <cell r="F3000">
            <v>0</v>
          </cell>
          <cell r="G3000">
            <v>0</v>
          </cell>
          <cell r="H3000">
            <v>0</v>
          </cell>
          <cell r="I3000">
            <v>0</v>
          </cell>
          <cell r="J3000">
            <v>0</v>
          </cell>
        </row>
        <row r="3001">
          <cell r="B3001">
            <v>0</v>
          </cell>
          <cell r="C3001">
            <v>0</v>
          </cell>
          <cell r="D3001">
            <v>0</v>
          </cell>
          <cell r="E3001">
            <v>0</v>
          </cell>
          <cell r="F3001">
            <v>0</v>
          </cell>
          <cell r="G3001">
            <v>0</v>
          </cell>
          <cell r="H3001">
            <v>0</v>
          </cell>
          <cell r="I3001">
            <v>0</v>
          </cell>
          <cell r="J3001">
            <v>0</v>
          </cell>
        </row>
        <row r="3002">
          <cell r="B3002">
            <v>0</v>
          </cell>
          <cell r="C3002">
            <v>0</v>
          </cell>
          <cell r="D3002">
            <v>0</v>
          </cell>
          <cell r="E3002">
            <v>0</v>
          </cell>
          <cell r="F3002">
            <v>0</v>
          </cell>
          <cell r="G3002">
            <v>0</v>
          </cell>
          <cell r="H3002">
            <v>0</v>
          </cell>
          <cell r="I3002">
            <v>0</v>
          </cell>
          <cell r="J3002">
            <v>0</v>
          </cell>
        </row>
        <row r="3003">
          <cell r="B3003">
            <v>0</v>
          </cell>
          <cell r="C3003">
            <v>0</v>
          </cell>
          <cell r="D3003">
            <v>0</v>
          </cell>
          <cell r="E3003">
            <v>0</v>
          </cell>
          <cell r="F3003">
            <v>0</v>
          </cell>
          <cell r="G3003">
            <v>0</v>
          </cell>
          <cell r="H3003">
            <v>0</v>
          </cell>
          <cell r="I3003">
            <v>0</v>
          </cell>
          <cell r="J3003">
            <v>0</v>
          </cell>
        </row>
        <row r="3004">
          <cell r="B3004">
            <v>0</v>
          </cell>
          <cell r="C3004">
            <v>0</v>
          </cell>
          <cell r="D3004">
            <v>0</v>
          </cell>
          <cell r="E3004">
            <v>0</v>
          </cell>
          <cell r="F3004">
            <v>0</v>
          </cell>
          <cell r="G3004">
            <v>0</v>
          </cell>
          <cell r="H3004">
            <v>0</v>
          </cell>
          <cell r="I3004">
            <v>0</v>
          </cell>
          <cell r="J3004">
            <v>0</v>
          </cell>
        </row>
        <row r="3005">
          <cell r="B3005">
            <v>0</v>
          </cell>
          <cell r="C3005">
            <v>0</v>
          </cell>
          <cell r="D3005">
            <v>0</v>
          </cell>
          <cell r="E3005">
            <v>0</v>
          </cell>
          <cell r="F3005">
            <v>0</v>
          </cell>
          <cell r="G3005">
            <v>0</v>
          </cell>
          <cell r="H3005">
            <v>0</v>
          </cell>
          <cell r="I3005">
            <v>0</v>
          </cell>
          <cell r="J3005">
            <v>0</v>
          </cell>
        </row>
        <row r="3006">
          <cell r="B3006">
            <v>0</v>
          </cell>
          <cell r="C3006">
            <v>0</v>
          </cell>
          <cell r="D3006">
            <v>0</v>
          </cell>
          <cell r="E3006">
            <v>0</v>
          </cell>
          <cell r="F3006">
            <v>0</v>
          </cell>
          <cell r="G3006">
            <v>0</v>
          </cell>
          <cell r="H3006">
            <v>0</v>
          </cell>
          <cell r="I3006">
            <v>0</v>
          </cell>
          <cell r="J3006">
            <v>0</v>
          </cell>
        </row>
        <row r="3007">
          <cell r="B3007">
            <v>0</v>
          </cell>
          <cell r="C3007">
            <v>0</v>
          </cell>
          <cell r="D3007">
            <v>0</v>
          </cell>
          <cell r="E3007">
            <v>0</v>
          </cell>
          <cell r="F3007">
            <v>0</v>
          </cell>
          <cell r="G3007">
            <v>0</v>
          </cell>
          <cell r="H3007">
            <v>0</v>
          </cell>
          <cell r="I3007">
            <v>0</v>
          </cell>
          <cell r="J3007">
            <v>0</v>
          </cell>
        </row>
        <row r="3008">
          <cell r="B3008">
            <v>0</v>
          </cell>
          <cell r="C3008">
            <v>0</v>
          </cell>
          <cell r="D3008">
            <v>0</v>
          </cell>
          <cell r="E3008">
            <v>0</v>
          </cell>
          <cell r="F3008">
            <v>0</v>
          </cell>
          <cell r="G3008">
            <v>0</v>
          </cell>
          <cell r="H3008">
            <v>0</v>
          </cell>
          <cell r="I3008">
            <v>0</v>
          </cell>
          <cell r="J3008">
            <v>0</v>
          </cell>
        </row>
        <row r="3009">
          <cell r="B3009">
            <v>0</v>
          </cell>
          <cell r="C3009">
            <v>0</v>
          </cell>
          <cell r="D3009">
            <v>0</v>
          </cell>
          <cell r="E3009">
            <v>0</v>
          </cell>
          <cell r="F3009">
            <v>0</v>
          </cell>
          <cell r="G3009">
            <v>0</v>
          </cell>
          <cell r="H3009">
            <v>0</v>
          </cell>
          <cell r="I3009">
            <v>0</v>
          </cell>
          <cell r="J3009">
            <v>0</v>
          </cell>
        </row>
        <row r="3010">
          <cell r="B3010">
            <v>0</v>
          </cell>
          <cell r="C3010">
            <v>0</v>
          </cell>
          <cell r="D3010">
            <v>0</v>
          </cell>
          <cell r="E3010">
            <v>0</v>
          </cell>
          <cell r="F3010">
            <v>0</v>
          </cell>
          <cell r="G3010">
            <v>0</v>
          </cell>
          <cell r="H3010">
            <v>0</v>
          </cell>
          <cell r="I3010">
            <v>0</v>
          </cell>
          <cell r="J3010">
            <v>0</v>
          </cell>
        </row>
        <row r="3011">
          <cell r="B3011">
            <v>0</v>
          </cell>
          <cell r="C3011">
            <v>0</v>
          </cell>
          <cell r="D3011">
            <v>0</v>
          </cell>
          <cell r="E3011">
            <v>0</v>
          </cell>
          <cell r="F3011">
            <v>0</v>
          </cell>
          <cell r="G3011">
            <v>0</v>
          </cell>
          <cell r="H3011">
            <v>0</v>
          </cell>
          <cell r="I3011">
            <v>0</v>
          </cell>
          <cell r="J3011">
            <v>0</v>
          </cell>
        </row>
        <row r="3012">
          <cell r="B3012">
            <v>0</v>
          </cell>
          <cell r="C3012">
            <v>0</v>
          </cell>
          <cell r="D3012">
            <v>0</v>
          </cell>
          <cell r="E3012">
            <v>0</v>
          </cell>
          <cell r="F3012">
            <v>0</v>
          </cell>
          <cell r="G3012">
            <v>0</v>
          </cell>
          <cell r="H3012">
            <v>0</v>
          </cell>
          <cell r="I3012">
            <v>0</v>
          </cell>
          <cell r="J3012">
            <v>0</v>
          </cell>
        </row>
        <row r="3013">
          <cell r="B3013">
            <v>0</v>
          </cell>
          <cell r="C3013">
            <v>0</v>
          </cell>
          <cell r="D3013">
            <v>0</v>
          </cell>
          <cell r="E3013">
            <v>0</v>
          </cell>
          <cell r="F3013">
            <v>0</v>
          </cell>
          <cell r="G3013">
            <v>0</v>
          </cell>
          <cell r="H3013">
            <v>0</v>
          </cell>
          <cell r="I3013">
            <v>0</v>
          </cell>
          <cell r="J3013">
            <v>0</v>
          </cell>
        </row>
        <row r="3014">
          <cell r="B3014">
            <v>0</v>
          </cell>
          <cell r="C3014">
            <v>0</v>
          </cell>
          <cell r="D3014">
            <v>0</v>
          </cell>
          <cell r="E3014">
            <v>0</v>
          </cell>
          <cell r="F3014">
            <v>0</v>
          </cell>
          <cell r="G3014">
            <v>0</v>
          </cell>
          <cell r="H3014">
            <v>0</v>
          </cell>
          <cell r="I3014">
            <v>0</v>
          </cell>
          <cell r="J3014">
            <v>0</v>
          </cell>
        </row>
        <row r="3015">
          <cell r="B3015">
            <v>0</v>
          </cell>
          <cell r="C3015">
            <v>0</v>
          </cell>
          <cell r="D3015">
            <v>0</v>
          </cell>
          <cell r="E3015">
            <v>0</v>
          </cell>
          <cell r="F3015">
            <v>0</v>
          </cell>
          <cell r="G3015">
            <v>0</v>
          </cell>
          <cell r="H3015">
            <v>0</v>
          </cell>
          <cell r="I3015">
            <v>0</v>
          </cell>
          <cell r="J3015">
            <v>0</v>
          </cell>
        </row>
        <row r="3016">
          <cell r="B3016">
            <v>0</v>
          </cell>
          <cell r="C3016">
            <v>0</v>
          </cell>
          <cell r="D3016">
            <v>0</v>
          </cell>
          <cell r="E3016">
            <v>0</v>
          </cell>
          <cell r="F3016">
            <v>0</v>
          </cell>
          <cell r="G3016">
            <v>0</v>
          </cell>
          <cell r="H3016">
            <v>0</v>
          </cell>
          <cell r="I3016">
            <v>0</v>
          </cell>
          <cell r="J3016">
            <v>0</v>
          </cell>
        </row>
        <row r="3017">
          <cell r="B3017">
            <v>0</v>
          </cell>
          <cell r="C3017">
            <v>0</v>
          </cell>
          <cell r="D3017">
            <v>0</v>
          </cell>
          <cell r="E3017">
            <v>0</v>
          </cell>
          <cell r="F3017">
            <v>0</v>
          </cell>
          <cell r="G3017">
            <v>0</v>
          </cell>
          <cell r="H3017">
            <v>0</v>
          </cell>
          <cell r="I3017">
            <v>0</v>
          </cell>
          <cell r="J3017">
            <v>0</v>
          </cell>
        </row>
        <row r="3018">
          <cell r="B3018">
            <v>0</v>
          </cell>
          <cell r="C3018">
            <v>0</v>
          </cell>
          <cell r="D3018">
            <v>0</v>
          </cell>
          <cell r="E3018">
            <v>0</v>
          </cell>
          <cell r="F3018">
            <v>0</v>
          </cell>
          <cell r="G3018">
            <v>0</v>
          </cell>
          <cell r="H3018">
            <v>0</v>
          </cell>
          <cell r="I3018">
            <v>0</v>
          </cell>
          <cell r="J3018">
            <v>0</v>
          </cell>
        </row>
        <row r="3019">
          <cell r="B3019">
            <v>0</v>
          </cell>
          <cell r="C3019">
            <v>0</v>
          </cell>
          <cell r="D3019">
            <v>0</v>
          </cell>
          <cell r="E3019">
            <v>0</v>
          </cell>
          <cell r="F3019">
            <v>0</v>
          </cell>
          <cell r="G3019">
            <v>0</v>
          </cell>
          <cell r="H3019">
            <v>0</v>
          </cell>
          <cell r="I3019">
            <v>0</v>
          </cell>
          <cell r="J3019">
            <v>0</v>
          </cell>
        </row>
        <row r="3020">
          <cell r="B3020">
            <v>0</v>
          </cell>
          <cell r="C3020">
            <v>0</v>
          </cell>
          <cell r="D3020">
            <v>0</v>
          </cell>
          <cell r="E3020">
            <v>0</v>
          </cell>
          <cell r="F3020">
            <v>0</v>
          </cell>
          <cell r="G3020">
            <v>0</v>
          </cell>
          <cell r="H3020">
            <v>0</v>
          </cell>
          <cell r="I3020">
            <v>0</v>
          </cell>
          <cell r="J3020">
            <v>0</v>
          </cell>
        </row>
        <row r="3021">
          <cell r="B3021">
            <v>0</v>
          </cell>
          <cell r="C3021">
            <v>0</v>
          </cell>
          <cell r="D3021">
            <v>0</v>
          </cell>
          <cell r="E3021">
            <v>0</v>
          </cell>
          <cell r="F3021">
            <v>0</v>
          </cell>
          <cell r="G3021">
            <v>0</v>
          </cell>
          <cell r="H3021">
            <v>0</v>
          </cell>
          <cell r="I3021">
            <v>0</v>
          </cell>
          <cell r="J3021">
            <v>0</v>
          </cell>
        </row>
        <row r="3022">
          <cell r="B3022">
            <v>0</v>
          </cell>
          <cell r="C3022">
            <v>0</v>
          </cell>
          <cell r="D3022">
            <v>0</v>
          </cell>
          <cell r="E3022">
            <v>0</v>
          </cell>
          <cell r="F3022">
            <v>0</v>
          </cell>
          <cell r="G3022">
            <v>0</v>
          </cell>
          <cell r="H3022">
            <v>0</v>
          </cell>
          <cell r="I3022">
            <v>0</v>
          </cell>
          <cell r="J3022">
            <v>0</v>
          </cell>
        </row>
        <row r="3023">
          <cell r="B3023">
            <v>0</v>
          </cell>
          <cell r="C3023">
            <v>0</v>
          </cell>
          <cell r="D3023">
            <v>0</v>
          </cell>
          <cell r="E3023">
            <v>0</v>
          </cell>
          <cell r="F3023">
            <v>0</v>
          </cell>
          <cell r="G3023">
            <v>0</v>
          </cell>
          <cell r="H3023">
            <v>0</v>
          </cell>
          <cell r="I3023">
            <v>0</v>
          </cell>
          <cell r="J3023">
            <v>0</v>
          </cell>
        </row>
        <row r="3024">
          <cell r="B3024">
            <v>0</v>
          </cell>
          <cell r="C3024">
            <v>0</v>
          </cell>
          <cell r="D3024">
            <v>0</v>
          </cell>
          <cell r="E3024">
            <v>0</v>
          </cell>
          <cell r="F3024">
            <v>0</v>
          </cell>
          <cell r="G3024">
            <v>0</v>
          </cell>
          <cell r="H3024">
            <v>0</v>
          </cell>
          <cell r="I3024">
            <v>0</v>
          </cell>
          <cell r="J3024">
            <v>0</v>
          </cell>
        </row>
        <row r="3025">
          <cell r="B3025">
            <v>0</v>
          </cell>
          <cell r="C3025">
            <v>0</v>
          </cell>
          <cell r="D3025">
            <v>0</v>
          </cell>
          <cell r="E3025">
            <v>0</v>
          </cell>
          <cell r="F3025">
            <v>0</v>
          </cell>
          <cell r="G3025">
            <v>0</v>
          </cell>
          <cell r="H3025">
            <v>0</v>
          </cell>
          <cell r="I3025">
            <v>0</v>
          </cell>
          <cell r="J3025">
            <v>0</v>
          </cell>
        </row>
        <row r="3026">
          <cell r="B3026">
            <v>0</v>
          </cell>
          <cell r="C3026">
            <v>0</v>
          </cell>
          <cell r="D3026">
            <v>0</v>
          </cell>
          <cell r="E3026">
            <v>0</v>
          </cell>
          <cell r="F3026">
            <v>0</v>
          </cell>
          <cell r="G3026">
            <v>0</v>
          </cell>
          <cell r="H3026">
            <v>0</v>
          </cell>
          <cell r="I3026">
            <v>0</v>
          </cell>
          <cell r="J3026">
            <v>0</v>
          </cell>
        </row>
        <row r="3027">
          <cell r="B3027">
            <v>0</v>
          </cell>
          <cell r="C3027">
            <v>0</v>
          </cell>
          <cell r="D3027">
            <v>0</v>
          </cell>
          <cell r="E3027">
            <v>0</v>
          </cell>
          <cell r="F3027">
            <v>0</v>
          </cell>
          <cell r="G3027">
            <v>0</v>
          </cell>
          <cell r="H3027">
            <v>0</v>
          </cell>
          <cell r="I3027">
            <v>0</v>
          </cell>
          <cell r="J3027">
            <v>0</v>
          </cell>
        </row>
        <row r="3028">
          <cell r="B3028">
            <v>0</v>
          </cell>
          <cell r="C3028">
            <v>0</v>
          </cell>
          <cell r="D3028">
            <v>0</v>
          </cell>
          <cell r="E3028">
            <v>0</v>
          </cell>
          <cell r="F3028">
            <v>0</v>
          </cell>
          <cell r="G3028">
            <v>0</v>
          </cell>
          <cell r="H3028">
            <v>0</v>
          </cell>
          <cell r="I3028">
            <v>0</v>
          </cell>
          <cell r="J3028">
            <v>0</v>
          </cell>
        </row>
        <row r="3029">
          <cell r="B3029">
            <v>0</v>
          </cell>
          <cell r="C3029">
            <v>0</v>
          </cell>
          <cell r="D3029">
            <v>0</v>
          </cell>
          <cell r="E3029">
            <v>0</v>
          </cell>
          <cell r="F3029">
            <v>0</v>
          </cell>
          <cell r="G3029">
            <v>0</v>
          </cell>
          <cell r="H3029">
            <v>0</v>
          </cell>
          <cell r="I3029">
            <v>0</v>
          </cell>
          <cell r="J3029">
            <v>0</v>
          </cell>
        </row>
        <row r="3030">
          <cell r="B3030">
            <v>0</v>
          </cell>
          <cell r="C3030">
            <v>0</v>
          </cell>
          <cell r="D3030">
            <v>0</v>
          </cell>
          <cell r="E3030">
            <v>0</v>
          </cell>
          <cell r="F3030">
            <v>0</v>
          </cell>
          <cell r="G3030">
            <v>0</v>
          </cell>
          <cell r="H3030">
            <v>0</v>
          </cell>
          <cell r="I3030">
            <v>0</v>
          </cell>
          <cell r="J3030">
            <v>0</v>
          </cell>
        </row>
        <row r="3031">
          <cell r="B3031">
            <v>0</v>
          </cell>
          <cell r="C3031">
            <v>0</v>
          </cell>
          <cell r="D3031">
            <v>0</v>
          </cell>
          <cell r="E3031">
            <v>0</v>
          </cell>
          <cell r="F3031">
            <v>0</v>
          </cell>
          <cell r="G3031">
            <v>0</v>
          </cell>
          <cell r="H3031">
            <v>0</v>
          </cell>
          <cell r="I3031">
            <v>0</v>
          </cell>
          <cell r="J3031">
            <v>0</v>
          </cell>
        </row>
        <row r="3032">
          <cell r="B3032">
            <v>0</v>
          </cell>
          <cell r="C3032">
            <v>0</v>
          </cell>
          <cell r="D3032">
            <v>0</v>
          </cell>
          <cell r="E3032">
            <v>0</v>
          </cell>
          <cell r="F3032">
            <v>0</v>
          </cell>
          <cell r="G3032">
            <v>0</v>
          </cell>
          <cell r="H3032">
            <v>0</v>
          </cell>
          <cell r="I3032">
            <v>0</v>
          </cell>
          <cell r="J3032">
            <v>0</v>
          </cell>
        </row>
        <row r="3033">
          <cell r="B3033">
            <v>0</v>
          </cell>
          <cell r="C3033">
            <v>0</v>
          </cell>
          <cell r="D3033">
            <v>0</v>
          </cell>
          <cell r="E3033">
            <v>0</v>
          </cell>
          <cell r="F3033">
            <v>0</v>
          </cell>
          <cell r="G3033">
            <v>0</v>
          </cell>
          <cell r="H3033">
            <v>0</v>
          </cell>
          <cell r="I3033">
            <v>0</v>
          </cell>
          <cell r="J3033">
            <v>0</v>
          </cell>
        </row>
        <row r="3034">
          <cell r="B3034">
            <v>0</v>
          </cell>
          <cell r="C3034">
            <v>0</v>
          </cell>
          <cell r="D3034">
            <v>0</v>
          </cell>
          <cell r="E3034">
            <v>0</v>
          </cell>
          <cell r="F3034">
            <v>0</v>
          </cell>
          <cell r="G3034">
            <v>0</v>
          </cell>
          <cell r="H3034">
            <v>0</v>
          </cell>
          <cell r="I3034">
            <v>0</v>
          </cell>
          <cell r="J3034">
            <v>0</v>
          </cell>
        </row>
        <row r="3035">
          <cell r="B3035">
            <v>0</v>
          </cell>
          <cell r="C3035">
            <v>0</v>
          </cell>
          <cell r="D3035">
            <v>0</v>
          </cell>
          <cell r="E3035">
            <v>0</v>
          </cell>
          <cell r="F3035">
            <v>0</v>
          </cell>
          <cell r="G3035">
            <v>0</v>
          </cell>
          <cell r="H3035">
            <v>0</v>
          </cell>
          <cell r="I3035">
            <v>0</v>
          </cell>
          <cell r="J3035">
            <v>0</v>
          </cell>
        </row>
        <row r="3036">
          <cell r="B3036">
            <v>0</v>
          </cell>
          <cell r="C3036">
            <v>0</v>
          </cell>
          <cell r="D3036">
            <v>0</v>
          </cell>
          <cell r="E3036">
            <v>0</v>
          </cell>
          <cell r="F3036">
            <v>0</v>
          </cell>
          <cell r="G3036">
            <v>0</v>
          </cell>
          <cell r="H3036">
            <v>0</v>
          </cell>
          <cell r="I3036">
            <v>0</v>
          </cell>
          <cell r="J3036">
            <v>0</v>
          </cell>
        </row>
        <row r="3037">
          <cell r="B3037">
            <v>0</v>
          </cell>
          <cell r="C3037">
            <v>0</v>
          </cell>
          <cell r="D3037">
            <v>0</v>
          </cell>
          <cell r="E3037">
            <v>0</v>
          </cell>
          <cell r="F3037">
            <v>0</v>
          </cell>
          <cell r="G3037">
            <v>0</v>
          </cell>
          <cell r="H3037">
            <v>0</v>
          </cell>
          <cell r="I3037">
            <v>0</v>
          </cell>
          <cell r="J3037">
            <v>0</v>
          </cell>
        </row>
        <row r="3038">
          <cell r="B3038">
            <v>0</v>
          </cell>
          <cell r="C3038">
            <v>0</v>
          </cell>
          <cell r="D3038">
            <v>0</v>
          </cell>
          <cell r="E3038">
            <v>0</v>
          </cell>
          <cell r="F3038">
            <v>0</v>
          </cell>
          <cell r="G3038">
            <v>0</v>
          </cell>
          <cell r="H3038">
            <v>0</v>
          </cell>
          <cell r="I3038">
            <v>0</v>
          </cell>
          <cell r="J3038">
            <v>0</v>
          </cell>
        </row>
        <row r="3039">
          <cell r="B3039">
            <v>0</v>
          </cell>
          <cell r="C3039">
            <v>0</v>
          </cell>
          <cell r="D3039">
            <v>0</v>
          </cell>
          <cell r="E3039">
            <v>0</v>
          </cell>
          <cell r="F3039">
            <v>0</v>
          </cell>
          <cell r="G3039">
            <v>0</v>
          </cell>
          <cell r="H3039">
            <v>0</v>
          </cell>
          <cell r="I3039">
            <v>0</v>
          </cell>
          <cell r="J3039">
            <v>0</v>
          </cell>
        </row>
        <row r="3040">
          <cell r="B3040">
            <v>0</v>
          </cell>
          <cell r="C3040">
            <v>0</v>
          </cell>
          <cell r="D3040">
            <v>0</v>
          </cell>
          <cell r="E3040">
            <v>0</v>
          </cell>
          <cell r="F3040">
            <v>0</v>
          </cell>
          <cell r="G3040">
            <v>0</v>
          </cell>
          <cell r="H3040">
            <v>0</v>
          </cell>
          <cell r="I3040">
            <v>0</v>
          </cell>
          <cell r="J3040">
            <v>0</v>
          </cell>
        </row>
        <row r="3041">
          <cell r="B3041">
            <v>0</v>
          </cell>
          <cell r="C3041">
            <v>0</v>
          </cell>
          <cell r="D3041">
            <v>0</v>
          </cell>
          <cell r="E3041">
            <v>0</v>
          </cell>
          <cell r="F3041">
            <v>0</v>
          </cell>
          <cell r="G3041">
            <v>0</v>
          </cell>
          <cell r="H3041">
            <v>0</v>
          </cell>
          <cell r="I3041">
            <v>0</v>
          </cell>
          <cell r="J3041">
            <v>0</v>
          </cell>
        </row>
        <row r="3042">
          <cell r="B3042">
            <v>0</v>
          </cell>
          <cell r="C3042">
            <v>0</v>
          </cell>
          <cell r="D3042">
            <v>0</v>
          </cell>
          <cell r="E3042">
            <v>0</v>
          </cell>
          <cell r="F3042">
            <v>0</v>
          </cell>
          <cell r="G3042">
            <v>0</v>
          </cell>
          <cell r="H3042">
            <v>0</v>
          </cell>
          <cell r="I3042">
            <v>0</v>
          </cell>
          <cell r="J3042">
            <v>0</v>
          </cell>
        </row>
        <row r="3043">
          <cell r="B3043">
            <v>0</v>
          </cell>
          <cell r="C3043">
            <v>0</v>
          </cell>
          <cell r="D3043">
            <v>0</v>
          </cell>
          <cell r="E3043">
            <v>0</v>
          </cell>
          <cell r="F3043">
            <v>0</v>
          </cell>
          <cell r="G3043">
            <v>0</v>
          </cell>
          <cell r="H3043">
            <v>0</v>
          </cell>
          <cell r="I3043">
            <v>0</v>
          </cell>
          <cell r="J3043">
            <v>0</v>
          </cell>
        </row>
        <row r="3044">
          <cell r="B3044">
            <v>0</v>
          </cell>
          <cell r="C3044">
            <v>0</v>
          </cell>
          <cell r="D3044">
            <v>0</v>
          </cell>
          <cell r="E3044">
            <v>0</v>
          </cell>
          <cell r="F3044">
            <v>0</v>
          </cell>
          <cell r="G3044">
            <v>0</v>
          </cell>
          <cell r="H3044">
            <v>0</v>
          </cell>
          <cell r="I3044">
            <v>0</v>
          </cell>
          <cell r="J3044">
            <v>0</v>
          </cell>
        </row>
        <row r="3045">
          <cell r="B3045">
            <v>0</v>
          </cell>
          <cell r="C3045">
            <v>0</v>
          </cell>
          <cell r="D3045">
            <v>0</v>
          </cell>
          <cell r="E3045">
            <v>0</v>
          </cell>
          <cell r="F3045">
            <v>0</v>
          </cell>
          <cell r="G3045">
            <v>0</v>
          </cell>
          <cell r="H3045">
            <v>0</v>
          </cell>
          <cell r="I3045">
            <v>0</v>
          </cell>
          <cell r="J3045">
            <v>0</v>
          </cell>
        </row>
        <row r="3046">
          <cell r="B3046">
            <v>0</v>
          </cell>
          <cell r="C3046">
            <v>0</v>
          </cell>
          <cell r="D3046">
            <v>0</v>
          </cell>
          <cell r="E3046">
            <v>0</v>
          </cell>
          <cell r="F3046">
            <v>0</v>
          </cell>
          <cell r="G3046">
            <v>0</v>
          </cell>
          <cell r="H3046">
            <v>0</v>
          </cell>
          <cell r="I3046">
            <v>0</v>
          </cell>
          <cell r="J3046">
            <v>0</v>
          </cell>
        </row>
        <row r="3047">
          <cell r="B3047">
            <v>0</v>
          </cell>
          <cell r="C3047">
            <v>0</v>
          </cell>
          <cell r="D3047">
            <v>0</v>
          </cell>
          <cell r="E3047">
            <v>0</v>
          </cell>
          <cell r="F3047">
            <v>0</v>
          </cell>
          <cell r="G3047">
            <v>0</v>
          </cell>
          <cell r="H3047">
            <v>0</v>
          </cell>
          <cell r="I3047">
            <v>0</v>
          </cell>
          <cell r="J3047">
            <v>0</v>
          </cell>
        </row>
        <row r="3048">
          <cell r="B3048">
            <v>0</v>
          </cell>
          <cell r="C3048">
            <v>0</v>
          </cell>
          <cell r="D3048">
            <v>0</v>
          </cell>
          <cell r="E3048">
            <v>0</v>
          </cell>
          <cell r="F3048">
            <v>0</v>
          </cell>
          <cell r="G3048">
            <v>0</v>
          </cell>
          <cell r="H3048">
            <v>0</v>
          </cell>
          <cell r="I3048">
            <v>0</v>
          </cell>
          <cell r="J3048">
            <v>0</v>
          </cell>
        </row>
        <row r="3049">
          <cell r="B3049">
            <v>0</v>
          </cell>
          <cell r="C3049">
            <v>0</v>
          </cell>
          <cell r="D3049">
            <v>0</v>
          </cell>
          <cell r="E3049">
            <v>0</v>
          </cell>
          <cell r="F3049">
            <v>0</v>
          </cell>
          <cell r="G3049">
            <v>0</v>
          </cell>
          <cell r="H3049">
            <v>0</v>
          </cell>
          <cell r="I3049">
            <v>0</v>
          </cell>
          <cell r="J3049">
            <v>0</v>
          </cell>
        </row>
        <row r="3050">
          <cell r="B3050">
            <v>0</v>
          </cell>
          <cell r="C3050">
            <v>0</v>
          </cell>
          <cell r="D3050">
            <v>0</v>
          </cell>
          <cell r="E3050">
            <v>0</v>
          </cell>
          <cell r="F3050">
            <v>0</v>
          </cell>
          <cell r="G3050">
            <v>0</v>
          </cell>
          <cell r="H3050">
            <v>0</v>
          </cell>
          <cell r="I3050">
            <v>0</v>
          </cell>
          <cell r="J3050">
            <v>0</v>
          </cell>
        </row>
        <row r="3051">
          <cell r="B3051">
            <v>0</v>
          </cell>
          <cell r="C3051">
            <v>0</v>
          </cell>
          <cell r="D3051">
            <v>0</v>
          </cell>
          <cell r="E3051">
            <v>0</v>
          </cell>
          <cell r="F3051">
            <v>0</v>
          </cell>
          <cell r="G3051">
            <v>0</v>
          </cell>
          <cell r="H3051">
            <v>0</v>
          </cell>
          <cell r="I3051">
            <v>0</v>
          </cell>
          <cell r="J3051">
            <v>0</v>
          </cell>
        </row>
        <row r="3052">
          <cell r="B3052">
            <v>0</v>
          </cell>
          <cell r="C3052">
            <v>0</v>
          </cell>
          <cell r="D3052">
            <v>0</v>
          </cell>
          <cell r="E3052">
            <v>0</v>
          </cell>
          <cell r="F3052">
            <v>0</v>
          </cell>
          <cell r="G3052">
            <v>0</v>
          </cell>
          <cell r="H3052">
            <v>0</v>
          </cell>
          <cell r="I3052">
            <v>0</v>
          </cell>
          <cell r="J3052">
            <v>0</v>
          </cell>
        </row>
        <row r="3053">
          <cell r="B3053">
            <v>0</v>
          </cell>
          <cell r="C3053">
            <v>0</v>
          </cell>
          <cell r="D3053">
            <v>0</v>
          </cell>
          <cell r="E3053">
            <v>0</v>
          </cell>
          <cell r="F3053">
            <v>0</v>
          </cell>
          <cell r="G3053">
            <v>0</v>
          </cell>
          <cell r="H3053">
            <v>0</v>
          </cell>
          <cell r="I3053">
            <v>0</v>
          </cell>
          <cell r="J3053">
            <v>0</v>
          </cell>
        </row>
        <row r="3054">
          <cell r="B3054">
            <v>0</v>
          </cell>
          <cell r="C3054">
            <v>0</v>
          </cell>
          <cell r="D3054">
            <v>0</v>
          </cell>
          <cell r="E3054">
            <v>0</v>
          </cell>
          <cell r="F3054">
            <v>0</v>
          </cell>
          <cell r="G3054">
            <v>0</v>
          </cell>
          <cell r="H3054">
            <v>0</v>
          </cell>
          <cell r="I3054">
            <v>0</v>
          </cell>
          <cell r="J3054">
            <v>0</v>
          </cell>
        </row>
      </sheetData>
      <sheetData sheetId="5" refreshError="1"/>
      <sheetData sheetId="6" refreshError="1"/>
      <sheetData sheetId="7" refreshError="1"/>
      <sheetData sheetId="8" refreshError="1"/>
      <sheetData sheetId="9" refreshError="1">
        <row r="7">
          <cell r="B7" t="str">
            <v>(Disajikan dalam rupiah)</v>
          </cell>
          <cell r="J7" t="str">
            <v>(Expressed in rupiah)</v>
          </cell>
        </row>
        <row r="69">
          <cell r="E69">
            <v>32890717182.419998</v>
          </cell>
        </row>
        <row r="81">
          <cell r="B81" t="str">
            <v>Laporan keuangan August 2015</v>
          </cell>
        </row>
      </sheetData>
      <sheetData sheetId="10" refreshError="1">
        <row r="9">
          <cell r="B9" t="str">
            <v>(Disajikan dalam rupiah)</v>
          </cell>
          <cell r="N9" t="str">
            <v>(Expressed in rupiah)</v>
          </cell>
        </row>
        <row r="82">
          <cell r="J82">
            <v>4597647174</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row r="31">
          <cell r="M31">
            <v>0</v>
          </cell>
        </row>
        <row r="104">
          <cell r="R104">
            <v>0</v>
          </cell>
        </row>
        <row r="189">
          <cell r="R189">
            <v>0</v>
          </cell>
        </row>
        <row r="1957">
          <cell r="R1957">
            <v>0</v>
          </cell>
        </row>
        <row r="2420">
          <cell r="R2420">
            <v>0</v>
          </cell>
        </row>
        <row r="2464">
          <cell r="R2464">
            <v>0</v>
          </cell>
        </row>
      </sheetData>
      <sheetData sheetId="20" refreshError="1"/>
      <sheetData sheetId="21" refreshError="1"/>
      <sheetData sheetId="22" refreshError="1"/>
      <sheetData sheetId="23" refreshError="1"/>
      <sheetData sheetId="24" refreshError="1"/>
      <sheetData sheetId="25" refreshError="1"/>
      <sheetData sheetId="26" refreshError="1">
        <row r="19">
          <cell r="A19" t="str">
            <v>Gaji</v>
          </cell>
          <cell r="Z19" t="str">
            <v>Salaries</v>
          </cell>
        </row>
        <row r="25">
          <cell r="A25" t="str">
            <v>Tunjangan</v>
          </cell>
          <cell r="Z25" t="str">
            <v>Allowance</v>
          </cell>
        </row>
        <row r="36">
          <cell r="A36" t="str">
            <v>Keperluan kantor</v>
          </cell>
          <cell r="Z36" t="str">
            <v>Office supplies</v>
          </cell>
        </row>
        <row r="43">
          <cell r="A43" t="str">
            <v>Media pembelajaran</v>
          </cell>
          <cell r="Z43" t="str">
            <v>Learning media</v>
          </cell>
        </row>
        <row r="53">
          <cell r="A53" t="str">
            <v>Keperluan dapur</v>
          </cell>
          <cell r="Z53" t="str">
            <v>Kitchen supplies</v>
          </cell>
        </row>
        <row r="63">
          <cell r="A63" t="str">
            <v>Keperluan laundry</v>
          </cell>
          <cell r="Z63" t="str">
            <v>Laundry supplies</v>
          </cell>
        </row>
        <row r="69">
          <cell r="A69" t="str">
            <v>Keperluan klinik</v>
          </cell>
          <cell r="Z69" t="str">
            <v>Clinic supplies</v>
          </cell>
        </row>
        <row r="73">
          <cell r="A73" t="str">
            <v>Keperluan kebersihan</v>
          </cell>
          <cell r="Z73" t="str">
            <v>Cleaning supplies</v>
          </cell>
        </row>
        <row r="84">
          <cell r="A84" t="str">
            <v>Keperluan asrama</v>
          </cell>
          <cell r="Z84" t="str">
            <v>Boarding supplies</v>
          </cell>
        </row>
        <row r="92">
          <cell r="A92" t="str">
            <v>Keperluan lain lain</v>
          </cell>
          <cell r="Z92" t="str">
            <v>Other supplies</v>
          </cell>
        </row>
        <row r="100">
          <cell r="A100" t="str">
            <v>Transportasi dan perjalanan</v>
          </cell>
          <cell r="Z100" t="str">
            <v>Trasnportation and traveling</v>
          </cell>
        </row>
        <row r="108">
          <cell r="A108" t="str">
            <v>Pos dan telekomunikasi</v>
          </cell>
          <cell r="Z108" t="str">
            <v>Post and telecomunication</v>
          </cell>
        </row>
        <row r="114">
          <cell r="A114" t="str">
            <v>Perbaikan dan pemeliharaan</v>
          </cell>
          <cell r="Z114" t="str">
            <v>Repair and maintenance</v>
          </cell>
        </row>
        <row r="123">
          <cell r="A123" t="str">
            <v>Listrik  &amp; air</v>
          </cell>
          <cell r="Z123" t="str">
            <v>Electrycity and water</v>
          </cell>
        </row>
        <row r="128">
          <cell r="A128" t="str">
            <v>Sumbangan, iuran &amp; pajak</v>
          </cell>
          <cell r="Z128" t="str">
            <v>Contribution, dues &amp; taxes</v>
          </cell>
        </row>
        <row r="134">
          <cell r="A134" t="str">
            <v>Legal dan profesional</v>
          </cell>
          <cell r="Z134" t="str">
            <v>Legal and professional</v>
          </cell>
        </row>
        <row r="141">
          <cell r="A141" t="str">
            <v>Harga pokok penjualan</v>
          </cell>
          <cell r="Z141" t="str">
            <v>Cost of good sold</v>
          </cell>
        </row>
        <row r="152">
          <cell r="A152" t="str">
            <v>Bantuan keuangan santri</v>
          </cell>
          <cell r="Z152" t="str">
            <v>Student financial aid</v>
          </cell>
        </row>
        <row r="153">
          <cell r="A153" t="str">
            <v>Penyusutan</v>
          </cell>
          <cell r="Z153" t="str">
            <v>Depreciation</v>
          </cell>
        </row>
        <row r="154">
          <cell r="A154" t="str">
            <v>Beban lain lain &amp; kerugian</v>
          </cell>
          <cell r="Z154" t="str">
            <v>Other expenses and losses</v>
          </cell>
        </row>
      </sheetData>
      <sheetData sheetId="27" refreshError="1"/>
      <sheetData sheetId="28" refreshError="1">
        <row r="183">
          <cell r="I183">
            <v>0</v>
          </cell>
        </row>
        <row r="185">
          <cell r="I185">
            <v>0</v>
          </cell>
        </row>
        <row r="186">
          <cell r="I186">
            <v>0</v>
          </cell>
        </row>
        <row r="187">
          <cell r="I187">
            <v>0</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row r="25">
          <cell r="P25">
            <v>0</v>
          </cell>
        </row>
        <row r="35">
          <cell r="E35">
            <v>2406032.2740000002</v>
          </cell>
        </row>
        <row r="42">
          <cell r="H42">
            <v>0</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klus Akuntansi"/>
      <sheetName val="COA"/>
      <sheetName val="NASo"/>
      <sheetName val="JK"/>
      <sheetName val="JU"/>
      <sheetName val="Buku Besar"/>
      <sheetName val="Nrc"/>
      <sheetName val="S-Dd"/>
      <sheetName val="PM"/>
      <sheetName val="PIUTANG DAGANG"/>
      <sheetName val="Rincian. Piutang"/>
      <sheetName val="Rin. Piutang Fast Pay_1125"/>
      <sheetName val="Fix Asset"/>
      <sheetName val="Rin. Piutang. Sipond"/>
    </sheetNames>
    <sheetDataSet>
      <sheetData sheetId="0"/>
      <sheetData sheetId="1"/>
      <sheetData sheetId="2"/>
      <sheetData sheetId="3"/>
      <sheetData sheetId="4"/>
      <sheetData sheetId="5">
        <row r="15">
          <cell r="K15">
            <v>50007700</v>
          </cell>
          <cell r="L15">
            <v>92728464</v>
          </cell>
        </row>
      </sheetData>
      <sheetData sheetId="6"/>
      <sheetData sheetId="7"/>
      <sheetData sheetId="8"/>
      <sheetData sheetId="9"/>
      <sheetData sheetId="10"/>
      <sheetData sheetId="11"/>
      <sheetData sheetId="12"/>
      <sheetData sheetId="13"/>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P"/>
      <sheetName val="DATA SUBSIDI"/>
      <sheetName val="Daftar Subsidi Juli_26"/>
      <sheetName val="JM"/>
      <sheetName val="Surat Komitmen Pembayaran"/>
      <sheetName val="Data Subsidi_0726"/>
      <sheetName val="Kirim WA_Blast"/>
    </sheetNames>
    <sheetDataSet>
      <sheetData sheetId="0">
        <row r="61">
          <cell r="CB61">
            <v>4850000</v>
          </cell>
        </row>
        <row r="491">
          <cell r="BL491">
            <v>847774000</v>
          </cell>
        </row>
      </sheetData>
      <sheetData sheetId="1"/>
      <sheetData sheetId="2"/>
      <sheetData sheetId="3"/>
      <sheetData sheetId="4"/>
      <sheetData sheetId="5"/>
      <sheetData sheetId="6"/>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atan review"/>
      <sheetName val="IN"/>
      <sheetName val="Cover dp"/>
      <sheetName val="Cover blkg"/>
      <sheetName val="KT"/>
      <sheetName val="TC"/>
      <sheetName val="RL"/>
      <sheetName val="Balance sheet"/>
      <sheetName val="GL"/>
      <sheetName val="Graphic"/>
      <sheetName val="NRC"/>
      <sheetName val="LR "/>
      <sheetName val="PAB"/>
      <sheetName val="Ak "/>
      <sheetName val="Clk."/>
      <sheetName val="1"/>
      <sheetName val="2"/>
      <sheetName val="3"/>
      <sheetName val="4"/>
      <sheetName val="4a"/>
      <sheetName val="5"/>
      <sheetName val="6"/>
      <sheetName val="7"/>
      <sheetName val="8"/>
      <sheetName val="9"/>
      <sheetName val="10"/>
      <sheetName val="11"/>
      <sheetName val="12"/>
      <sheetName val="13"/>
      <sheetName val="30"/>
      <sheetName val="Bunga"/>
      <sheetName val="WK Revenue"/>
      <sheetName val="WK beban"/>
      <sheetName val="WK matri biaya"/>
      <sheetName val="WK AK "/>
      <sheetName val="Jurnal adj"/>
      <sheetName val="corr"/>
      <sheetName val="11b"/>
      <sheetName val="14"/>
      <sheetName val="15"/>
      <sheetName val="16"/>
      <sheetName val="17"/>
      <sheetName val="18"/>
      <sheetName val="19"/>
      <sheetName val="20"/>
      <sheetName val="Bunga (2)"/>
      <sheetName val="200"/>
      <sheetName val="Analisis"/>
      <sheetName val="Compatibility Report"/>
      <sheetName val="Sheet5"/>
      <sheetName val="Sheet6"/>
      <sheetName val="AK putro nov"/>
      <sheetName val="pitri  nov matrik"/>
      <sheetName val="putri sd nov pendp"/>
      <sheetName val="Putri  nov beban"/>
      <sheetName val="Cadangan Ak"/>
      <sheetName val="10 cadangan"/>
      <sheetName val="11b cadangan(2)"/>
      <sheetName val="11 cadangan2)"/>
      <sheetName val="19X"/>
      <sheetName val="Sheet1"/>
    </sheetNames>
    <sheetDataSet>
      <sheetData sheetId="0"/>
      <sheetData sheetId="1"/>
      <sheetData sheetId="2"/>
      <sheetData sheetId="3"/>
      <sheetData sheetId="4"/>
      <sheetData sheetId="5"/>
      <sheetData sheetId="6"/>
      <sheetData sheetId="7"/>
      <sheetData sheetId="8"/>
      <sheetData sheetId="9"/>
      <sheetData sheetId="10">
        <row r="7">
          <cell r="B7" t="str">
            <v>(Disajikan dalam rupiah)</v>
          </cell>
          <cell r="J7" t="str">
            <v xml:space="preserve"> (Expressed in rupiah)</v>
          </cell>
        </row>
      </sheetData>
      <sheetData sheetId="11"/>
      <sheetData sheetId="12"/>
      <sheetData sheetId="13"/>
      <sheetData sheetId="14"/>
      <sheetData sheetId="15"/>
      <sheetData sheetId="16"/>
      <sheetData sheetId="17"/>
      <sheetData sheetId="18"/>
      <sheetData sheetId="19"/>
      <sheetData sheetId="20"/>
      <sheetData sheetId="21">
        <row r="715">
          <cell r="F715">
            <v>576584225</v>
          </cell>
        </row>
      </sheetData>
      <sheetData sheetId="22"/>
      <sheetData sheetId="23"/>
      <sheetData sheetId="24"/>
      <sheetData sheetId="25"/>
      <sheetData sheetId="26"/>
      <sheetData sheetId="27"/>
      <sheetData sheetId="28"/>
      <sheetData sheetId="29">
        <row r="20">
          <cell r="V20">
            <v>6688944794.4099989</v>
          </cell>
        </row>
      </sheetData>
      <sheetData sheetId="30"/>
      <sheetData sheetId="31"/>
      <sheetData sheetId="32"/>
      <sheetData sheetId="33"/>
      <sheetData sheetId="34"/>
      <sheetData sheetId="35"/>
      <sheetData sheetId="36"/>
      <sheetData sheetId="37"/>
      <sheetData sheetId="38">
        <row r="111">
          <cell r="I111">
            <v>1819992316</v>
          </cell>
        </row>
      </sheetData>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K"/>
      <sheetName val="List_Medicine"/>
      <sheetName val="Purchase"/>
      <sheetName val="Persediaan"/>
      <sheetName val="Distribusi"/>
      <sheetName val="Harian"/>
      <sheetName val="cek_fisik"/>
      <sheetName val="Anggaran_Obat"/>
      <sheetName val="SP1"/>
      <sheetName val="Lap Bulanan"/>
      <sheetName val="Ak  (2)"/>
      <sheetName val="IN"/>
      <sheetName val="Cover dp"/>
      <sheetName val="Cover blkg"/>
      <sheetName val="Catatan review"/>
      <sheetName val="GL"/>
      <sheetName val="RL"/>
      <sheetName val="KT"/>
      <sheetName val="TC"/>
      <sheetName val="Graphic"/>
      <sheetName val="NRC"/>
      <sheetName val="LR "/>
      <sheetName val="PAB"/>
      <sheetName val="Ak "/>
      <sheetName val="Clk."/>
      <sheetName val="12"/>
      <sheetName val="13"/>
      <sheetName val="30"/>
      <sheetName val="Sheet4"/>
      <sheetName val="Sheet2"/>
      <sheetName val="1"/>
      <sheetName val="2"/>
      <sheetName val="3"/>
      <sheetName val="4"/>
      <sheetName val="5"/>
      <sheetName val="6"/>
      <sheetName val="7"/>
      <sheetName val="8"/>
      <sheetName val="9"/>
      <sheetName val="10"/>
      <sheetName val="11"/>
      <sheetName val="11b"/>
      <sheetName val="14"/>
      <sheetName val="15"/>
      <sheetName val="16"/>
      <sheetName val="17"/>
      <sheetName val="18"/>
      <sheetName val="19X"/>
      <sheetName val="19"/>
      <sheetName val="20"/>
      <sheetName val="Sheet10"/>
      <sheetName val="Sheet11"/>
      <sheetName val="Sheet9"/>
      <sheetName val="Sheet8"/>
      <sheetName val="Sheet1"/>
      <sheetName val="Bunga"/>
      <sheetName val="Bunga (2)"/>
      <sheetName val="200"/>
      <sheetName val="Sheet3"/>
      <sheetName val="Analisis"/>
      <sheetName val="Jurnal adj"/>
      <sheetName val="Compatibility Report"/>
      <sheetName val="Sheet5"/>
      <sheetName val="Sheet6"/>
      <sheetName val="Sheet7"/>
      <sheetName val="ATK"/>
      <sheetName val="SAR"/>
      <sheetName val="Lap"/>
      <sheetName val="MYOB"/>
      <sheetName val="Beli"/>
      <sheetName val="Arus kas Putri"/>
      <sheetName val="Putri (RL Kns)"/>
      <sheetName val="Putri (Nrc kns)"/>
      <sheetName val="Control"/>
      <sheetName val="Ekuitas"/>
      <sheetName val="Arus kas"/>
      <sheetName val="12 (Nrc kns)"/>
      <sheetName val="13 (RL Kns)"/>
      <sheetName val="14 (Rnc Kns)"/>
      <sheetName val="30 (Nrc kns)"/>
      <sheetName val="15 (R.PBY1)"/>
      <sheetName val="16(R.PBY2)"/>
      <sheetName val="17(AT)"/>
      <sheetName val="18(Hutang Simp)"/>
      <sheetName val="19(simp. modal)"/>
      <sheetName val="20(Rinc HU)"/>
      <sheetName val="R Induk"/>
      <sheetName val="R. Kredit B"/>
      <sheetName val="R. Kredit K"/>
      <sheetName val="R. Laupia"/>
      <sheetName val="R. Kafe 1"/>
      <sheetName val="R. Kafe 2"/>
      <sheetName val="R. Kafe 3"/>
      <sheetName val="R. Kantin Nasgor"/>
      <sheetName val="R. FOTOCOPY"/>
      <sheetName val="R. Stationery"/>
      <sheetName val="R. Beras"/>
      <sheetName val="R. Warung Mie ayam"/>
      <sheetName val="R.Amin mart"/>
      <sheetName val="R. Kantin Putri"/>
      <sheetName val="R. Potong Rambut"/>
      <sheetName val="R. Laundry PIA PI"/>
      <sheetName val="R. PIAT"/>
      <sheetName val="R. Titipan bunga"/>
      <sheetName val="R. Simpanan Anggota "/>
      <sheetName val="Modal unit"/>
      <sheetName val="Amin"/>
      <sheetName val="induk"/>
      <sheetName val="kt1"/>
      <sheetName val="KT2"/>
      <sheetName val="kt3"/>
      <sheetName val="Nasgor"/>
      <sheetName val="KB"/>
      <sheetName val="KK"/>
      <sheetName val="Laundry PIA PI"/>
      <sheetName val="Potong Rambut"/>
      <sheetName val="W. Mie ayam"/>
      <sheetName val="Foto copy"/>
      <sheetName val="K. Kejujuran"/>
      <sheetName val="LAUPIA"/>
      <sheetName val="PIAT Press"/>
      <sheetName val="Off balance Sheet"/>
      <sheetName val="RL AM2"/>
      <sheetName val="Rinc AM2"/>
      <sheetName val="Aruskas AM"/>
      <sheetName val="HU AM1"/>
      <sheetName val="4a"/>
      <sheetName val="WK Revenue"/>
      <sheetName val="WK beban"/>
      <sheetName val="WK AK "/>
      <sheetName val="WK matri biaya"/>
      <sheetName val="corr"/>
      <sheetName val="AK putro nov"/>
      <sheetName val="pitri  nov matrik"/>
      <sheetName val="putri sd nov pendp"/>
      <sheetName val="Putri  nov beban"/>
      <sheetName val="Cadangan Ak"/>
      <sheetName val="10 cadangan"/>
      <sheetName val="11b cadangan(2)"/>
      <sheetName val="11 cadangan2)"/>
    </sheetNames>
    <sheetDataSet>
      <sheetData sheetId="0">
        <row r="5">
          <cell r="B5" t="str">
            <v>K183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ow r="83">
          <cell r="J83">
            <v>7257061254.5600004</v>
          </cell>
        </row>
      </sheetData>
      <sheetData sheetId="22"/>
      <sheetData sheetId="23"/>
      <sheetData sheetId="24">
        <row r="1087">
          <cell r="AC1087">
            <v>0</v>
          </cell>
        </row>
      </sheetData>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row r="5">
          <cell r="C5" t="str">
            <v>Ballpoint - 4 Warna</v>
          </cell>
        </row>
        <row r="343">
          <cell r="V343">
            <v>6112</v>
          </cell>
        </row>
      </sheetData>
      <sheetData sheetId="66">
        <row r="6">
          <cell r="C6" t="str">
            <v>Grenjeng</v>
          </cell>
        </row>
        <row r="170">
          <cell r="Z170">
            <v>1261</v>
          </cell>
        </row>
      </sheetData>
      <sheetData sheetId="67"/>
      <sheetData sheetId="68"/>
      <sheetData sheetId="69"/>
      <sheetData sheetId="70"/>
      <sheetData sheetId="71"/>
      <sheetData sheetId="72"/>
      <sheetData sheetId="73"/>
      <sheetData sheetId="74"/>
      <sheetData sheetId="75"/>
      <sheetData sheetId="76"/>
      <sheetData sheetId="77"/>
      <sheetData sheetId="78">
        <row r="133">
          <cell r="I133">
            <v>1714560434.76</v>
          </cell>
        </row>
      </sheetData>
      <sheetData sheetId="79">
        <row r="19">
          <cell r="E19">
            <v>999992316</v>
          </cell>
        </row>
      </sheetData>
      <sheetData sheetId="80"/>
      <sheetData sheetId="81"/>
      <sheetData sheetId="82">
        <row r="645">
          <cell r="I645">
            <v>1278068021.9033301</v>
          </cell>
        </row>
      </sheetData>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TK"/>
      <sheetName val="SAR"/>
      <sheetName val="IN"/>
      <sheetName val="Lap"/>
      <sheetName val="MYOB"/>
    </sheetNames>
    <sheetDataSet>
      <sheetData sheetId="0">
        <row r="344">
          <cell r="AL344">
            <v>13778616.559080632</v>
          </cell>
        </row>
      </sheetData>
      <sheetData sheetId="1">
        <row r="170">
          <cell r="AU170">
            <v>9008650.1812648159</v>
          </cell>
        </row>
      </sheetData>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klus Akuntansi"/>
      <sheetName val="COA"/>
      <sheetName val="NASo"/>
      <sheetName val="JK"/>
      <sheetName val="JU"/>
      <sheetName val="Buku Besar"/>
      <sheetName val="Nrc"/>
      <sheetName val="S-Dd"/>
      <sheetName val="PM"/>
      <sheetName val="PIUTANG DAGANG"/>
      <sheetName val="Rin. Piutang Pesantren"/>
      <sheetName val="Rin. Piutang. Sipond"/>
      <sheetName val="PB"/>
    </sheetNames>
    <sheetDataSet>
      <sheetData sheetId="0" refreshError="1"/>
      <sheetData sheetId="1" refreshError="1"/>
      <sheetData sheetId="2" refreshError="1"/>
      <sheetData sheetId="3" refreshError="1"/>
      <sheetData sheetId="4" refreshError="1"/>
      <sheetData sheetId="5">
        <row r="10">
          <cell r="G10">
            <v>83886400</v>
          </cell>
        </row>
      </sheetData>
      <sheetData sheetId="6">
        <row r="58">
          <cell r="C58">
            <v>-19204996.990000002</v>
          </cell>
        </row>
      </sheetData>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GT-23"/>
      <sheetName val="Kelas"/>
      <sheetName val="Daftar Ulang"/>
      <sheetName val="Sheet6"/>
      <sheetName val="Sheet1"/>
      <sheetName val="Sheet2"/>
    </sheetNames>
    <sheetDataSet>
      <sheetData sheetId="0">
        <row r="2804">
          <cell r="W2804">
            <v>56711946</v>
          </cell>
        </row>
      </sheetData>
      <sheetData sheetId="1"/>
      <sheetData sheetId="2"/>
      <sheetData sheetId="3"/>
      <sheetData sheetId="4"/>
      <sheetData sheetId="5"/>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atan review"/>
      <sheetName val="IN"/>
      <sheetName val="Cover dp"/>
      <sheetName val="Cover blkg"/>
      <sheetName val="KT"/>
      <sheetName val="TC"/>
      <sheetName val="RL"/>
      <sheetName val="Balance sheet"/>
      <sheetName val="Graphic"/>
      <sheetName val="NRC"/>
      <sheetName val="LR "/>
      <sheetName val="PAB"/>
      <sheetName val="Ak "/>
      <sheetName val="Clk."/>
      <sheetName val="Jurnal adj"/>
      <sheetName val="1"/>
      <sheetName val="2"/>
      <sheetName val="3"/>
      <sheetName val="4"/>
      <sheetName val="4a"/>
      <sheetName val="5"/>
      <sheetName val="6"/>
      <sheetName val="7"/>
      <sheetName val="8"/>
      <sheetName val="9"/>
      <sheetName val="10"/>
      <sheetName val="GL"/>
      <sheetName val="11"/>
      <sheetName val="12"/>
      <sheetName val="13"/>
      <sheetName val="30"/>
      <sheetName val="Bunga"/>
      <sheetName val="WK Revenue"/>
      <sheetName val="WK beban"/>
      <sheetName val="WK matri biaya"/>
      <sheetName val="WK AK "/>
      <sheetName val="corr"/>
      <sheetName val="11b"/>
      <sheetName val="14"/>
      <sheetName val="15"/>
      <sheetName val="16"/>
      <sheetName val="17"/>
      <sheetName val="18"/>
      <sheetName val="19"/>
      <sheetName val="20"/>
      <sheetName val="Bunga (2)"/>
      <sheetName val="200"/>
      <sheetName val="Analisis"/>
      <sheetName val="Compatibility Report"/>
      <sheetName val="Sheet5"/>
      <sheetName val="Sheet6"/>
      <sheetName val="AK putro nov"/>
      <sheetName val="pitri  nov matrik"/>
      <sheetName val="putri sd nov pendp"/>
      <sheetName val="Putri  nov beban"/>
      <sheetName val="Cadangan Ak"/>
      <sheetName val="10 cadangan"/>
      <sheetName val="11b cadangan(2)"/>
      <sheetName val="11 cadangan2)"/>
      <sheetName val="19X"/>
      <sheetName val="Sheet1"/>
    </sheetNames>
    <sheetDataSet>
      <sheetData sheetId="0"/>
      <sheetData sheetId="1"/>
      <sheetData sheetId="2"/>
      <sheetData sheetId="3"/>
      <sheetData sheetId="4"/>
      <sheetData sheetId="5"/>
      <sheetData sheetId="6"/>
      <sheetData sheetId="7"/>
      <sheetData sheetId="8"/>
      <sheetData sheetId="9">
        <row r="7">
          <cell r="J7" t="str">
            <v xml:space="preserve"> (Expressed in rupiah)</v>
          </cell>
        </row>
      </sheetData>
      <sheetData sheetId="10"/>
      <sheetData sheetId="11"/>
      <sheetData sheetId="12"/>
      <sheetData sheetId="13">
        <row r="202">
          <cell r="Q202">
            <v>0</v>
          </cell>
        </row>
      </sheetData>
      <sheetData sheetId="14"/>
      <sheetData sheetId="15"/>
      <sheetData sheetId="16">
        <row r="372">
          <cell r="D372">
            <v>34757000</v>
          </cell>
        </row>
      </sheetData>
      <sheetData sheetId="17"/>
      <sheetData sheetId="18"/>
      <sheetData sheetId="19"/>
      <sheetData sheetId="20"/>
      <sheetData sheetId="21">
        <row r="591">
          <cell r="F591">
            <v>246077</v>
          </cell>
        </row>
      </sheetData>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C (2)"/>
      <sheetName val="Lay out"/>
      <sheetName val="Cover dp"/>
      <sheetName val="Cover blkg"/>
      <sheetName val="MYOB"/>
      <sheetName val="Balance sheet 2"/>
      <sheetName val="LR"/>
      <sheetName val="IN"/>
      <sheetName val="Grafik"/>
      <sheetName val="RL"/>
      <sheetName val="Nrc"/>
      <sheetName val="PAB"/>
      <sheetName val="AK"/>
      <sheetName val="CLK"/>
      <sheetName val="1"/>
      <sheetName val="2"/>
      <sheetName val="3"/>
      <sheetName val="4"/>
      <sheetName val="5"/>
      <sheetName val="6"/>
      <sheetName val="7"/>
      <sheetName val="8"/>
      <sheetName val="9"/>
      <sheetName val="10"/>
      <sheetName val="GL"/>
      <sheetName val="11"/>
      <sheetName val="Blank page"/>
      <sheetName val="CR"/>
      <sheetName val="CD"/>
      <sheetName val="Jm"/>
      <sheetName val="Control MYOB CLK"/>
      <sheetName val="Titipan Buku &amp; Seragam"/>
      <sheetName val="BB PSB "/>
      <sheetName val="Titipan Pangkal 2-3121 "/>
      <sheetName val="SOP"/>
      <sheetName val="Sheet2"/>
      <sheetName val="Sheet1"/>
      <sheetName val="Uang saku Juli 2023"/>
    </sheetNames>
    <sheetDataSet>
      <sheetData sheetId="0"/>
      <sheetData sheetId="1"/>
      <sheetData sheetId="2"/>
      <sheetData sheetId="3"/>
      <sheetData sheetId="4"/>
      <sheetData sheetId="5"/>
      <sheetData sheetId="6">
        <row r="41">
          <cell r="D41">
            <v>0</v>
          </cell>
        </row>
      </sheetData>
      <sheetData sheetId="7">
        <row r="19">
          <cell r="C19" t="str">
            <v>Laporan keuangan July 2023</v>
          </cell>
        </row>
        <row r="23">
          <cell r="H23" t="e">
            <v>#N/A</v>
          </cell>
        </row>
        <row r="26">
          <cell r="G26" t="str">
            <v>30 June 2023 /</v>
          </cell>
        </row>
        <row r="37">
          <cell r="C37" t="str">
            <v>s/d 31 July 2023 /</v>
          </cell>
        </row>
      </sheetData>
      <sheetData sheetId="8"/>
      <sheetData sheetId="9">
        <row r="8">
          <cell r="C8" t="str">
            <v>yang berakhir 30 June 2023 )</v>
          </cell>
          <cell r="O8" t="e">
            <v>#N/A</v>
          </cell>
        </row>
        <row r="78">
          <cell r="I78">
            <v>100</v>
          </cell>
        </row>
      </sheetData>
      <sheetData sheetId="10">
        <row r="2">
          <cell r="B2" t="str">
            <v>PESANTREN ISLAM AL-IRSYAD PUTRI, TENGARAN</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row r="96">
          <cell r="D96">
            <v>0</v>
          </cell>
        </row>
        <row r="104">
          <cell r="D104">
            <v>0</v>
          </cell>
        </row>
      </sheetData>
      <sheetData sheetId="24">
        <row r="764">
          <cell r="G764">
            <v>0</v>
          </cell>
        </row>
      </sheetData>
      <sheetData sheetId="25">
        <row r="64">
          <cell r="AA64" t="str">
            <v>LS1</v>
          </cell>
        </row>
        <row r="153">
          <cell r="P153">
            <v>0</v>
          </cell>
          <cell r="Q153">
            <v>0</v>
          </cell>
        </row>
      </sheetData>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
      <sheetName val="Cover dp"/>
      <sheetName val="Cover blkg"/>
      <sheetName val="Catatan review"/>
      <sheetName val="GL"/>
      <sheetName val="RL"/>
      <sheetName val="KT"/>
      <sheetName val="TC"/>
      <sheetName val="Graphic"/>
      <sheetName val="NRC"/>
      <sheetName val="LR "/>
      <sheetName val="PAB"/>
      <sheetName val="Ak "/>
      <sheetName val="Clk."/>
      <sheetName val="1"/>
      <sheetName val="2"/>
      <sheetName val="3"/>
      <sheetName val="4"/>
      <sheetName val="30"/>
      <sheetName val="Sheet2"/>
      <sheetName val="5"/>
      <sheetName val="6"/>
      <sheetName val="7"/>
      <sheetName val="8"/>
      <sheetName val="9"/>
      <sheetName val="10"/>
      <sheetName val="11"/>
      <sheetName val="11b"/>
      <sheetName val="12"/>
      <sheetName val="13"/>
      <sheetName val="14"/>
      <sheetName val="15"/>
      <sheetName val="16"/>
      <sheetName val="17"/>
      <sheetName val="18"/>
      <sheetName val="19X"/>
      <sheetName val="19"/>
      <sheetName val="20"/>
      <sheetName val="Bunga"/>
      <sheetName val="Bunga (2)"/>
      <sheetName val="200"/>
      <sheetName val="Sheet3"/>
      <sheetName val="Analisis"/>
      <sheetName val="Jurnal adj"/>
      <sheetName val="Compatibility Report"/>
      <sheetName val="Sheet5"/>
      <sheetName val="Sheet4"/>
      <sheetName val="Sheet6"/>
      <sheetName val="Sheet7"/>
    </sheetNames>
    <sheetDataSet>
      <sheetData sheetId="0"/>
      <sheetData sheetId="1"/>
      <sheetData sheetId="2"/>
      <sheetData sheetId="3"/>
      <sheetData sheetId="4"/>
      <sheetData sheetId="5"/>
      <sheetData sheetId="6"/>
      <sheetData sheetId="7"/>
      <sheetData sheetId="8"/>
      <sheetData sheetId="9">
        <row r="2">
          <cell r="B2" t="str">
            <v>PESANTREN ISLAM AL-IRSYAD, TENGARAN</v>
          </cell>
        </row>
        <row r="81">
          <cell r="B81" t="str">
            <v>Laporan keuangan Oktober 2015</v>
          </cell>
          <cell r="J81" t="str">
            <v>Financial statements October 2015</v>
          </cell>
        </row>
      </sheetData>
      <sheetData sheetId="10">
        <row r="9">
          <cell r="N9" t="str">
            <v>(Expressed in rupiah)</v>
          </cell>
        </row>
        <row r="79">
          <cell r="H79">
            <v>2023675081.3499999</v>
          </cell>
          <cell r="J79">
            <v>8046911050.3400002</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atan review"/>
      <sheetName val="IN"/>
      <sheetName val="Cover dp"/>
      <sheetName val="Cover blkg"/>
      <sheetName val="KT"/>
      <sheetName val="TC"/>
      <sheetName val="RL"/>
      <sheetName val="Balance sheet"/>
      <sheetName val="GL"/>
      <sheetName val="Graphic"/>
      <sheetName val="NRC"/>
      <sheetName val="LR "/>
      <sheetName val="PAB"/>
      <sheetName val="Ak "/>
      <sheetName val="Clk."/>
      <sheetName val="1"/>
      <sheetName val="2"/>
      <sheetName val="3"/>
      <sheetName val="4"/>
      <sheetName val="4a"/>
      <sheetName val="5"/>
      <sheetName val="6"/>
      <sheetName val="7"/>
      <sheetName val="8"/>
      <sheetName val="9"/>
      <sheetName val="10"/>
      <sheetName val="11"/>
      <sheetName val="12"/>
      <sheetName val="13"/>
      <sheetName val="30"/>
      <sheetName val="Bunga"/>
      <sheetName val="WK Revenue"/>
      <sheetName val="WK beban"/>
      <sheetName val="WK matri biaya"/>
      <sheetName val="WK AK "/>
      <sheetName val="Jurnal adj"/>
      <sheetName val="corr"/>
      <sheetName val="11b"/>
      <sheetName val="14"/>
      <sheetName val="15"/>
      <sheetName val="16"/>
      <sheetName val="17"/>
      <sheetName val="18"/>
      <sheetName val="19"/>
      <sheetName val="20"/>
      <sheetName val="Bunga (2)"/>
      <sheetName val="200"/>
      <sheetName val="Analisis"/>
      <sheetName val="Compatibility Report"/>
      <sheetName val="Sheet5"/>
      <sheetName val="Sheet6"/>
      <sheetName val="AK putro nov"/>
      <sheetName val="pitri  nov matrik"/>
      <sheetName val="putri sd nov pendp"/>
      <sheetName val="Putri  nov beban"/>
      <sheetName val="Cadangan Ak"/>
      <sheetName val="10 cadangan"/>
      <sheetName val="11b cadangan(2)"/>
      <sheetName val="11 cadangan2)"/>
      <sheetName val="19X"/>
      <sheetName val="Sheet1"/>
    </sheetNames>
    <sheetDataSet>
      <sheetData sheetId="0"/>
      <sheetData sheetId="1"/>
      <sheetData sheetId="2"/>
      <sheetData sheetId="3"/>
      <sheetData sheetId="4"/>
      <sheetData sheetId="5"/>
      <sheetData sheetId="6"/>
      <sheetData sheetId="7"/>
      <sheetData sheetId="8"/>
      <sheetData sheetId="9"/>
      <sheetData sheetId="10">
        <row r="2">
          <cell r="B2" t="str">
            <v>PESANTREN ISLAM AL-IRSYAD, TENGARAN</v>
          </cell>
        </row>
        <row r="7">
          <cell r="B7" t="str">
            <v>(Disajikan dalam rupiah)</v>
          </cell>
          <cell r="J7" t="str">
            <v xml:space="preserve"> (Expressed in rupiah)</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utang 2021-2022 PIA Putra"/>
      <sheetName val="Master K PIA Putra"/>
      <sheetName val="Slip"/>
      <sheetName val="Saldo Pinjaman Minus"/>
      <sheetName val="Sheet2"/>
      <sheetName val="Lama Cicilan"/>
      <sheetName val="LKH piutang TP. 20.21"/>
      <sheetName val="Rekap BPJS TK"/>
      <sheetName val="Rekap 1 BPJS TK"/>
      <sheetName val="BPJS TK"/>
      <sheetName val="Rekap AP"/>
      <sheetName val="AP"/>
      <sheetName val="Rekap BPJS Kesehatan"/>
      <sheetName val="BPJS Kesehatan"/>
      <sheetName val="BPJS ketenagakerjaan"/>
      <sheetName val="Rekap Sekunder"/>
      <sheetName val="Kalkulator"/>
      <sheetName val="Ekuitas"/>
      <sheetName val="Arus kas"/>
      <sheetName val="12 (Nrc kns)"/>
      <sheetName val="13 (RL Kns)"/>
      <sheetName val="14 (Rnc Kns)"/>
      <sheetName val="30 (Nrc kns)"/>
      <sheetName val="15 (R.PBY1)"/>
      <sheetName val="16(R.PBY2)"/>
      <sheetName val="17(AT)"/>
      <sheetName val="18(Hutang Simp)"/>
      <sheetName val="19(simp. modal)"/>
      <sheetName val="20(Rinc HU)"/>
      <sheetName val="R Induk"/>
      <sheetName val="R. Kredit B"/>
      <sheetName val="R. Kredit K"/>
      <sheetName val="R. Wartel"/>
      <sheetName val="R. Kafe 1"/>
      <sheetName val="R. Kafe 2"/>
      <sheetName val="R. Kafe 3"/>
      <sheetName val="R. FOTOCOPY"/>
      <sheetName val="R. Stationery"/>
      <sheetName val="R. Beras"/>
      <sheetName val="R. Warung Mie ayam"/>
      <sheetName val="R.Amin mart"/>
      <sheetName val="R. Kantin Putri"/>
      <sheetName val="R. Potong Rambut"/>
      <sheetName val="R. Laundry PIA PI"/>
      <sheetName val="R. Titipan bunga"/>
      <sheetName val="R. Simpanan Anggota "/>
      <sheetName val="Modal unit"/>
      <sheetName val="Amin"/>
      <sheetName val="induk"/>
      <sheetName val="kt1"/>
      <sheetName val="KT2"/>
      <sheetName val="kt3"/>
      <sheetName val="KB"/>
      <sheetName val="KK"/>
      <sheetName val="Laundry PIA PI"/>
      <sheetName val="Potong Rambut"/>
      <sheetName val="W. Mie ayam"/>
      <sheetName val="Foto copy"/>
      <sheetName val="K. Kejujuran"/>
      <sheetName val="Sheet1"/>
      <sheetName val="DK"/>
      <sheetName val="List_Medicine"/>
      <sheetName val="Purchase"/>
      <sheetName val="Persediaan"/>
      <sheetName val="Distribusi"/>
      <sheetName val="Harian"/>
      <sheetName val="cek_fisik"/>
      <sheetName val="Anggaran_Obat"/>
      <sheetName val="SP1"/>
      <sheetName val="Lap Bulanan"/>
      <sheetName val="Arus kas Putri"/>
      <sheetName val="Putri (RL Kns)"/>
      <sheetName val="Putri (Nrc kns)"/>
      <sheetName val="Control"/>
      <sheetName val="R. Laupia"/>
      <sheetName val="R. Kantin Nasgor"/>
      <sheetName val="R. PIAT"/>
      <sheetName val="Nasgor"/>
      <sheetName val="LAUPIA"/>
      <sheetName val="PIAT Press"/>
      <sheetName val="Off balance Sheet"/>
      <sheetName val="RL AM2"/>
      <sheetName val="Rinc AM2"/>
      <sheetName val="Aruskas AM"/>
      <sheetName val="HU AM1"/>
      <sheetName val="Lap Ruju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row r="17">
          <cell r="E17">
            <v>190774326.53</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
      <sheetName val="Cover Dp"/>
      <sheetName val="Cover Blkg"/>
      <sheetName val="TC"/>
      <sheetName val="Grafik"/>
      <sheetName val="NRC"/>
      <sheetName val="LR"/>
      <sheetName val="PAB"/>
      <sheetName val="AK"/>
      <sheetName val="CLK"/>
      <sheetName val="1"/>
      <sheetName val="2"/>
      <sheetName val="3"/>
      <sheetName val="4"/>
      <sheetName val="5"/>
      <sheetName val="6"/>
      <sheetName val="7"/>
      <sheetName val="8"/>
      <sheetName val="9"/>
      <sheetName val="10"/>
      <sheetName val="11"/>
      <sheetName val="12"/>
      <sheetName val="13"/>
      <sheetName val="14"/>
      <sheetName val="16"/>
      <sheetName val="20"/>
      <sheetName val="GL"/>
      <sheetName val="BS"/>
      <sheetName val="RL"/>
      <sheetName val="CR"/>
      <sheetName val="CD"/>
      <sheetName val="JM"/>
    </sheetNames>
    <sheetDataSet>
      <sheetData sheetId="0"/>
      <sheetData sheetId="1"/>
      <sheetData sheetId="2"/>
      <sheetData sheetId="3"/>
      <sheetData sheetId="4"/>
      <sheetData sheetId="5">
        <row r="6">
          <cell r="C6" t="str">
            <v>(Dengan perbandingan informasi keuangan untuk bulan yang berakhir 30 Juni 2023 /</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ow r="58">
          <cell r="C58">
            <v>0</v>
          </cell>
          <cell r="D58">
            <v>0</v>
          </cell>
        </row>
      </sheetData>
      <sheetData sheetId="24"/>
      <sheetData sheetId="25"/>
      <sheetData sheetId="26"/>
      <sheetData sheetId="27"/>
      <sheetData sheetId="28"/>
      <sheetData sheetId="29"/>
      <sheetData sheetId="30"/>
      <sheetData sheetId="3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rus kas Putri"/>
      <sheetName val="Putri (RL Kns)"/>
      <sheetName val="Putri (Nrc kns)"/>
      <sheetName val="Control"/>
      <sheetName val="Ekuitas"/>
      <sheetName val="Arus kas"/>
      <sheetName val="12 (Nrc kns)"/>
      <sheetName val="13 (RL Kns)"/>
      <sheetName val="30 (Nrc kns)"/>
      <sheetName val="15 (R.PBY1)"/>
      <sheetName val="16(R.PBY2)"/>
      <sheetName val="17(AT)"/>
      <sheetName val="18(Hutang Simp)"/>
      <sheetName val="19(simp. modal)"/>
      <sheetName val="20(Rinc HU)"/>
      <sheetName val="R Induk"/>
      <sheetName val="R. Kredit B"/>
      <sheetName val="R. Kredit K"/>
      <sheetName val="R. Laupia"/>
      <sheetName val="R. Kafe 1"/>
      <sheetName val="R. Kafe 2"/>
      <sheetName val="R. Kafe 3"/>
      <sheetName val="R. Kantin Nasgor"/>
      <sheetName val="R. FOTOCOPY"/>
      <sheetName val="R. Stationery"/>
      <sheetName val="R. Beras"/>
      <sheetName val="R. Warung Mie ayam"/>
      <sheetName val="14 (Rnc Kns)"/>
      <sheetName val="R.Amin mart"/>
      <sheetName val="R. Kantin Putri"/>
      <sheetName val="R. Potong Rambut"/>
      <sheetName val="R. Laundry PIA PI"/>
      <sheetName val="R. PIAT"/>
      <sheetName val="R. Titipan bunga"/>
      <sheetName val="R. Simpanan Anggota "/>
      <sheetName val="Modal unit"/>
      <sheetName val="Amin"/>
      <sheetName val="induk"/>
      <sheetName val="kt1"/>
      <sheetName val="KT2"/>
      <sheetName val="kt3"/>
      <sheetName val="Nasgor"/>
      <sheetName val="KB"/>
      <sheetName val="KK"/>
      <sheetName val="Laundry PIA PI"/>
      <sheetName val="Potong Rambut"/>
      <sheetName val="W. Mie ayam"/>
      <sheetName val="Foto copy"/>
      <sheetName val="K. Kejujuran"/>
      <sheetName val="LAUPIA"/>
      <sheetName val="PIAT Press"/>
      <sheetName val="Off balance Sheet"/>
      <sheetName val="RL AM2"/>
      <sheetName val="Rinc AM2"/>
      <sheetName val="Aruskas AM"/>
      <sheetName val="HU AM1"/>
    </sheetNames>
    <sheetDataSet>
      <sheetData sheetId="0"/>
      <sheetData sheetId="1"/>
      <sheetData sheetId="2"/>
      <sheetData sheetId="3"/>
      <sheetData sheetId="4"/>
      <sheetData sheetId="5"/>
      <sheetData sheetId="6">
        <row r="83">
          <cell r="E83">
            <v>7911587994.2208996</v>
          </cell>
          <cell r="F83">
            <v>7881129086.3316507</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
      <sheetName val="Cover Dp"/>
      <sheetName val="Cover Blkg"/>
      <sheetName val="TC"/>
      <sheetName val="Grafik"/>
      <sheetName val="NRC"/>
      <sheetName val="LR"/>
      <sheetName val="PAB"/>
      <sheetName val="AK"/>
      <sheetName val="CLK"/>
      <sheetName val="1"/>
      <sheetName val="2"/>
      <sheetName val="3"/>
      <sheetName val="4"/>
      <sheetName val="5"/>
      <sheetName val="6"/>
      <sheetName val="7"/>
      <sheetName val="8"/>
      <sheetName val="9"/>
      <sheetName val="10"/>
      <sheetName val="11"/>
      <sheetName val="12"/>
      <sheetName val="13"/>
      <sheetName val="14"/>
      <sheetName val="16"/>
      <sheetName val="20"/>
      <sheetName val="21"/>
      <sheetName val="BS"/>
      <sheetName val="RL"/>
      <sheetName val="GL"/>
      <sheetName val="CR"/>
      <sheetName val="CD"/>
      <sheetName val="J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481">
          <cell r="M481">
            <v>35090500.002000004</v>
          </cell>
        </row>
      </sheetData>
      <sheetData sheetId="14"/>
      <sheetData sheetId="15"/>
      <sheetData sheetId="16"/>
      <sheetData sheetId="17"/>
      <sheetData sheetId="18"/>
      <sheetData sheetId="19"/>
      <sheetData sheetId="20"/>
      <sheetData sheetId="21"/>
      <sheetData sheetId="22"/>
      <sheetData sheetId="23"/>
      <sheetData sheetId="24"/>
      <sheetData sheetId="25">
        <row r="14">
          <cell r="F14">
            <v>98500</v>
          </cell>
        </row>
        <row r="15">
          <cell r="F15">
            <v>418813050</v>
          </cell>
        </row>
        <row r="16">
          <cell r="F16">
            <v>1906525377</v>
          </cell>
        </row>
        <row r="17">
          <cell r="F17">
            <v>808562000</v>
          </cell>
        </row>
        <row r="18">
          <cell r="F18">
            <v>66540666.666666672</v>
          </cell>
        </row>
        <row r="19">
          <cell r="F19">
            <v>73050496</v>
          </cell>
        </row>
        <row r="20">
          <cell r="F20">
            <v>0</v>
          </cell>
        </row>
        <row r="21">
          <cell r="F21">
            <v>28500000</v>
          </cell>
        </row>
        <row r="22">
          <cell r="F22">
            <v>6916667</v>
          </cell>
        </row>
        <row r="23">
          <cell r="F23">
            <v>0</v>
          </cell>
        </row>
        <row r="25">
          <cell r="F25">
            <v>3309006756.6666665</v>
          </cell>
        </row>
        <row r="29">
          <cell r="F29">
            <v>22154275570.001999</v>
          </cell>
        </row>
        <row r="30">
          <cell r="F30">
            <v>-3015388021.3508286</v>
          </cell>
        </row>
        <row r="31">
          <cell r="F31">
            <v>19138887548.651169</v>
          </cell>
        </row>
        <row r="32">
          <cell r="F32">
            <v>2978000</v>
          </cell>
        </row>
        <row r="34">
          <cell r="F34">
            <v>19141865548.651169</v>
          </cell>
        </row>
        <row r="36">
          <cell r="F36">
            <v>22450872305.317837</v>
          </cell>
        </row>
        <row r="39">
          <cell r="F39">
            <v>185262000</v>
          </cell>
        </row>
        <row r="40">
          <cell r="F40">
            <v>518211078</v>
          </cell>
        </row>
        <row r="41">
          <cell r="F41">
            <v>299050360</v>
          </cell>
        </row>
        <row r="42">
          <cell r="F42">
            <v>0</v>
          </cell>
        </row>
        <row r="43">
          <cell r="F43">
            <v>175800000</v>
          </cell>
        </row>
        <row r="44">
          <cell r="F44">
            <v>0</v>
          </cell>
        </row>
        <row r="45">
          <cell r="F45">
            <v>243798678</v>
          </cell>
        </row>
        <row r="46">
          <cell r="F46">
            <v>1422122116</v>
          </cell>
        </row>
        <row r="48">
          <cell r="F48">
            <v>0</v>
          </cell>
        </row>
        <row r="49">
          <cell r="F49">
            <v>0</v>
          </cell>
        </row>
        <row r="51">
          <cell r="F51">
            <v>1422122116</v>
          </cell>
        </row>
        <row r="62">
          <cell r="F62">
            <v>0</v>
          </cell>
        </row>
        <row r="64">
          <cell r="F64">
            <v>0</v>
          </cell>
        </row>
        <row r="65">
          <cell r="F65">
            <v>0</v>
          </cell>
        </row>
        <row r="66">
          <cell r="F66">
            <v>0</v>
          </cell>
        </row>
        <row r="67">
          <cell r="F67">
            <v>0</v>
          </cell>
        </row>
        <row r="69">
          <cell r="F69">
            <v>14319898801.349995</v>
          </cell>
        </row>
        <row r="70">
          <cell r="F70">
            <v>270788300</v>
          </cell>
        </row>
        <row r="71">
          <cell r="F71">
            <v>6438063087</v>
          </cell>
        </row>
        <row r="72">
          <cell r="F72">
            <v>21028750188.349995</v>
          </cell>
        </row>
        <row r="74">
          <cell r="F74">
            <v>21028750188.349995</v>
          </cell>
        </row>
        <row r="76">
          <cell r="F76">
            <v>22450872304.349995</v>
          </cell>
        </row>
      </sheetData>
      <sheetData sheetId="26"/>
      <sheetData sheetId="27"/>
      <sheetData sheetId="28"/>
      <sheetData sheetId="29"/>
      <sheetData sheetId="30"/>
      <sheetData sheetId="31"/>
      <sheetData sheetId="32"/>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
      <sheetName val="Cover Dp"/>
      <sheetName val="Cover Blkg"/>
      <sheetName val="TC"/>
      <sheetName val="Grafik"/>
      <sheetName val="NRC"/>
      <sheetName val="LR"/>
      <sheetName val="PAB"/>
      <sheetName val="AK"/>
      <sheetName val="CLK"/>
      <sheetName val="1"/>
      <sheetName val="2"/>
      <sheetName val="3"/>
      <sheetName val="4"/>
      <sheetName val="5"/>
      <sheetName val="6"/>
      <sheetName val="7"/>
      <sheetName val="8"/>
      <sheetName val="9"/>
      <sheetName val="10"/>
      <sheetName val="11"/>
      <sheetName val="12"/>
      <sheetName val="13"/>
      <sheetName val="14"/>
      <sheetName val="16"/>
      <sheetName val="20"/>
      <sheetName val="21"/>
      <sheetName val="BS"/>
      <sheetName val="RL"/>
      <sheetName val="GL"/>
      <sheetName val="CR"/>
      <sheetName val="CD"/>
      <sheetName val="J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ow r="14">
          <cell r="F14">
            <v>11032800</v>
          </cell>
        </row>
      </sheetData>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
      <sheetName val="Cover Dp"/>
      <sheetName val="Cover Blkg"/>
      <sheetName val="TC"/>
      <sheetName val="Grafik"/>
      <sheetName val="NRC"/>
      <sheetName val="LR"/>
      <sheetName val="PAB"/>
      <sheetName val="AK"/>
      <sheetName val="CLK"/>
      <sheetName val="20"/>
      <sheetName val="1"/>
      <sheetName val="2"/>
      <sheetName val="3"/>
      <sheetName val="4"/>
      <sheetName val="5"/>
      <sheetName val="6"/>
      <sheetName val="7"/>
      <sheetName val="8"/>
      <sheetName val="9"/>
      <sheetName val="10"/>
      <sheetName val="11"/>
      <sheetName val="12"/>
      <sheetName val="13"/>
      <sheetName val="14"/>
      <sheetName val="16"/>
      <sheetName val="21"/>
      <sheetName val="BS"/>
      <sheetName val="RL"/>
      <sheetName val="GL"/>
      <sheetName val="CR"/>
      <sheetName val="CD"/>
      <sheetName val="JM"/>
    </sheetNames>
    <sheetDataSet>
      <sheetData sheetId="0"/>
      <sheetData sheetId="1"/>
      <sheetData sheetId="2"/>
      <sheetData sheetId="3"/>
      <sheetData sheetId="4"/>
      <sheetData sheetId="5"/>
      <sheetData sheetId="6"/>
      <sheetData sheetId="7"/>
      <sheetData sheetId="8"/>
      <sheetData sheetId="9"/>
      <sheetData sheetId="10">
        <row r="14">
          <cell r="E14">
            <v>193822799.5</v>
          </cell>
        </row>
        <row r="15">
          <cell r="E15">
            <v>698517</v>
          </cell>
          <cell r="F15">
            <v>100374750</v>
          </cell>
        </row>
        <row r="16">
          <cell r="E16">
            <v>186194.07999999973</v>
          </cell>
          <cell r="F16">
            <v>841677162</v>
          </cell>
        </row>
        <row r="17">
          <cell r="E17">
            <v>34167500</v>
          </cell>
          <cell r="F17">
            <v>597091000</v>
          </cell>
        </row>
        <row r="18">
          <cell r="E18">
            <v>0</v>
          </cell>
          <cell r="F18">
            <v>86953761.90476191</v>
          </cell>
        </row>
        <row r="19">
          <cell r="E19">
            <v>80417043</v>
          </cell>
          <cell r="F19">
            <v>73050496</v>
          </cell>
        </row>
        <row r="20">
          <cell r="E20">
            <v>0</v>
          </cell>
          <cell r="F20">
            <v>0</v>
          </cell>
        </row>
        <row r="21">
          <cell r="E21">
            <v>0</v>
          </cell>
          <cell r="F21">
            <v>162891012</v>
          </cell>
        </row>
        <row r="22">
          <cell r="E22">
            <v>0</v>
          </cell>
          <cell r="F22">
            <v>9416667</v>
          </cell>
        </row>
        <row r="23">
          <cell r="E23">
            <v>0</v>
          </cell>
          <cell r="F23">
            <v>0</v>
          </cell>
        </row>
        <row r="25">
          <cell r="E25">
            <v>309292053.58000004</v>
          </cell>
          <cell r="F25">
            <v>1871964748.9047618</v>
          </cell>
        </row>
        <row r="29">
          <cell r="E29">
            <v>122006123</v>
          </cell>
          <cell r="F29">
            <v>20714477672</v>
          </cell>
        </row>
        <row r="30">
          <cell r="E30">
            <v>-39031196.990000002</v>
          </cell>
          <cell r="F30">
            <v>-2573727306.3195448</v>
          </cell>
        </row>
        <row r="31">
          <cell r="E31">
            <v>82974926.00999999</v>
          </cell>
          <cell r="F31">
            <v>18140750365.680454</v>
          </cell>
        </row>
        <row r="32">
          <cell r="E32">
            <v>0</v>
          </cell>
          <cell r="F32">
            <v>12540500</v>
          </cell>
        </row>
        <row r="34">
          <cell r="E34">
            <v>82974926.00999999</v>
          </cell>
          <cell r="F34">
            <v>18153290865.680454</v>
          </cell>
        </row>
        <row r="36">
          <cell r="E36">
            <v>392266979.59000003</v>
          </cell>
          <cell r="F36">
            <v>20025255614.585217</v>
          </cell>
        </row>
        <row r="39">
          <cell r="E39">
            <v>0</v>
          </cell>
          <cell r="F39">
            <v>0</v>
          </cell>
        </row>
        <row r="40">
          <cell r="E40">
            <v>0</v>
          </cell>
          <cell r="F40">
            <v>1433927438</v>
          </cell>
        </row>
        <row r="41">
          <cell r="E41">
            <v>0</v>
          </cell>
          <cell r="F41">
            <v>0</v>
          </cell>
        </row>
        <row r="42">
          <cell r="E42">
            <v>0</v>
          </cell>
          <cell r="F42">
            <v>0</v>
          </cell>
        </row>
        <row r="43">
          <cell r="E43">
            <v>0</v>
          </cell>
          <cell r="F43">
            <v>22500000</v>
          </cell>
        </row>
        <row r="44">
          <cell r="E44">
            <v>0</v>
          </cell>
          <cell r="F44">
            <v>0</v>
          </cell>
        </row>
        <row r="45">
          <cell r="E45">
            <v>0</v>
          </cell>
          <cell r="F45">
            <v>216934153</v>
          </cell>
        </row>
        <row r="46">
          <cell r="E46">
            <v>0</v>
          </cell>
          <cell r="F46">
            <v>1673361591</v>
          </cell>
        </row>
        <row r="48">
          <cell r="E48">
            <v>0</v>
          </cell>
          <cell r="F48">
            <v>0</v>
          </cell>
        </row>
        <row r="49">
          <cell r="E49">
            <v>0</v>
          </cell>
          <cell r="F49">
            <v>0</v>
          </cell>
        </row>
        <row r="51">
          <cell r="E51">
            <v>0</v>
          </cell>
          <cell r="F51">
            <v>1673361591</v>
          </cell>
        </row>
        <row r="53">
          <cell r="E53">
            <v>309420235.59000003</v>
          </cell>
        </row>
        <row r="56">
          <cell r="E56">
            <v>0</v>
          </cell>
        </row>
        <row r="62">
          <cell r="E62">
            <v>0</v>
          </cell>
          <cell r="F62">
            <v>0</v>
          </cell>
        </row>
        <row r="64">
          <cell r="E64">
            <v>76442474.38333334</v>
          </cell>
          <cell r="F64">
            <v>0</v>
          </cell>
        </row>
        <row r="65">
          <cell r="E65">
            <v>6404269.6166666662</v>
          </cell>
          <cell r="F65">
            <v>0</v>
          </cell>
        </row>
        <row r="66">
          <cell r="E66">
            <v>82846744</v>
          </cell>
          <cell r="F66">
            <v>0</v>
          </cell>
        </row>
        <row r="67">
          <cell r="E67">
            <v>392266979.59000003</v>
          </cell>
          <cell r="F67">
            <v>0</v>
          </cell>
        </row>
        <row r="69">
          <cell r="F69">
            <v>11841681633.829994</v>
          </cell>
        </row>
        <row r="70">
          <cell r="F70">
            <v>72149300</v>
          </cell>
        </row>
        <row r="71">
          <cell r="F71">
            <v>6438063087</v>
          </cell>
        </row>
        <row r="72">
          <cell r="F72">
            <v>18351894020.829994</v>
          </cell>
        </row>
        <row r="74">
          <cell r="E74">
            <v>392266979.59000003</v>
          </cell>
          <cell r="F74">
            <v>18351894020.829994</v>
          </cell>
        </row>
        <row r="76">
          <cell r="E76">
            <v>392266979.59000003</v>
          </cell>
          <cell r="F76">
            <v>20025255611.829994</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
      <sheetName val="Cover Dp"/>
      <sheetName val="Cover Blkg"/>
      <sheetName val="TC"/>
      <sheetName val="Grafik"/>
      <sheetName val="NRC"/>
      <sheetName val="LR"/>
      <sheetName val="PAB"/>
      <sheetName val="AK"/>
      <sheetName val="CLK"/>
      <sheetName val="20"/>
      <sheetName val="1"/>
      <sheetName val="2"/>
      <sheetName val="3"/>
      <sheetName val="4"/>
      <sheetName val="5"/>
      <sheetName val="6"/>
      <sheetName val="7"/>
      <sheetName val="8"/>
      <sheetName val="9"/>
      <sheetName val="10"/>
      <sheetName val="11"/>
      <sheetName val="12"/>
      <sheetName val="13"/>
      <sheetName val="14"/>
      <sheetName val="16"/>
      <sheetName val="21"/>
      <sheetName val="BS"/>
      <sheetName val="RL"/>
      <sheetName val="GL"/>
      <sheetName val="CR"/>
      <sheetName val="CD"/>
      <sheetName val="JM"/>
    </sheetNames>
    <sheetDataSet>
      <sheetData sheetId="0"/>
      <sheetData sheetId="1"/>
      <sheetData sheetId="2"/>
      <sheetData sheetId="3"/>
      <sheetData sheetId="4"/>
      <sheetData sheetId="5"/>
      <sheetData sheetId="6"/>
      <sheetData sheetId="7"/>
      <sheetData sheetId="8"/>
      <sheetData sheetId="9"/>
      <sheetData sheetId="10">
        <row r="76">
          <cell r="E76">
            <v>392266979.59000003</v>
          </cell>
          <cell r="F76">
            <v>20025255611.829994</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IRO BMI"/>
      <sheetName val="BMI"/>
      <sheetName val="BMI YYSN"/>
      <sheetName val="BNISy"/>
    </sheetNames>
    <sheetDataSet>
      <sheetData sheetId="0">
        <row r="1024">
          <cell r="D1024">
            <v>2438958727</v>
          </cell>
        </row>
      </sheetData>
      <sheetData sheetId="1">
        <row r="45">
          <cell r="D45">
            <v>192036.2</v>
          </cell>
        </row>
      </sheetData>
      <sheetData sheetId="2">
        <row r="33">
          <cell r="D33">
            <v>61760328</v>
          </cell>
        </row>
      </sheetData>
      <sheetData sheetId="3">
        <row r="30">
          <cell r="D30">
            <v>1075000</v>
          </cell>
        </row>
      </sheetData>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P"/>
      <sheetName val="DATA SUBSIDI"/>
      <sheetName val="JM"/>
      <sheetName val="Surat Komitmen Pembayaran"/>
    </sheetNames>
    <sheetDataSet>
      <sheetData sheetId="0">
        <row r="61">
          <cell r="CB61">
            <v>12950000</v>
          </cell>
        </row>
        <row r="491">
          <cell r="CB491">
            <v>182114000</v>
          </cell>
        </row>
      </sheetData>
      <sheetData sheetId="1"/>
      <sheetData sheetId="2"/>
      <sheetData sheetId="3"/>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UNGAN"/>
    </sheetNames>
    <sheetDataSet>
      <sheetData sheetId="0">
        <row r="38">
          <cell r="E38">
            <v>111643500</v>
          </cell>
        </row>
      </sheetData>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kap. Pembayaran"/>
      <sheetName val="PENGAJUAN SUBSIDI"/>
      <sheetName val="Data Santri MTS Fix TA.2627"/>
      <sheetName val="Data Santri IL Fix TA.2627"/>
      <sheetName val="Lembar1"/>
      <sheetName val="DATA SUBSIDI"/>
    </sheetNames>
    <sheetDataSet>
      <sheetData sheetId="0">
        <row r="174">
          <cell r="L174">
            <v>494400000</v>
          </cell>
        </row>
      </sheetData>
      <sheetData sheetId="1" refreshError="1"/>
      <sheetData sheetId="2" refreshError="1"/>
      <sheetData sheetId="3" refreshError="1"/>
      <sheetData sheetId="4" refreshError="1"/>
      <sheetData sheetId="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SB GEL. 1"/>
      <sheetName val="Biaya PSB"/>
    </sheetNames>
    <sheetDataSet>
      <sheetData sheetId="0">
        <row r="145">
          <cell r="F145">
            <v>12600000</v>
          </cell>
        </row>
      </sheetData>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10.bin"/><Relationship Id="rId4" Type="http://schemas.openxmlformats.org/officeDocument/2006/relationships/comments" Target="../comments3.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7"/>
  <sheetViews>
    <sheetView zoomScaleNormal="100" workbookViewId="0">
      <pane xSplit="2" topLeftCell="C1" activePane="topRight" state="frozen"/>
      <selection activeCell="I81" sqref="I81"/>
      <selection pane="topRight" activeCell="B6" sqref="B6"/>
    </sheetView>
  </sheetViews>
  <sheetFormatPr defaultColWidth="37" defaultRowHeight="14" x14ac:dyDescent="0.3"/>
  <cols>
    <col min="1" max="1" width="33.1796875" style="9" customWidth="1"/>
    <col min="2" max="2" width="52.453125" style="9" customWidth="1"/>
    <col min="3" max="3" width="33.54296875" style="9" customWidth="1"/>
    <col min="4" max="16384" width="37" style="9"/>
  </cols>
  <sheetData>
    <row r="1" spans="1:13" ht="17.5" x14ac:dyDescent="0.35">
      <c r="A1" s="3372" t="s">
        <v>7132</v>
      </c>
      <c r="B1" s="3372"/>
    </row>
    <row r="2" spans="1:13" ht="25" x14ac:dyDescent="0.5">
      <c r="A2" s="3373" t="s">
        <v>0</v>
      </c>
      <c r="B2" s="3373"/>
    </row>
    <row r="3" spans="1:13" ht="17.5" x14ac:dyDescent="0.35">
      <c r="A3" s="3372" t="s">
        <v>7713</v>
      </c>
      <c r="B3" s="3372"/>
      <c r="C3" s="30" t="s">
        <v>7714</v>
      </c>
    </row>
    <row r="4" spans="1:13" ht="14.5" thickBot="1" x14ac:dyDescent="0.35">
      <c r="A4" s="1"/>
      <c r="B4" s="1"/>
      <c r="C4" s="29" t="str">
        <f>IF($B$5="","","Laporan Keuangan "&amp;TEXT($B$5,"MMMM YYYY"))</f>
        <v>Laporan Keuangan June 2026</v>
      </c>
      <c r="D4" s="30" t="str">
        <f>IF($B$5="","","Financial Statement "&amp;TEXT($B$5,"MMM YYYY"))</f>
        <v>Financial Statement Jun 2026</v>
      </c>
    </row>
    <row r="5" spans="1:13" ht="30.75" customHeight="1" thickBot="1" x14ac:dyDescent="0.35">
      <c r="A5" s="3" t="s">
        <v>1</v>
      </c>
      <c r="B5" s="7">
        <v>46203</v>
      </c>
      <c r="C5" s="31" t="str">
        <f>TEXT(_xlnm.Criteria,"dd mmmm yyyy")</f>
        <v>30 June 2026</v>
      </c>
      <c r="D5" s="32">
        <f>_xlnm.Criteria</f>
        <v>46203</v>
      </c>
      <c r="E5" s="30"/>
      <c r="F5" s="30"/>
    </row>
    <row r="6" spans="1:13" ht="36" customHeight="1" thickBot="1" x14ac:dyDescent="0.35">
      <c r="A6" s="3" t="s">
        <v>2</v>
      </c>
      <c r="B6" s="4">
        <v>45839</v>
      </c>
      <c r="J6" s="10"/>
    </row>
    <row r="7" spans="1:13" ht="31.5" customHeight="1" thickBot="1" x14ac:dyDescent="0.35">
      <c r="A7" s="3" t="s">
        <v>3</v>
      </c>
      <c r="B7" s="4">
        <v>46203</v>
      </c>
      <c r="J7" s="10"/>
    </row>
    <row r="8" spans="1:13" ht="16.5" customHeight="1" thickBot="1" x14ac:dyDescent="0.45">
      <c r="A8" s="1"/>
      <c r="B8" s="5"/>
      <c r="C8" s="31" t="str">
        <f>TEXT(B9,"dd mmmm yyyy")</f>
        <v>31 May 2026</v>
      </c>
      <c r="D8" s="32">
        <f>B9</f>
        <v>46173</v>
      </c>
      <c r="J8" s="10"/>
    </row>
    <row r="9" spans="1:13" ht="36" customHeight="1" thickBot="1" x14ac:dyDescent="0.35">
      <c r="A9" s="6" t="s">
        <v>4</v>
      </c>
      <c r="B9" s="8">
        <f>IF(_xlnm.Criteria=0,"",EOMONTH($B$5,-1))</f>
        <v>46173</v>
      </c>
      <c r="C9" s="29" t="str">
        <f>IF(C8="","","(Dengan perbandingan informasi keuangan untuk bulan yang berakhir "&amp;TEXT(C8,"DD MMMM YYYY")&amp;" /")</f>
        <v>(Dengan perbandingan informasi keuangan untuk bulan yang berakhir 31 May 2026 /</v>
      </c>
      <c r="D9" s="30"/>
      <c r="E9" s="30"/>
      <c r="F9" s="30"/>
      <c r="G9" s="30"/>
      <c r="H9" s="30"/>
      <c r="I9" s="30"/>
      <c r="J9" s="30"/>
      <c r="K9" s="30"/>
      <c r="L9" s="30"/>
      <c r="M9" s="30"/>
    </row>
    <row r="10" spans="1:13" x14ac:dyDescent="0.3">
      <c r="A10" s="1"/>
      <c r="B10" s="2"/>
      <c r="C10" s="30" t="str">
        <f>IF(D8="","","With Comparative financial information for the month ended "&amp;TEXT(D8,"MMM DD, YYYY")&amp;" )")</f>
        <v>With Comparative financial information for the month ended May 31, 2026 )</v>
      </c>
      <c r="J10" s="10"/>
    </row>
    <row r="11" spans="1:13" x14ac:dyDescent="0.3">
      <c r="B11" s="10"/>
      <c r="J11" s="10"/>
    </row>
    <row r="12" spans="1:13" x14ac:dyDescent="0.3">
      <c r="B12" s="10"/>
      <c r="J12" s="10"/>
    </row>
    <row r="13" spans="1:13" x14ac:dyDescent="0.3">
      <c r="B13" s="10"/>
      <c r="J13" s="10"/>
    </row>
    <row r="14" spans="1:13" x14ac:dyDescent="0.3">
      <c r="B14" s="10"/>
      <c r="J14" s="10"/>
    </row>
    <row r="15" spans="1:13" x14ac:dyDescent="0.3">
      <c r="B15" s="10"/>
      <c r="J15" s="10"/>
    </row>
    <row r="16" spans="1:13" x14ac:dyDescent="0.3">
      <c r="B16" s="10"/>
      <c r="J16" s="10"/>
    </row>
    <row r="17" spans="2:10" x14ac:dyDescent="0.3">
      <c r="B17" s="10"/>
      <c r="J17" s="10"/>
    </row>
  </sheetData>
  <sortState ref="A4">
    <sortCondition sortBy="cellColor" ref="A4"/>
  </sortState>
  <mergeCells count="3">
    <mergeCell ref="A1:B1"/>
    <mergeCell ref="A2:B2"/>
    <mergeCell ref="A3:B3"/>
  </mergeCells>
  <dataValidations count="1">
    <dataValidation type="date" showInputMessage="1" showErrorMessage="1" sqref="B5">
      <formula1>45839</formula1>
      <formula2>46203</formula2>
    </dataValidation>
  </dataValidations>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84"/>
  <sheetViews>
    <sheetView topLeftCell="A25" zoomScale="90" zoomScaleNormal="90" workbookViewId="0">
      <selection activeCell="K11" sqref="K11"/>
    </sheetView>
  </sheetViews>
  <sheetFormatPr defaultColWidth="8.81640625" defaultRowHeight="15.5" x14ac:dyDescent="0.35"/>
  <cols>
    <col min="1" max="1" width="4.7265625" style="11" customWidth="1"/>
    <col min="2" max="2" width="3.54296875" style="12" customWidth="1"/>
    <col min="3" max="3" width="11.54296875" style="12" customWidth="1"/>
    <col min="4" max="4" width="10.453125" style="12" customWidth="1"/>
    <col min="5" max="5" width="9.54296875" style="12" customWidth="1"/>
    <col min="6" max="6" width="2.453125" style="12" customWidth="1"/>
    <col min="7" max="7" width="9" style="12" customWidth="1"/>
    <col min="8" max="8" width="9.1796875" style="13" customWidth="1"/>
    <col min="9" max="9" width="7.1796875" style="13" customWidth="1"/>
    <col min="10" max="10" width="18.26953125" style="13" customWidth="1"/>
    <col min="11" max="11" width="6.26953125" style="14" customWidth="1"/>
    <col min="12" max="12" width="8.81640625" style="15"/>
    <col min="13" max="13" width="14.54296875" style="15" customWidth="1"/>
    <col min="14" max="16384" width="8.81640625" style="15"/>
  </cols>
  <sheetData>
    <row r="1" spans="1:12" ht="9" customHeight="1" x14ac:dyDescent="0.35">
      <c r="L1" s="22">
        <v>1</v>
      </c>
    </row>
    <row r="2" spans="1:12" x14ac:dyDescent="0.35">
      <c r="A2" s="16"/>
      <c r="B2" s="15"/>
      <c r="C2" s="15"/>
      <c r="D2" s="15"/>
      <c r="E2" s="15"/>
      <c r="F2" s="15"/>
      <c r="G2" s="15"/>
      <c r="K2" s="17"/>
      <c r="L2" s="22"/>
    </row>
    <row r="3" spans="1:12" x14ac:dyDescent="0.35">
      <c r="A3" s="16"/>
      <c r="B3" s="15"/>
      <c r="C3" s="15"/>
      <c r="D3" s="15"/>
      <c r="E3" s="15"/>
      <c r="F3" s="15"/>
      <c r="G3" s="15"/>
      <c r="K3" s="17"/>
      <c r="L3" s="22"/>
    </row>
    <row r="4" spans="1:12" x14ac:dyDescent="0.35">
      <c r="A4" s="16"/>
      <c r="B4" s="15"/>
      <c r="C4" s="15"/>
      <c r="D4" s="15"/>
      <c r="E4" s="15"/>
      <c r="F4" s="15"/>
      <c r="G4" s="15"/>
      <c r="K4" s="17"/>
      <c r="L4" s="22"/>
    </row>
    <row r="5" spans="1:12" x14ac:dyDescent="0.35">
      <c r="A5" s="16"/>
      <c r="B5" s="15"/>
      <c r="C5" s="15"/>
      <c r="D5" s="15"/>
      <c r="E5" s="15"/>
      <c r="F5" s="15"/>
      <c r="G5" s="15"/>
      <c r="K5" s="17"/>
      <c r="L5" s="22"/>
    </row>
    <row r="6" spans="1:12" x14ac:dyDescent="0.35">
      <c r="A6" s="16"/>
      <c r="B6" s="15"/>
      <c r="C6" s="15"/>
      <c r="D6" s="15"/>
      <c r="E6" s="15"/>
      <c r="F6" s="15"/>
      <c r="G6" s="15"/>
      <c r="K6" s="17"/>
      <c r="L6" s="22"/>
    </row>
    <row r="7" spans="1:12" x14ac:dyDescent="0.35">
      <c r="A7" s="16"/>
      <c r="B7" s="15"/>
      <c r="C7" s="15"/>
      <c r="D7" s="15"/>
      <c r="E7" s="15"/>
      <c r="F7" s="15"/>
      <c r="G7" s="15"/>
      <c r="K7" s="17"/>
      <c r="L7" s="22"/>
    </row>
    <row r="8" spans="1:12" x14ac:dyDescent="0.35">
      <c r="A8" s="16"/>
      <c r="B8" s="15"/>
      <c r="C8" s="15"/>
      <c r="D8" s="15"/>
      <c r="E8" s="15"/>
      <c r="F8" s="15"/>
      <c r="G8" s="15"/>
      <c r="K8" s="17"/>
      <c r="L8" s="22"/>
    </row>
    <row r="9" spans="1:12" x14ac:dyDescent="0.35">
      <c r="A9" s="16"/>
      <c r="B9" s="15"/>
      <c r="C9" s="15"/>
      <c r="D9" s="15"/>
      <c r="E9" s="15"/>
      <c r="F9" s="15"/>
      <c r="G9" s="15"/>
      <c r="K9" s="17"/>
      <c r="L9" s="22"/>
    </row>
    <row r="10" spans="1:12" x14ac:dyDescent="0.35">
      <c r="A10" s="16"/>
      <c r="B10" s="15"/>
      <c r="C10" s="15"/>
      <c r="D10" s="15"/>
      <c r="E10" s="15"/>
      <c r="F10" s="15"/>
      <c r="G10" s="15"/>
      <c r="K10" s="17"/>
      <c r="L10" s="22"/>
    </row>
    <row r="11" spans="1:12" x14ac:dyDescent="0.35">
      <c r="A11" s="16"/>
      <c r="B11" s="15"/>
      <c r="C11" s="15"/>
      <c r="D11" s="15"/>
      <c r="E11" s="15"/>
      <c r="F11" s="15"/>
      <c r="G11" s="15"/>
      <c r="K11" s="17"/>
      <c r="L11" s="22"/>
    </row>
    <row r="12" spans="1:12" x14ac:dyDescent="0.35">
      <c r="A12" s="16"/>
      <c r="B12" s="15"/>
      <c r="C12" s="15"/>
      <c r="D12" s="15"/>
      <c r="E12" s="15"/>
      <c r="F12" s="15"/>
      <c r="G12" s="15"/>
      <c r="K12" s="17"/>
      <c r="L12" s="22"/>
    </row>
    <row r="13" spans="1:12" x14ac:dyDescent="0.35">
      <c r="A13" s="16"/>
      <c r="B13" s="15"/>
      <c r="C13" s="15"/>
      <c r="D13" s="15"/>
      <c r="E13" s="15"/>
      <c r="F13" s="15"/>
      <c r="G13" s="15"/>
      <c r="K13" s="17"/>
      <c r="L13" s="22"/>
    </row>
    <row r="14" spans="1:12" x14ac:dyDescent="0.35">
      <c r="A14" s="16"/>
      <c r="B14" s="15"/>
      <c r="C14" s="15"/>
      <c r="D14" s="15"/>
      <c r="E14" s="15"/>
      <c r="F14" s="15"/>
      <c r="G14" s="15"/>
      <c r="K14" s="17"/>
      <c r="L14" s="22"/>
    </row>
    <row r="15" spans="1:12" x14ac:dyDescent="0.35">
      <c r="A15" s="16"/>
      <c r="B15" s="15"/>
      <c r="C15" s="15"/>
      <c r="D15" s="15"/>
      <c r="E15" s="15"/>
      <c r="F15" s="15"/>
      <c r="G15" s="15"/>
      <c r="K15" s="17"/>
      <c r="L15" s="22"/>
    </row>
    <row r="16" spans="1:12" x14ac:dyDescent="0.35">
      <c r="A16" s="16"/>
      <c r="B16" s="15"/>
      <c r="C16" s="15"/>
      <c r="D16" s="15"/>
      <c r="E16" s="15"/>
      <c r="F16" s="15"/>
      <c r="G16" s="15"/>
      <c r="K16" s="17"/>
      <c r="L16" s="22"/>
    </row>
    <row r="17" spans="1:30" x14ac:dyDescent="0.35">
      <c r="A17" s="2881"/>
      <c r="B17" s="2881"/>
      <c r="C17" s="2881"/>
      <c r="D17" s="2881"/>
      <c r="E17" s="2881"/>
      <c r="F17" s="2881"/>
      <c r="G17" s="2881"/>
      <c r="H17" s="2881"/>
      <c r="I17" s="2881"/>
      <c r="J17" s="2881"/>
      <c r="K17" s="2881"/>
      <c r="L17" s="22"/>
    </row>
    <row r="18" spans="1:30" x14ac:dyDescent="0.35">
      <c r="A18" s="16"/>
      <c r="B18" s="15"/>
      <c r="C18" s="15"/>
      <c r="D18" s="15"/>
      <c r="E18" s="15"/>
      <c r="F18" s="15"/>
      <c r="G18" s="15"/>
      <c r="K18" s="17"/>
      <c r="L18" s="22"/>
    </row>
    <row r="19" spans="1:30" x14ac:dyDescent="0.35">
      <c r="A19" s="16"/>
      <c r="B19" s="15"/>
      <c r="C19" s="15"/>
      <c r="D19" s="15"/>
      <c r="E19" s="15"/>
      <c r="F19" s="15"/>
      <c r="G19" s="15"/>
      <c r="K19" s="17"/>
      <c r="L19" s="22"/>
    </row>
    <row r="20" spans="1:30" x14ac:dyDescent="0.35">
      <c r="A20" s="16"/>
      <c r="B20" s="15"/>
      <c r="C20" s="15"/>
      <c r="D20" s="15"/>
      <c r="E20" s="15"/>
      <c r="F20" s="15"/>
      <c r="G20" s="15"/>
      <c r="K20" s="17"/>
      <c r="L20" s="22"/>
    </row>
    <row r="21" spans="1:30" x14ac:dyDescent="0.35">
      <c r="A21" s="16"/>
      <c r="B21" s="15"/>
      <c r="C21" s="15"/>
      <c r="D21" s="15"/>
      <c r="E21" s="15"/>
      <c r="F21" s="15"/>
      <c r="G21" s="15"/>
      <c r="K21" s="17"/>
      <c r="L21" s="22"/>
    </row>
    <row r="22" spans="1:30" x14ac:dyDescent="0.35">
      <c r="A22" s="16"/>
      <c r="B22" s="15"/>
      <c r="C22" s="15"/>
      <c r="D22" s="15"/>
      <c r="E22" s="15"/>
      <c r="F22" s="15"/>
      <c r="G22" s="15"/>
      <c r="K22" s="17"/>
      <c r="L22" s="22"/>
    </row>
    <row r="23" spans="1:30" x14ac:dyDescent="0.35">
      <c r="A23" s="16"/>
      <c r="B23" s="15"/>
      <c r="C23" s="15"/>
      <c r="D23" s="15"/>
      <c r="E23" s="15"/>
      <c r="F23" s="15"/>
      <c r="G23" s="15"/>
      <c r="K23" s="17"/>
      <c r="L23" s="22"/>
    </row>
    <row r="24" spans="1:30" ht="32.5" x14ac:dyDescent="0.65">
      <c r="A24" s="3378" t="s">
        <v>5</v>
      </c>
      <c r="B24" s="3378"/>
      <c r="C24" s="3378"/>
      <c r="D24" s="3378"/>
      <c r="E24" s="3378"/>
      <c r="F24" s="3378"/>
      <c r="G24" s="3378"/>
      <c r="H24" s="3378"/>
      <c r="I24" s="3378"/>
      <c r="J24" s="3378"/>
      <c r="K24" s="2879"/>
      <c r="L24" s="22"/>
    </row>
    <row r="25" spans="1:30" ht="32.5" x14ac:dyDescent="0.65">
      <c r="A25" s="3378" t="s">
        <v>7133</v>
      </c>
      <c r="B25" s="3378"/>
      <c r="C25" s="3378"/>
      <c r="D25" s="3378"/>
      <c r="E25" s="3378"/>
      <c r="F25" s="3378"/>
      <c r="G25" s="3378"/>
      <c r="H25" s="3378"/>
      <c r="I25" s="3378"/>
      <c r="J25" s="3378"/>
      <c r="K25" s="2879"/>
      <c r="L25" s="22"/>
    </row>
    <row r="26" spans="1:30" ht="16.5" customHeight="1" x14ac:dyDescent="0.35">
      <c r="A26" s="18"/>
      <c r="B26" s="18"/>
      <c r="C26" s="18"/>
      <c r="D26" s="18"/>
      <c r="E26" s="18"/>
      <c r="F26" s="15"/>
      <c r="G26" s="15"/>
      <c r="H26" s="18"/>
      <c r="I26" s="18"/>
      <c r="J26" s="18"/>
      <c r="K26" s="18"/>
      <c r="L26" s="22"/>
    </row>
    <row r="27" spans="1:30" ht="16.5" customHeight="1" x14ac:dyDescent="0.35">
      <c r="A27" s="18"/>
      <c r="B27" s="18"/>
      <c r="C27" s="18"/>
      <c r="D27" s="18"/>
      <c r="E27" s="18"/>
      <c r="F27" s="15"/>
      <c r="G27" s="15"/>
      <c r="H27" s="18"/>
      <c r="I27" s="18"/>
      <c r="J27" s="18"/>
      <c r="K27" s="18"/>
      <c r="L27" s="22"/>
    </row>
    <row r="28" spans="1:30" ht="16.5" customHeight="1" x14ac:dyDescent="0.35">
      <c r="A28" s="18"/>
      <c r="B28" s="18"/>
      <c r="C28" s="18"/>
      <c r="D28" s="18"/>
      <c r="E28" s="18"/>
      <c r="F28" s="15"/>
      <c r="G28" s="15"/>
      <c r="H28" s="18"/>
      <c r="I28" s="18"/>
      <c r="J28" s="18"/>
      <c r="K28" s="18"/>
      <c r="L28" s="22"/>
    </row>
    <row r="29" spans="1:30" s="19" customFormat="1" ht="68.25" customHeight="1" x14ac:dyDescent="0.35">
      <c r="A29" s="3377" t="s">
        <v>7346</v>
      </c>
      <c r="B29" s="3377"/>
      <c r="C29" s="3377"/>
      <c r="D29" s="3377"/>
      <c r="E29" s="3377"/>
      <c r="F29" s="3377"/>
      <c r="G29" s="3377"/>
      <c r="H29" s="3377"/>
      <c r="I29" s="3377"/>
      <c r="J29" s="3377"/>
      <c r="K29" s="2880"/>
      <c r="L29" s="22"/>
    </row>
    <row r="30" spans="1:30" ht="30.75" customHeight="1" x14ac:dyDescent="0.35">
      <c r="A30" s="3376" t="str">
        <f>IN!A3</f>
        <v>TAHUN PELAJARAN 2025 - 2026</v>
      </c>
      <c r="B30" s="3376"/>
      <c r="C30" s="3376"/>
      <c r="D30" s="3376"/>
      <c r="E30" s="3376"/>
      <c r="F30" s="20" t="s">
        <v>6</v>
      </c>
      <c r="G30" s="2878" t="str">
        <f>IN!C3</f>
        <v>EDUCATION YEAR 2025 - 2026</v>
      </c>
      <c r="H30" s="20"/>
      <c r="I30" s="20"/>
      <c r="J30" s="20"/>
      <c r="K30" s="20"/>
      <c r="L30" s="22"/>
    </row>
    <row r="31" spans="1:30" ht="30.75" customHeight="1" x14ac:dyDescent="0.35">
      <c r="A31" s="3379" t="s">
        <v>10</v>
      </c>
      <c r="B31" s="3379"/>
      <c r="C31" s="3379"/>
      <c r="D31" s="3379"/>
      <c r="E31" s="3379"/>
      <c r="F31" s="3379"/>
      <c r="G31" s="3379"/>
      <c r="H31" s="3379"/>
      <c r="I31" s="3379"/>
      <c r="J31" s="3379"/>
      <c r="K31" s="21"/>
      <c r="L31" s="22"/>
      <c r="M31" s="20"/>
      <c r="N31" s="20"/>
      <c r="O31" s="20"/>
      <c r="P31" s="20"/>
      <c r="Q31" s="20"/>
      <c r="R31" s="20"/>
      <c r="S31" s="20"/>
      <c r="T31" s="20"/>
      <c r="U31" s="20"/>
      <c r="V31" s="20"/>
      <c r="W31" s="20"/>
      <c r="X31" s="20"/>
      <c r="Y31" s="20"/>
      <c r="Z31" s="20"/>
      <c r="AA31" s="20"/>
      <c r="AB31" s="20"/>
      <c r="AC31" s="20"/>
      <c r="AD31" s="20"/>
    </row>
    <row r="32" spans="1:30" s="22" customFormat="1" ht="30.75" customHeight="1" x14ac:dyDescent="0.35">
      <c r="A32" s="3375" t="str">
        <f>IN!C5</f>
        <v>30 June 2026</v>
      </c>
      <c r="B32" s="3375"/>
      <c r="C32" s="3375"/>
      <c r="D32" s="3375"/>
      <c r="E32" s="3375"/>
      <c r="F32" s="21" t="s">
        <v>6</v>
      </c>
      <c r="G32" s="3380">
        <f>IN!D5</f>
        <v>46203</v>
      </c>
      <c r="H32" s="3380"/>
      <c r="I32" s="3380"/>
      <c r="J32" s="3380"/>
      <c r="K32" s="2882"/>
      <c r="M32" s="21"/>
      <c r="N32" s="21"/>
      <c r="O32" s="21"/>
      <c r="P32" s="21"/>
      <c r="Q32" s="21"/>
      <c r="R32" s="21"/>
      <c r="S32" s="21"/>
      <c r="T32" s="21"/>
      <c r="U32" s="21"/>
      <c r="V32" s="21"/>
      <c r="W32" s="21"/>
      <c r="X32" s="21"/>
      <c r="Y32" s="21"/>
      <c r="Z32" s="21"/>
      <c r="AA32" s="21"/>
      <c r="AB32" s="21"/>
      <c r="AC32" s="21"/>
      <c r="AD32" s="21"/>
    </row>
    <row r="33" spans="1:13" ht="24" customHeight="1" x14ac:dyDescent="0.35">
      <c r="A33" s="3381" t="str">
        <f>IN!C9</f>
        <v>(Dengan perbandingan informasi keuangan untuk bulan yang berakhir 31 May 2026 /</v>
      </c>
      <c r="B33" s="3381"/>
      <c r="C33" s="3381"/>
      <c r="D33" s="3381"/>
      <c r="E33" s="3381"/>
      <c r="F33" s="3381"/>
      <c r="G33" s="3381"/>
      <c r="H33" s="3381"/>
      <c r="I33" s="3381"/>
      <c r="J33" s="3381"/>
      <c r="K33" s="2883"/>
      <c r="L33" s="22"/>
    </row>
    <row r="34" spans="1:13" ht="24" customHeight="1" x14ac:dyDescent="0.35">
      <c r="A34" s="3374" t="str">
        <f>IN!C10</f>
        <v>With Comparative financial information for the month ended May 31, 2026 )</v>
      </c>
      <c r="B34" s="3374"/>
      <c r="C34" s="3374"/>
      <c r="D34" s="3374"/>
      <c r="E34" s="3374"/>
      <c r="F34" s="3374"/>
      <c r="G34" s="3374"/>
      <c r="H34" s="3374"/>
      <c r="I34" s="3374"/>
      <c r="J34" s="3374"/>
      <c r="K34" s="2884"/>
      <c r="L34" s="22"/>
      <c r="M34" s="23"/>
    </row>
    <row r="35" spans="1:13" ht="16.5" customHeight="1" x14ac:dyDescent="0.35">
      <c r="A35" s="23"/>
      <c r="B35" s="23"/>
      <c r="C35" s="23"/>
      <c r="D35" s="23"/>
      <c r="E35" s="23"/>
      <c r="F35" s="23"/>
      <c r="G35" s="23"/>
      <c r="H35" s="23"/>
      <c r="I35" s="23"/>
      <c r="J35" s="23"/>
      <c r="K35" s="23"/>
      <c r="L35" s="22"/>
    </row>
    <row r="36" spans="1:13" ht="16.5" customHeight="1" x14ac:dyDescent="0.35">
      <c r="A36" s="20"/>
      <c r="B36" s="20"/>
      <c r="C36" s="20"/>
      <c r="D36" s="20"/>
      <c r="E36" s="20"/>
      <c r="F36" s="20"/>
      <c r="G36" s="20"/>
      <c r="H36" s="20"/>
      <c r="I36" s="20"/>
      <c r="J36" s="20"/>
      <c r="K36" s="20"/>
      <c r="L36" s="22"/>
    </row>
    <row r="37" spans="1:13" ht="16.5" customHeight="1" x14ac:dyDescent="0.35">
      <c r="B37" s="15"/>
      <c r="C37" s="15"/>
      <c r="D37" s="15"/>
      <c r="E37" s="15"/>
      <c r="F37" s="24"/>
      <c r="G37" s="24"/>
      <c r="H37" s="25"/>
      <c r="I37" s="25"/>
      <c r="J37" s="25"/>
      <c r="K37" s="26"/>
      <c r="L37" s="22"/>
    </row>
    <row r="38" spans="1:13" ht="16.5" customHeight="1" x14ac:dyDescent="0.35">
      <c r="B38" s="27"/>
      <c r="C38" s="15"/>
      <c r="D38" s="15"/>
      <c r="E38" s="15"/>
      <c r="F38" s="15"/>
      <c r="G38" s="15"/>
      <c r="L38" s="22"/>
    </row>
    <row r="39" spans="1:13" ht="16.5" customHeight="1" x14ac:dyDescent="0.35">
      <c r="B39" s="15"/>
      <c r="C39" s="15"/>
      <c r="D39" s="15"/>
      <c r="E39" s="15"/>
      <c r="F39" s="15"/>
      <c r="G39" s="15"/>
    </row>
    <row r="40" spans="1:13" x14ac:dyDescent="0.35">
      <c r="B40" s="28"/>
      <c r="C40" s="28"/>
      <c r="D40" s="28"/>
      <c r="E40" s="28"/>
      <c r="F40" s="28"/>
      <c r="G40" s="28"/>
    </row>
    <row r="41" spans="1:13" x14ac:dyDescent="0.35">
      <c r="B41" s="28"/>
      <c r="C41" s="28"/>
      <c r="D41" s="28"/>
      <c r="E41" s="28"/>
      <c r="F41" s="28"/>
      <c r="G41" s="28"/>
    </row>
    <row r="42" spans="1:13" x14ac:dyDescent="0.35">
      <c r="B42" s="28"/>
      <c r="C42" s="28"/>
      <c r="D42" s="28"/>
      <c r="E42" s="28"/>
      <c r="F42" s="28"/>
      <c r="G42" s="28"/>
    </row>
    <row r="43" spans="1:13" x14ac:dyDescent="0.35">
      <c r="B43" s="28"/>
      <c r="C43" s="28"/>
      <c r="D43" s="28"/>
      <c r="E43" s="28"/>
      <c r="F43" s="28"/>
      <c r="G43" s="28"/>
    </row>
    <row r="44" spans="1:13" x14ac:dyDescent="0.35">
      <c r="B44" s="28"/>
      <c r="C44" s="28"/>
      <c r="D44" s="28"/>
      <c r="E44" s="28"/>
      <c r="F44" s="28"/>
      <c r="G44" s="28"/>
    </row>
    <row r="45" spans="1:13" x14ac:dyDescent="0.35">
      <c r="B45" s="28"/>
      <c r="C45" s="28"/>
      <c r="D45" s="28"/>
      <c r="E45" s="28"/>
      <c r="F45" s="28"/>
      <c r="G45" s="28"/>
    </row>
    <row r="46" spans="1:13" x14ac:dyDescent="0.35">
      <c r="B46" s="28"/>
      <c r="C46" s="28"/>
      <c r="D46" s="28"/>
      <c r="E46" s="28"/>
      <c r="F46" s="28"/>
      <c r="G46" s="28"/>
    </row>
    <row r="47" spans="1:13" x14ac:dyDescent="0.35">
      <c r="B47" s="28"/>
      <c r="C47" s="28"/>
      <c r="D47" s="28"/>
      <c r="E47" s="28"/>
      <c r="F47" s="28"/>
      <c r="G47" s="28"/>
    </row>
    <row r="48" spans="1:13" x14ac:dyDescent="0.35">
      <c r="B48" s="28"/>
      <c r="C48" s="28"/>
      <c r="D48" s="28"/>
      <c r="E48" s="28"/>
      <c r="F48" s="28"/>
      <c r="G48" s="28"/>
    </row>
    <row r="49" spans="2:7" x14ac:dyDescent="0.35">
      <c r="B49" s="28"/>
      <c r="C49" s="28"/>
      <c r="D49" s="28"/>
      <c r="E49" s="28"/>
      <c r="F49" s="28"/>
      <c r="G49" s="28"/>
    </row>
    <row r="50" spans="2:7" x14ac:dyDescent="0.35">
      <c r="B50" s="28"/>
      <c r="C50" s="28"/>
      <c r="D50" s="28"/>
      <c r="E50" s="28"/>
      <c r="F50" s="28"/>
      <c r="G50" s="28"/>
    </row>
    <row r="51" spans="2:7" x14ac:dyDescent="0.35">
      <c r="B51" s="28"/>
      <c r="C51" s="28"/>
      <c r="D51" s="28"/>
      <c r="E51" s="28"/>
      <c r="F51" s="28"/>
      <c r="G51" s="28"/>
    </row>
    <row r="52" spans="2:7" x14ac:dyDescent="0.35">
      <c r="B52" s="28"/>
      <c r="C52" s="28"/>
      <c r="D52" s="28"/>
      <c r="E52" s="28"/>
      <c r="F52" s="28"/>
      <c r="G52" s="28"/>
    </row>
    <row r="53" spans="2:7" x14ac:dyDescent="0.35">
      <c r="B53" s="28"/>
      <c r="C53" s="28"/>
      <c r="D53" s="28"/>
      <c r="E53" s="28"/>
      <c r="F53" s="28"/>
      <c r="G53" s="28"/>
    </row>
    <row r="54" spans="2:7" x14ac:dyDescent="0.35">
      <c r="B54" s="28"/>
      <c r="C54" s="28"/>
      <c r="D54" s="28"/>
      <c r="E54" s="28"/>
      <c r="F54" s="28"/>
      <c r="G54" s="28"/>
    </row>
    <row r="55" spans="2:7" x14ac:dyDescent="0.35">
      <c r="B55" s="28"/>
      <c r="C55" s="28"/>
      <c r="D55" s="28"/>
      <c r="E55" s="28"/>
      <c r="F55" s="28"/>
      <c r="G55" s="28"/>
    </row>
    <row r="56" spans="2:7" x14ac:dyDescent="0.35">
      <c r="B56" s="28"/>
      <c r="C56" s="28"/>
      <c r="D56" s="28"/>
      <c r="E56" s="28"/>
      <c r="F56" s="28"/>
      <c r="G56" s="28"/>
    </row>
    <row r="57" spans="2:7" x14ac:dyDescent="0.35">
      <c r="B57" s="28"/>
      <c r="C57" s="28"/>
      <c r="D57" s="28"/>
      <c r="E57" s="28"/>
      <c r="F57" s="28"/>
      <c r="G57" s="28"/>
    </row>
    <row r="58" spans="2:7" x14ac:dyDescent="0.35">
      <c r="B58" s="28"/>
      <c r="C58" s="28"/>
      <c r="D58" s="28"/>
      <c r="E58" s="28"/>
      <c r="F58" s="28"/>
      <c r="G58" s="28"/>
    </row>
    <row r="59" spans="2:7" x14ac:dyDescent="0.35">
      <c r="B59" s="28"/>
      <c r="C59" s="28"/>
      <c r="D59" s="28"/>
      <c r="E59" s="28"/>
      <c r="F59" s="28"/>
      <c r="G59" s="28"/>
    </row>
    <row r="60" spans="2:7" x14ac:dyDescent="0.35">
      <c r="B60" s="28"/>
      <c r="C60" s="28"/>
      <c r="D60" s="28"/>
      <c r="E60" s="28"/>
      <c r="F60" s="28"/>
      <c r="G60" s="28"/>
    </row>
    <row r="61" spans="2:7" x14ac:dyDescent="0.35">
      <c r="B61" s="28"/>
      <c r="C61" s="28"/>
      <c r="D61" s="28"/>
      <c r="E61" s="28"/>
      <c r="F61" s="28"/>
      <c r="G61" s="28"/>
    </row>
    <row r="62" spans="2:7" x14ac:dyDescent="0.35">
      <c r="B62" s="28"/>
      <c r="C62" s="28"/>
      <c r="D62" s="28"/>
      <c r="E62" s="28"/>
      <c r="F62" s="28"/>
      <c r="G62" s="28"/>
    </row>
    <row r="63" spans="2:7" x14ac:dyDescent="0.35">
      <c r="B63" s="28"/>
      <c r="C63" s="28"/>
      <c r="D63" s="28"/>
      <c r="E63" s="28"/>
      <c r="F63" s="28"/>
      <c r="G63" s="28"/>
    </row>
    <row r="64" spans="2:7" x14ac:dyDescent="0.35">
      <c r="B64" s="28"/>
      <c r="C64" s="28"/>
      <c r="D64" s="28"/>
      <c r="E64" s="28"/>
      <c r="F64" s="28"/>
      <c r="G64" s="28"/>
    </row>
    <row r="65" spans="2:7" x14ac:dyDescent="0.35">
      <c r="B65" s="28"/>
      <c r="C65" s="28"/>
      <c r="D65" s="28"/>
      <c r="E65" s="28"/>
      <c r="F65" s="28"/>
      <c r="G65" s="28"/>
    </row>
    <row r="66" spans="2:7" x14ac:dyDescent="0.35">
      <c r="B66" s="28"/>
      <c r="C66" s="28"/>
      <c r="D66" s="28"/>
      <c r="E66" s="28"/>
      <c r="F66" s="28"/>
      <c r="G66" s="28"/>
    </row>
    <row r="67" spans="2:7" x14ac:dyDescent="0.35">
      <c r="B67" s="28"/>
      <c r="C67" s="28"/>
      <c r="D67" s="28"/>
      <c r="E67" s="28"/>
      <c r="F67" s="28"/>
      <c r="G67" s="28"/>
    </row>
    <row r="68" spans="2:7" x14ac:dyDescent="0.35">
      <c r="B68" s="28"/>
      <c r="C68" s="28"/>
      <c r="D68" s="28"/>
      <c r="E68" s="28"/>
      <c r="F68" s="28"/>
      <c r="G68" s="28"/>
    </row>
    <row r="69" spans="2:7" x14ac:dyDescent="0.35">
      <c r="B69" s="28"/>
      <c r="C69" s="28"/>
      <c r="D69" s="28"/>
      <c r="E69" s="28"/>
      <c r="F69" s="28"/>
      <c r="G69" s="28"/>
    </row>
    <row r="70" spans="2:7" x14ac:dyDescent="0.35">
      <c r="B70" s="28"/>
      <c r="C70" s="28"/>
      <c r="D70" s="28"/>
      <c r="E70" s="28"/>
      <c r="F70" s="28"/>
      <c r="G70" s="28"/>
    </row>
    <row r="71" spans="2:7" x14ac:dyDescent="0.35">
      <c r="B71" s="28"/>
      <c r="C71" s="28"/>
      <c r="D71" s="28"/>
      <c r="E71" s="28"/>
      <c r="F71" s="28"/>
      <c r="G71" s="28"/>
    </row>
    <row r="72" spans="2:7" x14ac:dyDescent="0.35">
      <c r="B72" s="28"/>
      <c r="C72" s="28"/>
      <c r="D72" s="28"/>
      <c r="E72" s="28"/>
      <c r="F72" s="28"/>
      <c r="G72" s="28"/>
    </row>
    <row r="73" spans="2:7" x14ac:dyDescent="0.35">
      <c r="B73" s="28"/>
      <c r="C73" s="28"/>
      <c r="D73" s="28"/>
      <c r="E73" s="28"/>
      <c r="F73" s="28"/>
      <c r="G73" s="28"/>
    </row>
    <row r="74" spans="2:7" x14ac:dyDescent="0.35">
      <c r="B74" s="28"/>
      <c r="C74" s="28"/>
      <c r="D74" s="28"/>
      <c r="E74" s="28"/>
      <c r="F74" s="28"/>
      <c r="G74" s="28"/>
    </row>
    <row r="75" spans="2:7" x14ac:dyDescent="0.35">
      <c r="B75" s="28"/>
      <c r="C75" s="28"/>
      <c r="D75" s="28"/>
      <c r="E75" s="28"/>
      <c r="F75" s="28"/>
      <c r="G75" s="28"/>
    </row>
    <row r="76" spans="2:7" x14ac:dyDescent="0.35">
      <c r="B76" s="28"/>
      <c r="C76" s="28"/>
      <c r="D76" s="28"/>
      <c r="E76" s="28"/>
      <c r="F76" s="28"/>
      <c r="G76" s="28"/>
    </row>
    <row r="77" spans="2:7" x14ac:dyDescent="0.35">
      <c r="B77" s="28"/>
      <c r="C77" s="28"/>
      <c r="D77" s="28"/>
      <c r="E77" s="28"/>
      <c r="F77" s="28"/>
      <c r="G77" s="28"/>
    </row>
    <row r="78" spans="2:7" x14ac:dyDescent="0.35">
      <c r="B78" s="28"/>
      <c r="C78" s="28"/>
      <c r="D78" s="28"/>
      <c r="E78" s="28"/>
      <c r="F78" s="28"/>
      <c r="G78" s="28"/>
    </row>
    <row r="79" spans="2:7" x14ac:dyDescent="0.35">
      <c r="B79" s="28"/>
      <c r="C79" s="28"/>
      <c r="D79" s="28"/>
      <c r="E79" s="28"/>
      <c r="F79" s="28"/>
      <c r="G79" s="28"/>
    </row>
    <row r="80" spans="2:7" x14ac:dyDescent="0.35">
      <c r="B80" s="28"/>
      <c r="C80" s="28"/>
      <c r="D80" s="28"/>
      <c r="E80" s="28"/>
      <c r="F80" s="28"/>
      <c r="G80" s="28"/>
    </row>
    <row r="81" spans="2:7" x14ac:dyDescent="0.35">
      <c r="B81" s="28"/>
      <c r="C81" s="28"/>
      <c r="D81" s="28"/>
      <c r="E81" s="28"/>
      <c r="F81" s="28"/>
      <c r="G81" s="28"/>
    </row>
    <row r="82" spans="2:7" x14ac:dyDescent="0.35">
      <c r="B82" s="28"/>
      <c r="C82" s="28"/>
      <c r="D82" s="28"/>
      <c r="E82" s="28"/>
      <c r="F82" s="28"/>
      <c r="G82" s="28"/>
    </row>
    <row r="83" spans="2:7" x14ac:dyDescent="0.35">
      <c r="B83" s="28"/>
      <c r="C83" s="28"/>
      <c r="D83" s="28"/>
      <c r="E83" s="28"/>
      <c r="F83" s="28"/>
      <c r="G83" s="28"/>
    </row>
    <row r="84" spans="2:7" x14ac:dyDescent="0.35">
      <c r="B84" s="28"/>
      <c r="C84" s="28"/>
      <c r="D84" s="28"/>
      <c r="E84" s="28"/>
      <c r="F84" s="28"/>
      <c r="G84" s="28"/>
    </row>
  </sheetData>
  <mergeCells count="9">
    <mergeCell ref="A34:J34"/>
    <mergeCell ref="A32:E32"/>
    <mergeCell ref="A30:E30"/>
    <mergeCell ref="A29:J29"/>
    <mergeCell ref="A24:J24"/>
    <mergeCell ref="A25:J25"/>
    <mergeCell ref="A31:J31"/>
    <mergeCell ref="G32:J32"/>
    <mergeCell ref="A33:J33"/>
  </mergeCells>
  <pageMargins left="0.7" right="0.7" top="0.75" bottom="0.75" header="0.3" footer="0.3"/>
  <pageSetup paperSize="9" orientation="portrait"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4"/>
  <sheetViews>
    <sheetView workbookViewId="0">
      <selection activeCell="B46" sqref="B46"/>
    </sheetView>
  </sheetViews>
  <sheetFormatPr defaultColWidth="8.81640625" defaultRowHeight="15.5" x14ac:dyDescent="0.35"/>
  <cols>
    <col min="1" max="1" width="4.7265625" style="11" customWidth="1"/>
    <col min="2" max="2" width="3.54296875" style="12" customWidth="1"/>
    <col min="3" max="3" width="11.54296875" style="12" customWidth="1"/>
    <col min="4" max="4" width="10.453125" style="12" customWidth="1"/>
    <col min="5" max="5" width="35.26953125" style="12" customWidth="1"/>
    <col min="6" max="6" width="5.54296875" style="12" customWidth="1"/>
    <col min="7" max="7" width="6.54296875" style="13" customWidth="1"/>
    <col min="8" max="8" width="8.453125" style="13" customWidth="1"/>
    <col min="9" max="9" width="11.26953125" style="13" customWidth="1"/>
    <col min="10" max="10" width="19.26953125" style="14" customWidth="1"/>
    <col min="11" max="16384" width="8.81640625" style="15"/>
  </cols>
  <sheetData>
    <row r="1" spans="1:11" ht="9" customHeight="1" x14ac:dyDescent="0.35">
      <c r="K1" s="3382">
        <v>1</v>
      </c>
    </row>
    <row r="2" spans="1:11" x14ac:dyDescent="0.35">
      <c r="A2" s="16"/>
      <c r="B2" s="15"/>
      <c r="C2" s="15"/>
      <c r="D2" s="15"/>
      <c r="E2" s="15"/>
      <c r="F2" s="15"/>
      <c r="J2" s="17"/>
      <c r="K2" s="3382"/>
    </row>
    <row r="3" spans="1:11" x14ac:dyDescent="0.35">
      <c r="A3" s="16"/>
      <c r="B3" s="15"/>
      <c r="C3" s="15"/>
      <c r="D3" s="15"/>
      <c r="E3" s="15"/>
      <c r="F3" s="15"/>
      <c r="J3" s="17"/>
      <c r="K3" s="3382"/>
    </row>
    <row r="4" spans="1:11" x14ac:dyDescent="0.35">
      <c r="A4" s="16"/>
      <c r="B4" s="15"/>
      <c r="C4" s="15"/>
      <c r="D4" s="15"/>
      <c r="E4" s="15"/>
      <c r="F4" s="15"/>
      <c r="J4" s="17"/>
      <c r="K4" s="3382"/>
    </row>
    <row r="5" spans="1:11" x14ac:dyDescent="0.35">
      <c r="A5" s="16"/>
      <c r="B5" s="15"/>
      <c r="C5" s="15"/>
      <c r="D5" s="15"/>
      <c r="E5" s="15"/>
      <c r="F5" s="15"/>
      <c r="J5" s="17"/>
      <c r="K5" s="3382"/>
    </row>
    <row r="6" spans="1:11" x14ac:dyDescent="0.35">
      <c r="A6" s="16"/>
      <c r="B6" s="15"/>
      <c r="C6" s="15"/>
      <c r="D6" s="15"/>
      <c r="E6" s="15"/>
      <c r="F6" s="15"/>
      <c r="J6" s="17"/>
      <c r="K6" s="3382"/>
    </row>
    <row r="7" spans="1:11" x14ac:dyDescent="0.35">
      <c r="A7" s="16"/>
      <c r="B7" s="15"/>
      <c r="C7" s="15"/>
      <c r="D7" s="15"/>
      <c r="E7" s="15"/>
      <c r="F7" s="15"/>
      <c r="J7" s="17"/>
      <c r="K7" s="3382"/>
    </row>
    <row r="8" spans="1:11" x14ac:dyDescent="0.35">
      <c r="A8" s="16"/>
      <c r="B8" s="15"/>
      <c r="C8" s="15"/>
      <c r="D8" s="15"/>
      <c r="E8" s="15"/>
      <c r="F8" s="15"/>
      <c r="J8" s="17"/>
      <c r="K8" s="3382"/>
    </row>
    <row r="9" spans="1:11" x14ac:dyDescent="0.35">
      <c r="A9" s="16"/>
      <c r="B9" s="15"/>
      <c r="C9" s="15"/>
      <c r="D9" s="15"/>
      <c r="E9" s="15"/>
      <c r="F9" s="15"/>
      <c r="J9" s="17"/>
      <c r="K9" s="3382"/>
    </row>
    <row r="10" spans="1:11" x14ac:dyDescent="0.35">
      <c r="A10" s="16"/>
      <c r="B10" s="15"/>
      <c r="C10" s="15"/>
      <c r="D10" s="15"/>
      <c r="E10" s="15"/>
      <c r="F10" s="15"/>
      <c r="J10" s="17"/>
      <c r="K10" s="3382"/>
    </row>
    <row r="11" spans="1:11" x14ac:dyDescent="0.35">
      <c r="A11" s="16"/>
      <c r="B11" s="15"/>
      <c r="C11" s="15"/>
      <c r="D11" s="15"/>
      <c r="E11" s="15"/>
      <c r="F11" s="15"/>
      <c r="J11" s="17"/>
      <c r="K11" s="3382"/>
    </row>
    <row r="12" spans="1:11" x14ac:dyDescent="0.35">
      <c r="A12" s="16"/>
      <c r="B12" s="15"/>
      <c r="C12" s="15"/>
      <c r="D12" s="15"/>
      <c r="E12" s="15"/>
      <c r="F12" s="15"/>
      <c r="J12" s="17"/>
      <c r="K12" s="3382"/>
    </row>
    <row r="13" spans="1:11" x14ac:dyDescent="0.35">
      <c r="A13" s="16"/>
      <c r="B13" s="15"/>
      <c r="C13" s="15"/>
      <c r="D13" s="15"/>
      <c r="E13" s="15"/>
      <c r="F13" s="15"/>
      <c r="J13" s="17"/>
      <c r="K13" s="3382"/>
    </row>
    <row r="14" spans="1:11" x14ac:dyDescent="0.35">
      <c r="A14" s="16"/>
      <c r="B14" s="15"/>
      <c r="C14" s="15"/>
      <c r="D14" s="15"/>
      <c r="E14" s="15"/>
      <c r="F14" s="15"/>
      <c r="J14" s="17"/>
      <c r="K14" s="3382"/>
    </row>
    <row r="15" spans="1:11" x14ac:dyDescent="0.35">
      <c r="A15" s="16"/>
      <c r="B15" s="15"/>
      <c r="C15" s="15"/>
      <c r="D15" s="15"/>
      <c r="E15" s="15"/>
      <c r="F15" s="15"/>
      <c r="J15" s="17"/>
      <c r="K15" s="3382"/>
    </row>
    <row r="16" spans="1:11" ht="13.15" customHeight="1" x14ac:dyDescent="0.35">
      <c r="A16" s="18"/>
      <c r="B16" s="18"/>
      <c r="C16" s="18"/>
      <c r="D16" s="18"/>
      <c r="E16" s="18"/>
      <c r="F16" s="18"/>
      <c r="G16" s="18"/>
      <c r="H16" s="18"/>
      <c r="I16" s="18"/>
      <c r="J16" s="18"/>
      <c r="K16" s="3382"/>
    </row>
    <row r="17" spans="1:11" ht="16.5" customHeight="1" x14ac:dyDescent="0.35">
      <c r="A17" s="18"/>
      <c r="B17" s="18"/>
      <c r="C17" s="18"/>
      <c r="D17" s="18"/>
      <c r="E17" s="18"/>
      <c r="F17" s="15"/>
      <c r="G17" s="18"/>
      <c r="H17" s="18"/>
      <c r="I17" s="18"/>
      <c r="J17" s="18"/>
      <c r="K17" s="3382"/>
    </row>
    <row r="18" spans="1:11" ht="16.5" customHeight="1" x14ac:dyDescent="0.35">
      <c r="A18" s="18"/>
      <c r="B18" s="18"/>
      <c r="C18" s="18"/>
      <c r="D18" s="18"/>
      <c r="E18" s="18"/>
      <c r="F18" s="15"/>
      <c r="G18" s="18"/>
      <c r="H18" s="18"/>
      <c r="I18" s="18"/>
      <c r="J18" s="18"/>
      <c r="K18" s="3382"/>
    </row>
    <row r="19" spans="1:11" ht="16.5" customHeight="1" x14ac:dyDescent="0.35">
      <c r="A19" s="18"/>
      <c r="B19" s="18"/>
      <c r="C19" s="18"/>
      <c r="D19" s="18"/>
      <c r="E19" s="18"/>
      <c r="F19" s="15"/>
      <c r="G19" s="18"/>
      <c r="H19" s="18"/>
      <c r="I19" s="18"/>
      <c r="J19" s="18"/>
      <c r="K19" s="3382"/>
    </row>
    <row r="20" spans="1:11" ht="16.5" customHeight="1" x14ac:dyDescent="0.35">
      <c r="A20" s="18"/>
      <c r="B20" s="18"/>
      <c r="C20" s="18"/>
      <c r="D20" s="18"/>
      <c r="E20" s="18"/>
      <c r="F20" s="15"/>
      <c r="G20" s="18"/>
      <c r="H20" s="18"/>
      <c r="I20" s="18"/>
      <c r="J20" s="18"/>
      <c r="K20" s="3382"/>
    </row>
    <row r="21" spans="1:11" ht="16.5" customHeight="1" x14ac:dyDescent="0.35">
      <c r="A21" s="15"/>
      <c r="B21" s="15"/>
      <c r="C21" s="15"/>
      <c r="D21" s="15"/>
      <c r="E21" s="15"/>
      <c r="F21" s="15"/>
      <c r="G21" s="15"/>
      <c r="H21" s="15"/>
      <c r="I21" s="15"/>
      <c r="J21" s="15"/>
      <c r="K21" s="3382"/>
    </row>
    <row r="22" spans="1:11" ht="16.5" customHeight="1" x14ac:dyDescent="0.35">
      <c r="A22" s="15"/>
      <c r="B22" s="15"/>
      <c r="C22" s="15"/>
      <c r="D22" s="15"/>
      <c r="E22" s="15"/>
      <c r="F22" s="15"/>
      <c r="G22" s="15"/>
      <c r="H22" s="15"/>
      <c r="I22" s="15"/>
      <c r="J22" s="15"/>
      <c r="K22" s="3382"/>
    </row>
    <row r="23" spans="1:11" ht="16.5" customHeight="1" x14ac:dyDescent="0.35">
      <c r="A23" s="15"/>
      <c r="B23" s="15"/>
      <c r="C23" s="15"/>
      <c r="D23" s="15"/>
      <c r="E23" s="15"/>
      <c r="F23" s="15"/>
      <c r="G23" s="15"/>
      <c r="H23" s="15"/>
      <c r="I23" s="15"/>
      <c r="J23" s="15"/>
      <c r="K23" s="3382"/>
    </row>
    <row r="24" spans="1:11" ht="16.5" customHeight="1" x14ac:dyDescent="0.35">
      <c r="A24" s="15"/>
      <c r="B24" s="15"/>
      <c r="C24" s="15"/>
      <c r="D24" s="15"/>
      <c r="E24" s="15"/>
      <c r="F24" s="15"/>
      <c r="G24" s="15"/>
      <c r="H24" s="15"/>
      <c r="I24" s="15"/>
      <c r="J24" s="15"/>
      <c r="K24" s="3382"/>
    </row>
    <row r="25" spans="1:11" ht="16.5" customHeight="1" x14ac:dyDescent="0.35">
      <c r="A25" s="15"/>
      <c r="B25" s="15"/>
      <c r="C25" s="15"/>
      <c r="D25" s="15"/>
      <c r="E25" s="15"/>
      <c r="F25" s="15"/>
      <c r="G25" s="15"/>
      <c r="H25" s="15"/>
      <c r="I25" s="15"/>
      <c r="J25" s="18"/>
      <c r="K25" s="3382"/>
    </row>
    <row r="26" spans="1:11" ht="16.5" customHeight="1" x14ac:dyDescent="0.35">
      <c r="A26" s="15"/>
      <c r="B26" s="15"/>
      <c r="C26" s="15"/>
      <c r="D26" s="15"/>
      <c r="E26" s="15"/>
      <c r="F26" s="15"/>
      <c r="G26" s="15"/>
      <c r="H26" s="15"/>
      <c r="I26" s="15"/>
      <c r="J26" s="18"/>
      <c r="K26" s="3382"/>
    </row>
    <row r="27" spans="1:11" ht="16.5" customHeight="1" x14ac:dyDescent="0.35">
      <c r="A27" s="15"/>
      <c r="B27" s="15"/>
      <c r="C27" s="15"/>
      <c r="D27" s="15"/>
      <c r="E27" s="15"/>
      <c r="F27" s="15"/>
      <c r="G27" s="15"/>
      <c r="H27" s="15"/>
      <c r="I27" s="15"/>
      <c r="J27" s="18"/>
      <c r="K27" s="3382"/>
    </row>
    <row r="28" spans="1:11" ht="16.5" customHeight="1" x14ac:dyDescent="0.35">
      <c r="A28" s="15"/>
      <c r="B28" s="15"/>
      <c r="C28" s="15"/>
      <c r="D28" s="15"/>
      <c r="E28" s="15"/>
      <c r="F28" s="15"/>
      <c r="G28" s="15"/>
      <c r="H28" s="15"/>
      <c r="I28" s="15"/>
      <c r="J28" s="18"/>
      <c r="K28" s="3382"/>
    </row>
    <row r="29" spans="1:11" ht="16.5" customHeight="1" x14ac:dyDescent="0.35">
      <c r="A29" s="15"/>
      <c r="B29" s="15"/>
      <c r="C29" s="15"/>
      <c r="D29" s="15"/>
      <c r="E29" s="15"/>
      <c r="F29" s="15"/>
      <c r="G29" s="15"/>
      <c r="H29" s="15"/>
      <c r="I29" s="15"/>
      <c r="J29" s="18"/>
      <c r="K29" s="3382"/>
    </row>
    <row r="30" spans="1:11" ht="16.5" customHeight="1" x14ac:dyDescent="0.35">
      <c r="A30" s="15"/>
      <c r="B30" s="15"/>
      <c r="C30" s="15"/>
      <c r="D30" s="15"/>
      <c r="E30" s="15"/>
      <c r="F30" s="15"/>
      <c r="G30" s="15"/>
      <c r="H30" s="15"/>
      <c r="I30" s="15"/>
      <c r="J30" s="18"/>
      <c r="K30" s="3382"/>
    </row>
    <row r="31" spans="1:11" ht="16.5" customHeight="1" x14ac:dyDescent="0.35">
      <c r="A31" s="15"/>
      <c r="B31" s="15"/>
      <c r="C31" s="15"/>
      <c r="D31" s="15"/>
      <c r="E31" s="15"/>
      <c r="F31" s="15"/>
      <c r="G31" s="15"/>
      <c r="H31" s="15"/>
      <c r="I31" s="15"/>
      <c r="J31" s="18"/>
      <c r="K31" s="3382"/>
    </row>
    <row r="32" spans="1:11" ht="16.5" customHeight="1" x14ac:dyDescent="0.35">
      <c r="A32" s="15"/>
      <c r="B32" s="15"/>
      <c r="C32" s="15"/>
      <c r="D32" s="15"/>
      <c r="E32" s="15"/>
      <c r="F32" s="15"/>
      <c r="G32" s="15"/>
      <c r="H32" s="15"/>
      <c r="I32" s="15"/>
      <c r="J32" s="18"/>
      <c r="K32" s="3382"/>
    </row>
    <row r="33" spans="1:11" ht="16.5" customHeight="1" x14ac:dyDescent="0.35">
      <c r="A33" s="15"/>
      <c r="B33" s="15"/>
      <c r="C33" s="15"/>
      <c r="D33" s="15"/>
      <c r="E33" s="15"/>
      <c r="F33" s="15"/>
      <c r="G33" s="15"/>
      <c r="H33" s="15"/>
      <c r="I33" s="15"/>
      <c r="J33" s="18"/>
      <c r="K33" s="3382"/>
    </row>
    <row r="34" spans="1:11" ht="16.5" customHeight="1" x14ac:dyDescent="0.35">
      <c r="A34" s="15"/>
      <c r="B34" s="15"/>
      <c r="C34" s="15"/>
      <c r="D34" s="15"/>
      <c r="E34" s="15"/>
      <c r="F34" s="15"/>
      <c r="G34" s="15"/>
      <c r="H34" s="15"/>
      <c r="I34" s="15"/>
      <c r="J34" s="18"/>
      <c r="K34" s="3382"/>
    </row>
    <row r="35" spans="1:11" ht="16.5" customHeight="1" x14ac:dyDescent="0.35">
      <c r="A35" s="15"/>
      <c r="B35" s="15"/>
      <c r="C35" s="15"/>
      <c r="D35" s="15"/>
      <c r="E35" s="15"/>
      <c r="F35" s="15"/>
      <c r="G35" s="15"/>
      <c r="H35" s="15"/>
      <c r="I35" s="15"/>
      <c r="J35" s="18"/>
      <c r="K35" s="3382"/>
    </row>
    <row r="36" spans="1:11" ht="16.5" customHeight="1" x14ac:dyDescent="0.35">
      <c r="A36" s="15"/>
      <c r="B36" s="15"/>
      <c r="C36" s="15"/>
      <c r="D36" s="15"/>
      <c r="E36" s="15"/>
      <c r="F36" s="15"/>
      <c r="G36" s="15"/>
      <c r="H36" s="15"/>
      <c r="I36" s="15"/>
      <c r="J36" s="18"/>
      <c r="K36" s="3382"/>
    </row>
    <row r="37" spans="1:11" ht="16.5" customHeight="1" x14ac:dyDescent="0.35">
      <c r="A37" s="15"/>
      <c r="B37" s="15"/>
      <c r="C37" s="15"/>
      <c r="D37" s="15"/>
      <c r="E37" s="15"/>
      <c r="F37" s="15"/>
      <c r="G37" s="15"/>
      <c r="H37" s="15"/>
      <c r="I37" s="15"/>
      <c r="J37" s="18"/>
      <c r="K37" s="3382"/>
    </row>
    <row r="38" spans="1:11" ht="16.5" customHeight="1" x14ac:dyDescent="0.35">
      <c r="A38" s="15"/>
      <c r="B38" s="15"/>
      <c r="C38" s="15"/>
      <c r="D38" s="15"/>
      <c r="E38" s="15"/>
      <c r="F38" s="15"/>
      <c r="G38" s="15"/>
      <c r="H38" s="15"/>
      <c r="I38" s="15"/>
      <c r="J38" s="18"/>
      <c r="K38" s="3382"/>
    </row>
    <row r="39" spans="1:11" ht="16.5" customHeight="1" x14ac:dyDescent="0.35">
      <c r="A39" s="15"/>
      <c r="B39" s="15"/>
      <c r="C39" s="15"/>
      <c r="D39" s="15"/>
      <c r="E39" s="15"/>
      <c r="F39" s="15"/>
      <c r="G39" s="15"/>
      <c r="H39" s="15"/>
      <c r="I39" s="15"/>
      <c r="J39" s="18"/>
      <c r="K39" s="3382"/>
    </row>
    <row r="40" spans="1:11" ht="16.5" customHeight="1" x14ac:dyDescent="0.35">
      <c r="A40" s="15"/>
      <c r="B40" s="15"/>
      <c r="C40" s="15"/>
      <c r="D40" s="15"/>
      <c r="E40" s="15"/>
      <c r="F40" s="15"/>
      <c r="G40" s="15"/>
      <c r="H40" s="15"/>
      <c r="I40" s="15"/>
      <c r="J40" s="15"/>
      <c r="K40" s="3382"/>
    </row>
    <row r="41" spans="1:11" ht="25" x14ac:dyDescent="0.5">
      <c r="A41" s="3383" t="s">
        <v>7</v>
      </c>
      <c r="B41" s="3383"/>
      <c r="C41" s="3383"/>
      <c r="D41" s="3383"/>
      <c r="E41" s="3383"/>
      <c r="F41" s="3383"/>
      <c r="G41" s="3383"/>
      <c r="H41" s="3383"/>
      <c r="I41" s="2885"/>
      <c r="J41" s="2885"/>
      <c r="K41" s="3382"/>
    </row>
    <row r="42" spans="1:11" ht="25" x14ac:dyDescent="0.5">
      <c r="A42" s="3383" t="s">
        <v>7133</v>
      </c>
      <c r="B42" s="3383"/>
      <c r="C42" s="3383"/>
      <c r="D42" s="3383"/>
      <c r="E42" s="3383"/>
      <c r="F42" s="3383"/>
      <c r="G42" s="3383"/>
      <c r="H42" s="3383"/>
      <c r="I42" s="2885"/>
      <c r="J42" s="2885"/>
      <c r="K42" s="3382"/>
    </row>
    <row r="43" spans="1:11" x14ac:dyDescent="0.35">
      <c r="B43" s="27"/>
      <c r="C43" s="15"/>
      <c r="D43" s="15"/>
      <c r="E43" s="15"/>
      <c r="F43" s="15"/>
      <c r="K43" s="3382"/>
    </row>
    <row r="44" spans="1:11" ht="16.5" customHeight="1" x14ac:dyDescent="0.35">
      <c r="B44" s="27"/>
      <c r="C44" s="15"/>
      <c r="D44" s="15"/>
      <c r="E44" s="15"/>
      <c r="F44" s="15"/>
      <c r="K44" s="3382"/>
    </row>
    <row r="45" spans="1:11" ht="16.5" customHeight="1" x14ac:dyDescent="0.35">
      <c r="B45" s="27"/>
      <c r="C45" s="15"/>
      <c r="D45" s="15"/>
      <c r="E45" s="15"/>
      <c r="F45" s="15"/>
      <c r="K45" s="3382"/>
    </row>
    <row r="46" spans="1:11" s="37" customFormat="1" ht="26.25" customHeight="1" x14ac:dyDescent="0.35">
      <c r="A46" s="33" t="str">
        <f>IN!C4</f>
        <v>Laporan Keuangan June 2026</v>
      </c>
      <c r="B46" s="34"/>
      <c r="C46" s="35"/>
      <c r="D46" s="35"/>
      <c r="E46" s="35"/>
      <c r="F46" s="34" t="str">
        <f>IN!D4</f>
        <v>Financial Statement Jun 2026</v>
      </c>
      <c r="G46" s="36"/>
      <c r="H46" s="2886"/>
      <c r="I46" s="2942"/>
      <c r="J46" s="2943"/>
      <c r="K46" s="3382"/>
    </row>
    <row r="47" spans="1:11" ht="16.5" customHeight="1" x14ac:dyDescent="0.35">
      <c r="B47" s="15"/>
      <c r="C47" s="15"/>
      <c r="D47" s="15"/>
      <c r="E47" s="15"/>
      <c r="F47" s="24"/>
      <c r="G47" s="25"/>
      <c r="H47" s="25"/>
      <c r="I47" s="25"/>
      <c r="J47" s="26"/>
      <c r="K47" s="3382"/>
    </row>
    <row r="48" spans="1:11" ht="16.5" customHeight="1" x14ac:dyDescent="0.35">
      <c r="B48" s="27"/>
      <c r="C48" s="15"/>
      <c r="D48" s="15"/>
      <c r="E48" s="15"/>
      <c r="F48" s="15"/>
      <c r="K48" s="3382"/>
    </row>
    <row r="49" spans="2:6" ht="16.5" customHeight="1" x14ac:dyDescent="0.35">
      <c r="B49" s="15"/>
      <c r="C49" s="15"/>
      <c r="D49" s="15"/>
      <c r="E49" s="15"/>
      <c r="F49" s="15"/>
    </row>
    <row r="50" spans="2:6" x14ac:dyDescent="0.35">
      <c r="B50" s="28"/>
      <c r="C50" s="28"/>
      <c r="D50" s="28"/>
      <c r="E50" s="28"/>
      <c r="F50" s="28"/>
    </row>
    <row r="51" spans="2:6" x14ac:dyDescent="0.35">
      <c r="B51" s="28"/>
      <c r="C51" s="28"/>
      <c r="D51" s="28"/>
      <c r="E51" s="28"/>
      <c r="F51" s="28"/>
    </row>
    <row r="52" spans="2:6" x14ac:dyDescent="0.35">
      <c r="B52" s="28"/>
      <c r="C52" s="28"/>
      <c r="D52" s="28"/>
      <c r="E52" s="28"/>
      <c r="F52" s="28"/>
    </row>
    <row r="53" spans="2:6" x14ac:dyDescent="0.35">
      <c r="B53" s="28"/>
      <c r="C53" s="28"/>
      <c r="D53" s="28"/>
      <c r="E53" s="28"/>
      <c r="F53" s="28"/>
    </row>
    <row r="54" spans="2:6" x14ac:dyDescent="0.35">
      <c r="B54" s="28"/>
      <c r="C54" s="28"/>
      <c r="D54" s="28"/>
      <c r="E54" s="28"/>
      <c r="F54" s="28"/>
    </row>
    <row r="55" spans="2:6" x14ac:dyDescent="0.35">
      <c r="B55" s="28"/>
      <c r="C55" s="28"/>
      <c r="D55" s="28"/>
      <c r="E55" s="28"/>
      <c r="F55" s="28"/>
    </row>
    <row r="56" spans="2:6" x14ac:dyDescent="0.35">
      <c r="B56" s="28"/>
      <c r="C56" s="28"/>
      <c r="D56" s="28"/>
      <c r="E56" s="28"/>
      <c r="F56" s="28"/>
    </row>
    <row r="57" spans="2:6" x14ac:dyDescent="0.35">
      <c r="B57" s="28"/>
      <c r="C57" s="28"/>
      <c r="D57" s="28"/>
      <c r="E57" s="28"/>
      <c r="F57" s="28"/>
    </row>
    <row r="58" spans="2:6" x14ac:dyDescent="0.35">
      <c r="B58" s="28"/>
      <c r="C58" s="28"/>
      <c r="D58" s="28"/>
      <c r="E58" s="28"/>
      <c r="F58" s="28"/>
    </row>
    <row r="59" spans="2:6" x14ac:dyDescent="0.35">
      <c r="B59" s="28"/>
      <c r="C59" s="28"/>
      <c r="D59" s="28"/>
      <c r="E59" s="28"/>
      <c r="F59" s="28"/>
    </row>
    <row r="60" spans="2:6" x14ac:dyDescent="0.35">
      <c r="B60" s="28"/>
      <c r="C60" s="28"/>
      <c r="D60" s="28"/>
      <c r="E60" s="28"/>
      <c r="F60" s="28"/>
    </row>
    <row r="61" spans="2:6" x14ac:dyDescent="0.35">
      <c r="B61" s="28"/>
      <c r="C61" s="28"/>
      <c r="D61" s="28"/>
      <c r="E61" s="28"/>
      <c r="F61" s="28"/>
    </row>
    <row r="62" spans="2:6" x14ac:dyDescent="0.35">
      <c r="B62" s="28"/>
      <c r="C62" s="28"/>
      <c r="D62" s="28"/>
      <c r="E62" s="28"/>
      <c r="F62" s="28"/>
    </row>
    <row r="63" spans="2:6" x14ac:dyDescent="0.35">
      <c r="B63" s="28"/>
      <c r="C63" s="28"/>
      <c r="D63" s="28"/>
      <c r="E63" s="28"/>
      <c r="F63" s="28"/>
    </row>
    <row r="64" spans="2:6" x14ac:dyDescent="0.35">
      <c r="B64" s="28"/>
      <c r="C64" s="28"/>
      <c r="D64" s="28"/>
      <c r="E64" s="28"/>
      <c r="F64" s="28"/>
    </row>
    <row r="65" spans="2:6" x14ac:dyDescent="0.35">
      <c r="B65" s="28"/>
      <c r="C65" s="28"/>
      <c r="D65" s="28"/>
      <c r="E65" s="28"/>
      <c r="F65" s="28"/>
    </row>
    <row r="66" spans="2:6" x14ac:dyDescent="0.35">
      <c r="B66" s="28"/>
      <c r="C66" s="28"/>
      <c r="D66" s="28"/>
      <c r="E66" s="28"/>
      <c r="F66" s="28"/>
    </row>
    <row r="67" spans="2:6" x14ac:dyDescent="0.35">
      <c r="B67" s="28"/>
      <c r="C67" s="28"/>
      <c r="D67" s="28"/>
      <c r="E67" s="28"/>
      <c r="F67" s="28"/>
    </row>
    <row r="68" spans="2:6" x14ac:dyDescent="0.35">
      <c r="B68" s="28"/>
      <c r="C68" s="28"/>
      <c r="D68" s="28"/>
      <c r="E68" s="28"/>
      <c r="F68" s="28"/>
    </row>
    <row r="69" spans="2:6" x14ac:dyDescent="0.35">
      <c r="B69" s="28"/>
      <c r="C69" s="28"/>
      <c r="D69" s="28"/>
      <c r="E69" s="28"/>
      <c r="F69" s="28"/>
    </row>
    <row r="70" spans="2:6" x14ac:dyDescent="0.35">
      <c r="B70" s="28"/>
      <c r="C70" s="28"/>
      <c r="D70" s="28"/>
      <c r="E70" s="28"/>
      <c r="F70" s="28"/>
    </row>
    <row r="71" spans="2:6" x14ac:dyDescent="0.35">
      <c r="B71" s="28"/>
      <c r="C71" s="28"/>
      <c r="D71" s="28"/>
      <c r="E71" s="28"/>
      <c r="F71" s="28"/>
    </row>
    <row r="72" spans="2:6" x14ac:dyDescent="0.35">
      <c r="B72" s="28"/>
      <c r="C72" s="28"/>
      <c r="D72" s="28"/>
      <c r="E72" s="28"/>
      <c r="F72" s="28"/>
    </row>
    <row r="73" spans="2:6" x14ac:dyDescent="0.35">
      <c r="B73" s="28"/>
      <c r="C73" s="28"/>
      <c r="D73" s="28"/>
      <c r="E73" s="28"/>
      <c r="F73" s="28"/>
    </row>
    <row r="74" spans="2:6" x14ac:dyDescent="0.35">
      <c r="B74" s="28"/>
      <c r="C74" s="28"/>
      <c r="D74" s="28"/>
      <c r="E74" s="28"/>
      <c r="F74" s="28"/>
    </row>
    <row r="75" spans="2:6" x14ac:dyDescent="0.35">
      <c r="B75" s="28"/>
      <c r="C75" s="28"/>
      <c r="D75" s="28"/>
      <c r="E75" s="28"/>
      <c r="F75" s="28"/>
    </row>
    <row r="76" spans="2:6" x14ac:dyDescent="0.35">
      <c r="B76" s="28"/>
      <c r="C76" s="28"/>
      <c r="D76" s="28"/>
      <c r="E76" s="28"/>
      <c r="F76" s="28"/>
    </row>
    <row r="77" spans="2:6" x14ac:dyDescent="0.35">
      <c r="B77" s="28"/>
      <c r="C77" s="28"/>
      <c r="D77" s="28"/>
      <c r="E77" s="28"/>
      <c r="F77" s="28"/>
    </row>
    <row r="78" spans="2:6" x14ac:dyDescent="0.35">
      <c r="B78" s="28"/>
      <c r="C78" s="28"/>
      <c r="D78" s="28"/>
      <c r="E78" s="28"/>
      <c r="F78" s="28"/>
    </row>
    <row r="79" spans="2:6" x14ac:dyDescent="0.35">
      <c r="B79" s="28"/>
      <c r="C79" s="28"/>
      <c r="D79" s="28"/>
      <c r="E79" s="28"/>
      <c r="F79" s="28"/>
    </row>
    <row r="80" spans="2:6" x14ac:dyDescent="0.35">
      <c r="B80" s="28"/>
      <c r="C80" s="28"/>
      <c r="D80" s="28"/>
      <c r="E80" s="28"/>
      <c r="F80" s="28"/>
    </row>
    <row r="81" spans="2:6" x14ac:dyDescent="0.35">
      <c r="B81" s="28"/>
      <c r="C81" s="28"/>
      <c r="D81" s="28"/>
      <c r="E81" s="28"/>
      <c r="F81" s="28"/>
    </row>
    <row r="82" spans="2:6" x14ac:dyDescent="0.35">
      <c r="B82" s="28"/>
      <c r="C82" s="28"/>
      <c r="D82" s="28"/>
      <c r="E82" s="28"/>
      <c r="F82" s="28"/>
    </row>
    <row r="83" spans="2:6" x14ac:dyDescent="0.35">
      <c r="B83" s="28"/>
      <c r="C83" s="28"/>
      <c r="D83" s="28"/>
      <c r="E83" s="28"/>
      <c r="F83" s="28"/>
    </row>
    <row r="84" spans="2:6" x14ac:dyDescent="0.35">
      <c r="B84" s="28"/>
      <c r="C84" s="28"/>
      <c r="D84" s="28"/>
      <c r="E84" s="28"/>
      <c r="F84" s="28"/>
    </row>
    <row r="85" spans="2:6" x14ac:dyDescent="0.35">
      <c r="B85" s="28"/>
      <c r="C85" s="28"/>
      <c r="D85" s="28"/>
      <c r="E85" s="28"/>
      <c r="F85" s="28"/>
    </row>
    <row r="86" spans="2:6" x14ac:dyDescent="0.35">
      <c r="B86" s="28"/>
      <c r="C86" s="28"/>
      <c r="D86" s="28"/>
      <c r="E86" s="28"/>
      <c r="F86" s="28"/>
    </row>
    <row r="87" spans="2:6" x14ac:dyDescent="0.35">
      <c r="B87" s="28"/>
      <c r="C87" s="28"/>
      <c r="D87" s="28"/>
      <c r="E87" s="28"/>
      <c r="F87" s="28"/>
    </row>
    <row r="88" spans="2:6" x14ac:dyDescent="0.35">
      <c r="B88" s="28"/>
      <c r="C88" s="28"/>
      <c r="D88" s="28"/>
      <c r="E88" s="28"/>
      <c r="F88" s="28"/>
    </row>
    <row r="89" spans="2:6" x14ac:dyDescent="0.35">
      <c r="B89" s="28"/>
      <c r="C89" s="28"/>
      <c r="D89" s="28"/>
      <c r="E89" s="28"/>
      <c r="F89" s="28"/>
    </row>
    <row r="90" spans="2:6" x14ac:dyDescent="0.35">
      <c r="B90" s="28"/>
      <c r="C90" s="28"/>
      <c r="D90" s="28"/>
      <c r="E90" s="28"/>
      <c r="F90" s="28"/>
    </row>
    <row r="91" spans="2:6" x14ac:dyDescent="0.35">
      <c r="B91" s="28"/>
      <c r="C91" s="28"/>
      <c r="D91" s="28"/>
      <c r="E91" s="28"/>
      <c r="F91" s="28"/>
    </row>
    <row r="92" spans="2:6" x14ac:dyDescent="0.35">
      <c r="B92" s="28"/>
      <c r="C92" s="28"/>
      <c r="D92" s="28"/>
      <c r="E92" s="28"/>
      <c r="F92" s="28"/>
    </row>
    <row r="93" spans="2:6" x14ac:dyDescent="0.35">
      <c r="B93" s="28"/>
      <c r="C93" s="28"/>
      <c r="D93" s="28"/>
      <c r="E93" s="28"/>
      <c r="F93" s="28"/>
    </row>
    <row r="94" spans="2:6" x14ac:dyDescent="0.35">
      <c r="B94" s="28"/>
      <c r="C94" s="28"/>
      <c r="D94" s="28"/>
      <c r="E94" s="28"/>
      <c r="F94" s="28"/>
    </row>
  </sheetData>
  <mergeCells count="3">
    <mergeCell ref="K1:K48"/>
    <mergeCell ref="A41:H41"/>
    <mergeCell ref="A42:H42"/>
  </mergeCells>
  <pageMargins left="0.7" right="0.7" top="0.75" bottom="0.75" header="0.3" footer="0.3"/>
  <pageSetup paperSize="9" orientation="portrait"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2:AJ67"/>
  <sheetViews>
    <sheetView topLeftCell="A18" workbookViewId="0">
      <selection activeCell="B18" sqref="B18:AF18"/>
    </sheetView>
  </sheetViews>
  <sheetFormatPr defaultColWidth="8.81640625" defaultRowHeight="13" outlineLevelRow="1" x14ac:dyDescent="0.3"/>
  <cols>
    <col min="1" max="1" width="8.81640625" style="43"/>
    <col min="2" max="2" width="3.54296875" style="48" customWidth="1"/>
    <col min="3" max="3" width="2.81640625" style="48" customWidth="1"/>
    <col min="4" max="4" width="3.54296875" style="65" customWidth="1"/>
    <col min="5" max="5" width="12.7265625" style="65" customWidth="1"/>
    <col min="6" max="6" width="9.453125" style="65" customWidth="1"/>
    <col min="7" max="12" width="3.54296875" style="65" customWidth="1"/>
    <col min="13" max="13" width="2.54296875" style="65" customWidth="1"/>
    <col min="14" max="14" width="2.7265625" style="66" customWidth="1"/>
    <col min="15" max="15" width="2.453125" style="65" customWidth="1"/>
    <col min="16" max="16" width="2.7265625" style="66" customWidth="1"/>
    <col min="17" max="28" width="3.54296875" style="65" customWidth="1"/>
    <col min="29" max="29" width="4" style="65" customWidth="1"/>
    <col min="30" max="32" width="3.54296875" style="65" customWidth="1"/>
    <col min="33" max="33" width="3.54296875" style="43" customWidth="1"/>
    <col min="34" max="34" width="5.1796875" style="49" customWidth="1"/>
    <col min="35" max="35" width="8.1796875" style="40" customWidth="1"/>
    <col min="36" max="36" width="10.54296875" style="43" customWidth="1"/>
    <col min="37" max="16384" width="8.81640625" style="43"/>
  </cols>
  <sheetData>
    <row r="12" spans="2:35" s="38" customFormat="1" ht="18" customHeight="1" x14ac:dyDescent="0.35">
      <c r="B12" s="3385" t="s">
        <v>8</v>
      </c>
      <c r="C12" s="3385"/>
      <c r="D12" s="3385"/>
      <c r="E12" s="3385"/>
      <c r="F12" s="3385"/>
      <c r="G12" s="3385"/>
      <c r="H12" s="3385"/>
      <c r="I12" s="3385"/>
      <c r="J12" s="3385"/>
      <c r="K12" s="3385"/>
      <c r="L12" s="3385"/>
      <c r="M12" s="3385"/>
      <c r="N12" s="3385"/>
      <c r="O12" s="3385"/>
      <c r="P12" s="3385"/>
      <c r="Q12" s="3385"/>
      <c r="R12" s="3385"/>
      <c r="S12" s="3385"/>
      <c r="T12" s="3385"/>
      <c r="U12" s="3385"/>
      <c r="V12" s="3385"/>
      <c r="W12" s="3385"/>
      <c r="X12" s="3385"/>
      <c r="Y12" s="3385"/>
      <c r="Z12" s="3385"/>
      <c r="AA12" s="3385"/>
      <c r="AB12" s="3385"/>
      <c r="AC12" s="3385"/>
      <c r="AD12" s="3385"/>
      <c r="AE12" s="3385"/>
      <c r="AF12" s="3385"/>
      <c r="AH12" s="39"/>
      <c r="AI12" s="40"/>
    </row>
    <row r="13" spans="2:35" s="38" customFormat="1" ht="6" customHeight="1" x14ac:dyDescent="0.35">
      <c r="B13" s="41"/>
      <c r="C13" s="41"/>
      <c r="D13" s="41"/>
      <c r="E13" s="41"/>
      <c r="F13" s="41"/>
      <c r="G13" s="41"/>
      <c r="H13" s="41"/>
      <c r="I13" s="41"/>
      <c r="J13" s="41"/>
      <c r="K13" s="41"/>
      <c r="L13" s="41"/>
      <c r="M13" s="41"/>
      <c r="N13" s="41"/>
      <c r="O13" s="42"/>
      <c r="P13" s="41"/>
      <c r="Q13" s="41"/>
      <c r="R13" s="41"/>
      <c r="S13" s="41"/>
      <c r="T13" s="41"/>
      <c r="U13" s="41"/>
      <c r="V13" s="41"/>
      <c r="W13" s="41"/>
      <c r="X13" s="41"/>
      <c r="Y13" s="41"/>
      <c r="Z13" s="41"/>
      <c r="AA13" s="41"/>
      <c r="AB13" s="41"/>
      <c r="AC13" s="41"/>
      <c r="AD13" s="41"/>
      <c r="AE13" s="41"/>
      <c r="AF13" s="41"/>
      <c r="AH13" s="39"/>
      <c r="AI13" s="40"/>
    </row>
    <row r="14" spans="2:35" s="38" customFormat="1" ht="15.75" customHeight="1" x14ac:dyDescent="0.35">
      <c r="B14" s="3385" t="s">
        <v>9</v>
      </c>
      <c r="C14" s="3385"/>
      <c r="D14" s="3385"/>
      <c r="E14" s="3385"/>
      <c r="F14" s="3385"/>
      <c r="G14" s="3385"/>
      <c r="H14" s="3385"/>
      <c r="I14" s="3385"/>
      <c r="J14" s="3385"/>
      <c r="K14" s="3385"/>
      <c r="L14" s="3385"/>
      <c r="M14" s="3385"/>
      <c r="N14" s="3385"/>
      <c r="O14" s="3385"/>
      <c r="P14" s="3385"/>
      <c r="Q14" s="3385"/>
      <c r="R14" s="3385"/>
      <c r="S14" s="3385"/>
      <c r="T14" s="3385"/>
      <c r="U14" s="3385"/>
      <c r="V14" s="3385"/>
      <c r="W14" s="3385"/>
      <c r="X14" s="3385"/>
      <c r="Y14" s="3385"/>
      <c r="Z14" s="3385"/>
      <c r="AA14" s="3385"/>
      <c r="AB14" s="3385"/>
      <c r="AC14" s="3385"/>
      <c r="AD14" s="3385"/>
      <c r="AE14" s="3385"/>
      <c r="AF14" s="3385"/>
      <c r="AH14" s="39"/>
      <c r="AI14" s="40"/>
    </row>
    <row r="15" spans="2:35" s="38" customFormat="1" ht="15.75" customHeight="1" x14ac:dyDescent="0.35">
      <c r="B15" s="3385" t="s">
        <v>10</v>
      </c>
      <c r="C15" s="3385"/>
      <c r="D15" s="3385"/>
      <c r="E15" s="3385"/>
      <c r="F15" s="3385"/>
      <c r="G15" s="3385"/>
      <c r="H15" s="3385"/>
      <c r="I15" s="3385"/>
      <c r="J15" s="3385"/>
      <c r="K15" s="3385"/>
      <c r="L15" s="3385"/>
      <c r="M15" s="3385"/>
      <c r="N15" s="3385"/>
      <c r="O15" s="3385"/>
      <c r="P15" s="3385"/>
      <c r="Q15" s="3385"/>
      <c r="R15" s="3385"/>
      <c r="S15" s="3385"/>
      <c r="T15" s="3385"/>
      <c r="U15" s="3385"/>
      <c r="V15" s="3385"/>
      <c r="W15" s="3385"/>
      <c r="X15" s="3385"/>
      <c r="Y15" s="3385"/>
      <c r="Z15" s="3385"/>
      <c r="AA15" s="3385"/>
      <c r="AB15" s="3385"/>
      <c r="AC15" s="3385"/>
      <c r="AD15" s="3385"/>
      <c r="AE15" s="3385"/>
      <c r="AF15" s="3385"/>
      <c r="AH15" s="39"/>
      <c r="AI15" s="40"/>
    </row>
    <row r="16" spans="2:35" s="38" customFormat="1" ht="15.75" customHeight="1" x14ac:dyDescent="0.35">
      <c r="B16" s="42"/>
      <c r="C16" s="42"/>
      <c r="D16" s="42"/>
      <c r="E16" s="42"/>
      <c r="F16" s="3386" t="str">
        <f>IN!C5</f>
        <v>30 June 2026</v>
      </c>
      <c r="G16" s="3386"/>
      <c r="H16" s="3386"/>
      <c r="I16" s="3386"/>
      <c r="J16" s="3386"/>
      <c r="K16" s="3386"/>
      <c r="L16" s="3386"/>
      <c r="M16" s="3386"/>
      <c r="N16" s="3386"/>
      <c r="O16" s="41" t="s">
        <v>6</v>
      </c>
      <c r="P16" s="3387">
        <f>IN!D5</f>
        <v>46203</v>
      </c>
      <c r="Q16" s="3387"/>
      <c r="R16" s="3387"/>
      <c r="S16" s="3387"/>
      <c r="T16" s="3387"/>
      <c r="U16" s="3387"/>
      <c r="V16" s="3387"/>
      <c r="W16" s="3387"/>
      <c r="X16" s="3387"/>
      <c r="Y16" s="3387"/>
      <c r="Z16" s="3387"/>
      <c r="AA16" s="42"/>
      <c r="AB16" s="42"/>
      <c r="AC16" s="42"/>
      <c r="AD16" s="42"/>
      <c r="AE16" s="42"/>
      <c r="AF16" s="42"/>
      <c r="AH16" s="39"/>
      <c r="AI16" s="40"/>
    </row>
    <row r="17" spans="1:36" ht="15.75" customHeight="1" x14ac:dyDescent="0.35">
      <c r="B17" s="3388" t="str">
        <f>IN!C9</f>
        <v>(Dengan perbandingan informasi keuangan untuk bulan yang berakhir 31 May 2026 /</v>
      </c>
      <c r="C17" s="3388"/>
      <c r="D17" s="3388"/>
      <c r="E17" s="3388"/>
      <c r="F17" s="3388"/>
      <c r="G17" s="3388"/>
      <c r="H17" s="3388"/>
      <c r="I17" s="3388"/>
      <c r="J17" s="3388"/>
      <c r="K17" s="3388"/>
      <c r="L17" s="3388"/>
      <c r="M17" s="3388"/>
      <c r="N17" s="3388"/>
      <c r="O17" s="3388"/>
      <c r="P17" s="3388"/>
      <c r="Q17" s="3388"/>
      <c r="R17" s="3388"/>
      <c r="S17" s="3388"/>
      <c r="T17" s="3388"/>
      <c r="U17" s="3388"/>
      <c r="V17" s="3388"/>
      <c r="W17" s="3388"/>
      <c r="X17" s="3388"/>
      <c r="Y17" s="3388"/>
      <c r="Z17" s="3388"/>
      <c r="AA17" s="3388"/>
      <c r="AB17" s="3388"/>
      <c r="AC17" s="3388"/>
      <c r="AD17" s="3388"/>
      <c r="AE17" s="3388"/>
      <c r="AF17" s="3388"/>
      <c r="AH17" s="38"/>
      <c r="AI17" s="38"/>
      <c r="AJ17" s="38"/>
    </row>
    <row r="18" spans="1:36" s="38" customFormat="1" ht="20.25" customHeight="1" x14ac:dyDescent="0.4">
      <c r="A18" s="44"/>
      <c r="B18" s="3389" t="str">
        <f>IN!C10</f>
        <v>With Comparative financial information for the month ended May 31, 2026 )</v>
      </c>
      <c r="C18" s="3389"/>
      <c r="D18" s="3389"/>
      <c r="E18" s="3389"/>
      <c r="F18" s="3389"/>
      <c r="G18" s="3389"/>
      <c r="H18" s="3389"/>
      <c r="I18" s="3389"/>
      <c r="J18" s="3389"/>
      <c r="K18" s="3389"/>
      <c r="L18" s="3389"/>
      <c r="M18" s="3389"/>
      <c r="N18" s="3389"/>
      <c r="O18" s="3389"/>
      <c r="P18" s="3389"/>
      <c r="Q18" s="3389"/>
      <c r="R18" s="3389"/>
      <c r="S18" s="3389"/>
      <c r="T18" s="3389"/>
      <c r="U18" s="3389"/>
      <c r="V18" s="3389"/>
      <c r="W18" s="3389"/>
      <c r="X18" s="3389"/>
      <c r="Y18" s="3389"/>
      <c r="Z18" s="3389"/>
      <c r="AA18" s="3389"/>
      <c r="AB18" s="3389"/>
      <c r="AC18" s="3389"/>
      <c r="AD18" s="3389"/>
      <c r="AE18" s="3389"/>
      <c r="AF18" s="3389"/>
    </row>
    <row r="19" spans="1:36" s="38" customFormat="1" ht="24" customHeight="1" x14ac:dyDescent="0.4">
      <c r="A19" s="45"/>
      <c r="B19" s="45"/>
      <c r="C19" s="45"/>
      <c r="D19" s="45"/>
      <c r="E19" s="45"/>
      <c r="F19" s="45"/>
      <c r="G19" s="45"/>
      <c r="H19" s="45"/>
      <c r="I19" s="45"/>
      <c r="J19" s="45"/>
      <c r="K19" s="46"/>
    </row>
    <row r="20" spans="1:36" x14ac:dyDescent="0.3">
      <c r="B20" s="47"/>
      <c r="C20" s="47"/>
      <c r="D20" s="43"/>
      <c r="E20" s="43"/>
      <c r="F20" s="43"/>
      <c r="G20" s="43"/>
      <c r="H20" s="43"/>
      <c r="I20" s="43"/>
      <c r="J20" s="43"/>
      <c r="K20" s="43"/>
      <c r="L20" s="43"/>
      <c r="M20" s="43"/>
      <c r="N20" s="48"/>
      <c r="O20" s="43"/>
      <c r="P20" s="48"/>
      <c r="Q20" s="43"/>
      <c r="R20" s="43"/>
      <c r="S20" s="43"/>
      <c r="T20" s="43"/>
      <c r="U20" s="43"/>
      <c r="V20" s="43"/>
      <c r="W20" s="43"/>
      <c r="X20" s="43"/>
      <c r="Y20" s="43"/>
      <c r="Z20" s="43"/>
      <c r="AA20" s="43"/>
      <c r="AB20" s="43"/>
      <c r="AC20" s="43"/>
      <c r="AD20" s="43"/>
      <c r="AE20" s="43"/>
      <c r="AF20" s="43"/>
    </row>
    <row r="21" spans="1:36" ht="13.5" customHeight="1" x14ac:dyDescent="0.35">
      <c r="B21" s="3390" t="s">
        <v>11</v>
      </c>
      <c r="C21" s="3390"/>
      <c r="D21" s="3390"/>
      <c r="E21" s="3390"/>
      <c r="F21" s="3390"/>
      <c r="G21" s="3390"/>
      <c r="H21" s="3390"/>
      <c r="I21" s="3390"/>
      <c r="J21" s="3390"/>
      <c r="K21" s="3390"/>
      <c r="L21" s="50"/>
      <c r="M21" s="3390" t="s">
        <v>12</v>
      </c>
      <c r="N21" s="3390"/>
      <c r="O21" s="3390"/>
      <c r="P21" s="3390"/>
      <c r="Q21" s="3390"/>
      <c r="R21" s="50"/>
      <c r="S21" s="50"/>
      <c r="T21" s="46"/>
      <c r="U21" s="46"/>
      <c r="V21" s="3391" t="s">
        <v>13</v>
      </c>
      <c r="W21" s="3391"/>
      <c r="X21" s="3391"/>
      <c r="Y21" s="3391"/>
      <c r="Z21" s="3391"/>
      <c r="AA21" s="3391"/>
      <c r="AB21" s="3391"/>
      <c r="AC21" s="3391"/>
      <c r="AD21" s="3391"/>
      <c r="AE21" s="3391"/>
      <c r="AF21" s="3391"/>
      <c r="AG21" s="51"/>
    </row>
    <row r="22" spans="1:36" ht="13.5" hidden="1" customHeight="1" outlineLevel="1" x14ac:dyDescent="0.3">
      <c r="B22" s="50"/>
      <c r="C22" s="50"/>
      <c r="D22" s="50"/>
      <c r="E22" s="50"/>
      <c r="F22" s="50"/>
      <c r="G22" s="50"/>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1"/>
      <c r="AJ22" s="52"/>
    </row>
    <row r="23" spans="1:36" ht="13.5" hidden="1" customHeight="1" outlineLevel="1" x14ac:dyDescent="0.3">
      <c r="B23" s="43" t="s">
        <v>14</v>
      </c>
      <c r="C23" s="53"/>
      <c r="D23" s="43"/>
      <c r="E23" s="43"/>
      <c r="F23" s="43"/>
      <c r="G23" s="43"/>
      <c r="H23" s="43"/>
      <c r="I23" s="43"/>
      <c r="J23" s="43"/>
      <c r="K23" s="43"/>
      <c r="L23" s="43"/>
      <c r="M23" s="54" t="s">
        <v>15</v>
      </c>
      <c r="N23" s="55"/>
      <c r="O23" s="56"/>
      <c r="P23" s="57"/>
      <c r="Q23" s="53" t="s">
        <v>15</v>
      </c>
      <c r="R23" s="43"/>
      <c r="S23" s="43"/>
      <c r="T23" s="43"/>
      <c r="U23" s="43"/>
      <c r="V23" s="43"/>
      <c r="W23" s="43"/>
      <c r="X23" s="43"/>
      <c r="Y23" s="43"/>
      <c r="Z23" s="43"/>
      <c r="AA23" s="43"/>
      <c r="AB23" s="43"/>
      <c r="AC23" s="43"/>
      <c r="AD23" s="43"/>
      <c r="AE23" s="43"/>
      <c r="AF23" s="58" t="s">
        <v>16</v>
      </c>
      <c r="AG23" s="51"/>
      <c r="AI23" s="40" t="str">
        <f>IF(AH23="ok",1,"")</f>
        <v/>
      </c>
    </row>
    <row r="24" spans="1:36" ht="16.5" hidden="1" customHeight="1" outlineLevel="1" x14ac:dyDescent="0.3">
      <c r="B24" s="43" t="s">
        <v>17</v>
      </c>
      <c r="C24" s="53"/>
      <c r="D24" s="43"/>
      <c r="E24" s="43"/>
      <c r="F24" s="43"/>
      <c r="G24" s="43"/>
      <c r="H24" s="43"/>
      <c r="I24" s="43"/>
      <c r="J24" s="43"/>
      <c r="K24" s="43"/>
      <c r="L24" s="43"/>
      <c r="M24" s="54" t="s">
        <v>18</v>
      </c>
      <c r="N24" s="55"/>
      <c r="O24" s="48">
        <v>1</v>
      </c>
      <c r="P24" s="57"/>
      <c r="Q24" s="53" t="s">
        <v>19</v>
      </c>
      <c r="R24" s="43"/>
      <c r="S24" s="43"/>
      <c r="T24" s="43"/>
      <c r="U24" s="43"/>
      <c r="V24" s="43"/>
      <c r="W24" s="43"/>
      <c r="X24" s="43"/>
      <c r="Y24" s="43"/>
      <c r="Z24" s="43"/>
      <c r="AA24" s="43"/>
      <c r="AB24" s="43"/>
      <c r="AC24" s="43"/>
      <c r="AD24" s="43"/>
      <c r="AE24" s="43"/>
      <c r="AF24" s="58" t="s">
        <v>20</v>
      </c>
      <c r="AG24" s="51"/>
      <c r="AI24" s="40" t="str">
        <f t="shared" ref="AI24:AI53" si="0">IF(AH24="ok",1,"")</f>
        <v/>
      </c>
    </row>
    <row r="25" spans="1:36" ht="16.5" hidden="1" customHeight="1" outlineLevel="1" x14ac:dyDescent="0.3">
      <c r="B25" s="53" t="s">
        <v>21</v>
      </c>
      <c r="C25" s="43"/>
      <c r="D25" s="53"/>
      <c r="E25" s="53"/>
      <c r="F25" s="53"/>
      <c r="G25" s="53"/>
      <c r="H25" s="53"/>
      <c r="I25" s="53"/>
      <c r="J25" s="53"/>
      <c r="K25" s="53"/>
      <c r="L25" s="53"/>
      <c r="M25" s="54" t="s">
        <v>22</v>
      </c>
      <c r="N25" s="55"/>
      <c r="O25" s="48" t="s">
        <v>23</v>
      </c>
      <c r="P25" s="57"/>
      <c r="Q25" s="53" t="s">
        <v>15</v>
      </c>
      <c r="R25" s="53"/>
      <c r="S25" s="53"/>
      <c r="T25" s="53"/>
      <c r="U25" s="53"/>
      <c r="V25" s="53"/>
      <c r="W25" s="53"/>
      <c r="X25" s="53"/>
      <c r="Y25" s="53"/>
      <c r="Z25" s="53"/>
      <c r="AA25" s="53"/>
      <c r="AB25" s="53"/>
      <c r="AC25" s="53"/>
      <c r="AD25" s="53"/>
      <c r="AE25" s="53"/>
      <c r="AF25" s="58" t="s">
        <v>24</v>
      </c>
      <c r="AG25" s="51"/>
      <c r="AI25" s="40" t="str">
        <f t="shared" si="0"/>
        <v/>
      </c>
      <c r="AJ25" s="59"/>
    </row>
    <row r="26" spans="1:36" ht="16.5" hidden="1" customHeight="1" outlineLevel="1" x14ac:dyDescent="0.3">
      <c r="B26" s="43" t="s">
        <v>25</v>
      </c>
      <c r="C26" s="43"/>
      <c r="D26" s="43"/>
      <c r="E26" s="43"/>
      <c r="F26" s="43"/>
      <c r="G26" s="43"/>
      <c r="H26" s="43"/>
      <c r="I26" s="43"/>
      <c r="J26" s="43"/>
      <c r="K26" s="43"/>
      <c r="L26" s="43"/>
      <c r="M26" s="54" t="s">
        <v>26</v>
      </c>
      <c r="N26" s="55"/>
      <c r="O26" s="48" t="s">
        <v>27</v>
      </c>
      <c r="P26" s="57"/>
      <c r="Q26" s="53"/>
      <c r="R26" s="43"/>
      <c r="S26" s="43"/>
      <c r="T26" s="43"/>
      <c r="U26" s="43"/>
      <c r="V26" s="43"/>
      <c r="W26" s="43"/>
      <c r="X26" s="43"/>
      <c r="Y26" s="43"/>
      <c r="Z26" s="43"/>
      <c r="AA26" s="43"/>
      <c r="AB26" s="43"/>
      <c r="AC26" s="43"/>
      <c r="AD26" s="43"/>
      <c r="AE26" s="43"/>
      <c r="AF26" s="58" t="s">
        <v>28</v>
      </c>
      <c r="AG26" s="51"/>
      <c r="AI26" s="40" t="str">
        <f t="shared" si="0"/>
        <v/>
      </c>
    </row>
    <row r="27" spans="1:36" s="50" customFormat="1" ht="16.5" hidden="1" customHeight="1" outlineLevel="1" x14ac:dyDescent="0.3">
      <c r="A27" s="43"/>
      <c r="B27" s="43" t="s">
        <v>29</v>
      </c>
      <c r="C27" s="43"/>
      <c r="D27" s="43"/>
      <c r="E27" s="43"/>
      <c r="F27" s="53"/>
      <c r="G27" s="43"/>
      <c r="H27" s="43"/>
      <c r="I27" s="43"/>
      <c r="J27" s="43"/>
      <c r="K27" s="43"/>
      <c r="L27" s="43"/>
      <c r="M27" s="54" t="s">
        <v>30</v>
      </c>
      <c r="N27" s="55"/>
      <c r="O27" s="48" t="s">
        <v>31</v>
      </c>
      <c r="P27" s="57"/>
      <c r="Q27" s="53" t="s">
        <v>32</v>
      </c>
      <c r="R27" s="43"/>
      <c r="S27" s="43"/>
      <c r="T27" s="43"/>
      <c r="U27" s="43"/>
      <c r="V27" s="43"/>
      <c r="W27" s="43"/>
      <c r="X27" s="43"/>
      <c r="Y27" s="43"/>
      <c r="Z27" s="43"/>
      <c r="AA27" s="43"/>
      <c r="AB27" s="43"/>
      <c r="AC27" s="43"/>
      <c r="AD27" s="43"/>
      <c r="AE27" s="43"/>
      <c r="AF27" s="58" t="s">
        <v>33</v>
      </c>
      <c r="AG27" s="51"/>
      <c r="AH27" s="49"/>
      <c r="AI27" s="40" t="str">
        <f t="shared" si="0"/>
        <v/>
      </c>
    </row>
    <row r="28" spans="1:36" ht="16.5" hidden="1" customHeight="1" outlineLevel="1" x14ac:dyDescent="0.3">
      <c r="B28" s="43" t="s">
        <v>34</v>
      </c>
      <c r="C28" s="43"/>
      <c r="D28" s="43"/>
      <c r="E28" s="43"/>
      <c r="F28" s="43"/>
      <c r="G28" s="43"/>
      <c r="H28" s="43"/>
      <c r="I28" s="43"/>
      <c r="J28" s="43"/>
      <c r="K28" s="43"/>
      <c r="L28" s="43"/>
      <c r="M28" s="54" t="s">
        <v>35</v>
      </c>
      <c r="N28" s="55"/>
      <c r="O28" s="48" t="s">
        <v>36</v>
      </c>
      <c r="P28" s="57"/>
      <c r="Q28" s="53" t="s">
        <v>37</v>
      </c>
      <c r="R28" s="43"/>
      <c r="S28" s="43"/>
      <c r="T28" s="43"/>
      <c r="U28" s="43"/>
      <c r="V28" s="43"/>
      <c r="W28" s="43"/>
      <c r="X28" s="43"/>
      <c r="Y28" s="43"/>
      <c r="Z28" s="43"/>
      <c r="AA28" s="43"/>
      <c r="AB28" s="43"/>
      <c r="AC28" s="43"/>
      <c r="AD28" s="43"/>
      <c r="AE28" s="43"/>
      <c r="AF28" s="58" t="s">
        <v>38</v>
      </c>
      <c r="AG28" s="51"/>
      <c r="AI28" s="40" t="str">
        <f t="shared" si="0"/>
        <v/>
      </c>
    </row>
    <row r="29" spans="1:36" ht="16.5" hidden="1" customHeight="1" outlineLevel="1" x14ac:dyDescent="0.3">
      <c r="B29" s="43" t="s">
        <v>39</v>
      </c>
      <c r="C29" s="43"/>
      <c r="D29" s="43"/>
      <c r="E29" s="43"/>
      <c r="F29" s="43"/>
      <c r="G29" s="43"/>
      <c r="H29" s="43"/>
      <c r="I29" s="43"/>
      <c r="J29" s="43"/>
      <c r="K29" s="43"/>
      <c r="L29" s="43"/>
      <c r="M29" s="54" t="s">
        <v>15</v>
      </c>
      <c r="N29" s="3384" t="s">
        <v>40</v>
      </c>
      <c r="O29" s="3384"/>
      <c r="P29" s="3384"/>
      <c r="Q29" s="53" t="s">
        <v>41</v>
      </c>
      <c r="R29" s="43"/>
      <c r="S29" s="43"/>
      <c r="T29" s="43"/>
      <c r="U29" s="43"/>
      <c r="V29" s="43"/>
      <c r="W29" s="43"/>
      <c r="X29" s="43"/>
      <c r="Y29" s="43"/>
      <c r="Z29" s="43"/>
      <c r="AA29" s="43"/>
      <c r="AB29" s="43"/>
      <c r="AC29" s="43"/>
      <c r="AD29" s="43"/>
      <c r="AE29" s="43"/>
      <c r="AF29" s="58" t="s">
        <v>42</v>
      </c>
      <c r="AG29" s="51"/>
      <c r="AI29" s="40" t="str">
        <f t="shared" si="0"/>
        <v/>
      </c>
    </row>
    <row r="30" spans="1:36" ht="16.5" hidden="1" customHeight="1" outlineLevel="1" x14ac:dyDescent="0.3">
      <c r="B30" s="43" t="s">
        <v>43</v>
      </c>
      <c r="C30" s="43"/>
      <c r="D30" s="43"/>
      <c r="E30" s="43"/>
      <c r="F30" s="53"/>
      <c r="G30" s="43"/>
      <c r="H30" s="43"/>
      <c r="I30" s="43"/>
      <c r="J30" s="43"/>
      <c r="K30" s="43"/>
      <c r="L30" s="43"/>
      <c r="M30" s="54"/>
      <c r="N30" s="55"/>
      <c r="O30" s="56"/>
      <c r="P30" s="57"/>
      <c r="Q30" s="53"/>
      <c r="R30" s="43"/>
      <c r="S30" s="43"/>
      <c r="T30" s="43"/>
      <c r="U30" s="43"/>
      <c r="V30" s="43"/>
      <c r="W30" s="43"/>
      <c r="X30" s="43"/>
      <c r="Y30" s="43"/>
      <c r="Z30" s="43"/>
      <c r="AA30" s="43"/>
      <c r="AB30" s="43"/>
      <c r="AC30" s="43"/>
      <c r="AD30" s="43"/>
      <c r="AE30" s="43"/>
      <c r="AF30" s="58" t="s">
        <v>44</v>
      </c>
      <c r="AG30" s="51"/>
      <c r="AI30" s="40" t="str">
        <f t="shared" si="0"/>
        <v/>
      </c>
    </row>
    <row r="31" spans="1:36" ht="16.5" hidden="1" customHeight="1" outlineLevel="1" x14ac:dyDescent="0.3">
      <c r="B31" s="43" t="s">
        <v>45</v>
      </c>
      <c r="C31" s="43"/>
      <c r="D31" s="43"/>
      <c r="E31" s="43" t="s">
        <v>46</v>
      </c>
      <c r="F31" s="43"/>
      <c r="G31" s="43"/>
      <c r="H31" s="43"/>
      <c r="I31" s="43"/>
      <c r="J31" s="43"/>
      <c r="K31" s="43"/>
      <c r="L31" s="43"/>
      <c r="M31" s="54" t="s">
        <v>47</v>
      </c>
      <c r="N31" s="3384" t="s">
        <v>48</v>
      </c>
      <c r="O31" s="3384"/>
      <c r="P31" s="3384"/>
      <c r="Q31" s="53" t="s">
        <v>49</v>
      </c>
      <c r="R31" s="43"/>
      <c r="S31" s="43"/>
      <c r="T31" s="43"/>
      <c r="U31" s="43"/>
      <c r="V31" s="43"/>
      <c r="W31" s="43"/>
      <c r="X31" s="43"/>
      <c r="Y31" s="43"/>
      <c r="Z31" s="43"/>
      <c r="AA31" s="43"/>
      <c r="AB31" s="43"/>
      <c r="AC31" s="58" t="s">
        <v>50</v>
      </c>
      <c r="AD31" s="43"/>
      <c r="AE31" s="43"/>
      <c r="AF31" s="58" t="s">
        <v>51</v>
      </c>
      <c r="AG31" s="51"/>
      <c r="AI31" s="40" t="str">
        <f t="shared" si="0"/>
        <v/>
      </c>
    </row>
    <row r="32" spans="1:36" ht="16.5" hidden="1" customHeight="1" outlineLevel="1" x14ac:dyDescent="0.3">
      <c r="B32" s="43" t="s">
        <v>52</v>
      </c>
      <c r="C32" s="43"/>
      <c r="D32" s="43"/>
      <c r="E32" s="43" t="s">
        <v>53</v>
      </c>
      <c r="F32" s="43"/>
      <c r="G32" s="43"/>
      <c r="H32" s="43"/>
      <c r="I32" s="43"/>
      <c r="J32" s="43"/>
      <c r="K32" s="43"/>
      <c r="L32" s="43"/>
      <c r="M32" s="54" t="s">
        <v>54</v>
      </c>
      <c r="N32" s="3384" t="s">
        <v>55</v>
      </c>
      <c r="O32" s="3384"/>
      <c r="P32" s="3384"/>
      <c r="Q32" s="53" t="s">
        <v>56</v>
      </c>
      <c r="R32" s="43"/>
      <c r="S32" s="43"/>
      <c r="T32" s="43"/>
      <c r="U32" s="43"/>
      <c r="V32" s="43"/>
      <c r="W32" s="43"/>
      <c r="X32" s="43"/>
      <c r="Y32" s="43"/>
      <c r="Z32" s="43"/>
      <c r="AA32" s="43"/>
      <c r="AB32" s="43"/>
      <c r="AC32" s="58" t="s">
        <v>57</v>
      </c>
      <c r="AD32" s="43"/>
      <c r="AE32" s="43"/>
      <c r="AF32" s="58" t="s">
        <v>58</v>
      </c>
      <c r="AG32" s="51"/>
      <c r="AI32" s="40" t="str">
        <f t="shared" si="0"/>
        <v/>
      </c>
    </row>
    <row r="33" spans="2:35" ht="16.5" hidden="1" customHeight="1" outlineLevel="1" x14ac:dyDescent="0.3">
      <c r="B33" s="43" t="s">
        <v>59</v>
      </c>
      <c r="C33" s="43"/>
      <c r="D33" s="43"/>
      <c r="E33" s="43" t="s">
        <v>60</v>
      </c>
      <c r="F33" s="43"/>
      <c r="G33" s="43"/>
      <c r="H33" s="43"/>
      <c r="I33" s="43"/>
      <c r="J33" s="43"/>
      <c r="K33" s="43"/>
      <c r="L33" s="43"/>
      <c r="M33" s="54" t="s">
        <v>61</v>
      </c>
      <c r="N33" s="3384" t="s">
        <v>62</v>
      </c>
      <c r="O33" s="3384"/>
      <c r="P33" s="3384"/>
      <c r="Q33" s="53" t="s">
        <v>30</v>
      </c>
      <c r="R33" s="43"/>
      <c r="S33" s="43"/>
      <c r="T33" s="43"/>
      <c r="U33" s="43"/>
      <c r="V33" s="43"/>
      <c r="W33" s="43"/>
      <c r="X33" s="43"/>
      <c r="Y33" s="43"/>
      <c r="Z33" s="43"/>
      <c r="AA33" s="43"/>
      <c r="AB33" s="43"/>
      <c r="AC33" s="58" t="s">
        <v>63</v>
      </c>
      <c r="AD33" s="43"/>
      <c r="AE33" s="43"/>
      <c r="AF33" s="58" t="s">
        <v>64</v>
      </c>
      <c r="AG33" s="51"/>
      <c r="AI33" s="40" t="str">
        <f t="shared" si="0"/>
        <v/>
      </c>
    </row>
    <row r="34" spans="2:35" ht="16.5" hidden="1" customHeight="1" outlineLevel="1" x14ac:dyDescent="0.3">
      <c r="B34" s="43" t="s">
        <v>65</v>
      </c>
      <c r="C34" s="43"/>
      <c r="D34" s="43"/>
      <c r="E34" s="43" t="s">
        <v>66</v>
      </c>
      <c r="F34" s="43"/>
      <c r="G34" s="43"/>
      <c r="H34" s="43"/>
      <c r="I34" s="43"/>
      <c r="J34" s="43"/>
      <c r="K34" s="43"/>
      <c r="L34" s="43"/>
      <c r="M34" s="54" t="s">
        <v>67</v>
      </c>
      <c r="N34" s="3384" t="s">
        <v>68</v>
      </c>
      <c r="O34" s="3384"/>
      <c r="P34" s="3384"/>
      <c r="Q34" s="53" t="s">
        <v>30</v>
      </c>
      <c r="R34" s="43"/>
      <c r="S34" s="43"/>
      <c r="T34" s="43"/>
      <c r="U34" s="43"/>
      <c r="V34" s="43"/>
      <c r="W34" s="43"/>
      <c r="X34" s="43"/>
      <c r="Y34" s="43"/>
      <c r="Z34" s="43"/>
      <c r="AA34" s="43"/>
      <c r="AB34" s="43"/>
      <c r="AC34" s="58" t="s">
        <v>69</v>
      </c>
      <c r="AD34" s="43"/>
      <c r="AE34" s="43"/>
      <c r="AF34" s="58" t="s">
        <v>70</v>
      </c>
      <c r="AG34" s="51"/>
      <c r="AI34" s="40" t="str">
        <f t="shared" si="0"/>
        <v/>
      </c>
    </row>
    <row r="35" spans="2:35" ht="16.5" hidden="1" customHeight="1" outlineLevel="1" x14ac:dyDescent="0.3">
      <c r="B35" s="43" t="s">
        <v>71</v>
      </c>
      <c r="C35" s="43"/>
      <c r="D35" s="43"/>
      <c r="E35" s="43" t="s">
        <v>72</v>
      </c>
      <c r="F35" s="43"/>
      <c r="G35" s="43"/>
      <c r="H35" s="43"/>
      <c r="I35" s="43"/>
      <c r="J35" s="43"/>
      <c r="K35" s="43"/>
      <c r="L35" s="43"/>
      <c r="M35" s="54" t="s">
        <v>73</v>
      </c>
      <c r="N35" s="3384" t="s">
        <v>74</v>
      </c>
      <c r="O35" s="3384"/>
      <c r="P35" s="3384"/>
      <c r="Q35" s="53" t="s">
        <v>19</v>
      </c>
      <c r="R35" s="43"/>
      <c r="S35" s="43"/>
      <c r="T35" s="43"/>
      <c r="U35" s="43"/>
      <c r="V35" s="43"/>
      <c r="W35" s="43"/>
      <c r="X35" s="43"/>
      <c r="Y35" s="43"/>
      <c r="Z35" s="43"/>
      <c r="AA35" s="43"/>
      <c r="AB35" s="43"/>
      <c r="AC35" s="58" t="s">
        <v>75</v>
      </c>
      <c r="AD35" s="43"/>
      <c r="AE35" s="43"/>
      <c r="AF35" s="58" t="s">
        <v>76</v>
      </c>
      <c r="AG35" s="51"/>
      <c r="AI35" s="40" t="str">
        <f t="shared" si="0"/>
        <v/>
      </c>
    </row>
    <row r="36" spans="2:35" ht="16.5" hidden="1" customHeight="1" outlineLevel="1" x14ac:dyDescent="0.3">
      <c r="B36" s="43" t="s">
        <v>77</v>
      </c>
      <c r="C36" s="43"/>
      <c r="D36" s="43"/>
      <c r="E36" s="43" t="s">
        <v>78</v>
      </c>
      <c r="F36" s="43"/>
      <c r="G36" s="43"/>
      <c r="H36" s="43"/>
      <c r="I36" s="43"/>
      <c r="J36" s="43"/>
      <c r="K36" s="43"/>
      <c r="L36" s="43"/>
      <c r="M36" s="54" t="s">
        <v>67</v>
      </c>
      <c r="N36" s="3384" t="s">
        <v>79</v>
      </c>
      <c r="O36" s="3384"/>
      <c r="P36" s="3384"/>
      <c r="Q36" s="43" t="s">
        <v>80</v>
      </c>
      <c r="R36" s="43"/>
      <c r="S36" s="43"/>
      <c r="T36" s="43"/>
      <c r="U36" s="43"/>
      <c r="V36" s="43"/>
      <c r="W36" s="43"/>
      <c r="X36" s="43"/>
      <c r="Y36" s="43"/>
      <c r="Z36" s="43"/>
      <c r="AA36" s="43"/>
      <c r="AB36" s="43"/>
      <c r="AC36" s="58" t="s">
        <v>81</v>
      </c>
      <c r="AD36" s="43"/>
      <c r="AE36" s="43"/>
      <c r="AF36" s="58" t="s">
        <v>82</v>
      </c>
      <c r="AG36" s="51"/>
      <c r="AI36" s="40" t="str">
        <f t="shared" si="0"/>
        <v/>
      </c>
    </row>
    <row r="37" spans="2:35" ht="16.5" hidden="1" customHeight="1" outlineLevel="1" x14ac:dyDescent="0.3">
      <c r="B37" s="43" t="s">
        <v>83</v>
      </c>
      <c r="C37" s="43"/>
      <c r="D37" s="43"/>
      <c r="E37" s="43" t="s">
        <v>84</v>
      </c>
      <c r="F37" s="43"/>
      <c r="G37" s="43"/>
      <c r="H37" s="43"/>
      <c r="I37" s="43"/>
      <c r="J37" s="43"/>
      <c r="K37" s="43"/>
      <c r="L37" s="43"/>
      <c r="M37" s="54" t="s">
        <v>67</v>
      </c>
      <c r="N37" s="55"/>
      <c r="O37" s="56" t="s">
        <v>85</v>
      </c>
      <c r="P37" s="57"/>
      <c r="Q37" s="43" t="s">
        <v>80</v>
      </c>
      <c r="R37" s="43"/>
      <c r="S37" s="43"/>
      <c r="T37" s="43"/>
      <c r="U37" s="43"/>
      <c r="V37" s="43"/>
      <c r="W37" s="43"/>
      <c r="X37" s="43"/>
      <c r="Y37" s="43"/>
      <c r="Z37" s="43"/>
      <c r="AA37" s="43"/>
      <c r="AB37" s="43"/>
      <c r="AC37" s="58" t="s">
        <v>86</v>
      </c>
      <c r="AD37" s="43"/>
      <c r="AE37" s="43"/>
      <c r="AF37" s="58" t="s">
        <v>87</v>
      </c>
      <c r="AG37" s="51"/>
      <c r="AI37" s="40" t="str">
        <f t="shared" si="0"/>
        <v/>
      </c>
    </row>
    <row r="38" spans="2:35" ht="16.5" hidden="1" customHeight="1" outlineLevel="1" x14ac:dyDescent="0.3">
      <c r="B38" s="43"/>
      <c r="C38" s="43"/>
      <c r="D38" s="43"/>
      <c r="E38" s="43" t="s">
        <v>88</v>
      </c>
      <c r="F38" s="43"/>
      <c r="G38" s="43"/>
      <c r="H38" s="43"/>
      <c r="I38" s="43"/>
      <c r="J38" s="43"/>
      <c r="K38" s="43"/>
      <c r="L38" s="43"/>
      <c r="M38" s="54" t="s">
        <v>67</v>
      </c>
      <c r="N38" s="55"/>
      <c r="O38" s="56" t="s">
        <v>89</v>
      </c>
      <c r="P38" s="57"/>
      <c r="Q38" s="43" t="s">
        <v>80</v>
      </c>
      <c r="R38" s="43"/>
      <c r="S38" s="43"/>
      <c r="T38" s="43"/>
      <c r="U38" s="43"/>
      <c r="V38" s="43"/>
      <c r="W38" s="43"/>
      <c r="X38" s="43"/>
      <c r="Y38" s="43"/>
      <c r="Z38" s="43"/>
      <c r="AA38" s="43"/>
      <c r="AB38" s="43"/>
      <c r="AC38" s="58" t="s">
        <v>90</v>
      </c>
      <c r="AD38" s="43"/>
      <c r="AE38" s="43"/>
      <c r="AF38" s="58"/>
      <c r="AG38" s="51"/>
      <c r="AI38" s="40" t="str">
        <f t="shared" si="0"/>
        <v/>
      </c>
    </row>
    <row r="39" spans="2:35" ht="16.5" hidden="1" customHeight="1" outlineLevel="1" x14ac:dyDescent="0.3">
      <c r="B39" s="43" t="s">
        <v>91</v>
      </c>
      <c r="C39" s="43"/>
      <c r="D39" s="43"/>
      <c r="E39" s="43" t="s">
        <v>92</v>
      </c>
      <c r="F39" s="43"/>
      <c r="G39" s="43"/>
      <c r="H39" s="43"/>
      <c r="I39" s="43"/>
      <c r="J39" s="43"/>
      <c r="K39" s="43"/>
      <c r="L39" s="43"/>
      <c r="M39" s="54" t="s">
        <v>54</v>
      </c>
      <c r="N39" s="55"/>
      <c r="O39" s="56" t="s">
        <v>93</v>
      </c>
      <c r="P39" s="57"/>
      <c r="Q39" s="43" t="s">
        <v>73</v>
      </c>
      <c r="R39" s="43"/>
      <c r="S39" s="43"/>
      <c r="T39" s="43"/>
      <c r="U39" s="43"/>
      <c r="V39" s="43"/>
      <c r="W39" s="43"/>
      <c r="X39" s="43"/>
      <c r="Y39" s="43"/>
      <c r="Z39" s="43"/>
      <c r="AA39" s="43"/>
      <c r="AB39" s="43"/>
      <c r="AC39" s="58" t="s">
        <v>94</v>
      </c>
      <c r="AD39" s="43"/>
      <c r="AE39" s="43"/>
      <c r="AF39" s="58" t="s">
        <v>95</v>
      </c>
      <c r="AG39" s="51"/>
      <c r="AI39" s="40" t="str">
        <f t="shared" si="0"/>
        <v/>
      </c>
    </row>
    <row r="40" spans="2:35" ht="16.5" hidden="1" customHeight="1" outlineLevel="1" x14ac:dyDescent="0.3">
      <c r="B40" s="43" t="s">
        <v>96</v>
      </c>
      <c r="C40" s="43"/>
      <c r="D40" s="43"/>
      <c r="E40" s="43" t="s">
        <v>97</v>
      </c>
      <c r="F40" s="43"/>
      <c r="G40" s="43"/>
      <c r="H40" s="43"/>
      <c r="I40" s="43"/>
      <c r="J40" s="43"/>
      <c r="K40" s="43"/>
      <c r="L40" s="43"/>
      <c r="M40" s="54" t="s">
        <v>54</v>
      </c>
      <c r="N40" s="55"/>
      <c r="O40" s="56" t="s">
        <v>98</v>
      </c>
      <c r="P40" s="57"/>
      <c r="Q40" s="43" t="s">
        <v>99</v>
      </c>
      <c r="R40" s="43"/>
      <c r="S40" s="43"/>
      <c r="T40" s="43"/>
      <c r="U40" s="43"/>
      <c r="V40" s="43"/>
      <c r="W40" s="43"/>
      <c r="X40" s="43"/>
      <c r="Y40" s="43"/>
      <c r="Z40" s="43"/>
      <c r="AA40" s="43"/>
      <c r="AB40" s="43"/>
      <c r="AC40" s="58" t="s">
        <v>100</v>
      </c>
      <c r="AD40" s="43"/>
      <c r="AE40" s="43"/>
      <c r="AF40" s="58" t="s">
        <v>101</v>
      </c>
      <c r="AG40" s="51"/>
      <c r="AI40" s="40" t="str">
        <f t="shared" si="0"/>
        <v/>
      </c>
    </row>
    <row r="41" spans="2:35" ht="16.5" hidden="1" customHeight="1" outlineLevel="1" x14ac:dyDescent="0.3">
      <c r="B41" s="43" t="s">
        <v>102</v>
      </c>
      <c r="C41" s="43"/>
      <c r="D41" s="43"/>
      <c r="E41" s="43" t="s">
        <v>103</v>
      </c>
      <c r="F41" s="43"/>
      <c r="G41" s="43"/>
      <c r="H41" s="43"/>
      <c r="I41" s="43"/>
      <c r="J41" s="43"/>
      <c r="K41" s="43"/>
      <c r="L41" s="43"/>
      <c r="M41" s="54" t="s">
        <v>54</v>
      </c>
      <c r="N41" s="55"/>
      <c r="O41" s="56" t="s">
        <v>104</v>
      </c>
      <c r="P41" s="57"/>
      <c r="Q41" s="43" t="s">
        <v>56</v>
      </c>
      <c r="R41" s="43"/>
      <c r="S41" s="43"/>
      <c r="T41" s="43"/>
      <c r="U41" s="43"/>
      <c r="V41" s="43"/>
      <c r="W41" s="43"/>
      <c r="X41" s="43"/>
      <c r="Y41" s="43"/>
      <c r="Z41" s="43"/>
      <c r="AA41" s="43"/>
      <c r="AB41" s="43"/>
      <c r="AC41" s="58" t="s">
        <v>105</v>
      </c>
      <c r="AD41" s="43"/>
      <c r="AE41" s="43"/>
      <c r="AF41" s="58" t="s">
        <v>106</v>
      </c>
      <c r="AG41" s="51"/>
      <c r="AI41" s="40" t="str">
        <f t="shared" si="0"/>
        <v/>
      </c>
    </row>
    <row r="42" spans="2:35" ht="16.5" hidden="1" customHeight="1" outlineLevel="1" x14ac:dyDescent="0.3">
      <c r="B42" s="43" t="s">
        <v>107</v>
      </c>
      <c r="C42" s="43"/>
      <c r="D42" s="43"/>
      <c r="E42" s="43" t="s">
        <v>108</v>
      </c>
      <c r="F42" s="43"/>
      <c r="G42" s="43"/>
      <c r="H42" s="43"/>
      <c r="I42" s="43"/>
      <c r="J42" s="43"/>
      <c r="K42" s="43"/>
      <c r="L42" s="43"/>
      <c r="M42" s="54"/>
      <c r="N42" s="55"/>
      <c r="O42" s="56"/>
      <c r="P42" s="57"/>
      <c r="Q42" s="43"/>
      <c r="R42" s="43"/>
      <c r="S42" s="43"/>
      <c r="T42" s="43"/>
      <c r="U42" s="43"/>
      <c r="V42" s="43"/>
      <c r="W42" s="43"/>
      <c r="X42" s="43"/>
      <c r="Y42" s="43"/>
      <c r="Z42" s="43"/>
      <c r="AA42" s="43"/>
      <c r="AB42" s="43"/>
      <c r="AC42" s="58" t="s">
        <v>109</v>
      </c>
      <c r="AD42" s="43"/>
      <c r="AE42" s="43"/>
      <c r="AF42" s="58" t="s">
        <v>110</v>
      </c>
      <c r="AG42" s="51"/>
      <c r="AI42" s="40" t="str">
        <f t="shared" si="0"/>
        <v/>
      </c>
    </row>
    <row r="43" spans="2:35" ht="16.5" hidden="1" customHeight="1" outlineLevel="1" x14ac:dyDescent="0.3">
      <c r="B43" s="43"/>
      <c r="C43" s="43"/>
      <c r="D43" s="43"/>
      <c r="E43" s="43" t="s">
        <v>111</v>
      </c>
      <c r="F43" s="43"/>
      <c r="G43" s="43"/>
      <c r="H43" s="43"/>
      <c r="I43" s="43"/>
      <c r="J43" s="43"/>
      <c r="K43" s="43"/>
      <c r="L43" s="43"/>
      <c r="M43" s="54" t="s">
        <v>112</v>
      </c>
      <c r="N43" s="3384" t="s">
        <v>113</v>
      </c>
      <c r="O43" s="3384"/>
      <c r="P43" s="3384"/>
      <c r="Q43" s="43" t="s">
        <v>18</v>
      </c>
      <c r="R43" s="43"/>
      <c r="S43" s="43"/>
      <c r="T43" s="43"/>
      <c r="U43" s="43"/>
      <c r="V43" s="43"/>
      <c r="W43" s="43"/>
      <c r="X43" s="43"/>
      <c r="Y43" s="43"/>
      <c r="Z43" s="43"/>
      <c r="AA43" s="43"/>
      <c r="AB43" s="43"/>
      <c r="AC43" s="58" t="s">
        <v>114</v>
      </c>
      <c r="AD43" s="43"/>
      <c r="AE43" s="43"/>
      <c r="AF43" s="58"/>
      <c r="AG43" s="51"/>
      <c r="AI43" s="40" t="str">
        <f t="shared" si="0"/>
        <v/>
      </c>
    </row>
    <row r="44" spans="2:35" ht="16.5" hidden="1" customHeight="1" outlineLevel="1" x14ac:dyDescent="0.3">
      <c r="B44" s="43" t="s">
        <v>115</v>
      </c>
      <c r="C44" s="43"/>
      <c r="D44" s="43"/>
      <c r="E44" s="43"/>
      <c r="F44" s="43"/>
      <c r="G44" s="43"/>
      <c r="H44" s="43"/>
      <c r="I44" s="43"/>
      <c r="J44" s="43"/>
      <c r="K44" s="43"/>
      <c r="L44" s="43"/>
      <c r="M44" s="54"/>
      <c r="N44" s="55"/>
      <c r="O44" s="56"/>
      <c r="P44" s="57"/>
      <c r="Q44" s="43"/>
      <c r="R44" s="43"/>
      <c r="S44" s="43"/>
      <c r="T44" s="43"/>
      <c r="U44" s="43"/>
      <c r="V44" s="43"/>
      <c r="W44" s="43"/>
      <c r="X44" s="43"/>
      <c r="Y44" s="43"/>
      <c r="Z44" s="43"/>
      <c r="AA44" s="43"/>
      <c r="AB44" s="43"/>
      <c r="AC44" s="58"/>
      <c r="AD44" s="43"/>
      <c r="AE44" s="43"/>
      <c r="AF44" s="58" t="s">
        <v>116</v>
      </c>
      <c r="AG44" s="51"/>
      <c r="AI44" s="40" t="str">
        <f t="shared" si="0"/>
        <v/>
      </c>
    </row>
    <row r="45" spans="2:35" ht="16.5" hidden="1" customHeight="1" outlineLevel="1" x14ac:dyDescent="0.3">
      <c r="B45" s="43" t="s">
        <v>117</v>
      </c>
      <c r="C45" s="43"/>
      <c r="D45" s="43"/>
      <c r="E45" s="43" t="s">
        <v>118</v>
      </c>
      <c r="F45" s="43"/>
      <c r="G45" s="43"/>
      <c r="H45" s="43"/>
      <c r="I45" s="43"/>
      <c r="J45" s="43"/>
      <c r="K45" s="43"/>
      <c r="L45" s="43"/>
      <c r="M45" s="54" t="s">
        <v>119</v>
      </c>
      <c r="N45" s="55"/>
      <c r="O45" s="56" t="s">
        <v>120</v>
      </c>
      <c r="P45" s="57"/>
      <c r="Q45" s="43" t="s">
        <v>121</v>
      </c>
      <c r="R45" s="43"/>
      <c r="S45" s="43"/>
      <c r="T45" s="43"/>
      <c r="U45" s="43"/>
      <c r="V45" s="43"/>
      <c r="W45" s="43"/>
      <c r="X45" s="43"/>
      <c r="Y45" s="43"/>
      <c r="Z45" s="43"/>
      <c r="AA45" s="43"/>
      <c r="AB45" s="43"/>
      <c r="AC45" s="58" t="s">
        <v>122</v>
      </c>
      <c r="AD45" s="43"/>
      <c r="AE45" s="43"/>
      <c r="AF45" s="58" t="s">
        <v>123</v>
      </c>
      <c r="AG45" s="51"/>
      <c r="AI45" s="40" t="str">
        <f t="shared" si="0"/>
        <v/>
      </c>
    </row>
    <row r="46" spans="2:35" ht="16.5" hidden="1" customHeight="1" outlineLevel="1" x14ac:dyDescent="0.3">
      <c r="B46" s="43" t="s">
        <v>124</v>
      </c>
      <c r="C46" s="43"/>
      <c r="D46" s="43"/>
      <c r="E46" s="43" t="s">
        <v>125</v>
      </c>
      <c r="F46" s="43"/>
      <c r="G46" s="43"/>
      <c r="H46" s="43"/>
      <c r="I46" s="43"/>
      <c r="J46" s="43"/>
      <c r="K46" s="43"/>
      <c r="L46" s="43"/>
      <c r="M46" s="54" t="s">
        <v>126</v>
      </c>
      <c r="N46" s="55"/>
      <c r="O46" s="56" t="s">
        <v>127</v>
      </c>
      <c r="P46" s="57"/>
      <c r="Q46" s="43" t="s">
        <v>128</v>
      </c>
      <c r="R46" s="43"/>
      <c r="S46" s="43"/>
      <c r="T46" s="43"/>
      <c r="U46" s="43"/>
      <c r="V46" s="43"/>
      <c r="W46" s="43"/>
      <c r="X46" s="43"/>
      <c r="Y46" s="43"/>
      <c r="Z46" s="43"/>
      <c r="AA46" s="43"/>
      <c r="AB46" s="43"/>
      <c r="AC46" s="58" t="s">
        <v>129</v>
      </c>
      <c r="AD46" s="43"/>
      <c r="AE46" s="43"/>
      <c r="AF46" s="58" t="s">
        <v>130</v>
      </c>
      <c r="AG46" s="51"/>
      <c r="AI46" s="40" t="str">
        <f t="shared" si="0"/>
        <v/>
      </c>
    </row>
    <row r="47" spans="2:35" ht="16.5" hidden="1" customHeight="1" outlineLevel="1" x14ac:dyDescent="0.3">
      <c r="B47" s="43" t="s">
        <v>131</v>
      </c>
      <c r="C47" s="43"/>
      <c r="D47" s="43"/>
      <c r="E47" s="43" t="s">
        <v>132</v>
      </c>
      <c r="F47" s="43"/>
      <c r="G47" s="43"/>
      <c r="H47" s="43"/>
      <c r="I47" s="43"/>
      <c r="J47" s="43"/>
      <c r="K47" s="43"/>
      <c r="L47" s="43"/>
      <c r="M47" s="54" t="s">
        <v>119</v>
      </c>
      <c r="N47" s="3384" t="s">
        <v>133</v>
      </c>
      <c r="O47" s="3384"/>
      <c r="P47" s="3384"/>
      <c r="Q47" s="43"/>
      <c r="R47" s="43"/>
      <c r="S47" s="43"/>
      <c r="T47" s="43"/>
      <c r="U47" s="43"/>
      <c r="V47" s="43"/>
      <c r="W47" s="43"/>
      <c r="X47" s="43"/>
      <c r="Y47" s="43"/>
      <c r="Z47" s="43"/>
      <c r="AA47" s="43"/>
      <c r="AB47" s="43"/>
      <c r="AC47" s="58" t="s">
        <v>134</v>
      </c>
      <c r="AD47" s="43"/>
      <c r="AE47" s="43"/>
      <c r="AF47" s="58" t="s">
        <v>135</v>
      </c>
      <c r="AG47" s="51"/>
      <c r="AI47" s="40" t="str">
        <f t="shared" si="0"/>
        <v/>
      </c>
    </row>
    <row r="48" spans="2:35" ht="16.5" hidden="1" customHeight="1" outlineLevel="1" x14ac:dyDescent="0.35">
      <c r="B48" s="43" t="s">
        <v>136</v>
      </c>
      <c r="C48" s="43"/>
      <c r="D48" s="43"/>
      <c r="E48" s="43" t="s">
        <v>137</v>
      </c>
      <c r="F48" s="43"/>
      <c r="G48" s="43"/>
      <c r="H48" s="43"/>
      <c r="I48" s="43"/>
      <c r="J48" s="43"/>
      <c r="K48" s="43"/>
      <c r="L48" s="43"/>
      <c r="M48" s="54" t="s">
        <v>126</v>
      </c>
      <c r="N48" s="55"/>
      <c r="O48" s="56" t="s">
        <v>138</v>
      </c>
      <c r="P48" s="57"/>
      <c r="Q48" s="43"/>
      <c r="R48" s="43"/>
      <c r="S48" s="43"/>
      <c r="T48" s="43"/>
      <c r="U48" s="43"/>
      <c r="V48" s="43"/>
      <c r="W48" s="43"/>
      <c r="X48" s="43"/>
      <c r="Y48" s="43"/>
      <c r="Z48" s="43"/>
      <c r="AA48" s="43"/>
      <c r="AB48"/>
      <c r="AC48" s="58" t="s">
        <v>139</v>
      </c>
      <c r="AD48" s="43"/>
      <c r="AE48" s="43"/>
      <c r="AF48" s="58" t="s">
        <v>140</v>
      </c>
      <c r="AG48" s="51"/>
      <c r="AI48" s="40" t="str">
        <f t="shared" si="0"/>
        <v/>
      </c>
    </row>
    <row r="49" spans="2:35" ht="16.5" hidden="1" customHeight="1" outlineLevel="1" x14ac:dyDescent="0.35">
      <c r="B49" s="43" t="s">
        <v>141</v>
      </c>
      <c r="C49" s="43"/>
      <c r="D49" s="43"/>
      <c r="E49" s="43" t="s">
        <v>142</v>
      </c>
      <c r="F49" s="43"/>
      <c r="G49" s="43"/>
      <c r="H49" s="43"/>
      <c r="I49" s="43"/>
      <c r="J49" s="43"/>
      <c r="K49" s="43"/>
      <c r="L49" s="43"/>
      <c r="M49" s="54" t="s">
        <v>126</v>
      </c>
      <c r="N49" s="55"/>
      <c r="O49" s="56" t="s">
        <v>143</v>
      </c>
      <c r="P49" s="57"/>
      <c r="Q49" s="43"/>
      <c r="R49" s="43"/>
      <c r="S49" s="43"/>
      <c r="T49" s="43"/>
      <c r="U49" s="43"/>
      <c r="V49" s="43"/>
      <c r="W49" s="43"/>
      <c r="X49" s="43"/>
      <c r="Y49" s="43"/>
      <c r="Z49" s="43"/>
      <c r="AA49" s="43"/>
      <c r="AB49"/>
      <c r="AC49" s="58" t="s">
        <v>144</v>
      </c>
      <c r="AD49" s="43"/>
      <c r="AE49" s="43"/>
      <c r="AF49" s="58" t="s">
        <v>145</v>
      </c>
      <c r="AG49" s="51"/>
      <c r="AI49" s="40" t="str">
        <f t="shared" si="0"/>
        <v/>
      </c>
    </row>
    <row r="50" spans="2:35" ht="16.5" hidden="1" customHeight="1" outlineLevel="1" x14ac:dyDescent="0.35">
      <c r="B50" s="43" t="s">
        <v>146</v>
      </c>
      <c r="C50" s="43"/>
      <c r="D50" s="43"/>
      <c r="E50" s="43" t="s">
        <v>147</v>
      </c>
      <c r="F50" s="43"/>
      <c r="G50" s="43"/>
      <c r="H50" s="43"/>
      <c r="I50" s="43"/>
      <c r="J50" s="43"/>
      <c r="K50" s="43"/>
      <c r="L50" s="43"/>
      <c r="M50" s="54" t="s">
        <v>119</v>
      </c>
      <c r="N50" s="3384" t="s">
        <v>148</v>
      </c>
      <c r="O50" s="3384"/>
      <c r="P50" s="3384"/>
      <c r="Q50" s="43" t="s">
        <v>99</v>
      </c>
      <c r="R50" s="43"/>
      <c r="S50" s="43"/>
      <c r="T50" s="43"/>
      <c r="U50" s="43"/>
      <c r="V50" s="43"/>
      <c r="W50" s="43"/>
      <c r="X50" s="43"/>
      <c r="Y50" s="43"/>
      <c r="Z50" s="43"/>
      <c r="AA50" s="43"/>
      <c r="AB50"/>
      <c r="AC50" s="58" t="s">
        <v>149</v>
      </c>
      <c r="AD50" s="43"/>
      <c r="AE50" s="43"/>
      <c r="AF50" s="58" t="s">
        <v>150</v>
      </c>
      <c r="AG50" s="51"/>
      <c r="AI50" s="40" t="str">
        <f t="shared" si="0"/>
        <v/>
      </c>
    </row>
    <row r="51" spans="2:35" ht="16.5" hidden="1" customHeight="1" outlineLevel="1" x14ac:dyDescent="0.35">
      <c r="B51" s="43" t="s">
        <v>151</v>
      </c>
      <c r="C51" s="43"/>
      <c r="D51" s="43"/>
      <c r="E51" s="43" t="s">
        <v>152</v>
      </c>
      <c r="F51" s="43"/>
      <c r="G51" s="43"/>
      <c r="H51" s="43"/>
      <c r="I51" s="43"/>
      <c r="J51" s="43"/>
      <c r="K51" s="43"/>
      <c r="L51" s="43"/>
      <c r="M51" s="54" t="s">
        <v>126</v>
      </c>
      <c r="N51" s="55"/>
      <c r="O51" s="56" t="s">
        <v>153</v>
      </c>
      <c r="P51" s="57"/>
      <c r="Q51" s="43"/>
      <c r="R51" s="43"/>
      <c r="S51" s="43"/>
      <c r="T51" s="43"/>
      <c r="U51" s="43"/>
      <c r="V51" s="43"/>
      <c r="W51" s="43"/>
      <c r="X51" s="43"/>
      <c r="Y51" s="43"/>
      <c r="Z51" s="43"/>
      <c r="AA51" s="43"/>
      <c r="AB51"/>
      <c r="AC51" s="58" t="s">
        <v>154</v>
      </c>
      <c r="AD51" s="43"/>
      <c r="AE51" s="43"/>
      <c r="AF51" s="58" t="s">
        <v>155</v>
      </c>
      <c r="AG51" s="51"/>
      <c r="AI51" s="40" t="str">
        <f t="shared" si="0"/>
        <v/>
      </c>
    </row>
    <row r="52" spans="2:35" ht="16.5" hidden="1" customHeight="1" outlineLevel="1" x14ac:dyDescent="0.3">
      <c r="B52" s="43" t="s">
        <v>156</v>
      </c>
      <c r="C52" s="43"/>
      <c r="D52" s="43"/>
      <c r="E52" s="43" t="s">
        <v>157</v>
      </c>
      <c r="F52" s="43"/>
      <c r="G52" s="43"/>
      <c r="H52" s="43"/>
      <c r="I52" s="43"/>
      <c r="J52" s="43"/>
      <c r="K52" s="43"/>
      <c r="L52" s="43"/>
      <c r="M52" s="54" t="s">
        <v>126</v>
      </c>
      <c r="N52" s="55"/>
      <c r="O52" s="56" t="s">
        <v>158</v>
      </c>
      <c r="P52" s="57"/>
      <c r="Q52" s="43"/>
      <c r="R52" s="43"/>
      <c r="S52" s="43"/>
      <c r="T52" s="43"/>
      <c r="U52" s="43"/>
      <c r="V52" s="43"/>
      <c r="W52" s="43"/>
      <c r="X52" s="43"/>
      <c r="Y52" s="43"/>
      <c r="Z52" s="43"/>
      <c r="AA52" s="43"/>
      <c r="AB52" s="43"/>
      <c r="AC52" s="58" t="s">
        <v>159</v>
      </c>
      <c r="AD52" s="43"/>
      <c r="AE52" s="43"/>
      <c r="AF52" s="58" t="s">
        <v>160</v>
      </c>
      <c r="AG52" s="51"/>
      <c r="AI52" s="40" t="str">
        <f t="shared" si="0"/>
        <v/>
      </c>
    </row>
    <row r="53" spans="2:35" ht="16.5" hidden="1" customHeight="1" outlineLevel="1" x14ac:dyDescent="0.3">
      <c r="B53" s="53" t="s">
        <v>161</v>
      </c>
      <c r="D53" s="53"/>
      <c r="E53" s="43"/>
      <c r="F53" s="43"/>
      <c r="G53" s="43"/>
      <c r="H53" s="43"/>
      <c r="I53" s="43"/>
      <c r="J53" s="43"/>
      <c r="K53" s="43"/>
      <c r="L53" s="43"/>
      <c r="M53" s="54" t="s">
        <v>162</v>
      </c>
      <c r="N53" s="55"/>
      <c r="O53" s="56" t="s">
        <v>163</v>
      </c>
      <c r="P53" s="57"/>
      <c r="Q53" s="43" t="s">
        <v>164</v>
      </c>
      <c r="R53" s="43"/>
      <c r="S53" s="43"/>
      <c r="T53" s="43"/>
      <c r="U53" s="43"/>
      <c r="V53" s="43"/>
      <c r="W53" s="43"/>
      <c r="X53" s="43"/>
      <c r="Y53" s="43"/>
      <c r="Z53" s="43"/>
      <c r="AA53" s="43"/>
      <c r="AB53" s="43"/>
      <c r="AC53" s="43"/>
      <c r="AD53" s="43"/>
      <c r="AE53" s="43"/>
      <c r="AF53" s="58" t="s">
        <v>165</v>
      </c>
      <c r="AI53" s="40" t="str">
        <f t="shared" si="0"/>
        <v/>
      </c>
    </row>
    <row r="54" spans="2:35" ht="18" customHeight="1" collapsed="1" x14ac:dyDescent="0.3">
      <c r="D54" s="46"/>
      <c r="E54" s="43"/>
      <c r="F54" s="43"/>
      <c r="G54" s="43"/>
      <c r="H54" s="43"/>
      <c r="I54" s="43"/>
      <c r="J54" s="43"/>
      <c r="K54" s="43"/>
      <c r="L54" s="43"/>
      <c r="M54" s="43"/>
      <c r="N54" s="54"/>
      <c r="O54" s="48"/>
      <c r="P54" s="48"/>
      <c r="Q54" s="43"/>
      <c r="R54" s="43"/>
      <c r="S54" s="43"/>
      <c r="T54" s="43"/>
      <c r="U54" s="43"/>
      <c r="V54" s="43"/>
      <c r="W54" s="43"/>
      <c r="X54" s="43"/>
      <c r="Y54" s="43"/>
      <c r="Z54" s="43"/>
      <c r="AA54" s="43"/>
      <c r="AB54" s="43"/>
      <c r="AC54" s="43"/>
      <c r="AD54" s="43"/>
      <c r="AE54" s="43"/>
      <c r="AF54" s="43"/>
      <c r="AH54" s="60"/>
      <c r="AI54" s="61">
        <f>SUM(AI23:AI53)</f>
        <v>0</v>
      </c>
    </row>
    <row r="55" spans="2:35" ht="19" customHeight="1" outlineLevel="1" x14ac:dyDescent="0.3">
      <c r="B55" s="43" t="s">
        <v>14</v>
      </c>
      <c r="C55" s="53"/>
      <c r="D55" s="43"/>
      <c r="E55" s="43"/>
      <c r="F55" s="43"/>
      <c r="G55" s="43"/>
      <c r="H55" s="43"/>
      <c r="I55" s="43"/>
      <c r="J55" s="43"/>
      <c r="K55" s="43"/>
      <c r="L55" s="43"/>
      <c r="M55" s="54" t="s">
        <v>15</v>
      </c>
      <c r="N55" s="55"/>
      <c r="O55" s="56"/>
      <c r="P55" s="57"/>
      <c r="Q55" s="53" t="s">
        <v>15</v>
      </c>
      <c r="R55" s="43"/>
      <c r="S55" s="43"/>
      <c r="T55" s="43"/>
      <c r="U55" s="43"/>
      <c r="V55" s="43"/>
      <c r="W55" s="43"/>
      <c r="X55" s="43"/>
      <c r="Y55" s="43"/>
      <c r="Z55" s="43"/>
      <c r="AA55" s="43"/>
      <c r="AB55" s="43"/>
      <c r="AC55" s="43"/>
      <c r="AD55" s="43"/>
      <c r="AE55" s="43"/>
      <c r="AF55" s="58" t="s">
        <v>16</v>
      </c>
      <c r="AH55" s="62"/>
    </row>
    <row r="56" spans="2:35" ht="19" customHeight="1" outlineLevel="1" x14ac:dyDescent="0.3">
      <c r="B56" s="43" t="s">
        <v>17</v>
      </c>
      <c r="C56" s="53"/>
      <c r="D56" s="43"/>
      <c r="E56" s="43"/>
      <c r="F56" s="43"/>
      <c r="G56" s="43"/>
      <c r="H56" s="43"/>
      <c r="I56" s="43"/>
      <c r="J56" s="43"/>
      <c r="K56" s="43"/>
      <c r="L56" s="43"/>
      <c r="M56" s="54" t="s">
        <v>18</v>
      </c>
      <c r="N56" s="55"/>
      <c r="O56" s="48">
        <v>1</v>
      </c>
      <c r="P56" s="57"/>
      <c r="Q56" s="53" t="s">
        <v>19</v>
      </c>
      <c r="R56" s="43"/>
      <c r="S56" s="43"/>
      <c r="T56" s="43"/>
      <c r="U56" s="43"/>
      <c r="V56" s="43"/>
      <c r="W56" s="43"/>
      <c r="X56" s="43"/>
      <c r="Y56" s="43"/>
      <c r="Z56" s="43"/>
      <c r="AA56" s="43"/>
      <c r="AB56" s="43"/>
      <c r="AC56" s="43"/>
      <c r="AD56" s="43"/>
      <c r="AE56" s="43"/>
      <c r="AF56" s="58" t="s">
        <v>20</v>
      </c>
      <c r="AH56" s="62"/>
    </row>
    <row r="57" spans="2:35" ht="19" customHeight="1" outlineLevel="1" x14ac:dyDescent="0.3">
      <c r="B57" s="53" t="s">
        <v>21</v>
      </c>
      <c r="C57" s="43"/>
      <c r="D57" s="53"/>
      <c r="E57" s="53"/>
      <c r="F57" s="53"/>
      <c r="G57" s="53"/>
      <c r="H57" s="53"/>
      <c r="I57" s="53"/>
      <c r="J57" s="53"/>
      <c r="K57" s="53"/>
      <c r="L57" s="53"/>
      <c r="M57" s="54" t="s">
        <v>22</v>
      </c>
      <c r="N57" s="55"/>
      <c r="O57" s="48" t="s">
        <v>23</v>
      </c>
      <c r="P57" s="57"/>
      <c r="Q57" s="53" t="s">
        <v>15</v>
      </c>
      <c r="R57" s="53"/>
      <c r="S57" s="53"/>
      <c r="T57" s="53"/>
      <c r="U57" s="53"/>
      <c r="V57" s="53"/>
      <c r="W57" s="53"/>
      <c r="X57" s="53"/>
      <c r="Y57" s="53"/>
      <c r="Z57" s="53"/>
      <c r="AA57" s="53"/>
      <c r="AB57" s="53"/>
      <c r="AC57" s="53"/>
      <c r="AD57" s="53"/>
      <c r="AE57" s="53"/>
      <c r="AF57" s="58" t="s">
        <v>24</v>
      </c>
      <c r="AH57" s="62"/>
    </row>
    <row r="58" spans="2:35" ht="19" customHeight="1" outlineLevel="1" x14ac:dyDescent="0.3">
      <c r="B58" s="43" t="s">
        <v>25</v>
      </c>
      <c r="C58" s="43"/>
      <c r="D58" s="43"/>
      <c r="E58" s="43"/>
      <c r="F58" s="43"/>
      <c r="G58" s="43"/>
      <c r="H58" s="43"/>
      <c r="I58" s="43"/>
      <c r="J58" s="43"/>
      <c r="K58" s="43"/>
      <c r="L58" s="43"/>
      <c r="M58" s="54" t="s">
        <v>26</v>
      </c>
      <c r="N58" s="55"/>
      <c r="O58" s="48" t="s">
        <v>27</v>
      </c>
      <c r="P58" s="57"/>
      <c r="Q58" s="53"/>
      <c r="R58" s="43"/>
      <c r="S58" s="43"/>
      <c r="T58" s="43"/>
      <c r="U58" s="43"/>
      <c r="V58" s="43"/>
      <c r="W58" s="43"/>
      <c r="X58" s="43"/>
      <c r="Y58" s="43"/>
      <c r="Z58" s="43"/>
      <c r="AA58" s="43"/>
      <c r="AB58" s="43"/>
      <c r="AC58" s="43"/>
      <c r="AD58" s="43"/>
      <c r="AE58" s="43"/>
      <c r="AF58" s="58" t="s">
        <v>28</v>
      </c>
      <c r="AH58" s="62"/>
    </row>
    <row r="59" spans="2:35" ht="19" customHeight="1" outlineLevel="1" x14ac:dyDescent="0.3">
      <c r="B59" s="43" t="s">
        <v>29</v>
      </c>
      <c r="C59" s="43"/>
      <c r="D59" s="43"/>
      <c r="E59" s="43"/>
      <c r="F59" s="53"/>
      <c r="G59" s="43"/>
      <c r="H59" s="43"/>
      <c r="I59" s="43"/>
      <c r="J59" s="43"/>
      <c r="K59" s="43"/>
      <c r="L59" s="43"/>
      <c r="M59" s="54" t="s">
        <v>30</v>
      </c>
      <c r="N59" s="55"/>
      <c r="O59" s="48" t="s">
        <v>31</v>
      </c>
      <c r="P59" s="57"/>
      <c r="Q59" s="53" t="s">
        <v>32</v>
      </c>
      <c r="R59" s="43"/>
      <c r="S59" s="43"/>
      <c r="T59" s="43"/>
      <c r="U59" s="43"/>
      <c r="V59" s="43"/>
      <c r="W59" s="43"/>
      <c r="X59" s="43"/>
      <c r="Y59" s="43"/>
      <c r="Z59" s="43"/>
      <c r="AA59" s="43"/>
      <c r="AB59" s="43"/>
      <c r="AC59" s="43"/>
      <c r="AD59" s="43"/>
      <c r="AE59" s="43"/>
      <c r="AF59" s="58" t="s">
        <v>33</v>
      </c>
      <c r="AH59" s="62"/>
    </row>
    <row r="60" spans="2:35" ht="19" customHeight="1" outlineLevel="1" x14ac:dyDescent="0.3">
      <c r="B60" s="43" t="s">
        <v>34</v>
      </c>
      <c r="C60" s="43"/>
      <c r="D60" s="43"/>
      <c r="E60" s="43"/>
      <c r="F60" s="43"/>
      <c r="G60" s="43"/>
      <c r="H60" s="43"/>
      <c r="I60" s="43"/>
      <c r="J60" s="43"/>
      <c r="K60" s="43"/>
      <c r="L60" s="43"/>
      <c r="M60" s="54" t="s">
        <v>35</v>
      </c>
      <c r="N60" s="55"/>
      <c r="O60" s="48" t="s">
        <v>36</v>
      </c>
      <c r="P60" s="57"/>
      <c r="Q60" s="53" t="s">
        <v>37</v>
      </c>
      <c r="R60" s="43"/>
      <c r="S60" s="43"/>
      <c r="T60" s="43"/>
      <c r="U60" s="43"/>
      <c r="V60" s="43"/>
      <c r="W60" s="43"/>
      <c r="X60" s="43"/>
      <c r="Y60" s="43"/>
      <c r="Z60" s="43"/>
      <c r="AA60" s="43"/>
      <c r="AB60" s="43"/>
      <c r="AC60" s="43"/>
      <c r="AD60" s="43"/>
      <c r="AE60" s="43"/>
      <c r="AF60" s="58" t="s">
        <v>38</v>
      </c>
      <c r="AH60" s="62"/>
    </row>
    <row r="61" spans="2:35" ht="19" customHeight="1" outlineLevel="1" x14ac:dyDescent="0.3">
      <c r="B61" s="43" t="s">
        <v>39</v>
      </c>
      <c r="C61" s="43"/>
      <c r="D61" s="43"/>
      <c r="E61" s="43"/>
      <c r="F61" s="43"/>
      <c r="G61" s="43"/>
      <c r="H61" s="43"/>
      <c r="I61" s="43"/>
      <c r="J61" s="43"/>
      <c r="K61" s="43"/>
      <c r="L61" s="43"/>
      <c r="M61" s="54" t="s">
        <v>15</v>
      </c>
      <c r="N61" s="3384" t="s">
        <v>166</v>
      </c>
      <c r="O61" s="3384"/>
      <c r="P61" s="3384"/>
      <c r="Q61" s="53" t="s">
        <v>41</v>
      </c>
      <c r="R61" s="43"/>
      <c r="S61" s="43"/>
      <c r="T61" s="43"/>
      <c r="U61" s="43"/>
      <c r="V61" s="43"/>
      <c r="W61" s="43"/>
      <c r="X61" s="43"/>
      <c r="Y61" s="43"/>
      <c r="Z61" s="43"/>
      <c r="AA61" s="43"/>
      <c r="AB61" s="43"/>
      <c r="AC61" s="43"/>
      <c r="AD61" s="43"/>
      <c r="AE61" s="43"/>
      <c r="AF61" s="58" t="s">
        <v>42</v>
      </c>
      <c r="AH61" s="62"/>
    </row>
    <row r="62" spans="2:35" ht="19" customHeight="1" outlineLevel="1" x14ac:dyDescent="0.3">
      <c r="B62" s="43" t="s">
        <v>115</v>
      </c>
      <c r="C62" s="43"/>
      <c r="D62" s="43"/>
      <c r="E62" s="43"/>
      <c r="F62" s="43"/>
      <c r="G62" s="43"/>
      <c r="H62" s="43"/>
      <c r="I62" s="43"/>
      <c r="J62" s="43"/>
      <c r="K62" s="43"/>
      <c r="L62" s="43"/>
      <c r="M62" s="54"/>
      <c r="N62" s="55"/>
      <c r="O62" s="56"/>
      <c r="P62" s="57"/>
      <c r="Q62" s="43"/>
      <c r="R62" s="43"/>
      <c r="S62" s="43"/>
      <c r="T62" s="43"/>
      <c r="U62" s="43"/>
      <c r="V62" s="43"/>
      <c r="W62" s="43"/>
      <c r="X62" s="43"/>
      <c r="Y62" s="43"/>
      <c r="Z62" s="43"/>
      <c r="AA62" s="43"/>
      <c r="AB62" s="43"/>
      <c r="AC62" s="58"/>
      <c r="AD62" s="43"/>
      <c r="AE62" s="43"/>
      <c r="AF62" s="58" t="s">
        <v>116</v>
      </c>
      <c r="AH62" s="62"/>
    </row>
    <row r="63" spans="2:35" ht="19" customHeight="1" outlineLevel="1" x14ac:dyDescent="0.3">
      <c r="B63" s="43" t="s">
        <v>118</v>
      </c>
      <c r="C63" s="43"/>
      <c r="D63" s="43"/>
      <c r="E63" s="43"/>
      <c r="F63" s="43"/>
      <c r="G63" s="43"/>
      <c r="H63" s="43"/>
      <c r="I63" s="43"/>
      <c r="J63" s="43"/>
      <c r="K63" s="43"/>
      <c r="L63" s="43"/>
      <c r="M63" s="54" t="s">
        <v>167</v>
      </c>
      <c r="N63" s="55"/>
      <c r="O63" s="56" t="s">
        <v>168</v>
      </c>
      <c r="P63" s="57"/>
      <c r="Q63" s="53" t="s">
        <v>169</v>
      </c>
      <c r="R63" s="43"/>
      <c r="S63" s="43"/>
      <c r="T63" s="43"/>
      <c r="U63" s="43"/>
      <c r="V63" s="43"/>
      <c r="W63" s="43"/>
      <c r="X63" s="43"/>
      <c r="Y63" s="43"/>
      <c r="Z63" s="43"/>
      <c r="AA63" s="43"/>
      <c r="AB63" s="43"/>
      <c r="AC63" s="58"/>
      <c r="AD63" s="43"/>
      <c r="AE63" s="43"/>
      <c r="AF63" s="58" t="s">
        <v>122</v>
      </c>
      <c r="AH63" s="62"/>
    </row>
    <row r="64" spans="2:35" ht="19" customHeight="1" outlineLevel="1" x14ac:dyDescent="0.3">
      <c r="B64" s="43" t="s">
        <v>125</v>
      </c>
      <c r="C64" s="43"/>
      <c r="D64" s="43"/>
      <c r="E64" s="43"/>
      <c r="F64" s="43"/>
      <c r="G64" s="43"/>
      <c r="H64" s="43"/>
      <c r="I64" s="43"/>
      <c r="J64" s="43"/>
      <c r="K64" s="43"/>
      <c r="L64" s="43"/>
      <c r="M64" s="54" t="s">
        <v>170</v>
      </c>
      <c r="N64" s="55"/>
      <c r="O64" s="56" t="s">
        <v>171</v>
      </c>
      <c r="P64" s="57"/>
      <c r="Q64" s="53" t="s">
        <v>172</v>
      </c>
      <c r="R64" s="43"/>
      <c r="S64" s="43"/>
      <c r="T64" s="43"/>
      <c r="U64" s="43"/>
      <c r="V64" s="43"/>
      <c r="W64" s="43"/>
      <c r="X64" s="43"/>
      <c r="Y64" s="43"/>
      <c r="Z64" s="43"/>
      <c r="AA64" s="43"/>
      <c r="AB64" s="43"/>
      <c r="AC64" s="58"/>
      <c r="AD64" s="43"/>
      <c r="AE64" s="43"/>
      <c r="AF64" s="58" t="s">
        <v>129</v>
      </c>
      <c r="AH64" s="62"/>
    </row>
    <row r="65" spans="2:34" ht="19" customHeight="1" outlineLevel="1" x14ac:dyDescent="0.3">
      <c r="B65" s="53" t="s">
        <v>161</v>
      </c>
      <c r="D65" s="53"/>
      <c r="E65" s="43"/>
      <c r="F65" s="43"/>
      <c r="G65" s="43"/>
      <c r="H65" s="43"/>
      <c r="I65" s="43"/>
      <c r="J65" s="43"/>
      <c r="K65" s="43"/>
      <c r="L65" s="43"/>
      <c r="M65" s="54" t="s">
        <v>162</v>
      </c>
      <c r="N65" s="55"/>
      <c r="O65" s="56" t="s">
        <v>173</v>
      </c>
      <c r="P65" s="57"/>
      <c r="Q65" s="43" t="s">
        <v>164</v>
      </c>
      <c r="R65" s="43"/>
      <c r="S65" s="43"/>
      <c r="T65" s="43"/>
      <c r="U65" s="43"/>
      <c r="V65" s="43"/>
      <c r="W65" s="43"/>
      <c r="X65" s="43"/>
      <c r="Y65" s="43"/>
      <c r="Z65" s="43"/>
      <c r="AA65" s="43"/>
      <c r="AB65" s="43"/>
      <c r="AC65" s="43"/>
      <c r="AD65" s="43"/>
      <c r="AE65" s="43"/>
      <c r="AF65" s="58" t="s">
        <v>165</v>
      </c>
      <c r="AH65" s="62"/>
    </row>
    <row r="66" spans="2:34" ht="21" customHeight="1" outlineLevel="1" x14ac:dyDescent="0.3">
      <c r="B66" s="63"/>
      <c r="C66" s="63"/>
      <c r="D66" s="63"/>
      <c r="E66" s="64"/>
      <c r="F66" s="64"/>
      <c r="G66" s="64"/>
      <c r="H66" s="64"/>
      <c r="I66" s="64"/>
      <c r="J66" s="64"/>
      <c r="K66" s="64"/>
      <c r="L66" s="64"/>
      <c r="M66" s="64"/>
      <c r="N66" s="63"/>
      <c r="O66" s="64"/>
      <c r="P66" s="63"/>
      <c r="Q66" s="64"/>
      <c r="R66" s="64"/>
      <c r="S66" s="64"/>
      <c r="T66" s="64"/>
      <c r="U66" s="64"/>
      <c r="V66" s="64"/>
      <c r="W66" s="64"/>
      <c r="X66" s="64"/>
      <c r="Y66" s="64"/>
      <c r="Z66" s="64"/>
      <c r="AA66" s="64"/>
      <c r="AB66" s="64"/>
      <c r="AC66" s="64"/>
      <c r="AD66" s="64"/>
      <c r="AE66" s="64"/>
      <c r="AF66" s="64"/>
      <c r="AH66" s="62"/>
    </row>
    <row r="67" spans="2:34" x14ac:dyDescent="0.3">
      <c r="AH67" s="62"/>
    </row>
  </sheetData>
  <protectedRanges>
    <protectedRange sqref="AH54:AH66" name="Progress"/>
    <protectedRange sqref="B66:AF66 B21:AF54" name="Halaman"/>
    <protectedRange sqref="B55:AF65" name="Halaman_1"/>
  </protectedRanges>
  <mergeCells count="21">
    <mergeCell ref="N47:P47"/>
    <mergeCell ref="N50:P50"/>
    <mergeCell ref="N61:P61"/>
    <mergeCell ref="N32:P32"/>
    <mergeCell ref="N33:P33"/>
    <mergeCell ref="N34:P34"/>
    <mergeCell ref="N35:P35"/>
    <mergeCell ref="N36:P36"/>
    <mergeCell ref="N43:P43"/>
    <mergeCell ref="N31:P31"/>
    <mergeCell ref="B12:AF12"/>
    <mergeCell ref="B14:AF14"/>
    <mergeCell ref="B15:AF15"/>
    <mergeCell ref="F16:N16"/>
    <mergeCell ref="P16:Z16"/>
    <mergeCell ref="B17:AF17"/>
    <mergeCell ref="B18:AF18"/>
    <mergeCell ref="B21:K21"/>
    <mergeCell ref="M21:Q21"/>
    <mergeCell ref="V21:AF21"/>
    <mergeCell ref="N29:P29"/>
  </mergeCell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9"/>
  <sheetViews>
    <sheetView view="pageBreakPreview" topLeftCell="G43" zoomScale="90" zoomScaleNormal="120" zoomScaleSheetLayoutView="90" workbookViewId="0">
      <selection activeCell="N49" sqref="N49"/>
    </sheetView>
  </sheetViews>
  <sheetFormatPr defaultColWidth="9.7265625" defaultRowHeight="13" x14ac:dyDescent="0.3"/>
  <cols>
    <col min="1" max="1" width="33.54296875" style="896" customWidth="1"/>
    <col min="2" max="2" width="0.453125" style="896" customWidth="1"/>
    <col min="3" max="3" width="18.7265625" style="896" customWidth="1"/>
    <col min="4" max="4" width="18.81640625" style="896" customWidth="1"/>
    <col min="5" max="5" width="15.81640625" style="896" customWidth="1"/>
    <col min="6" max="6" width="17" style="896" customWidth="1"/>
    <col min="7" max="7" width="17.26953125" style="896" customWidth="1"/>
    <col min="8" max="8" width="17.54296875" style="896" customWidth="1"/>
    <col min="9" max="9" width="17.26953125" style="896" customWidth="1"/>
    <col min="10" max="10" width="16.1796875" style="896" customWidth="1"/>
    <col min="11" max="11" width="16.453125" style="896" customWidth="1"/>
    <col min="12" max="12" width="16.26953125" style="896" customWidth="1"/>
    <col min="13" max="13" width="16.7265625" style="896" customWidth="1"/>
    <col min="14" max="14" width="19.1796875" style="896" customWidth="1"/>
    <col min="15" max="15" width="19.453125" style="896" customWidth="1"/>
    <col min="16" max="16" width="14.26953125" style="896" customWidth="1"/>
    <col min="17" max="17" width="15" style="896" customWidth="1"/>
    <col min="18" max="16384" width="9.7265625" style="896"/>
  </cols>
  <sheetData>
    <row r="1" spans="1:15" s="894" customFormat="1" ht="17.5" x14ac:dyDescent="0.35">
      <c r="A1" s="3392" t="str">
        <f>IN!A1</f>
        <v>PESANTREN ISLAM AL IRSYAD TENGARAN 6 BONDOWOSO</v>
      </c>
      <c r="B1" s="3392"/>
      <c r="C1" s="3392"/>
      <c r="D1" s="3392"/>
      <c r="E1" s="3392"/>
      <c r="F1" s="3392"/>
      <c r="G1" s="3392"/>
      <c r="H1" s="3392"/>
      <c r="I1" s="3392"/>
      <c r="J1" s="3392"/>
      <c r="K1" s="3392"/>
      <c r="L1" s="3392"/>
      <c r="M1" s="3392"/>
      <c r="N1" s="3392"/>
      <c r="O1" s="3392"/>
    </row>
    <row r="2" spans="1:15" x14ac:dyDescent="0.3">
      <c r="A2" s="895"/>
      <c r="B2" s="895"/>
    </row>
    <row r="3" spans="1:15" x14ac:dyDescent="0.3">
      <c r="A3" s="895" t="s">
        <v>1042</v>
      </c>
      <c r="B3" s="895"/>
    </row>
    <row r="4" spans="1:15" x14ac:dyDescent="0.3">
      <c r="A4" s="895"/>
      <c r="B4" s="895"/>
    </row>
    <row r="5" spans="1:15" x14ac:dyDescent="0.3">
      <c r="A5" s="895"/>
      <c r="B5" s="895"/>
    </row>
    <row r="6" spans="1:15" x14ac:dyDescent="0.3">
      <c r="A6" s="895"/>
      <c r="B6" s="895"/>
    </row>
    <row r="7" spans="1:15" x14ac:dyDescent="0.3">
      <c r="A7" s="895"/>
      <c r="B7" s="895"/>
    </row>
    <row r="8" spans="1:15" x14ac:dyDescent="0.3">
      <c r="A8" s="895"/>
      <c r="B8" s="895"/>
    </row>
    <row r="9" spans="1:15" x14ac:dyDescent="0.3">
      <c r="A9" s="895"/>
      <c r="B9" s="895"/>
    </row>
    <row r="10" spans="1:15" x14ac:dyDescent="0.3">
      <c r="A10" s="895"/>
      <c r="B10" s="895"/>
    </row>
    <row r="11" spans="1:15" x14ac:dyDescent="0.3">
      <c r="A11" s="895"/>
      <c r="B11" s="895"/>
    </row>
    <row r="12" spans="1:15" x14ac:dyDescent="0.3">
      <c r="A12" s="895"/>
      <c r="B12" s="895"/>
    </row>
    <row r="13" spans="1:15" x14ac:dyDescent="0.3">
      <c r="A13" s="895"/>
      <c r="B13" s="895"/>
    </row>
    <row r="14" spans="1:15" x14ac:dyDescent="0.3">
      <c r="A14" s="895"/>
      <c r="B14" s="895"/>
    </row>
    <row r="15" spans="1:15" x14ac:dyDescent="0.3">
      <c r="A15" s="895"/>
      <c r="B15" s="895"/>
    </row>
    <row r="16" spans="1:15" x14ac:dyDescent="0.3">
      <c r="A16" s="895"/>
      <c r="B16" s="895"/>
    </row>
    <row r="17" spans="1:14" x14ac:dyDescent="0.3">
      <c r="A17" s="895"/>
      <c r="B17" s="895"/>
    </row>
    <row r="18" spans="1:14" x14ac:dyDescent="0.3">
      <c r="A18" s="895"/>
      <c r="B18" s="895"/>
    </row>
    <row r="19" spans="1:14" x14ac:dyDescent="0.3">
      <c r="A19" s="895"/>
      <c r="B19" s="895"/>
    </row>
    <row r="20" spans="1:14" x14ac:dyDescent="0.3">
      <c r="A20" s="895"/>
      <c r="B20" s="895"/>
    </row>
    <row r="21" spans="1:14" x14ac:dyDescent="0.3">
      <c r="A21" s="895"/>
      <c r="B21" s="895"/>
    </row>
    <row r="22" spans="1:14" x14ac:dyDescent="0.3">
      <c r="A22" s="895"/>
      <c r="B22" s="895"/>
    </row>
    <row r="23" spans="1:14" x14ac:dyDescent="0.3">
      <c r="A23" s="895"/>
      <c r="B23" s="895"/>
    </row>
    <row r="24" spans="1:14" x14ac:dyDescent="0.3">
      <c r="A24" s="895"/>
      <c r="B24" s="895"/>
    </row>
    <row r="25" spans="1:14" x14ac:dyDescent="0.3">
      <c r="A25" s="895"/>
      <c r="B25" s="895"/>
    </row>
    <row r="26" spans="1:14" x14ac:dyDescent="0.3">
      <c r="A26" s="895"/>
      <c r="B26" s="895"/>
    </row>
    <row r="27" spans="1:14" x14ac:dyDescent="0.3">
      <c r="A27" s="895"/>
      <c r="B27" s="895"/>
    </row>
    <row r="28" spans="1:14" x14ac:dyDescent="0.3">
      <c r="A28" s="895"/>
      <c r="B28" s="895"/>
    </row>
    <row r="29" spans="1:14" x14ac:dyDescent="0.3">
      <c r="A29" s="895"/>
      <c r="B29" s="895"/>
      <c r="C29" s="897"/>
      <c r="D29" s="897"/>
      <c r="E29" s="897"/>
      <c r="F29" s="897"/>
      <c r="G29" s="897"/>
      <c r="H29" s="897"/>
      <c r="I29" s="897"/>
      <c r="J29" s="897"/>
      <c r="K29" s="897"/>
      <c r="L29" s="897"/>
      <c r="M29" s="897"/>
      <c r="N29" s="897"/>
    </row>
    <row r="30" spans="1:14" x14ac:dyDescent="0.3">
      <c r="A30" s="895"/>
      <c r="B30" s="895"/>
      <c r="C30" s="897"/>
      <c r="D30" s="897"/>
      <c r="E30" s="897"/>
      <c r="F30" s="897"/>
      <c r="G30" s="897"/>
      <c r="H30" s="897"/>
      <c r="I30" s="897"/>
      <c r="J30" s="897"/>
      <c r="K30" s="897"/>
      <c r="L30" s="897"/>
      <c r="M30" s="897"/>
      <c r="N30" s="897"/>
    </row>
    <row r="31" spans="1:14" x14ac:dyDescent="0.3">
      <c r="A31" s="895"/>
      <c r="B31" s="895"/>
      <c r="C31" s="897"/>
      <c r="D31" s="897"/>
      <c r="E31" s="897"/>
      <c r="F31" s="897"/>
      <c r="G31" s="897"/>
      <c r="H31" s="897"/>
      <c r="I31" s="897"/>
      <c r="J31" s="897"/>
      <c r="K31" s="897"/>
      <c r="L31" s="897"/>
      <c r="M31" s="897"/>
      <c r="N31" s="897"/>
    </row>
    <row r="32" spans="1:14" x14ac:dyDescent="0.3">
      <c r="A32" s="895"/>
      <c r="B32" s="895"/>
      <c r="C32" s="897"/>
      <c r="D32" s="897"/>
      <c r="E32" s="897"/>
      <c r="F32" s="897"/>
      <c r="G32" s="897"/>
      <c r="H32" s="897"/>
      <c r="I32" s="897"/>
      <c r="J32" s="897"/>
      <c r="K32" s="897"/>
      <c r="L32" s="897"/>
      <c r="M32" s="897"/>
      <c r="N32" s="897"/>
    </row>
    <row r="33" spans="1:17" ht="15.75" customHeight="1" x14ac:dyDescent="0.3">
      <c r="A33" s="895"/>
      <c r="B33" s="895"/>
      <c r="C33" s="897"/>
      <c r="D33" s="897"/>
      <c r="E33" s="897"/>
      <c r="F33" s="897"/>
      <c r="G33" s="897"/>
      <c r="H33" s="897"/>
      <c r="I33" s="897"/>
      <c r="J33" s="897"/>
      <c r="K33" s="897"/>
      <c r="L33" s="897"/>
      <c r="M33" s="897"/>
      <c r="N33" s="897"/>
    </row>
    <row r="34" spans="1:17" ht="15.75" customHeight="1" x14ac:dyDescent="0.3">
      <c r="A34" s="895"/>
      <c r="B34" s="895"/>
      <c r="C34" s="897"/>
      <c r="D34" s="897"/>
      <c r="E34" s="897"/>
      <c r="F34" s="897"/>
      <c r="G34" s="897"/>
      <c r="H34" s="897"/>
      <c r="I34" s="897"/>
      <c r="J34" s="897"/>
      <c r="K34" s="897"/>
      <c r="L34" s="897"/>
      <c r="M34" s="897"/>
      <c r="N34" s="897"/>
    </row>
    <row r="35" spans="1:17" ht="15.75" customHeight="1" x14ac:dyDescent="0.3">
      <c r="A35" s="895"/>
      <c r="B35" s="895"/>
      <c r="C35" s="897"/>
      <c r="D35" s="897"/>
      <c r="E35" s="897"/>
      <c r="F35" s="897"/>
      <c r="G35" s="897"/>
      <c r="H35" s="897"/>
      <c r="I35" s="897"/>
      <c r="J35" s="897"/>
      <c r="K35" s="897"/>
      <c r="L35" s="897"/>
      <c r="M35" s="897"/>
      <c r="N35" s="897"/>
    </row>
    <row r="36" spans="1:17" ht="15.75" customHeight="1" x14ac:dyDescent="0.3">
      <c r="A36" s="895"/>
      <c r="B36" s="895"/>
      <c r="C36" s="897"/>
      <c r="D36" s="897"/>
      <c r="E36" s="897"/>
      <c r="F36" s="897"/>
      <c r="G36" s="897"/>
      <c r="H36" s="897"/>
      <c r="I36" s="897"/>
      <c r="J36" s="897"/>
      <c r="K36" s="897"/>
      <c r="L36" s="897"/>
      <c r="M36" s="897"/>
      <c r="N36" s="897"/>
    </row>
    <row r="37" spans="1:17" ht="15.75" customHeight="1" x14ac:dyDescent="0.3">
      <c r="A37" s="895"/>
      <c r="B37" s="895"/>
      <c r="C37" s="897"/>
      <c r="D37" s="897"/>
      <c r="E37" s="897"/>
      <c r="F37" s="897"/>
      <c r="G37" s="897"/>
      <c r="H37" s="897"/>
      <c r="I37" s="897"/>
      <c r="J37" s="897"/>
      <c r="K37" s="897"/>
      <c r="L37" s="897"/>
      <c r="M37" s="897"/>
      <c r="N37" s="897"/>
    </row>
    <row r="38" spans="1:17" ht="15.75" customHeight="1" x14ac:dyDescent="0.3">
      <c r="A38" s="895"/>
      <c r="B38" s="895"/>
      <c r="C38" s="897"/>
      <c r="D38" s="897"/>
      <c r="E38" s="897"/>
      <c r="F38" s="897"/>
      <c r="G38" s="897"/>
      <c r="H38" s="897"/>
      <c r="I38" s="897"/>
      <c r="J38" s="897"/>
      <c r="K38" s="897"/>
      <c r="L38" s="897"/>
      <c r="M38" s="897"/>
      <c r="N38" s="897"/>
    </row>
    <row r="39" spans="1:17" ht="15.75" customHeight="1" x14ac:dyDescent="0.3">
      <c r="A39" s="895"/>
      <c r="B39" s="895"/>
      <c r="C39" s="897"/>
      <c r="D39" s="897"/>
      <c r="E39" s="897"/>
      <c r="F39" s="897"/>
      <c r="G39" s="897"/>
      <c r="H39" s="897"/>
      <c r="I39" s="897"/>
      <c r="J39" s="897"/>
      <c r="K39" s="897"/>
      <c r="L39" s="897"/>
      <c r="M39" s="897"/>
      <c r="N39" s="897"/>
    </row>
    <row r="40" spans="1:17" ht="15.5" customHeight="1" x14ac:dyDescent="0.3">
      <c r="A40" s="895"/>
      <c r="B40" s="895"/>
      <c r="C40" s="897"/>
      <c r="D40" s="897"/>
      <c r="E40" s="897"/>
      <c r="F40" s="897"/>
      <c r="G40" s="897"/>
      <c r="H40" s="897"/>
      <c r="I40" s="897"/>
      <c r="J40" s="897"/>
      <c r="K40" s="897"/>
      <c r="L40" s="897"/>
      <c r="M40" s="897"/>
      <c r="N40" s="897"/>
    </row>
    <row r="41" spans="1:17" ht="15.75" customHeight="1" x14ac:dyDescent="0.3">
      <c r="A41" s="895"/>
      <c r="B41" s="895"/>
      <c r="C41" s="897"/>
      <c r="D41" s="897"/>
      <c r="E41" s="897"/>
      <c r="F41" s="897"/>
      <c r="G41" s="897"/>
      <c r="H41" s="897"/>
      <c r="I41" s="897"/>
      <c r="J41" s="897"/>
      <c r="K41" s="897"/>
      <c r="L41" s="897"/>
      <c r="M41" s="897"/>
      <c r="N41" s="897"/>
    </row>
    <row r="42" spans="1:17" ht="15.75" customHeight="1" x14ac:dyDescent="0.3">
      <c r="A42" s="895"/>
      <c r="B42" s="895"/>
      <c r="C42" s="897"/>
      <c r="D42" s="897"/>
      <c r="E42" s="897"/>
      <c r="F42" s="897"/>
      <c r="G42" s="897"/>
      <c r="H42" s="897"/>
      <c r="I42" s="897"/>
      <c r="J42" s="897"/>
      <c r="K42" s="897"/>
      <c r="L42" s="897"/>
      <c r="M42" s="897"/>
      <c r="N42" s="897"/>
    </row>
    <row r="43" spans="1:17" ht="15.75" customHeight="1" x14ac:dyDescent="0.3">
      <c r="A43" s="895"/>
      <c r="B43" s="895"/>
      <c r="C43" s="897"/>
      <c r="D43" s="897"/>
      <c r="E43" s="897"/>
      <c r="F43" s="897"/>
      <c r="G43" s="897"/>
      <c r="H43" s="897"/>
      <c r="I43" s="897"/>
      <c r="J43" s="897"/>
      <c r="K43" s="897"/>
      <c r="L43" s="897"/>
      <c r="M43" s="897"/>
      <c r="N43" s="897"/>
    </row>
    <row r="44" spans="1:17" ht="15.75" customHeight="1" x14ac:dyDescent="0.3">
      <c r="A44" s="895"/>
      <c r="B44" s="895"/>
      <c r="C44" s="897"/>
      <c r="D44" s="897"/>
      <c r="E44" s="897"/>
      <c r="F44" s="897"/>
      <c r="G44" s="897"/>
      <c r="H44" s="897"/>
      <c r="I44" s="897"/>
      <c r="J44" s="897"/>
      <c r="K44" s="897"/>
      <c r="L44" s="897"/>
      <c r="M44" s="897"/>
      <c r="N44" s="897"/>
    </row>
    <row r="45" spans="1:17" ht="20.25" customHeight="1" thickBot="1" x14ac:dyDescent="0.4">
      <c r="A45" s="895" t="s">
        <v>7717</v>
      </c>
      <c r="B45" s="895"/>
      <c r="C45" s="897"/>
      <c r="D45" s="897"/>
      <c r="E45" s="897"/>
      <c r="F45" s="897"/>
      <c r="G45" s="897"/>
      <c r="H45" s="897"/>
      <c r="I45" s="897"/>
      <c r="J45" s="897"/>
      <c r="K45" s="897"/>
      <c r="L45" s="897"/>
      <c r="M45" s="897"/>
      <c r="N45" s="897"/>
    </row>
    <row r="46" spans="1:17" x14ac:dyDescent="0.3">
      <c r="A46" s="898" t="s">
        <v>1043</v>
      </c>
      <c r="B46" s="899"/>
      <c r="C46" s="900" t="s">
        <v>7715</v>
      </c>
      <c r="D46" s="901" t="s">
        <v>7718</v>
      </c>
      <c r="E46" s="902" t="s">
        <v>7720</v>
      </c>
      <c r="F46" s="901" t="s">
        <v>7721</v>
      </c>
      <c r="G46" s="901" t="s">
        <v>7722</v>
      </c>
      <c r="H46" s="901" t="s">
        <v>7723</v>
      </c>
      <c r="I46" s="903" t="s">
        <v>7728</v>
      </c>
      <c r="J46" s="901" t="s">
        <v>8045</v>
      </c>
      <c r="K46" s="904" t="s">
        <v>7729</v>
      </c>
      <c r="L46" s="904" t="s">
        <v>7730</v>
      </c>
      <c r="M46" s="904" t="s">
        <v>7731</v>
      </c>
      <c r="N46" s="904" t="s">
        <v>7732</v>
      </c>
      <c r="O46" s="905" t="s">
        <v>417</v>
      </c>
    </row>
    <row r="47" spans="1:17" ht="14" thickBot="1" x14ac:dyDescent="0.4">
      <c r="A47" s="906" t="s">
        <v>447</v>
      </c>
      <c r="B47" s="907"/>
      <c r="C47" s="908" t="s">
        <v>7716</v>
      </c>
      <c r="D47" s="909" t="s">
        <v>7719</v>
      </c>
      <c r="E47" s="910" t="s">
        <v>7724</v>
      </c>
      <c r="F47" s="911" t="s">
        <v>7725</v>
      </c>
      <c r="G47" s="911" t="s">
        <v>7726</v>
      </c>
      <c r="H47" s="911" t="s">
        <v>7727</v>
      </c>
      <c r="I47" s="911" t="s">
        <v>7733</v>
      </c>
      <c r="J47" s="911" t="s">
        <v>7734</v>
      </c>
      <c r="K47" s="911" t="s">
        <v>7735</v>
      </c>
      <c r="L47" s="911" t="s">
        <v>7736</v>
      </c>
      <c r="M47" s="912" t="s">
        <v>7737</v>
      </c>
      <c r="N47" s="911" t="s">
        <v>7738</v>
      </c>
      <c r="O47" s="913" t="s">
        <v>421</v>
      </c>
    </row>
    <row r="48" spans="1:17" ht="15" customHeight="1" x14ac:dyDescent="0.3">
      <c r="A48" s="914" t="s">
        <v>1044</v>
      </c>
      <c r="B48" s="915">
        <v>0</v>
      </c>
      <c r="C48" s="916"/>
      <c r="D48" s="917"/>
      <c r="E48" s="918"/>
      <c r="F48" s="919"/>
      <c r="G48" s="919"/>
      <c r="H48" s="919"/>
      <c r="I48" s="919"/>
      <c r="J48" s="919"/>
      <c r="K48" s="919"/>
      <c r="L48" s="919"/>
      <c r="M48" s="919"/>
      <c r="N48" s="919"/>
      <c r="O48" s="920"/>
      <c r="P48" s="921"/>
      <c r="Q48" s="921"/>
    </row>
    <row r="49" spans="1:17" ht="15" customHeight="1" x14ac:dyDescent="0.35">
      <c r="A49" s="922" t="s">
        <v>1045</v>
      </c>
      <c r="B49" s="923">
        <v>0</v>
      </c>
      <c r="C49" s="924">
        <v>2944636096</v>
      </c>
      <c r="D49" s="924">
        <v>1010692073</v>
      </c>
      <c r="E49" s="924">
        <v>943787100</v>
      </c>
      <c r="F49" s="924">
        <v>1083368899</v>
      </c>
      <c r="G49" s="924">
        <v>1097743827</v>
      </c>
      <c r="H49" s="924">
        <v>812104650</v>
      </c>
      <c r="I49" s="924">
        <v>1445806630</v>
      </c>
      <c r="J49" s="924">
        <v>741804514.33000004</v>
      </c>
      <c r="K49" s="924">
        <v>630681247</v>
      </c>
      <c r="L49" s="924">
        <v>707461450</v>
      </c>
      <c r="M49" s="924">
        <v>801827018</v>
      </c>
      <c r="N49" s="924">
        <f>LR!E58</f>
        <v>641150550</v>
      </c>
      <c r="O49" s="925">
        <f>SUM(C49:N49)</f>
        <v>12861064054.33</v>
      </c>
      <c r="Q49" s="921"/>
    </row>
    <row r="50" spans="1:17" ht="15" customHeight="1" x14ac:dyDescent="0.3">
      <c r="A50" s="926" t="s">
        <v>1046</v>
      </c>
      <c r="B50" s="927">
        <v>0</v>
      </c>
      <c r="C50" s="928"/>
      <c r="D50" s="928"/>
      <c r="E50" s="928"/>
      <c r="F50" s="928"/>
      <c r="G50" s="928"/>
      <c r="H50" s="928"/>
      <c r="I50" s="928"/>
      <c r="J50" s="928"/>
      <c r="K50" s="928"/>
      <c r="L50" s="928"/>
      <c r="M50" s="928"/>
      <c r="N50" s="928"/>
      <c r="O50" s="925"/>
      <c r="Q50" s="921"/>
    </row>
    <row r="51" spans="1:17" ht="15" customHeight="1" thickBot="1" x14ac:dyDescent="0.4">
      <c r="A51" s="922" t="s">
        <v>1047</v>
      </c>
      <c r="B51" s="927">
        <v>0</v>
      </c>
      <c r="C51" s="924">
        <v>633915833.21333325</v>
      </c>
      <c r="D51" s="924">
        <v>975707354.85666668</v>
      </c>
      <c r="E51" s="924">
        <v>1058613512.4433333</v>
      </c>
      <c r="F51" s="924">
        <v>1104387970.0133333</v>
      </c>
      <c r="G51" s="924">
        <v>761237054.51333332</v>
      </c>
      <c r="H51" s="924">
        <v>712877372.25333333</v>
      </c>
      <c r="I51" s="924">
        <v>741239147.07333338</v>
      </c>
      <c r="J51" s="924">
        <v>804521150.62666667</v>
      </c>
      <c r="K51" s="924">
        <v>958745577.9666667</v>
      </c>
      <c r="L51" s="924">
        <v>749042153.12666678</v>
      </c>
      <c r="M51" s="924">
        <v>953712655.12666667</v>
      </c>
      <c r="N51" s="924">
        <f>LR!E75</f>
        <v>669874218.37666678</v>
      </c>
      <c r="O51" s="925">
        <f>SUM(C51:N51)</f>
        <v>10123873999.590002</v>
      </c>
      <c r="Q51" s="921"/>
    </row>
    <row r="52" spans="1:17" ht="15" customHeight="1" x14ac:dyDescent="0.3">
      <c r="A52" s="914" t="s">
        <v>1048</v>
      </c>
      <c r="B52" s="929"/>
      <c r="C52" s="917"/>
      <c r="D52" s="917"/>
      <c r="E52" s="917"/>
      <c r="F52" s="917"/>
      <c r="G52" s="917"/>
      <c r="H52" s="917"/>
      <c r="I52" s="917"/>
      <c r="J52" s="917"/>
      <c r="K52" s="917"/>
      <c r="L52" s="917"/>
      <c r="M52" s="917"/>
      <c r="N52" s="917"/>
      <c r="O52" s="920"/>
      <c r="Q52" s="921"/>
    </row>
    <row r="53" spans="1:17" ht="16.5" customHeight="1" thickBot="1" x14ac:dyDescent="0.35">
      <c r="A53" s="930" t="s">
        <v>1049</v>
      </c>
      <c r="B53" s="931">
        <v>0</v>
      </c>
      <c r="C53" s="932">
        <f t="shared" ref="C53:O53" si="0">C49-C51</f>
        <v>2310720262.7866669</v>
      </c>
      <c r="D53" s="932">
        <f t="shared" si="0"/>
        <v>34984718.143333316</v>
      </c>
      <c r="E53" s="932">
        <f t="shared" si="0"/>
        <v>-114826412.44333327</v>
      </c>
      <c r="F53" s="932">
        <f t="shared" si="0"/>
        <v>-21019071.013333321</v>
      </c>
      <c r="G53" s="932">
        <f>G49-G51</f>
        <v>336506772.48666668</v>
      </c>
      <c r="H53" s="932">
        <f t="shared" si="0"/>
        <v>99227277.74666667</v>
      </c>
      <c r="I53" s="932">
        <f t="shared" si="0"/>
        <v>704567482.92666662</v>
      </c>
      <c r="J53" s="932">
        <f t="shared" si="0"/>
        <v>-62716636.296666622</v>
      </c>
      <c r="K53" s="932">
        <f t="shared" si="0"/>
        <v>-328064330.9666667</v>
      </c>
      <c r="L53" s="932">
        <f>L49-L51</f>
        <v>-41580703.126666784</v>
      </c>
      <c r="M53" s="932">
        <f t="shared" si="0"/>
        <v>-151885637.12666667</v>
      </c>
      <c r="N53" s="932">
        <f t="shared" si="0"/>
        <v>-28723668.376666784</v>
      </c>
      <c r="O53" s="932">
        <f t="shared" si="0"/>
        <v>2737190054.7399979</v>
      </c>
    </row>
    <row r="54" spans="1:17" ht="15" customHeight="1" x14ac:dyDescent="0.3">
      <c r="C54" s="921"/>
      <c r="D54" s="921"/>
      <c r="E54" s="921"/>
      <c r="F54" s="921"/>
      <c r="G54" s="921"/>
      <c r="H54" s="921"/>
      <c r="O54" s="933">
        <f>'[2]LR '!J82-O53</f>
        <v>2055868898.2600021</v>
      </c>
    </row>
    <row r="55" spans="1:17" ht="15" customHeight="1" x14ac:dyDescent="0.3">
      <c r="C55" s="921"/>
      <c r="D55" s="921"/>
      <c r="E55" s="921"/>
      <c r="F55" s="921"/>
      <c r="G55" s="921"/>
      <c r="H55" s="921"/>
      <c r="O55" s="933"/>
    </row>
    <row r="56" spans="1:17" ht="15" customHeight="1" x14ac:dyDescent="0.3">
      <c r="C56" s="921"/>
      <c r="D56" s="921"/>
      <c r="E56" s="921"/>
      <c r="F56" s="921"/>
      <c r="G56" s="921"/>
      <c r="H56" s="921"/>
      <c r="O56" s="933"/>
    </row>
    <row r="57" spans="1:17" ht="15" customHeight="1" x14ac:dyDescent="0.3">
      <c r="C57" s="921"/>
      <c r="D57" s="921"/>
      <c r="E57" s="921"/>
      <c r="F57" s="921"/>
      <c r="G57" s="921"/>
      <c r="H57" s="921"/>
      <c r="O57" s="933"/>
    </row>
    <row r="58" spans="1:17" ht="15" customHeight="1" x14ac:dyDescent="0.3">
      <c r="C58" s="921"/>
      <c r="D58" s="921"/>
      <c r="E58" s="921"/>
      <c r="F58" s="921"/>
      <c r="G58" s="921"/>
      <c r="H58" s="921"/>
      <c r="O58" s="933"/>
    </row>
    <row r="59" spans="1:17" ht="15" customHeight="1" x14ac:dyDescent="0.3">
      <c r="C59" s="921"/>
      <c r="D59" s="921"/>
      <c r="E59" s="921"/>
      <c r="F59" s="921"/>
      <c r="G59" s="921"/>
      <c r="H59" s="921"/>
      <c r="O59" s="933"/>
    </row>
    <row r="60" spans="1:17" ht="15" customHeight="1" x14ac:dyDescent="0.3">
      <c r="C60" s="921"/>
      <c r="D60" s="921"/>
      <c r="E60" s="921"/>
      <c r="F60" s="921"/>
      <c r="G60" s="921"/>
      <c r="H60" s="921"/>
      <c r="O60" s="933"/>
    </row>
    <row r="61" spans="1:17" ht="15" customHeight="1" x14ac:dyDescent="0.3">
      <c r="C61" s="921"/>
      <c r="D61" s="921"/>
      <c r="E61" s="921"/>
      <c r="F61" s="921"/>
      <c r="G61" s="921"/>
      <c r="H61" s="921"/>
      <c r="O61" s="933"/>
    </row>
    <row r="62" spans="1:17" ht="15" customHeight="1" x14ac:dyDescent="0.3">
      <c r="C62" s="921"/>
      <c r="D62" s="921"/>
      <c r="E62" s="921"/>
      <c r="F62" s="921"/>
      <c r="G62" s="921"/>
      <c r="H62" s="921"/>
      <c r="O62" s="933"/>
    </row>
    <row r="63" spans="1:17" ht="15" customHeight="1" x14ac:dyDescent="0.3">
      <c r="C63" s="921"/>
      <c r="D63" s="921"/>
      <c r="E63" s="921"/>
      <c r="F63" s="921"/>
      <c r="G63" s="921"/>
      <c r="H63" s="921"/>
      <c r="O63" s="933"/>
    </row>
    <row r="64" spans="1:17" s="938" customFormat="1" ht="17.5" x14ac:dyDescent="0.35">
      <c r="A64" s="934" t="str">
        <f>IN!C4</f>
        <v>Laporan Keuangan June 2026</v>
      </c>
      <c r="B64" s="935"/>
      <c r="C64" s="935"/>
      <c r="D64" s="935"/>
      <c r="E64" s="935"/>
      <c r="F64" s="935"/>
      <c r="G64" s="935"/>
      <c r="H64" s="936" t="s">
        <v>1050</v>
      </c>
      <c r="I64" s="935"/>
      <c r="J64" s="935"/>
      <c r="K64" s="935"/>
      <c r="L64" s="935"/>
      <c r="M64" s="935"/>
      <c r="N64" s="935"/>
      <c r="O64" s="937" t="str">
        <f>IN!D4</f>
        <v>Financial Statement Jun 2026</v>
      </c>
    </row>
    <row r="65" spans="1:15" x14ac:dyDescent="0.3">
      <c r="A65" s="3393"/>
      <c r="B65" s="3393"/>
      <c r="C65" s="3393"/>
      <c r="D65" s="3393"/>
      <c r="E65" s="3393"/>
      <c r="F65" s="3393"/>
      <c r="G65" s="3393"/>
      <c r="H65" s="3393"/>
      <c r="I65" s="3393"/>
      <c r="J65" s="3393"/>
      <c r="K65" s="3393"/>
      <c r="L65" s="3393"/>
      <c r="M65" s="3393"/>
      <c r="N65" s="3393"/>
      <c r="O65" s="3393"/>
    </row>
    <row r="66" spans="1:15" x14ac:dyDescent="0.3">
      <c r="A66" s="939"/>
      <c r="B66" s="939"/>
      <c r="C66" s="939"/>
      <c r="D66" s="939"/>
      <c r="E66" s="939"/>
      <c r="F66" s="939"/>
      <c r="G66" s="939"/>
      <c r="H66" s="939"/>
      <c r="I66" s="939"/>
      <c r="J66" s="940"/>
      <c r="K66" s="939"/>
      <c r="L66" s="939"/>
      <c r="M66" s="939"/>
      <c r="N66" s="939"/>
      <c r="O66" s="939"/>
    </row>
    <row r="67" spans="1:15" x14ac:dyDescent="0.3">
      <c r="A67" s="939"/>
      <c r="B67" s="939"/>
      <c r="C67" s="939"/>
      <c r="D67" s="939"/>
      <c r="E67" s="939"/>
      <c r="F67" s="939"/>
      <c r="G67" s="939"/>
      <c r="H67" s="939"/>
      <c r="I67" s="939"/>
      <c r="J67" s="940"/>
      <c r="K67" s="939"/>
      <c r="L67" s="939"/>
      <c r="M67" s="939"/>
      <c r="N67" s="939"/>
      <c r="O67" s="939"/>
    </row>
    <row r="68" spans="1:15" x14ac:dyDescent="0.3">
      <c r="A68" s="939"/>
      <c r="B68" s="939"/>
      <c r="C68" s="939"/>
      <c r="D68" s="939"/>
      <c r="E68" s="939"/>
      <c r="F68" s="939"/>
      <c r="G68" s="941"/>
      <c r="H68" s="939"/>
      <c r="I68" s="939"/>
      <c r="J68" s="940"/>
      <c r="K68" s="939"/>
      <c r="L68" s="939"/>
      <c r="M68" s="939"/>
      <c r="N68" s="939"/>
      <c r="O68" s="939"/>
    </row>
    <row r="69" spans="1:15" x14ac:dyDescent="0.3">
      <c r="A69" s="939"/>
      <c r="B69" s="939"/>
      <c r="C69" s="939"/>
      <c r="D69" s="939"/>
      <c r="E69" s="939"/>
      <c r="F69" s="939"/>
      <c r="G69" s="939"/>
      <c r="H69" s="939"/>
      <c r="I69" s="939"/>
      <c r="J69" s="939"/>
      <c r="K69" s="939"/>
      <c r="L69" s="939"/>
      <c r="M69" s="939"/>
      <c r="N69" s="939"/>
      <c r="O69" s="939"/>
    </row>
  </sheetData>
  <mergeCells count="2">
    <mergeCell ref="A1:O1"/>
    <mergeCell ref="A65:O65"/>
  </mergeCells>
  <phoneticPr fontId="174" type="noConversion"/>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R95"/>
  <sheetViews>
    <sheetView topLeftCell="A37" zoomScale="80" zoomScaleNormal="80" workbookViewId="0">
      <selection activeCell="E64" sqref="E64"/>
    </sheetView>
  </sheetViews>
  <sheetFormatPr defaultColWidth="8.81640625" defaultRowHeight="13" outlineLevelRow="1" outlineLevelCol="1" x14ac:dyDescent="0.3"/>
  <cols>
    <col min="1" max="1" width="1.26953125" style="67" customWidth="1"/>
    <col min="2" max="2" width="0.7265625" style="43" customWidth="1"/>
    <col min="3" max="3" width="1.453125" style="43" customWidth="1"/>
    <col min="4" max="4" width="28.1796875" style="43" customWidth="1"/>
    <col min="5" max="5" width="20" style="68" customWidth="1"/>
    <col min="6" max="6" width="10.7265625" style="48" customWidth="1"/>
    <col min="7" max="7" width="20" style="50" customWidth="1"/>
    <col min="8" max="8" width="18" style="50" customWidth="1" outlineLevel="1"/>
    <col min="9" max="9" width="28.1796875" style="58" customWidth="1"/>
    <col min="10" max="10" width="1.7265625" style="58" customWidth="1"/>
    <col min="11" max="11" width="1.54296875" style="69" customWidth="1"/>
    <col min="12" max="12" width="15.453125" style="3035" hidden="1" customWidth="1"/>
    <col min="13" max="13" width="20.1796875" style="43" hidden="1" customWidth="1"/>
    <col min="14" max="14" width="23.36328125" style="43" customWidth="1"/>
    <col min="15" max="15" width="14.81640625" style="43" customWidth="1"/>
    <col min="16" max="16384" width="8.81640625" style="43"/>
  </cols>
  <sheetData>
    <row r="1" spans="1:13" x14ac:dyDescent="0.3">
      <c r="G1" s="43"/>
      <c r="H1" s="43"/>
    </row>
    <row r="2" spans="1:13" s="71" customFormat="1" ht="14" x14ac:dyDescent="0.3">
      <c r="A2" s="70"/>
      <c r="B2" s="3398" t="s">
        <v>7325</v>
      </c>
      <c r="C2" s="3398"/>
      <c r="D2" s="3398"/>
      <c r="E2" s="3398"/>
      <c r="F2" s="3398"/>
      <c r="G2" s="3398"/>
      <c r="H2" s="3398"/>
      <c r="I2" s="3398"/>
      <c r="J2" s="3398"/>
      <c r="K2" s="3398"/>
      <c r="L2" s="3036"/>
    </row>
    <row r="3" spans="1:13" s="77" customFormat="1" ht="9" customHeight="1" x14ac:dyDescent="0.3">
      <c r="A3" s="72"/>
      <c r="B3" s="73"/>
      <c r="C3" s="73"/>
      <c r="D3" s="73"/>
      <c r="E3" s="74"/>
      <c r="F3" s="73"/>
      <c r="G3" s="75"/>
      <c r="H3" s="75"/>
      <c r="I3" s="73"/>
      <c r="J3" s="73"/>
      <c r="K3" s="76"/>
      <c r="L3" s="3035"/>
    </row>
    <row r="4" spans="1:13" s="81" customFormat="1" ht="14" x14ac:dyDescent="0.3">
      <c r="A4" s="67"/>
      <c r="B4" s="78" t="s">
        <v>174</v>
      </c>
      <c r="C4" s="78"/>
      <c r="D4" s="78"/>
      <c r="E4" s="78"/>
      <c r="F4" s="78"/>
      <c r="G4" s="78"/>
      <c r="H4" s="78"/>
      <c r="I4" s="79"/>
      <c r="J4" s="79"/>
      <c r="K4" s="80" t="s">
        <v>175</v>
      </c>
      <c r="L4" s="3035"/>
    </row>
    <row r="5" spans="1:13" s="77" customFormat="1" ht="14" x14ac:dyDescent="0.3">
      <c r="A5" s="67"/>
      <c r="B5" s="3399" t="str">
        <f>IN!C5</f>
        <v>30 June 2026</v>
      </c>
      <c r="C5" s="3399"/>
      <c r="D5" s="3399"/>
      <c r="E5" s="74"/>
      <c r="F5" s="75"/>
      <c r="G5" s="75"/>
      <c r="H5" s="75"/>
      <c r="I5" s="3400">
        <f>IN!D5</f>
        <v>46203</v>
      </c>
      <c r="J5" s="3400"/>
      <c r="K5" s="3400"/>
      <c r="L5" s="3035"/>
    </row>
    <row r="6" spans="1:13" s="81" customFormat="1" ht="14" x14ac:dyDescent="0.3">
      <c r="A6" s="67"/>
      <c r="B6" s="211"/>
      <c r="C6" s="211" t="str">
        <f>IN!C9</f>
        <v>(Dengan perbandingan informasi keuangan untuk bulan yang berakhir 31 May 2026 /</v>
      </c>
      <c r="D6" s="2470"/>
      <c r="E6" s="2470"/>
      <c r="F6" s="2470"/>
      <c r="G6" s="2470"/>
      <c r="H6" s="2470"/>
      <c r="I6" s="2471"/>
      <c r="J6" s="2472"/>
      <c r="K6" s="2243" t="str">
        <f>IN!C10</f>
        <v>With Comparative financial information for the month ended May 31, 2026 )</v>
      </c>
      <c r="L6" s="3035"/>
    </row>
    <row r="7" spans="1:13" s="81" customFormat="1" ht="14" x14ac:dyDescent="0.3">
      <c r="A7" s="67"/>
      <c r="B7" s="2473" t="s">
        <v>176</v>
      </c>
      <c r="C7" s="2474"/>
      <c r="D7" s="2474"/>
      <c r="E7" s="1580"/>
      <c r="F7" s="2475"/>
      <c r="G7" s="2471"/>
      <c r="H7" s="2471"/>
      <c r="I7" s="2476"/>
      <c r="J7" s="2477"/>
      <c r="K7" s="2472" t="s">
        <v>177</v>
      </c>
      <c r="L7" s="3035"/>
    </row>
    <row r="8" spans="1:13" ht="9" customHeight="1" thickBot="1" x14ac:dyDescent="0.35">
      <c r="B8" s="83"/>
      <c r="C8" s="84"/>
      <c r="D8" s="84"/>
      <c r="E8" s="85"/>
      <c r="F8" s="86"/>
      <c r="G8" s="43"/>
      <c r="H8" s="43"/>
      <c r="I8" s="87"/>
      <c r="J8" s="88"/>
      <c r="K8" s="89"/>
    </row>
    <row r="9" spans="1:13" ht="13.5" thickBot="1" x14ac:dyDescent="0.35">
      <c r="B9" s="3401" t="s">
        <v>178</v>
      </c>
      <c r="C9" s="3402"/>
      <c r="D9" s="3402"/>
      <c r="E9" s="90" t="str">
        <f>IN!C5&amp;"/"</f>
        <v>30 June 2026/</v>
      </c>
      <c r="F9" s="91" t="s">
        <v>179</v>
      </c>
      <c r="G9" s="90" t="str">
        <f>IN!C8&amp;"/"</f>
        <v>31 May 2026/</v>
      </c>
      <c r="H9" s="92" t="s">
        <v>7777</v>
      </c>
      <c r="I9" s="3405" t="s">
        <v>180</v>
      </c>
      <c r="J9" s="3405"/>
      <c r="K9" s="3406"/>
      <c r="M9" s="198"/>
    </row>
    <row r="10" spans="1:13" ht="14" thickBot="1" x14ac:dyDescent="0.35">
      <c r="B10" s="3403"/>
      <c r="C10" s="3404"/>
      <c r="D10" s="3404"/>
      <c r="E10" s="93">
        <f>IN!D5</f>
        <v>46203</v>
      </c>
      <c r="F10" s="94" t="s">
        <v>181</v>
      </c>
      <c r="G10" s="93">
        <f>IN!D8</f>
        <v>46173</v>
      </c>
      <c r="H10" s="95"/>
      <c r="I10" s="3407"/>
      <c r="J10" s="3407"/>
      <c r="K10" s="3408"/>
    </row>
    <row r="11" spans="1:13" ht="13.5" x14ac:dyDescent="0.3">
      <c r="A11" s="96"/>
      <c r="B11" s="97"/>
      <c r="C11" s="98" t="s">
        <v>182</v>
      </c>
      <c r="D11" s="99"/>
      <c r="E11" s="100"/>
      <c r="G11" s="101"/>
      <c r="H11" s="101"/>
      <c r="I11" s="102"/>
      <c r="J11" s="103" t="s">
        <v>183</v>
      </c>
      <c r="K11" s="104"/>
    </row>
    <row r="12" spans="1:13" ht="14" x14ac:dyDescent="0.3">
      <c r="A12" s="96"/>
      <c r="B12" s="97"/>
      <c r="C12" s="98" t="s">
        <v>184</v>
      </c>
      <c r="D12" s="98"/>
      <c r="E12" s="105"/>
      <c r="F12" s="106"/>
      <c r="G12" s="107"/>
      <c r="H12" s="107"/>
      <c r="I12" s="108"/>
      <c r="J12" s="88" t="s">
        <v>185</v>
      </c>
      <c r="K12" s="104"/>
    </row>
    <row r="13" spans="1:13" x14ac:dyDescent="0.3">
      <c r="A13" s="96"/>
      <c r="B13" s="97"/>
      <c r="C13" s="109" t="s">
        <v>186</v>
      </c>
      <c r="D13" s="109"/>
      <c r="E13" s="68">
        <f>CLK!Q152</f>
        <v>3128425760.5799999</v>
      </c>
      <c r="F13" s="106">
        <v>2</v>
      </c>
      <c r="G13" s="110">
        <f>CLK!X152</f>
        <v>3005116568.5799999</v>
      </c>
      <c r="H13" s="110">
        <f>E13-G13</f>
        <v>123309192</v>
      </c>
      <c r="I13" s="111"/>
      <c r="J13" s="87" t="s">
        <v>187</v>
      </c>
      <c r="K13" s="104"/>
      <c r="M13" s="112"/>
    </row>
    <row r="14" spans="1:13" x14ac:dyDescent="0.3">
      <c r="A14" s="96"/>
      <c r="B14" s="97"/>
      <c r="C14" s="84" t="s">
        <v>188</v>
      </c>
      <c r="D14" s="109"/>
      <c r="E14" s="110"/>
      <c r="F14" s="106">
        <v>3</v>
      </c>
      <c r="G14" s="110"/>
      <c r="H14" s="110"/>
      <c r="I14" s="111"/>
      <c r="J14" s="87" t="s">
        <v>189</v>
      </c>
      <c r="K14" s="104"/>
      <c r="M14" s="112"/>
    </row>
    <row r="15" spans="1:13" s="50" customFormat="1" ht="13.5" x14ac:dyDescent="0.35">
      <c r="A15" s="96"/>
      <c r="B15" s="97"/>
      <c r="C15" s="84" t="s">
        <v>190</v>
      </c>
      <c r="D15" s="109" t="s">
        <v>191</v>
      </c>
      <c r="E15" s="113">
        <f>CLK!Q170</f>
        <v>847774000</v>
      </c>
      <c r="F15" s="106"/>
      <c r="G15" s="113">
        <f>CLK!X170</f>
        <v>830206000</v>
      </c>
      <c r="H15" s="113">
        <f t="shared" ref="H15:H18" si="0">E15-G15</f>
        <v>17568000</v>
      </c>
      <c r="I15" s="111" t="s">
        <v>192</v>
      </c>
      <c r="J15" s="87" t="s">
        <v>190</v>
      </c>
      <c r="K15" s="114"/>
      <c r="L15" s="3037"/>
      <c r="M15" s="112"/>
    </row>
    <row r="16" spans="1:13" s="50" customFormat="1" ht="13.5" outlineLevel="1" x14ac:dyDescent="0.35">
      <c r="A16" s="96"/>
      <c r="B16" s="97"/>
      <c r="C16" s="84" t="s">
        <v>190</v>
      </c>
      <c r="D16" s="109" t="s">
        <v>193</v>
      </c>
      <c r="E16" s="113">
        <f>CLK!Q184</f>
        <v>0</v>
      </c>
      <c r="F16" s="106"/>
      <c r="G16" s="113">
        <f>CLK!X184</f>
        <v>0</v>
      </c>
      <c r="H16" s="113">
        <f t="shared" si="0"/>
        <v>0</v>
      </c>
      <c r="I16" s="111" t="s">
        <v>194</v>
      </c>
      <c r="J16" s="87" t="s">
        <v>190</v>
      </c>
      <c r="K16" s="114"/>
      <c r="L16" s="3037"/>
      <c r="M16" s="112"/>
    </row>
    <row r="17" spans="1:15" s="50" customFormat="1" ht="15" customHeight="1" outlineLevel="1" x14ac:dyDescent="0.35">
      <c r="A17" s="96"/>
      <c r="B17" s="97"/>
      <c r="C17" s="84" t="s">
        <v>190</v>
      </c>
      <c r="D17" s="109" t="s">
        <v>195</v>
      </c>
      <c r="E17" s="115">
        <f>CLK!Q202</f>
        <v>140077350</v>
      </c>
      <c r="F17" s="116"/>
      <c r="G17" s="115">
        <f>CLK!X202</f>
        <v>73712800</v>
      </c>
      <c r="H17" s="3120">
        <f t="shared" si="0"/>
        <v>66364550</v>
      </c>
      <c r="I17" s="111" t="s">
        <v>196</v>
      </c>
      <c r="J17" s="87" t="s">
        <v>190</v>
      </c>
      <c r="K17" s="114"/>
      <c r="L17" s="3037"/>
      <c r="M17" s="112"/>
    </row>
    <row r="18" spans="1:15" s="64" customFormat="1" ht="21.75" customHeight="1" x14ac:dyDescent="0.3">
      <c r="A18" s="117"/>
      <c r="B18" s="97"/>
      <c r="C18" s="84"/>
      <c r="D18" s="109"/>
      <c r="E18" s="118">
        <f>SUM(E15:E17)</f>
        <v>987851350</v>
      </c>
      <c r="F18" s="119"/>
      <c r="G18" s="118">
        <f>SUM(G15:G17)</f>
        <v>903918800</v>
      </c>
      <c r="H18" s="118">
        <f t="shared" si="0"/>
        <v>83932550</v>
      </c>
      <c r="I18" s="111"/>
      <c r="J18" s="87"/>
      <c r="K18" s="120"/>
      <c r="L18" s="3034">
        <f>[3]NRC!$E$18</f>
        <v>1014166450</v>
      </c>
      <c r="M18" s="112">
        <f>L18-G18</f>
        <v>110247650</v>
      </c>
    </row>
    <row r="19" spans="1:15" ht="15" customHeight="1" x14ac:dyDescent="0.3">
      <c r="A19" s="96"/>
      <c r="B19" s="97"/>
      <c r="C19" s="84" t="s">
        <v>197</v>
      </c>
      <c r="D19" s="109"/>
      <c r="E19" s="110">
        <f>CLK!Q222</f>
        <v>78023803.5</v>
      </c>
      <c r="F19" s="106">
        <v>4</v>
      </c>
      <c r="G19" s="113">
        <f>CLK!X222</f>
        <v>71027505.329999998</v>
      </c>
      <c r="H19" s="113">
        <f>E19-G19</f>
        <v>6996298.1700000018</v>
      </c>
      <c r="I19" s="111"/>
      <c r="J19" s="87" t="s">
        <v>198</v>
      </c>
      <c r="K19" s="104"/>
      <c r="M19" s="112"/>
    </row>
    <row r="20" spans="1:15" ht="15" customHeight="1" x14ac:dyDescent="0.3">
      <c r="A20" s="96"/>
      <c r="B20" s="97"/>
      <c r="C20" s="84" t="s">
        <v>199</v>
      </c>
      <c r="D20" s="109"/>
      <c r="E20" s="110">
        <f>CLK!Q249</f>
        <v>206952262</v>
      </c>
      <c r="F20" s="106">
        <v>5</v>
      </c>
      <c r="G20" s="113">
        <f>CLK!X249</f>
        <v>224288070</v>
      </c>
      <c r="H20" s="113">
        <f>E20-G20</f>
        <v>-17335808</v>
      </c>
      <c r="I20" s="111"/>
      <c r="J20" s="87" t="s">
        <v>200</v>
      </c>
      <c r="K20" s="104"/>
      <c r="M20" s="112"/>
    </row>
    <row r="21" spans="1:15" ht="15" customHeight="1" outlineLevel="1" x14ac:dyDescent="0.3">
      <c r="A21" s="96"/>
      <c r="B21" s="97"/>
      <c r="C21" s="84" t="s">
        <v>201</v>
      </c>
      <c r="D21" s="109"/>
      <c r="E21" s="113">
        <f>CLK!Q264</f>
        <v>0</v>
      </c>
      <c r="F21" s="106"/>
      <c r="G21" s="113">
        <f>CLK!X264</f>
        <v>0</v>
      </c>
      <c r="H21" s="113">
        <v>0</v>
      </c>
      <c r="I21" s="111"/>
      <c r="J21" s="87" t="s">
        <v>202</v>
      </c>
      <c r="K21" s="104"/>
      <c r="M21" s="112"/>
    </row>
    <row r="22" spans="1:15" ht="15" customHeight="1" outlineLevel="1" x14ac:dyDescent="0.3">
      <c r="A22" s="96"/>
      <c r="B22" s="97"/>
      <c r="C22" s="84" t="s">
        <v>203</v>
      </c>
      <c r="D22" s="109"/>
      <c r="E22" s="113">
        <f>CLK!Q308</f>
        <v>32400000</v>
      </c>
      <c r="F22" s="106"/>
      <c r="G22" s="113">
        <f>CLK!X308</f>
        <v>32400000</v>
      </c>
      <c r="H22" s="113">
        <f>E22-G22</f>
        <v>0</v>
      </c>
      <c r="I22" s="111"/>
      <c r="J22" s="87" t="s">
        <v>204</v>
      </c>
      <c r="K22" s="104"/>
      <c r="M22" s="112"/>
    </row>
    <row r="23" spans="1:15" ht="18.75" customHeight="1" outlineLevel="1" x14ac:dyDescent="0.3">
      <c r="A23" s="96"/>
      <c r="B23" s="97"/>
      <c r="C23" s="84" t="s">
        <v>205</v>
      </c>
      <c r="D23" s="109"/>
      <c r="E23" s="113">
        <f>CLK!Q322</f>
        <v>9166665.6600000001</v>
      </c>
      <c r="F23" s="106"/>
      <c r="G23" s="113">
        <f>CLK!X322</f>
        <v>10833332.33</v>
      </c>
      <c r="H23" s="113">
        <f>E23-G23</f>
        <v>-1666666.67</v>
      </c>
      <c r="I23" s="111"/>
      <c r="J23" s="87" t="s">
        <v>206</v>
      </c>
      <c r="K23" s="104"/>
      <c r="M23" s="112"/>
    </row>
    <row r="24" spans="1:15" x14ac:dyDescent="0.3">
      <c r="A24" s="96"/>
      <c r="B24" s="97"/>
      <c r="C24" s="84"/>
      <c r="D24" s="109"/>
      <c r="E24" s="118"/>
      <c r="F24" s="116"/>
      <c r="G24" s="118"/>
      <c r="H24" s="118"/>
      <c r="I24" s="111"/>
      <c r="J24" s="87"/>
      <c r="K24" s="104"/>
      <c r="M24" s="112"/>
    </row>
    <row r="25" spans="1:15" ht="16.5" customHeight="1" x14ac:dyDescent="0.3">
      <c r="A25" s="96"/>
      <c r="B25" s="122"/>
      <c r="C25" s="123" t="s">
        <v>207</v>
      </c>
      <c r="D25" s="124"/>
      <c r="E25" s="125">
        <f>E13+E18+E19+E20+E21+E22+E23</f>
        <v>4442819841.7399998</v>
      </c>
      <c r="F25" s="116"/>
      <c r="G25" s="125">
        <f>G13+G18+G19+G20+G21+G22+G23</f>
        <v>4247584276.2399998</v>
      </c>
      <c r="H25" s="125">
        <f>E25-G25</f>
        <v>195235565.5</v>
      </c>
      <c r="I25" s="126"/>
      <c r="J25" s="127" t="s">
        <v>208</v>
      </c>
      <c r="K25" s="128"/>
      <c r="L25" s="3034">
        <f>[3]NRC!$E$25</f>
        <v>3030110410.8038096</v>
      </c>
      <c r="M25" s="112">
        <f>L25-G25</f>
        <v>-1217473865.4361901</v>
      </c>
      <c r="N25" s="43">
        <f>'20'!H25</f>
        <v>4442819841.7399998</v>
      </c>
      <c r="O25" s="159">
        <f>E25-N25</f>
        <v>0</v>
      </c>
    </row>
    <row r="26" spans="1:15" ht="16.5" customHeight="1" x14ac:dyDescent="0.3">
      <c r="A26" s="96"/>
      <c r="B26" s="129"/>
      <c r="C26" s="130" t="s">
        <v>209</v>
      </c>
      <c r="D26" s="98"/>
      <c r="E26" s="110"/>
      <c r="F26" s="106"/>
      <c r="G26" s="131"/>
      <c r="H26" s="131"/>
      <c r="I26" s="108"/>
      <c r="J26" s="88" t="s">
        <v>210</v>
      </c>
      <c r="K26" s="104"/>
      <c r="M26" s="112"/>
    </row>
    <row r="27" spans="1:15" ht="16.5" customHeight="1" x14ac:dyDescent="0.3">
      <c r="A27" s="96"/>
      <c r="B27" s="129"/>
      <c r="C27" s="132" t="s">
        <v>211</v>
      </c>
      <c r="D27" s="98"/>
      <c r="E27" s="110"/>
      <c r="F27" s="106"/>
      <c r="G27" s="113"/>
      <c r="H27" s="113"/>
      <c r="I27" s="108"/>
      <c r="J27" s="87" t="s">
        <v>212</v>
      </c>
      <c r="K27" s="104"/>
      <c r="M27" s="112"/>
    </row>
    <row r="28" spans="1:15" ht="15" customHeight="1" x14ac:dyDescent="0.3">
      <c r="A28" s="96"/>
      <c r="B28" s="129"/>
      <c r="C28" s="84" t="s">
        <v>213</v>
      </c>
      <c r="D28" s="109"/>
      <c r="E28" s="110"/>
      <c r="F28" s="106"/>
      <c r="G28" s="113"/>
      <c r="H28" s="113"/>
      <c r="I28" s="111"/>
      <c r="J28" s="87" t="s">
        <v>214</v>
      </c>
      <c r="K28" s="104"/>
      <c r="M28" s="112"/>
    </row>
    <row r="29" spans="1:15" ht="15" customHeight="1" x14ac:dyDescent="0.3">
      <c r="A29" s="96"/>
      <c r="B29" s="129"/>
      <c r="C29" s="84" t="s">
        <v>190</v>
      </c>
      <c r="D29" s="109" t="s">
        <v>215</v>
      </c>
      <c r="E29" s="113">
        <f>CLK!AF347</f>
        <v>22996453372.001999</v>
      </c>
      <c r="F29" s="106">
        <v>8</v>
      </c>
      <c r="G29" s="113">
        <f>CLK!AF382</f>
        <v>22988954372.001999</v>
      </c>
      <c r="H29" s="113">
        <f t="shared" ref="H29:H30" si="1">E29-G29</f>
        <v>7499000</v>
      </c>
      <c r="I29" s="111" t="s">
        <v>216</v>
      </c>
      <c r="J29" s="87" t="s">
        <v>190</v>
      </c>
      <c r="K29" s="104"/>
      <c r="M29" s="112"/>
    </row>
    <row r="30" spans="1:15" ht="15" customHeight="1" x14ac:dyDescent="0.3">
      <c r="A30" s="96"/>
      <c r="B30" s="129"/>
      <c r="C30" s="84" t="s">
        <v>190</v>
      </c>
      <c r="D30" s="109" t="s">
        <v>217</v>
      </c>
      <c r="E30" s="133">
        <f>-CLK!AF358</f>
        <v>-3740628796.4914784</v>
      </c>
      <c r="F30" s="116">
        <v>8</v>
      </c>
      <c r="G30" s="134">
        <f>-CLK!AF394</f>
        <v>-3647379974.7685285</v>
      </c>
      <c r="H30" s="3120">
        <f t="shared" si="1"/>
        <v>-93248821.722949982</v>
      </c>
      <c r="I30" s="111" t="s">
        <v>218</v>
      </c>
      <c r="J30" s="87" t="s">
        <v>190</v>
      </c>
      <c r="K30" s="104"/>
      <c r="M30" s="112"/>
    </row>
    <row r="31" spans="1:15" ht="15" customHeight="1" x14ac:dyDescent="0.3">
      <c r="A31" s="96"/>
      <c r="B31" s="129"/>
      <c r="C31" s="84"/>
      <c r="D31" s="109"/>
      <c r="E31" s="131">
        <f>SUM(E29:E30)</f>
        <v>19255824575.510521</v>
      </c>
      <c r="F31" s="106"/>
      <c r="G31" s="131">
        <f>SUM(G29:G30)</f>
        <v>19341574397.233471</v>
      </c>
      <c r="H31" s="131">
        <f>E31-G31</f>
        <v>-85749821.722949982</v>
      </c>
      <c r="I31" s="111"/>
      <c r="J31" s="87"/>
      <c r="K31" s="104"/>
      <c r="L31" s="3034">
        <f>[3]NRC!$E$34</f>
        <v>18772844698.107952</v>
      </c>
      <c r="M31" s="112">
        <f>L31-G31</f>
        <v>-568729699.1255188</v>
      </c>
    </row>
    <row r="32" spans="1:15" ht="15" customHeight="1" x14ac:dyDescent="0.3">
      <c r="A32" s="96"/>
      <c r="B32" s="129"/>
      <c r="C32" s="84" t="s">
        <v>219</v>
      </c>
      <c r="D32" s="109"/>
      <c r="E32" s="110">
        <f>CLK!Q434</f>
        <v>10130900</v>
      </c>
      <c r="F32" s="106"/>
      <c r="G32" s="113">
        <f>CLK!X434</f>
        <v>9899400</v>
      </c>
      <c r="H32" s="113">
        <f>E32-G32</f>
        <v>231500</v>
      </c>
      <c r="I32" s="111"/>
      <c r="J32" s="87" t="s">
        <v>220</v>
      </c>
      <c r="K32" s="104"/>
      <c r="M32" s="112"/>
    </row>
    <row r="33" spans="1:15" ht="9" customHeight="1" x14ac:dyDescent="0.3">
      <c r="A33" s="96"/>
      <c r="B33" s="129"/>
      <c r="C33" s="84"/>
      <c r="D33" s="109"/>
      <c r="E33" s="110"/>
      <c r="F33" s="116"/>
      <c r="G33" s="113"/>
      <c r="H33" s="113"/>
      <c r="I33" s="111"/>
      <c r="J33" s="87"/>
      <c r="K33" s="104"/>
      <c r="M33" s="112"/>
    </row>
    <row r="34" spans="1:15" ht="13.5" x14ac:dyDescent="0.3">
      <c r="A34" s="96"/>
      <c r="B34" s="122"/>
      <c r="C34" s="123" t="s">
        <v>221</v>
      </c>
      <c r="D34" s="124"/>
      <c r="E34" s="125">
        <f>E32+E31+E27</f>
        <v>19265955475.510521</v>
      </c>
      <c r="F34" s="135"/>
      <c r="G34" s="125">
        <f>G32+G31+G27</f>
        <v>19351473797.233471</v>
      </c>
      <c r="H34" s="125">
        <f>E34-G34</f>
        <v>-85518321.722949982</v>
      </c>
      <c r="I34" s="126"/>
      <c r="J34" s="127" t="s">
        <v>222</v>
      </c>
      <c r="K34" s="128"/>
      <c r="M34" s="112"/>
      <c r="N34" s="43">
        <f>'20'!H34</f>
        <v>19265955475.050518</v>
      </c>
      <c r="O34" s="159">
        <f>E34-N34</f>
        <v>0.46000289916992188</v>
      </c>
    </row>
    <row r="35" spans="1:15" ht="9" customHeight="1" thickBot="1" x14ac:dyDescent="0.35">
      <c r="A35" s="96"/>
      <c r="B35" s="129"/>
      <c r="C35" s="130"/>
      <c r="D35" s="98"/>
      <c r="E35" s="136"/>
      <c r="G35" s="131"/>
      <c r="H35" s="131"/>
      <c r="I35" s="108"/>
      <c r="J35" s="88"/>
      <c r="K35" s="104"/>
      <c r="M35" s="112"/>
    </row>
    <row r="36" spans="1:15" ht="14" thickBot="1" x14ac:dyDescent="0.35">
      <c r="A36" s="96"/>
      <c r="B36" s="3394" t="s">
        <v>223</v>
      </c>
      <c r="C36" s="3395"/>
      <c r="D36" s="3395"/>
      <c r="E36" s="137">
        <f>E34+E25</f>
        <v>23708775317.250519</v>
      </c>
      <c r="F36" s="138"/>
      <c r="G36" s="137">
        <f>G34+G25</f>
        <v>23599058073.473473</v>
      </c>
      <c r="H36" s="139">
        <f>E36-G36</f>
        <v>109717243.7770462</v>
      </c>
      <c r="I36" s="3396" t="s">
        <v>224</v>
      </c>
      <c r="J36" s="3396"/>
      <c r="K36" s="3397"/>
      <c r="L36" s="3034">
        <f>[3]NRC!$E$36</f>
        <v>21802955108.911762</v>
      </c>
      <c r="M36" s="112">
        <f>L36-G36</f>
        <v>-1796102964.5617104</v>
      </c>
    </row>
    <row r="37" spans="1:15" ht="13.5" x14ac:dyDescent="0.3">
      <c r="A37" s="96"/>
      <c r="B37" s="97"/>
      <c r="C37" s="130" t="s">
        <v>225</v>
      </c>
      <c r="D37" s="63"/>
      <c r="E37" s="140"/>
      <c r="G37" s="131"/>
      <c r="H37" s="131"/>
      <c r="I37" s="108"/>
      <c r="J37" s="88" t="s">
        <v>226</v>
      </c>
      <c r="K37" s="104"/>
      <c r="M37" s="112"/>
    </row>
    <row r="38" spans="1:15" ht="13.5" x14ac:dyDescent="0.3">
      <c r="A38" s="96"/>
      <c r="B38" s="97"/>
      <c r="C38" s="130" t="s">
        <v>227</v>
      </c>
      <c r="D38" s="130"/>
      <c r="E38" s="100"/>
      <c r="G38" s="118"/>
      <c r="H38" s="118"/>
      <c r="I38" s="108"/>
      <c r="J38" s="88" t="s">
        <v>228</v>
      </c>
      <c r="K38" s="104"/>
      <c r="M38" s="112"/>
    </row>
    <row r="39" spans="1:15" ht="13.5" outlineLevel="1" x14ac:dyDescent="0.3">
      <c r="A39" s="96"/>
      <c r="B39" s="97"/>
      <c r="C39" s="84" t="s">
        <v>229</v>
      </c>
      <c r="D39" s="130"/>
      <c r="E39" s="110"/>
      <c r="F39" s="106"/>
      <c r="G39" s="110"/>
      <c r="H39" s="110"/>
      <c r="I39" s="108"/>
      <c r="J39" s="87" t="s">
        <v>230</v>
      </c>
      <c r="K39" s="104"/>
      <c r="M39" s="112"/>
    </row>
    <row r="40" spans="1:15" outlineLevel="1" x14ac:dyDescent="0.3">
      <c r="A40" s="96"/>
      <c r="B40" s="97"/>
      <c r="C40" s="84" t="s">
        <v>190</v>
      </c>
      <c r="D40" s="84" t="s">
        <v>231</v>
      </c>
      <c r="E40" s="110">
        <f>CLK!Q456</f>
        <v>127867575</v>
      </c>
      <c r="F40" s="106"/>
      <c r="G40" s="110">
        <f>CLK!X448</f>
        <v>23819342</v>
      </c>
      <c r="H40" s="113">
        <f>E40-G40</f>
        <v>104048233</v>
      </c>
      <c r="I40" s="111" t="s">
        <v>232</v>
      </c>
      <c r="J40" s="84" t="s">
        <v>190</v>
      </c>
      <c r="K40" s="104"/>
      <c r="M40" s="112"/>
    </row>
    <row r="41" spans="1:15" outlineLevel="1" x14ac:dyDescent="0.3">
      <c r="A41" s="96"/>
      <c r="B41" s="97"/>
      <c r="C41" s="84" t="s">
        <v>190</v>
      </c>
      <c r="D41" s="84" t="s">
        <v>233</v>
      </c>
      <c r="E41" s="110">
        <f>CLK!Q464</f>
        <v>0</v>
      </c>
      <c r="F41" s="106"/>
      <c r="G41" s="110">
        <f>CLK!X464</f>
        <v>0</v>
      </c>
      <c r="H41" s="113">
        <f>E41-G41</f>
        <v>0</v>
      </c>
      <c r="I41" s="111" t="s">
        <v>234</v>
      </c>
      <c r="J41" s="84" t="s">
        <v>190</v>
      </c>
      <c r="K41" s="104"/>
      <c r="M41" s="112"/>
    </row>
    <row r="42" spans="1:15" outlineLevel="1" x14ac:dyDescent="0.3">
      <c r="A42" s="96"/>
      <c r="B42" s="97"/>
      <c r="C42" s="84" t="s">
        <v>190</v>
      </c>
      <c r="D42" s="84" t="s">
        <v>235</v>
      </c>
      <c r="E42" s="141">
        <f>CLK!Q472</f>
        <v>0</v>
      </c>
      <c r="F42" s="116"/>
      <c r="G42" s="141">
        <f>CLK!X472</f>
        <v>0</v>
      </c>
      <c r="H42" s="3121">
        <v>0</v>
      </c>
      <c r="I42" s="111" t="s">
        <v>236</v>
      </c>
      <c r="J42" s="84" t="s">
        <v>190</v>
      </c>
      <c r="K42" s="104"/>
      <c r="M42" s="112"/>
    </row>
    <row r="43" spans="1:15" outlineLevel="1" x14ac:dyDescent="0.3">
      <c r="A43" s="96"/>
      <c r="B43" s="97"/>
      <c r="C43" s="84"/>
      <c r="D43" s="84"/>
      <c r="E43" s="118">
        <f>SUM(E40:E42)</f>
        <v>127867575</v>
      </c>
      <c r="F43" s="106"/>
      <c r="G43" s="118">
        <f>SUM(G40:G42)</f>
        <v>23819342</v>
      </c>
      <c r="H43" s="118">
        <v>0</v>
      </c>
      <c r="I43" s="111"/>
      <c r="J43" s="84"/>
      <c r="K43" s="104"/>
      <c r="M43" s="112"/>
    </row>
    <row r="44" spans="1:15" x14ac:dyDescent="0.3">
      <c r="A44" s="96"/>
      <c r="B44" s="97"/>
      <c r="C44" s="84" t="s">
        <v>237</v>
      </c>
      <c r="D44" s="84"/>
      <c r="E44" s="131"/>
      <c r="F44" s="106"/>
      <c r="G44" s="131"/>
      <c r="H44" s="131"/>
      <c r="I44" s="111"/>
      <c r="J44" s="87" t="s">
        <v>238</v>
      </c>
      <c r="K44" s="104"/>
      <c r="M44" s="112"/>
    </row>
    <row r="45" spans="1:15" x14ac:dyDescent="0.3">
      <c r="A45" s="96"/>
      <c r="B45" s="97"/>
      <c r="C45" s="84" t="s">
        <v>190</v>
      </c>
      <c r="D45" s="84" t="s">
        <v>239</v>
      </c>
      <c r="E45" s="113">
        <f>CLK!Q488</f>
        <v>178972000</v>
      </c>
      <c r="F45" s="106">
        <v>11</v>
      </c>
      <c r="G45" s="113">
        <f>CLK!X488</f>
        <v>121652000</v>
      </c>
      <c r="H45" s="113">
        <f t="shared" ref="H45:H46" si="2">E45-G45</f>
        <v>57320000</v>
      </c>
      <c r="I45" s="111" t="s">
        <v>240</v>
      </c>
      <c r="J45" s="142" t="s">
        <v>190</v>
      </c>
      <c r="K45" s="104"/>
      <c r="M45" s="112"/>
    </row>
    <row r="46" spans="1:15" x14ac:dyDescent="0.3">
      <c r="A46" s="96"/>
      <c r="B46" s="97"/>
      <c r="C46" s="84" t="s">
        <v>190</v>
      </c>
      <c r="D46" s="84" t="s">
        <v>241</v>
      </c>
      <c r="E46" s="113">
        <f>CLK!Q491</f>
        <v>85600</v>
      </c>
      <c r="F46" s="106">
        <v>11</v>
      </c>
      <c r="G46" s="113">
        <f>CLK!X491</f>
        <v>101107200</v>
      </c>
      <c r="H46" s="113">
        <f t="shared" si="2"/>
        <v>-101021600</v>
      </c>
      <c r="I46" s="111" t="s">
        <v>242</v>
      </c>
      <c r="J46" s="142" t="s">
        <v>190</v>
      </c>
      <c r="K46" s="104"/>
      <c r="M46" s="112"/>
    </row>
    <row r="47" spans="1:15" x14ac:dyDescent="0.3">
      <c r="A47" s="96"/>
      <c r="B47" s="97"/>
      <c r="C47" s="84" t="s">
        <v>190</v>
      </c>
      <c r="D47" s="84" t="s">
        <v>243</v>
      </c>
      <c r="E47" s="113">
        <v>0</v>
      </c>
      <c r="F47" s="106"/>
      <c r="G47" s="113">
        <v>0</v>
      </c>
      <c r="H47" s="113"/>
      <c r="I47" s="111" t="s">
        <v>244</v>
      </c>
      <c r="J47" s="142" t="s">
        <v>190</v>
      </c>
      <c r="K47" s="104"/>
      <c r="M47" s="112"/>
    </row>
    <row r="48" spans="1:15" x14ac:dyDescent="0.3">
      <c r="A48" s="96"/>
      <c r="B48" s="97"/>
      <c r="C48" s="84" t="s">
        <v>190</v>
      </c>
      <c r="D48" s="84" t="s">
        <v>245</v>
      </c>
      <c r="E48" s="115">
        <f>CLK!Q506</f>
        <v>255093228</v>
      </c>
      <c r="F48" s="116"/>
      <c r="G48" s="115">
        <f>CLK!X506</f>
        <v>176057228</v>
      </c>
      <c r="H48" s="3120">
        <f t="shared" ref="H48:H49" si="3">E48-G48</f>
        <v>79036000</v>
      </c>
      <c r="I48" s="111" t="s">
        <v>246</v>
      </c>
      <c r="J48" s="142" t="s">
        <v>190</v>
      </c>
      <c r="K48" s="104"/>
      <c r="M48" s="112"/>
      <c r="N48" s="43" t="s">
        <v>8157</v>
      </c>
    </row>
    <row r="49" spans="1:18" x14ac:dyDescent="0.3">
      <c r="A49" s="96"/>
      <c r="B49" s="97"/>
      <c r="C49" s="84"/>
      <c r="D49" s="84"/>
      <c r="E49" s="131">
        <f>SUM(E45:E48)</f>
        <v>434150828</v>
      </c>
      <c r="F49" s="106"/>
      <c r="G49" s="131">
        <f>SUM(G45:G48)</f>
        <v>398816428</v>
      </c>
      <c r="H49" s="131">
        <f t="shared" si="3"/>
        <v>35334400</v>
      </c>
      <c r="I49" s="111"/>
      <c r="J49" s="87"/>
      <c r="K49" s="104"/>
      <c r="L49" s="3034">
        <f>[3]NRC!$E$49</f>
        <v>462655588</v>
      </c>
      <c r="M49" s="112">
        <f>L49-G49</f>
        <v>63839160</v>
      </c>
      <c r="N49" s="3337" t="s">
        <v>8156</v>
      </c>
      <c r="O49" s="3338">
        <f>SUM(E13:E15)/E61</f>
        <v>2.0266786597699498</v>
      </c>
      <c r="Q49" s="43" t="s">
        <v>8155</v>
      </c>
      <c r="R49" s="3340">
        <v>1</v>
      </c>
    </row>
    <row r="50" spans="1:18" x14ac:dyDescent="0.3">
      <c r="A50" s="96"/>
      <c r="B50" s="97"/>
      <c r="C50" s="84" t="s">
        <v>247</v>
      </c>
      <c r="D50" s="84"/>
      <c r="E50" s="113">
        <f>CLK!Q527</f>
        <v>370022227</v>
      </c>
      <c r="F50" s="106"/>
      <c r="G50" s="113">
        <f>CLK!X527</f>
        <v>370022227</v>
      </c>
      <c r="H50" s="113"/>
      <c r="I50" s="111"/>
      <c r="J50" s="87" t="s">
        <v>248</v>
      </c>
      <c r="K50" s="104"/>
      <c r="M50" s="112"/>
      <c r="N50" s="3339" t="s">
        <v>8154</v>
      </c>
      <c r="O50" s="3338">
        <f>E13/E61</f>
        <v>1.5945661962207884</v>
      </c>
      <c r="Q50" s="43" t="s">
        <v>8155</v>
      </c>
      <c r="R50" s="3340">
        <v>1</v>
      </c>
    </row>
    <row r="51" spans="1:18" outlineLevel="1" x14ac:dyDescent="0.3">
      <c r="A51" s="96"/>
      <c r="B51" s="97"/>
      <c r="C51" s="84" t="s">
        <v>249</v>
      </c>
      <c r="D51" s="84"/>
      <c r="E51" s="113">
        <f>CLK!Q540</f>
        <v>0</v>
      </c>
      <c r="F51" s="106"/>
      <c r="G51" s="113">
        <f>CLK!X540</f>
        <v>0</v>
      </c>
      <c r="H51" s="113"/>
      <c r="I51" s="111"/>
      <c r="J51" s="87" t="s">
        <v>250</v>
      </c>
      <c r="K51" s="104"/>
      <c r="M51" s="112"/>
    </row>
    <row r="52" spans="1:18" x14ac:dyDescent="0.3">
      <c r="A52" s="96"/>
      <c r="B52" s="97"/>
      <c r="C52" s="84" t="s">
        <v>251</v>
      </c>
      <c r="D52" s="84"/>
      <c r="E52" s="3099">
        <f>CLK!Q555</f>
        <v>783200000</v>
      </c>
      <c r="F52" s="106"/>
      <c r="G52" s="113">
        <f>CLK!X555</f>
        <v>780600000</v>
      </c>
      <c r="H52" s="113">
        <f>E52-G52</f>
        <v>2600000</v>
      </c>
      <c r="I52" s="111"/>
      <c r="J52" s="87" t="s">
        <v>252</v>
      </c>
      <c r="K52" s="104"/>
      <c r="M52" s="112"/>
    </row>
    <row r="53" spans="1:18" x14ac:dyDescent="0.3">
      <c r="A53" s="96"/>
      <c r="B53" s="97"/>
      <c r="C53" s="84" t="s">
        <v>253</v>
      </c>
      <c r="D53" s="84"/>
      <c r="E53" s="113">
        <f>CLK!Q572</f>
        <v>246688431.33000001</v>
      </c>
      <c r="F53" s="106"/>
      <c r="G53" s="113">
        <f>CLK!X572</f>
        <v>236651951.83000001</v>
      </c>
      <c r="H53" s="113">
        <f>E53-G53</f>
        <v>10036479.5</v>
      </c>
      <c r="I53" s="111"/>
      <c r="J53" s="87" t="s">
        <v>254</v>
      </c>
      <c r="K53" s="104"/>
      <c r="M53" s="112"/>
    </row>
    <row r="54" spans="1:18" ht="9" customHeight="1" x14ac:dyDescent="0.3">
      <c r="A54" s="96"/>
      <c r="B54" s="97"/>
      <c r="C54" s="84"/>
      <c r="D54" s="84"/>
      <c r="E54" s="113"/>
      <c r="F54" s="116"/>
      <c r="G54" s="113"/>
      <c r="H54" s="113"/>
      <c r="I54" s="111"/>
      <c r="J54" s="87"/>
      <c r="K54" s="104"/>
      <c r="M54" s="112"/>
    </row>
    <row r="55" spans="1:18" ht="13.5" x14ac:dyDescent="0.3">
      <c r="A55" s="96"/>
      <c r="B55" s="122"/>
      <c r="C55" s="123" t="s">
        <v>255</v>
      </c>
      <c r="D55" s="123"/>
      <c r="E55" s="125">
        <f>E43+E49+E50+E51+E52+E53</f>
        <v>1961929061.3299999</v>
      </c>
      <c r="F55" s="3100"/>
      <c r="G55" s="125">
        <f>G53+G50+G49+G43+G51+G52</f>
        <v>1809909948.8299999</v>
      </c>
      <c r="H55" s="125">
        <f>E55-G55</f>
        <v>152019112.5</v>
      </c>
      <c r="I55" s="126"/>
      <c r="J55" s="127" t="s">
        <v>256</v>
      </c>
      <c r="K55" s="128"/>
      <c r="L55" s="3034">
        <f>[3]NRC!$E$55</f>
        <v>695612933.33333337</v>
      </c>
      <c r="M55" s="112">
        <f>L55-G55</f>
        <v>-1114297015.4966664</v>
      </c>
      <c r="N55" s="393">
        <f>'20'!H46</f>
        <v>1961929061.3299999</v>
      </c>
      <c r="O55" s="2152">
        <f>E55-N55</f>
        <v>0</v>
      </c>
    </row>
    <row r="56" spans="1:18" ht="13.5" outlineLevel="1" x14ac:dyDescent="0.3">
      <c r="A56" s="96"/>
      <c r="B56" s="97"/>
      <c r="C56" s="130" t="s">
        <v>257</v>
      </c>
      <c r="D56" s="130"/>
      <c r="E56" s="118"/>
      <c r="F56" s="106"/>
      <c r="G56" s="118"/>
      <c r="H56" s="118"/>
      <c r="I56" s="108"/>
      <c r="J56" s="88" t="s">
        <v>258</v>
      </c>
      <c r="K56" s="104"/>
      <c r="M56" s="112"/>
      <c r="N56" s="393"/>
      <c r="O56" s="393"/>
    </row>
    <row r="57" spans="1:18" outlineLevel="1" x14ac:dyDescent="0.3">
      <c r="A57" s="96"/>
      <c r="B57" s="129"/>
      <c r="C57" s="84" t="s">
        <v>190</v>
      </c>
      <c r="D57" s="84" t="s">
        <v>259</v>
      </c>
      <c r="E57" s="110">
        <f>CLK!Q581</f>
        <v>0</v>
      </c>
      <c r="F57" s="106"/>
      <c r="G57" s="110">
        <f>CLK!X581</f>
        <v>0</v>
      </c>
      <c r="H57" s="110"/>
      <c r="I57" s="111" t="s">
        <v>260</v>
      </c>
      <c r="J57" s="84" t="s">
        <v>190</v>
      </c>
      <c r="K57" s="104"/>
      <c r="M57" s="112"/>
      <c r="N57" s="393"/>
      <c r="O57" s="393"/>
    </row>
    <row r="58" spans="1:18" ht="13.5" outlineLevel="1" thickBot="1" x14ac:dyDescent="0.35">
      <c r="A58" s="96"/>
      <c r="B58" s="129"/>
      <c r="C58" s="84" t="s">
        <v>190</v>
      </c>
      <c r="D58" s="84" t="s">
        <v>261</v>
      </c>
      <c r="E58" s="110">
        <v>0</v>
      </c>
      <c r="F58" s="106"/>
      <c r="G58" s="110">
        <v>0</v>
      </c>
      <c r="H58" s="110">
        <v>0</v>
      </c>
      <c r="I58" s="111" t="s">
        <v>262</v>
      </c>
      <c r="J58" s="84" t="s">
        <v>190</v>
      </c>
      <c r="K58" s="104"/>
      <c r="M58" s="112"/>
      <c r="N58" s="393"/>
      <c r="O58" s="393"/>
    </row>
    <row r="59" spans="1:18" ht="14" outlineLevel="1" thickBot="1" x14ac:dyDescent="0.35">
      <c r="A59" s="96"/>
      <c r="B59" s="144"/>
      <c r="C59" s="145" t="s">
        <v>263</v>
      </c>
      <c r="D59" s="145"/>
      <c r="E59" s="146">
        <f>SUM(E57:E58)</f>
        <v>0</v>
      </c>
      <c r="F59" s="2722"/>
      <c r="G59" s="2723">
        <f>SUM(G57:G58)</f>
        <v>0</v>
      </c>
      <c r="H59" s="146">
        <v>0</v>
      </c>
      <c r="I59" s="147"/>
      <c r="J59" s="148" t="s">
        <v>264</v>
      </c>
      <c r="K59" s="149"/>
      <c r="M59" s="112"/>
      <c r="N59" s="393"/>
      <c r="O59" s="393"/>
    </row>
    <row r="60" spans="1:18" ht="14" outlineLevel="1" thickBot="1" x14ac:dyDescent="0.35">
      <c r="A60" s="96"/>
      <c r="B60" s="97"/>
      <c r="C60" s="130"/>
      <c r="D60" s="130"/>
      <c r="E60" s="118"/>
      <c r="F60" s="150"/>
      <c r="G60" s="118"/>
      <c r="H60" s="118"/>
      <c r="I60" s="108"/>
      <c r="J60" s="88"/>
      <c r="K60" s="104"/>
      <c r="M60" s="112"/>
      <c r="N60" s="393"/>
      <c r="O60" s="393"/>
    </row>
    <row r="61" spans="1:18" ht="14" thickBot="1" x14ac:dyDescent="0.35">
      <c r="A61" s="96"/>
      <c r="B61" s="144"/>
      <c r="C61" s="145" t="s">
        <v>265</v>
      </c>
      <c r="D61" s="145"/>
      <c r="E61" s="146">
        <f>E59+E55</f>
        <v>1961929061.3299999</v>
      </c>
      <c r="F61" s="150"/>
      <c r="G61" s="146">
        <f>G59+G55</f>
        <v>1809909948.8299999</v>
      </c>
      <c r="H61" s="146">
        <f>E61-G61</f>
        <v>152019112.5</v>
      </c>
      <c r="I61" s="147"/>
      <c r="J61" s="148" t="s">
        <v>266</v>
      </c>
      <c r="K61" s="149"/>
      <c r="M61" s="159"/>
      <c r="N61" s="393"/>
      <c r="O61" s="393"/>
    </row>
    <row r="62" spans="1:18" ht="13.5" x14ac:dyDescent="0.3">
      <c r="A62" s="96"/>
      <c r="B62" s="97"/>
      <c r="C62" s="130" t="s">
        <v>267</v>
      </c>
      <c r="D62" s="130"/>
      <c r="E62" s="118"/>
      <c r="F62" s="106"/>
      <c r="G62" s="131"/>
      <c r="H62" s="131"/>
      <c r="I62" s="108"/>
      <c r="J62" s="88" t="s">
        <v>268</v>
      </c>
      <c r="K62" s="104"/>
      <c r="M62" s="112"/>
      <c r="N62" s="43" t="s">
        <v>8158</v>
      </c>
      <c r="O62" s="393"/>
    </row>
    <row r="63" spans="1:18" ht="13.5" x14ac:dyDescent="0.3">
      <c r="A63" s="96"/>
      <c r="B63" s="97"/>
      <c r="C63" s="84" t="s">
        <v>269</v>
      </c>
      <c r="D63" s="130"/>
      <c r="E63" s="110"/>
      <c r="F63" s="106"/>
      <c r="G63" s="113"/>
      <c r="H63" s="113"/>
      <c r="I63" s="108"/>
      <c r="J63" s="87" t="s">
        <v>270</v>
      </c>
      <c r="K63" s="104"/>
      <c r="M63" s="112"/>
      <c r="N63" s="3343" t="s">
        <v>8159</v>
      </c>
      <c r="O63" s="3338">
        <f>E61/E36</f>
        <v>8.2751176940906737E-2</v>
      </c>
      <c r="Q63" s="43" t="s">
        <v>8161</v>
      </c>
      <c r="R63" s="3340">
        <v>0.5</v>
      </c>
    </row>
    <row r="64" spans="1:18" x14ac:dyDescent="0.3">
      <c r="A64" s="96"/>
      <c r="B64" s="97"/>
      <c r="C64" s="84" t="s">
        <v>190</v>
      </c>
      <c r="D64" s="84" t="s">
        <v>271</v>
      </c>
      <c r="E64" s="110">
        <f>CLK!AA607</f>
        <v>1007642797.0794697</v>
      </c>
      <c r="F64" s="106"/>
      <c r="G64" s="113">
        <f>CLK!AA702</f>
        <v>955496532.01652145</v>
      </c>
      <c r="H64" s="113">
        <f t="shared" ref="H64:H74" si="4">E64-G64</f>
        <v>52146265.062948227</v>
      </c>
      <c r="I64" s="111" t="s">
        <v>272</v>
      </c>
      <c r="J64" s="142" t="s">
        <v>190</v>
      </c>
      <c r="K64" s="104"/>
      <c r="M64" s="112"/>
      <c r="N64" s="3343" t="s">
        <v>8160</v>
      </c>
      <c r="O64" s="3338">
        <f>E61/E74</f>
        <v>9.021671640615396E-2</v>
      </c>
      <c r="Q64" s="43" t="s">
        <v>8161</v>
      </c>
      <c r="R64" s="3340">
        <v>0.5</v>
      </c>
    </row>
    <row r="65" spans="1:15" outlineLevel="1" x14ac:dyDescent="0.3">
      <c r="A65" s="96"/>
      <c r="B65" s="97"/>
      <c r="C65" s="84" t="s">
        <v>190</v>
      </c>
      <c r="D65" s="84" t="s">
        <v>273</v>
      </c>
      <c r="E65" s="110">
        <f>CLK!AA626</f>
        <v>509149779.68000066</v>
      </c>
      <c r="F65" s="106"/>
      <c r="G65" s="113">
        <f>CLK!O626</f>
        <v>504269891.39666736</v>
      </c>
      <c r="H65" s="113">
        <f t="shared" si="4"/>
        <v>4879888.2833333015</v>
      </c>
      <c r="I65" s="111" t="s">
        <v>274</v>
      </c>
      <c r="J65" s="142" t="s">
        <v>190</v>
      </c>
      <c r="K65" s="104"/>
      <c r="L65" s="3034">
        <f>[3]NRC!$E$65</f>
        <v>421560343.17999947</v>
      </c>
      <c r="M65" s="112">
        <f>L65-G65</f>
        <v>-82709548.216667891</v>
      </c>
      <c r="N65" s="3341"/>
      <c r="O65" s="393"/>
    </row>
    <row r="66" spans="1:15" outlineLevel="1" x14ac:dyDescent="0.3">
      <c r="A66" s="96"/>
      <c r="B66" s="97"/>
      <c r="C66" s="84" t="s">
        <v>190</v>
      </c>
      <c r="D66" s="84" t="s">
        <v>277</v>
      </c>
      <c r="E66" s="110">
        <f>CLK!AA642</f>
        <v>-1561211417.1100006</v>
      </c>
      <c r="F66" s="106"/>
      <c r="G66" s="113">
        <f>CLK!AA736</f>
        <v>-1561211417.1100006</v>
      </c>
      <c r="H66" s="113">
        <f t="shared" si="4"/>
        <v>0</v>
      </c>
      <c r="I66" s="111" t="s">
        <v>278</v>
      </c>
      <c r="J66" s="142" t="s">
        <v>190</v>
      </c>
      <c r="K66" s="104"/>
      <c r="M66" s="112"/>
      <c r="N66" s="3341"/>
      <c r="O66" s="393"/>
    </row>
    <row r="67" spans="1:15" x14ac:dyDescent="0.3">
      <c r="A67" s="96"/>
      <c r="B67" s="97"/>
      <c r="C67" s="84" t="s">
        <v>190</v>
      </c>
      <c r="D67" s="84" t="s">
        <v>279</v>
      </c>
      <c r="E67" s="141">
        <f>CLK!AA651</f>
        <v>15015557508.510521</v>
      </c>
      <c r="F67" s="106"/>
      <c r="G67" s="115">
        <f>CLK!O651</f>
        <v>15101307330.223471</v>
      </c>
      <c r="H67" s="3120">
        <f t="shared" si="4"/>
        <v>-85749821.712949753</v>
      </c>
      <c r="I67" s="111" t="s">
        <v>280</v>
      </c>
      <c r="J67" s="142" t="s">
        <v>190</v>
      </c>
      <c r="K67" s="104"/>
      <c r="M67" s="112"/>
      <c r="N67" s="3341"/>
      <c r="O67" s="393"/>
    </row>
    <row r="68" spans="1:15" x14ac:dyDescent="0.3">
      <c r="A68" s="96"/>
      <c r="B68" s="97"/>
      <c r="C68" s="84"/>
      <c r="D68" s="152"/>
      <c r="E68" s="118">
        <f>SUM(E63:E67)</f>
        <v>14971138668.15999</v>
      </c>
      <c r="F68" s="106"/>
      <c r="G68" s="131">
        <f>SUM(G63:G67)</f>
        <v>14999862336.526659</v>
      </c>
      <c r="H68" s="131">
        <f t="shared" si="4"/>
        <v>-28723668.366668701</v>
      </c>
      <c r="I68" s="111"/>
      <c r="J68" s="142"/>
      <c r="K68" s="104"/>
      <c r="L68" s="3034">
        <f>[3]NRC!$E$68</f>
        <v>14579642089.349995</v>
      </c>
      <c r="M68" s="112">
        <f>L68-G68</f>
        <v>-420220247.17666435</v>
      </c>
      <c r="N68" s="393">
        <f>'20'!F69</f>
        <v>14461988888.47999</v>
      </c>
      <c r="O68" s="2152">
        <f>E68-N68</f>
        <v>509149779.68000031</v>
      </c>
    </row>
    <row r="69" spans="1:15" outlineLevel="1" x14ac:dyDescent="0.3">
      <c r="A69" s="96"/>
      <c r="B69" s="97"/>
      <c r="C69" s="84" t="s">
        <v>281</v>
      </c>
      <c r="D69" s="84"/>
      <c r="E69" s="110"/>
      <c r="F69" s="106"/>
      <c r="G69" s="113"/>
      <c r="H69" s="113">
        <f t="shared" si="4"/>
        <v>0</v>
      </c>
      <c r="I69" s="111"/>
      <c r="J69" s="87" t="s">
        <v>282</v>
      </c>
      <c r="K69" s="104"/>
      <c r="M69" s="112"/>
      <c r="N69" s="393"/>
      <c r="O69" s="393"/>
    </row>
    <row r="70" spans="1:15" outlineLevel="1" x14ac:dyDescent="0.3">
      <c r="A70" s="96"/>
      <c r="B70" s="129"/>
      <c r="C70" s="84" t="s">
        <v>190</v>
      </c>
      <c r="D70" s="84" t="s">
        <v>283</v>
      </c>
      <c r="E70" s="136">
        <f>CLK!X785</f>
        <v>337644500</v>
      </c>
      <c r="F70" s="153"/>
      <c r="G70" s="113">
        <f>CLK!I785</f>
        <v>351222700</v>
      </c>
      <c r="H70" s="113">
        <f>E70-G70</f>
        <v>-13578200</v>
      </c>
      <c r="I70" s="111" t="s">
        <v>284</v>
      </c>
      <c r="J70" s="142" t="s">
        <v>190</v>
      </c>
      <c r="K70" s="104"/>
      <c r="M70" s="112"/>
      <c r="N70" s="393">
        <f>'20'!F70</f>
        <v>337644500</v>
      </c>
      <c r="O70" s="2152">
        <f>E70-N70</f>
        <v>0</v>
      </c>
    </row>
    <row r="71" spans="1:15" outlineLevel="1" x14ac:dyDescent="0.3">
      <c r="A71" s="96"/>
      <c r="B71" s="129"/>
      <c r="C71" s="84" t="s">
        <v>190</v>
      </c>
      <c r="D71" s="84" t="s">
        <v>285</v>
      </c>
      <c r="E71" s="154">
        <f>CLK!X792</f>
        <v>6438063087</v>
      </c>
      <c r="F71" s="153"/>
      <c r="G71" s="155">
        <f>CLK!I792</f>
        <v>6438063087</v>
      </c>
      <c r="H71" s="3231">
        <f t="shared" si="4"/>
        <v>0</v>
      </c>
      <c r="I71" s="111" t="s">
        <v>286</v>
      </c>
      <c r="J71" s="142" t="s">
        <v>190</v>
      </c>
      <c r="K71" s="104"/>
      <c r="M71" s="112"/>
      <c r="N71" s="393">
        <f>'20'!F71</f>
        <v>6438063087</v>
      </c>
      <c r="O71" s="2152">
        <f>E71-N71</f>
        <v>0</v>
      </c>
    </row>
    <row r="72" spans="1:15" outlineLevel="1" x14ac:dyDescent="0.3">
      <c r="A72" s="96"/>
      <c r="B72" s="129"/>
      <c r="C72" s="84"/>
      <c r="D72" s="84"/>
      <c r="E72" s="118">
        <f>SUM(E70:E71)</f>
        <v>6775707587</v>
      </c>
      <c r="F72" s="156"/>
      <c r="G72" s="131">
        <f>SUM(G70:G71)</f>
        <v>6789285787</v>
      </c>
      <c r="H72" s="131">
        <f t="shared" si="4"/>
        <v>-13578200</v>
      </c>
      <c r="I72" s="111"/>
      <c r="J72" s="87"/>
      <c r="K72" s="104"/>
      <c r="L72" s="3034">
        <f>[3]NRC!$E$72</f>
        <v>6527700087</v>
      </c>
      <c r="M72" s="112">
        <f>L72-G72</f>
        <v>-261585700</v>
      </c>
      <c r="N72" s="393"/>
      <c r="O72" s="393"/>
    </row>
    <row r="73" spans="1:15" ht="9" customHeight="1" outlineLevel="1" x14ac:dyDescent="0.3">
      <c r="A73" s="96"/>
      <c r="B73" s="129"/>
      <c r="C73" s="84"/>
      <c r="D73" s="84"/>
      <c r="E73" s="110"/>
      <c r="F73" s="153"/>
      <c r="G73" s="113"/>
      <c r="H73" s="113">
        <f t="shared" si="4"/>
        <v>0</v>
      </c>
      <c r="I73" s="111"/>
      <c r="J73" s="87"/>
      <c r="K73" s="104"/>
      <c r="M73" s="112"/>
      <c r="N73" s="393"/>
      <c r="O73" s="393"/>
    </row>
    <row r="74" spans="1:15" ht="13.5" x14ac:dyDescent="0.3">
      <c r="A74" s="96"/>
      <c r="B74" s="122"/>
      <c r="C74" s="123" t="s">
        <v>287</v>
      </c>
      <c r="D74" s="123"/>
      <c r="E74" s="157">
        <f>E72+E68</f>
        <v>21746846255.159988</v>
      </c>
      <c r="F74" s="158"/>
      <c r="G74" s="157">
        <f>G72+G68</f>
        <v>21789148123.526657</v>
      </c>
      <c r="H74" s="157">
        <f t="shared" si="4"/>
        <v>-42301868.366668701</v>
      </c>
      <c r="I74" s="126"/>
      <c r="J74" s="127" t="s">
        <v>288</v>
      </c>
      <c r="K74" s="128"/>
      <c r="M74" s="112"/>
      <c r="N74" s="2152">
        <f>'20'!H74</f>
        <v>21746846254.699986</v>
      </c>
      <c r="O74" s="2152">
        <f>E74-N74</f>
        <v>0.46000289916992188</v>
      </c>
    </row>
    <row r="75" spans="1:15" ht="6.75" customHeight="1" thickBot="1" x14ac:dyDescent="0.35">
      <c r="A75" s="96"/>
      <c r="B75" s="129"/>
      <c r="C75" s="84"/>
      <c r="D75" s="84"/>
      <c r="E75" s="136"/>
      <c r="F75" s="153"/>
      <c r="G75" s="131"/>
      <c r="H75" s="131"/>
      <c r="I75" s="111"/>
      <c r="J75" s="87"/>
      <c r="K75" s="104"/>
      <c r="M75" s="112"/>
      <c r="N75" s="393"/>
      <c r="O75" s="393"/>
    </row>
    <row r="76" spans="1:15" ht="14" thickBot="1" x14ac:dyDescent="0.35">
      <c r="A76" s="96"/>
      <c r="B76" s="160"/>
      <c r="C76" s="161" t="s">
        <v>289</v>
      </c>
      <c r="D76" s="161"/>
      <c r="E76" s="162">
        <f>E74+E61</f>
        <v>23708775316.48999</v>
      </c>
      <c r="F76" s="163"/>
      <c r="G76" s="162">
        <f>G74+G61</f>
        <v>23599058072.356659</v>
      </c>
      <c r="H76" s="162">
        <f>E76-G76</f>
        <v>109717244.1333313</v>
      </c>
      <c r="I76" s="164"/>
      <c r="J76" s="165" t="s">
        <v>290</v>
      </c>
      <c r="K76" s="166"/>
      <c r="N76" s="3342">
        <f>'20'!H76</f>
        <v>23708775316.029984</v>
      </c>
      <c r="O76" s="2152">
        <f>E76-N76</f>
        <v>0.4600067138671875</v>
      </c>
    </row>
    <row r="77" spans="1:15" s="176" customFormat="1" ht="10" customHeight="1" outlineLevel="1" x14ac:dyDescent="0.3">
      <c r="A77" s="167"/>
      <c r="B77" s="168"/>
      <c r="C77" s="169"/>
      <c r="D77" s="169"/>
      <c r="E77" s="170">
        <f>E36-E76+0.4-0.7-0.81+0.35</f>
        <v>5.285644531248801E-4</v>
      </c>
      <c r="F77" s="171"/>
      <c r="G77" s="172">
        <f>G76-G36+0.4+0.72</f>
        <v>3.1863403320312456E-3</v>
      </c>
      <c r="H77" s="172"/>
      <c r="I77" s="173"/>
      <c r="J77" s="174"/>
      <c r="K77" s="175"/>
      <c r="L77" s="3038"/>
      <c r="M77" s="43"/>
      <c r="N77" s="112"/>
    </row>
    <row r="78" spans="1:15" s="176" customFormat="1" ht="10" customHeight="1" outlineLevel="1" x14ac:dyDescent="0.3">
      <c r="A78" s="167"/>
      <c r="B78" s="168"/>
      <c r="C78" s="169"/>
      <c r="D78" s="169"/>
      <c r="E78" s="170"/>
      <c r="F78" s="171"/>
      <c r="G78" s="177"/>
      <c r="H78" s="177"/>
      <c r="I78" s="174"/>
      <c r="J78" s="174"/>
      <c r="K78" s="175"/>
      <c r="L78" s="3038"/>
    </row>
    <row r="79" spans="1:15" s="186" customFormat="1" ht="13.5" x14ac:dyDescent="0.3">
      <c r="A79" s="182"/>
      <c r="B79" s="183" t="str">
        <f>IN!C4</f>
        <v>Laporan Keuangan June 2026</v>
      </c>
      <c r="C79" s="183"/>
      <c r="D79" s="183"/>
      <c r="E79" s="183"/>
      <c r="F79" s="183">
        <v>2</v>
      </c>
      <c r="G79" s="183"/>
      <c r="H79" s="184"/>
      <c r="I79" s="185"/>
      <c r="J79" s="185"/>
      <c r="K79" s="185" t="str">
        <f>IN!D4</f>
        <v>Financial Statement Jun 2026</v>
      </c>
      <c r="L79" s="3039"/>
    </row>
    <row r="80" spans="1:15" x14ac:dyDescent="0.3">
      <c r="A80" s="96"/>
      <c r="B80" s="86"/>
      <c r="C80" s="510"/>
      <c r="D80" s="510"/>
      <c r="E80" s="2955"/>
      <c r="F80" s="510"/>
      <c r="G80" s="2150"/>
      <c r="H80" s="2150"/>
      <c r="I80" s="512"/>
      <c r="J80" s="87"/>
    </row>
    <row r="81" spans="1:11" x14ac:dyDescent="0.3">
      <c r="A81" s="167"/>
      <c r="B81" s="190"/>
      <c r="C81" s="168"/>
      <c r="D81" s="168"/>
      <c r="E81" s="2956">
        <f>+E77</f>
        <v>5.285644531248801E-4</v>
      </c>
      <c r="F81" s="190"/>
      <c r="G81" s="193">
        <f>+G77</f>
        <v>3.1863403320312456E-3</v>
      </c>
      <c r="H81" s="2147"/>
      <c r="I81" s="174"/>
      <c r="J81" s="87"/>
    </row>
    <row r="82" spans="1:11" x14ac:dyDescent="0.3">
      <c r="A82" s="194"/>
      <c r="B82" s="195"/>
      <c r="C82" s="176"/>
      <c r="D82" s="176"/>
      <c r="E82" s="352"/>
      <c r="F82" s="195"/>
      <c r="G82" s="2147"/>
      <c r="H82" s="2147"/>
      <c r="I82" s="453"/>
    </row>
    <row r="83" spans="1:11" x14ac:dyDescent="0.3">
      <c r="B83" s="48"/>
      <c r="G83" s="196"/>
      <c r="H83" s="196"/>
    </row>
    <row r="84" spans="1:11" x14ac:dyDescent="0.3">
      <c r="B84" s="48"/>
      <c r="G84" s="3261">
        <f>G68+H68</f>
        <v>14971138668.15999</v>
      </c>
      <c r="H84" s="197"/>
    </row>
    <row r="85" spans="1:11" x14ac:dyDescent="0.3">
      <c r="B85" s="48"/>
      <c r="G85" s="2076">
        <f>G72+H72</f>
        <v>6775707587</v>
      </c>
    </row>
    <row r="86" spans="1:11" x14ac:dyDescent="0.3">
      <c r="B86" s="48"/>
    </row>
    <row r="87" spans="1:11" x14ac:dyDescent="0.3">
      <c r="B87" s="48"/>
    </row>
    <row r="88" spans="1:11" x14ac:dyDescent="0.3">
      <c r="B88" s="48"/>
    </row>
    <row r="89" spans="1:11" x14ac:dyDescent="0.3">
      <c r="B89" s="48"/>
    </row>
    <row r="90" spans="1:11" x14ac:dyDescent="0.3">
      <c r="B90" s="48"/>
    </row>
    <row r="91" spans="1:11" x14ac:dyDescent="0.3">
      <c r="B91" s="48"/>
    </row>
    <row r="92" spans="1:11" x14ac:dyDescent="0.3">
      <c r="B92" s="48"/>
    </row>
    <row r="93" spans="1:11" x14ac:dyDescent="0.3">
      <c r="B93" s="48"/>
    </row>
    <row r="94" spans="1:11" x14ac:dyDescent="0.3">
      <c r="A94" s="43"/>
      <c r="E94" s="43"/>
      <c r="F94" s="43"/>
      <c r="G94" s="43"/>
      <c r="H94" s="43"/>
      <c r="I94" s="43"/>
      <c r="J94" s="43"/>
      <c r="K94" s="43"/>
    </row>
    <row r="95" spans="1:11" x14ac:dyDescent="0.3">
      <c r="A95" s="43"/>
      <c r="E95" s="43"/>
      <c r="F95" s="43"/>
      <c r="G95" s="43"/>
      <c r="H95" s="43"/>
      <c r="I95" s="43"/>
      <c r="J95" s="43"/>
      <c r="K95" s="43"/>
    </row>
  </sheetData>
  <mergeCells count="7">
    <mergeCell ref="B36:D36"/>
    <mergeCell ref="I36:K36"/>
    <mergeCell ref="B2:K2"/>
    <mergeCell ref="B5:D5"/>
    <mergeCell ref="I5:K5"/>
    <mergeCell ref="B9:D10"/>
    <mergeCell ref="I9:K10"/>
  </mergeCells>
  <pageMargins left="0.7" right="0.7" top="0.75" bottom="0.75" header="0.3" footer="0.3"/>
  <pageSetup paperSize="9" orientation="landscape" horizontalDpi="0" verticalDpi="0"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V972"/>
  <sheetViews>
    <sheetView tabSelected="1" zoomScale="60" zoomScaleNormal="60" workbookViewId="0">
      <selection activeCell="P76" sqref="P76"/>
    </sheetView>
  </sheetViews>
  <sheetFormatPr defaultColWidth="9.1796875" defaultRowHeight="13" outlineLevelRow="2" outlineLevelCol="1" x14ac:dyDescent="0.3"/>
  <cols>
    <col min="1" max="1" width="2.81640625" style="43" customWidth="1"/>
    <col min="2" max="2" width="0.26953125" style="43" customWidth="1"/>
    <col min="3" max="3" width="1.26953125" style="43" customWidth="1"/>
    <col min="4" max="4" width="27" style="43" customWidth="1"/>
    <col min="5" max="5" width="20" style="388" customWidth="1"/>
    <col min="6" max="6" width="6" style="208" customWidth="1"/>
    <col min="7" max="7" width="6.81640625" style="43" customWidth="1"/>
    <col min="8" max="8" width="19" style="388" bestFit="1" customWidth="1"/>
    <col min="9" max="9" width="3.54296875" style="208" customWidth="1"/>
    <col min="10" max="10" width="2.81640625" style="208" hidden="1" customWidth="1" outlineLevel="1"/>
    <col min="11" max="11" width="18.453125" style="388" customWidth="1" collapsed="1"/>
    <col min="12" max="12" width="4.1796875" style="208" customWidth="1"/>
    <col min="13" max="13" width="26.26953125" style="58" customWidth="1"/>
    <col min="14" max="14" width="1.26953125" style="58" customWidth="1"/>
    <col min="15" max="15" width="2" style="58" customWidth="1"/>
    <col min="16" max="16" width="10.1796875" style="217" customWidth="1"/>
    <col min="17" max="17" width="10.1796875" style="218" customWidth="1"/>
    <col min="18" max="18" width="20.26953125" style="43" bestFit="1" customWidth="1"/>
    <col min="19" max="19" width="30.36328125" style="43" bestFit="1" customWidth="1"/>
    <col min="20" max="20" width="11.1796875" style="43" customWidth="1"/>
    <col min="21" max="21" width="18.81640625" style="43" customWidth="1"/>
    <col min="22" max="16384" width="9.1796875" style="43"/>
  </cols>
  <sheetData>
    <row r="2" spans="2:20" s="75" customFormat="1" ht="14" x14ac:dyDescent="0.3">
      <c r="B2" s="3410" t="s">
        <v>7132</v>
      </c>
      <c r="C2" s="3411"/>
      <c r="D2" s="3411"/>
      <c r="E2" s="3411"/>
      <c r="F2" s="3411"/>
      <c r="G2" s="3411"/>
      <c r="H2" s="3411"/>
      <c r="I2" s="3411"/>
      <c r="J2" s="3411"/>
      <c r="K2" s="3411"/>
      <c r="L2" s="3411"/>
      <c r="M2" s="3411"/>
      <c r="N2" s="3411"/>
      <c r="O2" s="3411"/>
      <c r="Q2" s="78"/>
    </row>
    <row r="3" spans="2:20" s="77" customFormat="1" ht="14" x14ac:dyDescent="0.3">
      <c r="E3" s="206"/>
      <c r="F3" s="207"/>
      <c r="H3" s="206"/>
      <c r="I3" s="208"/>
      <c r="J3" s="208"/>
      <c r="K3" s="206"/>
      <c r="L3" s="207"/>
      <c r="M3" s="209"/>
      <c r="N3" s="209"/>
      <c r="O3" s="209"/>
      <c r="P3" s="210"/>
      <c r="Q3" s="81"/>
    </row>
    <row r="4" spans="2:20" s="77" customFormat="1" ht="14" x14ac:dyDescent="0.3">
      <c r="B4" s="75" t="s">
        <v>291</v>
      </c>
      <c r="C4" s="75"/>
      <c r="D4" s="75"/>
      <c r="E4" s="75"/>
      <c r="F4" s="75"/>
      <c r="G4" s="75"/>
      <c r="H4" s="75"/>
      <c r="I4" s="211"/>
      <c r="J4" s="211"/>
      <c r="K4" s="75"/>
      <c r="L4" s="207"/>
      <c r="M4" s="82"/>
      <c r="N4" s="82"/>
      <c r="O4" s="82" t="s">
        <v>292</v>
      </c>
      <c r="P4" s="210"/>
      <c r="Q4" s="81"/>
    </row>
    <row r="5" spans="2:20" s="77" customFormat="1" ht="14" x14ac:dyDescent="0.3">
      <c r="B5" s="75" t="s">
        <v>293</v>
      </c>
      <c r="C5" s="75"/>
      <c r="D5" s="75"/>
      <c r="E5" s="75"/>
      <c r="F5" s="75"/>
      <c r="G5" s="75"/>
      <c r="H5" s="75"/>
      <c r="I5" s="211"/>
      <c r="J5" s="211"/>
      <c r="K5" s="75"/>
      <c r="L5" s="207"/>
      <c r="M5" s="82"/>
      <c r="N5" s="82"/>
      <c r="O5" s="82" t="s">
        <v>294</v>
      </c>
      <c r="P5" s="210"/>
      <c r="Q5" s="81"/>
    </row>
    <row r="6" spans="2:20" s="77" customFormat="1" ht="14" x14ac:dyDescent="0.3">
      <c r="B6" s="75"/>
      <c r="C6" s="75" t="str">
        <f>"Untuk Bulan yang Berakhir "&amp;NRC!B5</f>
        <v>Untuk Bulan yang Berakhir 30 June 2026</v>
      </c>
      <c r="D6" s="75"/>
      <c r="E6" s="75"/>
      <c r="F6" s="75"/>
      <c r="G6" s="75"/>
      <c r="H6" s="75"/>
      <c r="I6" s="3409" t="str">
        <f>"For The Month Ended "&amp;TEXT(IN!D5,"MMM YYYY")</f>
        <v>For The Month Ended Jun 2026</v>
      </c>
      <c r="J6" s="3409"/>
      <c r="K6" s="3409"/>
      <c r="L6" s="3409"/>
      <c r="M6" s="3409"/>
      <c r="N6" s="3409"/>
      <c r="O6" s="3409"/>
      <c r="P6" s="210"/>
      <c r="Q6" s="81"/>
    </row>
    <row r="7" spans="2:20" s="77" customFormat="1" ht="14" x14ac:dyDescent="0.3">
      <c r="B7" s="75"/>
      <c r="C7" s="212" t="str">
        <f>NRC!C6</f>
        <v>(Dengan perbandingan informasi keuangan untuk bulan yang berakhir 31 May 2026 /</v>
      </c>
      <c r="D7" s="75"/>
      <c r="E7" s="75"/>
      <c r="F7" s="75"/>
      <c r="G7" s="75"/>
      <c r="H7" s="75"/>
      <c r="I7" s="211"/>
      <c r="J7" s="211"/>
      <c r="K7" s="75"/>
      <c r="L7" s="75"/>
      <c r="M7" s="82"/>
      <c r="N7" s="82"/>
      <c r="O7" s="82" t="str">
        <f>IN!C10</f>
        <v>With Comparative financial information for the month ended May 31, 2026 )</v>
      </c>
      <c r="P7" s="210"/>
      <c r="Q7" s="81"/>
    </row>
    <row r="8" spans="2:20" s="77" customFormat="1" ht="14" x14ac:dyDescent="0.3">
      <c r="B8" s="75"/>
      <c r="C8" s="212"/>
      <c r="D8" s="75"/>
      <c r="E8" s="75"/>
      <c r="F8" s="75"/>
      <c r="G8" s="75"/>
      <c r="H8" s="75"/>
      <c r="I8" s="211"/>
      <c r="J8" s="211"/>
      <c r="K8" s="75"/>
      <c r="L8" s="75"/>
      <c r="M8" s="82"/>
      <c r="N8" s="82"/>
      <c r="O8" s="82" t="e">
        <f>[4]IN!K31</f>
        <v>#N/A</v>
      </c>
      <c r="P8" s="210"/>
      <c r="Q8" s="81"/>
    </row>
    <row r="9" spans="2:20" s="77" customFormat="1" ht="14" x14ac:dyDescent="0.3">
      <c r="B9" s="213" t="s">
        <v>176</v>
      </c>
      <c r="C9" s="75"/>
      <c r="D9" s="75"/>
      <c r="E9" s="75"/>
      <c r="F9" s="75"/>
      <c r="G9" s="75"/>
      <c r="H9" s="75"/>
      <c r="I9" s="211"/>
      <c r="J9" s="211"/>
      <c r="K9" s="75"/>
      <c r="L9" s="75"/>
      <c r="M9" s="82"/>
      <c r="N9" s="82"/>
      <c r="O9" s="82" t="s">
        <v>177</v>
      </c>
      <c r="P9" s="210"/>
      <c r="Q9" s="81"/>
    </row>
    <row r="10" spans="2:20" ht="13.5" thickBot="1" x14ac:dyDescent="0.35">
      <c r="B10" s="130"/>
      <c r="C10" s="84"/>
      <c r="D10" s="84"/>
      <c r="E10" s="214"/>
      <c r="F10" s="215"/>
      <c r="G10" s="84"/>
      <c r="H10" s="214"/>
      <c r="I10" s="215"/>
      <c r="J10" s="215"/>
      <c r="K10" s="54"/>
      <c r="L10" s="216"/>
      <c r="M10" s="87"/>
      <c r="N10" s="87"/>
      <c r="O10" s="87"/>
    </row>
    <row r="11" spans="2:20" ht="13.5" thickBot="1" x14ac:dyDescent="0.35">
      <c r="B11" s="219"/>
      <c r="C11" s="3412" t="s">
        <v>178</v>
      </c>
      <c r="D11" s="3412"/>
      <c r="E11" s="91" t="str">
        <f>NRC!E9</f>
        <v>30 June 2026/</v>
      </c>
      <c r="F11" s="3413" t="s">
        <v>295</v>
      </c>
      <c r="G11" s="220" t="s">
        <v>179</v>
      </c>
      <c r="H11" s="91" t="str">
        <f>NRC!G9</f>
        <v>31 May 2026/</v>
      </c>
      <c r="I11" s="3413" t="s">
        <v>295</v>
      </c>
      <c r="J11" s="221" t="s">
        <v>296</v>
      </c>
      <c r="K11" s="222" t="str">
        <f>"sd "&amp;(E11)</f>
        <v>sd 30 June 2026/</v>
      </c>
      <c r="L11" s="3414" t="s">
        <v>295</v>
      </c>
      <c r="M11" s="3407" t="s">
        <v>180</v>
      </c>
      <c r="N11" s="3407"/>
      <c r="O11" s="3407"/>
      <c r="P11" s="223" t="s">
        <v>179</v>
      </c>
      <c r="Q11" s="224" t="s">
        <v>179</v>
      </c>
      <c r="R11" s="3144" t="str">
        <f>"sd "&amp;(H11)</f>
        <v>sd 31 May 2026/</v>
      </c>
    </row>
    <row r="12" spans="2:20" ht="14" thickBot="1" x14ac:dyDescent="0.35">
      <c r="B12" s="225"/>
      <c r="C12" s="3412"/>
      <c r="D12" s="3412"/>
      <c r="E12" s="93">
        <f>NRC!E10</f>
        <v>46203</v>
      </c>
      <c r="F12" s="3413"/>
      <c r="G12" s="226" t="s">
        <v>181</v>
      </c>
      <c r="H12" s="93">
        <f>NRC!G10</f>
        <v>46173</v>
      </c>
      <c r="I12" s="3413"/>
      <c r="J12" s="227"/>
      <c r="K12" s="93">
        <f>NRC!E10</f>
        <v>46203</v>
      </c>
      <c r="L12" s="3414"/>
      <c r="M12" s="3407"/>
      <c r="N12" s="3407"/>
      <c r="O12" s="3407"/>
      <c r="P12" s="223" t="s">
        <v>181</v>
      </c>
      <c r="Q12" s="224" t="s">
        <v>181</v>
      </c>
      <c r="R12" s="3148">
        <f>H12</f>
        <v>46173</v>
      </c>
    </row>
    <row r="13" spans="2:20" ht="13.5" x14ac:dyDescent="0.3">
      <c r="B13" s="228"/>
      <c r="C13" s="130" t="s">
        <v>297</v>
      </c>
      <c r="D13" s="98"/>
      <c r="E13" s="229"/>
      <c r="F13" s="230"/>
      <c r="G13" s="153"/>
      <c r="H13" s="231"/>
      <c r="I13" s="230"/>
      <c r="J13" s="230"/>
      <c r="K13" s="231"/>
      <c r="L13" s="230"/>
      <c r="M13" s="108"/>
      <c r="N13" s="88" t="s">
        <v>298</v>
      </c>
      <c r="O13" s="232"/>
      <c r="P13" s="223"/>
      <c r="Q13" s="224"/>
      <c r="R13" s="2929"/>
    </row>
    <row r="14" spans="2:20" x14ac:dyDescent="0.3">
      <c r="B14" s="228"/>
      <c r="C14" s="84" t="s">
        <v>299</v>
      </c>
      <c r="D14" s="109"/>
      <c r="E14" s="233"/>
      <c r="F14" s="230"/>
      <c r="G14" s="234"/>
      <c r="H14" s="233"/>
      <c r="I14" s="230"/>
      <c r="J14" s="230"/>
      <c r="K14" s="235"/>
      <c r="L14" s="230"/>
      <c r="M14" s="111"/>
      <c r="N14" s="87" t="s">
        <v>300</v>
      </c>
      <c r="O14" s="236"/>
      <c r="P14" s="223"/>
      <c r="Q14" s="224"/>
      <c r="R14" s="2929"/>
    </row>
    <row r="15" spans="2:20" x14ac:dyDescent="0.3">
      <c r="B15" s="228"/>
      <c r="C15" s="86" t="s">
        <v>190</v>
      </c>
      <c r="D15" s="84" t="s">
        <v>301</v>
      </c>
      <c r="E15" s="233">
        <f>'9'!D15</f>
        <v>547400000</v>
      </c>
      <c r="F15" s="230"/>
      <c r="G15" s="234"/>
      <c r="H15" s="233">
        <f>'9'!G15</f>
        <v>552500000</v>
      </c>
      <c r="I15" s="230"/>
      <c r="J15" s="230">
        <f>E15-H15</f>
        <v>-5100000</v>
      </c>
      <c r="K15" s="233">
        <f>E15+R15</f>
        <v>6692650000</v>
      </c>
      <c r="L15" s="240"/>
      <c r="M15" s="111" t="s">
        <v>302</v>
      </c>
      <c r="N15" s="237" t="s">
        <v>190</v>
      </c>
      <c r="O15" s="236"/>
      <c r="P15" s="223"/>
      <c r="Q15" s="224"/>
      <c r="R15" s="3145">
        <v>6145250000</v>
      </c>
      <c r="S15" s="151"/>
      <c r="T15" s="151"/>
    </row>
    <row r="16" spans="2:20" outlineLevel="1" x14ac:dyDescent="0.3">
      <c r="B16" s="228"/>
      <c r="C16" s="86" t="s">
        <v>190</v>
      </c>
      <c r="D16" s="84" t="s">
        <v>303</v>
      </c>
      <c r="E16" s="233">
        <f>'9'!D16</f>
        <v>0</v>
      </c>
      <c r="F16" s="230"/>
      <c r="G16" s="234"/>
      <c r="H16" s="233">
        <f>'9'!G16</f>
        <v>0</v>
      </c>
      <c r="I16" s="230"/>
      <c r="J16" s="230"/>
      <c r="K16" s="233">
        <f t="shared" ref="K16:K21" si="0">E16+R16</f>
        <v>0</v>
      </c>
      <c r="L16" s="240"/>
      <c r="M16" s="111" t="s">
        <v>304</v>
      </c>
      <c r="N16" s="237" t="s">
        <v>190</v>
      </c>
      <c r="O16" s="236"/>
      <c r="P16" s="223"/>
      <c r="Q16" s="224"/>
      <c r="R16" s="3146">
        <v>0</v>
      </c>
      <c r="S16" s="151"/>
      <c r="T16" s="151"/>
    </row>
    <row r="17" spans="2:20" outlineLevel="1" x14ac:dyDescent="0.3">
      <c r="B17" s="228"/>
      <c r="C17" s="86" t="s">
        <v>190</v>
      </c>
      <c r="D17" s="84" t="s">
        <v>305</v>
      </c>
      <c r="E17" s="233">
        <f>'9'!D17</f>
        <v>0</v>
      </c>
      <c r="F17" s="230"/>
      <c r="G17" s="234"/>
      <c r="H17" s="233">
        <f>'9'!G17</f>
        <v>0</v>
      </c>
      <c r="I17" s="230"/>
      <c r="J17" s="230"/>
      <c r="K17" s="233">
        <f t="shared" si="0"/>
        <v>0</v>
      </c>
      <c r="L17" s="240"/>
      <c r="M17" s="111" t="s">
        <v>306</v>
      </c>
      <c r="N17" s="237" t="s">
        <v>190</v>
      </c>
      <c r="O17" s="236"/>
      <c r="P17" s="223"/>
      <c r="Q17" s="224"/>
      <c r="R17" s="3146">
        <v>0</v>
      </c>
      <c r="S17" s="151"/>
      <c r="T17" s="151"/>
    </row>
    <row r="18" spans="2:20" x14ac:dyDescent="0.3">
      <c r="B18" s="228"/>
      <c r="C18" s="86" t="s">
        <v>190</v>
      </c>
      <c r="D18" s="84" t="s">
        <v>307</v>
      </c>
      <c r="E18" s="233">
        <f>'9'!D18</f>
        <v>0</v>
      </c>
      <c r="F18" s="230"/>
      <c r="G18" s="234"/>
      <c r="H18" s="233">
        <f>'9'!G18</f>
        <v>0</v>
      </c>
      <c r="I18" s="230"/>
      <c r="J18" s="230"/>
      <c r="K18" s="233">
        <f t="shared" si="0"/>
        <v>578289000</v>
      </c>
      <c r="L18" s="240"/>
      <c r="M18" s="111" t="s">
        <v>308</v>
      </c>
      <c r="N18" s="237" t="s">
        <v>190</v>
      </c>
      <c r="O18" s="236"/>
      <c r="P18" s="223"/>
      <c r="Q18" s="224"/>
      <c r="R18" s="3146">
        <v>578289000</v>
      </c>
      <c r="S18" s="151"/>
      <c r="T18" s="151"/>
    </row>
    <row r="19" spans="2:20" x14ac:dyDescent="0.3">
      <c r="B19" s="228"/>
      <c r="C19" s="86" t="s">
        <v>190</v>
      </c>
      <c r="D19" s="84" t="s">
        <v>275</v>
      </c>
      <c r="E19" s="233">
        <f>'9'!D19</f>
        <v>0</v>
      </c>
      <c r="F19" s="230"/>
      <c r="G19" s="234"/>
      <c r="H19" s="233">
        <f>'9'!G19</f>
        <v>0</v>
      </c>
      <c r="I19" s="230"/>
      <c r="J19" s="239">
        <f t="shared" ref="J19:J79" si="1">E19-H19</f>
        <v>0</v>
      </c>
      <c r="K19" s="233">
        <f t="shared" si="0"/>
        <v>1207500000</v>
      </c>
      <c r="L19" s="240"/>
      <c r="M19" s="111" t="s">
        <v>313</v>
      </c>
      <c r="N19" s="237" t="s">
        <v>190</v>
      </c>
      <c r="O19" s="236"/>
      <c r="P19" s="223"/>
      <c r="Q19" s="224"/>
      <c r="R19" s="3146">
        <v>1207500000</v>
      </c>
      <c r="S19" s="151"/>
      <c r="T19" s="151"/>
    </row>
    <row r="20" spans="2:20" ht="12.75" customHeight="1" outlineLevel="2" x14ac:dyDescent="0.3">
      <c r="B20" s="228"/>
      <c r="C20" s="86" t="s">
        <v>190</v>
      </c>
      <c r="D20" s="84" t="s">
        <v>314</v>
      </c>
      <c r="E20" s="233">
        <f>'9'!D20</f>
        <v>0</v>
      </c>
      <c r="F20" s="230"/>
      <c r="G20" s="234"/>
      <c r="H20" s="233">
        <f>'9'!G20</f>
        <v>0</v>
      </c>
      <c r="I20" s="230"/>
      <c r="J20" s="239">
        <f t="shared" si="1"/>
        <v>0</v>
      </c>
      <c r="K20" s="233">
        <f t="shared" si="0"/>
        <v>74100000</v>
      </c>
      <c r="L20" s="240"/>
      <c r="M20" s="111" t="s">
        <v>315</v>
      </c>
      <c r="N20" s="237" t="s">
        <v>190</v>
      </c>
      <c r="O20" s="236"/>
      <c r="P20" s="223"/>
      <c r="Q20" s="224"/>
      <c r="R20" s="3146">
        <v>74100000</v>
      </c>
      <c r="S20" s="151"/>
      <c r="T20" s="151"/>
    </row>
    <row r="21" spans="2:20" x14ac:dyDescent="0.3">
      <c r="B21" s="228"/>
      <c r="C21" s="86" t="s">
        <v>190</v>
      </c>
      <c r="D21" s="84" t="s">
        <v>316</v>
      </c>
      <c r="E21" s="233">
        <f>'9'!D21</f>
        <v>0</v>
      </c>
      <c r="F21" s="240"/>
      <c r="G21" s="234"/>
      <c r="H21" s="233">
        <f>'9'!G21</f>
        <v>0</v>
      </c>
      <c r="I21" s="230"/>
      <c r="J21" s="239">
        <f t="shared" si="1"/>
        <v>0</v>
      </c>
      <c r="K21" s="233">
        <f t="shared" si="0"/>
        <v>22500000</v>
      </c>
      <c r="L21" s="240"/>
      <c r="M21" s="111" t="s">
        <v>317</v>
      </c>
      <c r="N21" s="237" t="s">
        <v>190</v>
      </c>
      <c r="O21" s="236"/>
      <c r="P21" s="223"/>
      <c r="Q21" s="224"/>
      <c r="R21" s="3146">
        <v>22500000</v>
      </c>
      <c r="S21" s="151"/>
      <c r="T21" s="151"/>
    </row>
    <row r="22" spans="2:20" x14ac:dyDescent="0.3">
      <c r="B22" s="228"/>
      <c r="C22" s="84"/>
      <c r="D22" s="84"/>
      <c r="E22" s="241">
        <f>SUM(E15:E21)</f>
        <v>547400000</v>
      </c>
      <c r="F22" s="241"/>
      <c r="G22" s="241"/>
      <c r="H22" s="241">
        <f>SUM(H15:H21)</f>
        <v>552500000</v>
      </c>
      <c r="I22" s="242"/>
      <c r="J22" s="243">
        <f t="shared" si="1"/>
        <v>-5100000</v>
      </c>
      <c r="K22" s="241">
        <f>SUM(K15:K21)</f>
        <v>8575039000</v>
      </c>
      <c r="L22" s="244"/>
      <c r="M22" s="111"/>
      <c r="N22" s="87"/>
      <c r="O22" s="236"/>
      <c r="P22" s="223"/>
      <c r="Q22" s="224"/>
      <c r="R22" s="3147">
        <v>8027639000</v>
      </c>
      <c r="S22" s="151"/>
      <c r="T22" s="151"/>
    </row>
    <row r="23" spans="2:20" x14ac:dyDescent="0.3">
      <c r="B23" s="228"/>
      <c r="C23" s="86" t="s">
        <v>190</v>
      </c>
      <c r="D23" s="84" t="s">
        <v>318</v>
      </c>
      <c r="E23" s="245">
        <f>-'9'!D24</f>
        <v>-3950000</v>
      </c>
      <c r="F23" s="246"/>
      <c r="G23" s="247"/>
      <c r="H23" s="245">
        <f>-'9'!G24</f>
        <v>-4200000</v>
      </c>
      <c r="I23" s="248"/>
      <c r="J23" s="249">
        <f t="shared" si="1"/>
        <v>250000</v>
      </c>
      <c r="K23" s="245">
        <f>E23+R23</f>
        <v>-70768000</v>
      </c>
      <c r="L23" s="248"/>
      <c r="M23" s="111" t="s">
        <v>319</v>
      </c>
      <c r="N23" s="237" t="s">
        <v>190</v>
      </c>
      <c r="O23" s="236"/>
      <c r="P23" s="223"/>
      <c r="Q23" s="224"/>
      <c r="R23" s="3149">
        <v>-66818000</v>
      </c>
      <c r="S23" s="151"/>
      <c r="T23" s="151"/>
    </row>
    <row r="24" spans="2:20" x14ac:dyDescent="0.3">
      <c r="B24" s="228"/>
      <c r="C24" s="84"/>
      <c r="D24" s="109"/>
      <c r="E24" s="250">
        <f>SUM(E22:E23)</f>
        <v>543450000</v>
      </c>
      <c r="F24" s="251"/>
      <c r="G24" s="250"/>
      <c r="H24" s="250">
        <f>SUM(H22:H23)</f>
        <v>548300000</v>
      </c>
      <c r="I24" s="252"/>
      <c r="J24" s="253">
        <f t="shared" si="1"/>
        <v>-4850000</v>
      </c>
      <c r="K24" s="250">
        <f>SUM(K22:K23)</f>
        <v>8504271000</v>
      </c>
      <c r="L24" s="230"/>
      <c r="M24" s="111"/>
      <c r="N24" s="87"/>
      <c r="O24" s="236"/>
      <c r="P24" s="223"/>
      <c r="Q24" s="224"/>
      <c r="R24" s="3150">
        <v>7960821000</v>
      </c>
      <c r="S24" s="151"/>
      <c r="T24" s="151"/>
    </row>
    <row r="25" spans="2:20" x14ac:dyDescent="0.3">
      <c r="B25" s="228"/>
      <c r="C25" s="84" t="s">
        <v>7311</v>
      </c>
      <c r="D25" s="109"/>
      <c r="E25" s="233">
        <f>'9'!D36</f>
        <v>1000100</v>
      </c>
      <c r="F25" s="251"/>
      <c r="G25" s="153"/>
      <c r="H25" s="233">
        <f>'9'!G36</f>
        <v>168</v>
      </c>
      <c r="I25" s="252"/>
      <c r="J25" s="253">
        <f t="shared" si="1"/>
        <v>999932</v>
      </c>
      <c r="K25" s="233">
        <f>E25+R25</f>
        <v>1031304.33</v>
      </c>
      <c r="L25" s="240">
        <f>K25/$K$58*100</f>
        <v>8.0188103071672789E-3</v>
      </c>
      <c r="M25" s="111"/>
      <c r="N25" s="87" t="s">
        <v>321</v>
      </c>
      <c r="O25" s="236"/>
      <c r="P25" s="223"/>
      <c r="Q25" s="224"/>
      <c r="R25" s="3146">
        <v>31204.33</v>
      </c>
      <c r="S25" s="151"/>
      <c r="T25" s="151"/>
    </row>
    <row r="26" spans="2:20" x14ac:dyDescent="0.3">
      <c r="B26" s="228"/>
      <c r="C26" s="84" t="s">
        <v>320</v>
      </c>
      <c r="D26" s="109"/>
      <c r="E26" s="233"/>
      <c r="F26" s="230"/>
      <c r="G26" s="234"/>
      <c r="H26" s="233"/>
      <c r="I26" s="230"/>
      <c r="J26" s="239">
        <f t="shared" si="1"/>
        <v>0</v>
      </c>
      <c r="K26" s="233">
        <f t="shared" ref="K26:K35" si="2">E26+R26</f>
        <v>0</v>
      </c>
      <c r="L26" s="240">
        <f t="shared" ref="L26:L35" si="3">K26/$K$58*100</f>
        <v>0</v>
      </c>
      <c r="M26" s="111"/>
      <c r="N26" s="254" t="s">
        <v>322</v>
      </c>
      <c r="O26" s="236"/>
      <c r="P26" s="223"/>
      <c r="Q26" s="224"/>
      <c r="R26" s="3146">
        <v>0</v>
      </c>
      <c r="S26" s="151"/>
      <c r="T26" s="151"/>
    </row>
    <row r="27" spans="2:20" outlineLevel="1" x14ac:dyDescent="0.3">
      <c r="B27" s="228"/>
      <c r="C27" s="84" t="s">
        <v>429</v>
      </c>
      <c r="D27" s="109"/>
      <c r="E27" s="233">
        <f>'9'!D44</f>
        <v>50000</v>
      </c>
      <c r="F27" s="251"/>
      <c r="G27" s="153"/>
      <c r="H27" s="233">
        <f>'9'!G44</f>
        <v>414950</v>
      </c>
      <c r="I27" s="252"/>
      <c r="J27" s="253">
        <f t="shared" si="1"/>
        <v>-364950</v>
      </c>
      <c r="K27" s="233">
        <f t="shared" si="2"/>
        <v>10914450</v>
      </c>
      <c r="L27" s="240">
        <f t="shared" si="3"/>
        <v>8.486428458713241E-2</v>
      </c>
      <c r="M27" s="111"/>
      <c r="N27" s="254" t="s">
        <v>323</v>
      </c>
      <c r="O27" s="236"/>
      <c r="P27" s="223"/>
      <c r="Q27" s="224"/>
      <c r="R27" s="3146">
        <v>10864450</v>
      </c>
      <c r="S27" s="151"/>
      <c r="T27" s="151"/>
    </row>
    <row r="28" spans="2:20" outlineLevel="1" x14ac:dyDescent="0.3">
      <c r="B28" s="228"/>
      <c r="C28" s="84" t="s">
        <v>430</v>
      </c>
      <c r="D28" s="109"/>
      <c r="E28" s="233">
        <v>0</v>
      </c>
      <c r="F28" s="230"/>
      <c r="G28" s="234"/>
      <c r="H28" s="233">
        <v>0</v>
      </c>
      <c r="I28" s="230"/>
      <c r="J28" s="239">
        <f t="shared" si="1"/>
        <v>0</v>
      </c>
      <c r="K28" s="233">
        <f t="shared" si="2"/>
        <v>0</v>
      </c>
      <c r="L28" s="240">
        <f t="shared" si="3"/>
        <v>0</v>
      </c>
      <c r="M28" s="111"/>
      <c r="N28" s="254" t="s">
        <v>324</v>
      </c>
      <c r="O28" s="236"/>
      <c r="P28" s="223"/>
      <c r="Q28" s="224"/>
      <c r="R28" s="3146">
        <v>0</v>
      </c>
      <c r="S28" s="151"/>
      <c r="T28" s="151"/>
    </row>
    <row r="29" spans="2:20" outlineLevel="1" x14ac:dyDescent="0.3">
      <c r="B29" s="228"/>
      <c r="C29" s="84" t="s">
        <v>273</v>
      </c>
      <c r="D29" s="109"/>
      <c r="E29" s="233"/>
      <c r="F29" s="230"/>
      <c r="G29" s="153"/>
      <c r="H29" s="233"/>
      <c r="I29" s="230"/>
      <c r="J29" s="239">
        <f t="shared" si="1"/>
        <v>0</v>
      </c>
      <c r="K29" s="233">
        <f t="shared" si="2"/>
        <v>0</v>
      </c>
      <c r="L29" s="240">
        <f t="shared" si="3"/>
        <v>0</v>
      </c>
      <c r="M29" s="111"/>
      <c r="N29" s="254" t="s">
        <v>274</v>
      </c>
      <c r="O29" s="236"/>
      <c r="P29" s="223"/>
      <c r="Q29" s="224"/>
      <c r="R29" s="3146">
        <v>0</v>
      </c>
      <c r="S29" s="151"/>
      <c r="T29" s="151"/>
    </row>
    <row r="30" spans="2:20" outlineLevel="1" x14ac:dyDescent="0.3">
      <c r="B30" s="228"/>
      <c r="C30" s="86" t="s">
        <v>190</v>
      </c>
      <c r="D30" s="2860" t="s">
        <v>7294</v>
      </c>
      <c r="E30" s="2861">
        <f>'9'!D47</f>
        <v>82572250</v>
      </c>
      <c r="F30" s="230"/>
      <c r="G30" s="234"/>
      <c r="H30" s="255">
        <f>'9'!G47</f>
        <v>129992100</v>
      </c>
      <c r="I30" s="230"/>
      <c r="J30" s="239">
        <f t="shared" si="1"/>
        <v>-47419850</v>
      </c>
      <c r="K30" s="233">
        <f t="shared" si="2"/>
        <v>1332016556</v>
      </c>
      <c r="L30" s="240">
        <f t="shared" si="3"/>
        <v>10.356970079404459</v>
      </c>
      <c r="M30" s="111" t="s">
        <v>325</v>
      </c>
      <c r="N30" s="237" t="s">
        <v>190</v>
      </c>
      <c r="O30" s="236"/>
      <c r="P30" s="223"/>
      <c r="Q30" s="224"/>
      <c r="R30" s="3146">
        <v>1249444306</v>
      </c>
      <c r="S30" s="151"/>
      <c r="T30" s="151"/>
    </row>
    <row r="31" spans="2:20" outlineLevel="1" x14ac:dyDescent="0.3">
      <c r="B31" s="228"/>
      <c r="C31" s="86" t="s">
        <v>190</v>
      </c>
      <c r="D31" s="84" t="s">
        <v>326</v>
      </c>
      <c r="E31" s="233">
        <v>0</v>
      </c>
      <c r="F31" s="230"/>
      <c r="G31" s="234"/>
      <c r="H31" s="233">
        <v>0</v>
      </c>
      <c r="I31" s="230"/>
      <c r="J31" s="239">
        <f t="shared" si="1"/>
        <v>0</v>
      </c>
      <c r="K31" s="233">
        <f t="shared" si="2"/>
        <v>0</v>
      </c>
      <c r="L31" s="240">
        <f t="shared" si="3"/>
        <v>0</v>
      </c>
      <c r="M31" s="111" t="s">
        <v>327</v>
      </c>
      <c r="N31" s="237" t="s">
        <v>190</v>
      </c>
      <c r="O31" s="236"/>
      <c r="P31" s="223"/>
      <c r="Q31" s="224"/>
      <c r="R31" s="3146">
        <v>0</v>
      </c>
      <c r="S31" s="151"/>
      <c r="T31" s="151"/>
    </row>
    <row r="32" spans="2:20" outlineLevel="1" x14ac:dyDescent="0.3">
      <c r="B32" s="228"/>
      <c r="C32" s="86" t="s">
        <v>190</v>
      </c>
      <c r="D32" s="84" t="s">
        <v>328</v>
      </c>
      <c r="E32" s="255">
        <v>0</v>
      </c>
      <c r="F32" s="230"/>
      <c r="G32" s="234"/>
      <c r="H32" s="233">
        <v>0</v>
      </c>
      <c r="I32" s="230"/>
      <c r="J32" s="239">
        <f t="shared" si="1"/>
        <v>0</v>
      </c>
      <c r="K32" s="233">
        <f t="shared" si="2"/>
        <v>0</v>
      </c>
      <c r="L32" s="240">
        <f>K32/$K$58*100</f>
        <v>0</v>
      </c>
      <c r="M32" s="111" t="s">
        <v>329</v>
      </c>
      <c r="N32" s="237" t="s">
        <v>190</v>
      </c>
      <c r="O32" s="236"/>
      <c r="P32" s="223"/>
      <c r="Q32" s="224"/>
      <c r="R32" s="3146">
        <v>0</v>
      </c>
      <c r="S32" s="151"/>
      <c r="T32" s="151"/>
    </row>
    <row r="33" spans="2:20" outlineLevel="1" x14ac:dyDescent="0.3">
      <c r="B33" s="228"/>
      <c r="C33" s="86" t="s">
        <v>190</v>
      </c>
      <c r="D33" s="84" t="s">
        <v>330</v>
      </c>
      <c r="E33" s="255">
        <v>0</v>
      </c>
      <c r="F33" s="230"/>
      <c r="G33" s="234"/>
      <c r="H33" s="233">
        <v>0</v>
      </c>
      <c r="I33" s="230"/>
      <c r="J33" s="239">
        <f t="shared" si="1"/>
        <v>0</v>
      </c>
      <c r="K33" s="233">
        <f t="shared" si="2"/>
        <v>0</v>
      </c>
      <c r="L33" s="240">
        <f t="shared" si="3"/>
        <v>0</v>
      </c>
      <c r="M33" s="111" t="s">
        <v>330</v>
      </c>
      <c r="N33" s="237"/>
      <c r="O33" s="236"/>
      <c r="P33" s="223"/>
      <c r="Q33" s="224"/>
      <c r="R33" s="3146">
        <v>0</v>
      </c>
      <c r="S33" s="151"/>
      <c r="T33" s="151"/>
    </row>
    <row r="34" spans="2:20" outlineLevel="1" x14ac:dyDescent="0.3">
      <c r="B34" s="228"/>
      <c r="C34" s="86" t="s">
        <v>190</v>
      </c>
      <c r="D34" s="84" t="s">
        <v>684</v>
      </c>
      <c r="E34" s="255">
        <v>0</v>
      </c>
      <c r="F34" s="230"/>
      <c r="G34" s="234"/>
      <c r="H34" s="233">
        <v>0</v>
      </c>
      <c r="I34" s="230"/>
      <c r="J34" s="239">
        <f t="shared" si="1"/>
        <v>0</v>
      </c>
      <c r="K34" s="233">
        <f t="shared" si="2"/>
        <v>0</v>
      </c>
      <c r="L34" s="240">
        <f t="shared" si="3"/>
        <v>0</v>
      </c>
      <c r="M34" s="111" t="s">
        <v>331</v>
      </c>
      <c r="N34" s="237" t="s">
        <v>190</v>
      </c>
      <c r="O34" s="236"/>
      <c r="P34" s="223"/>
      <c r="Q34" s="224"/>
      <c r="R34" s="3146">
        <v>0</v>
      </c>
      <c r="S34" s="151"/>
      <c r="T34" s="151"/>
    </row>
    <row r="35" spans="2:20" x14ac:dyDescent="0.3">
      <c r="B35" s="228"/>
      <c r="C35" s="86" t="s">
        <v>190</v>
      </c>
      <c r="D35" s="84" t="s">
        <v>333</v>
      </c>
      <c r="E35" s="255">
        <f>'[4]9'!E41+'[4]9'!E42</f>
        <v>0</v>
      </c>
      <c r="F35" s="230"/>
      <c r="G35" s="234"/>
      <c r="H35" s="233">
        <v>0</v>
      </c>
      <c r="I35" s="230"/>
      <c r="J35" s="239">
        <f t="shared" si="1"/>
        <v>0</v>
      </c>
      <c r="K35" s="233">
        <f t="shared" si="2"/>
        <v>0</v>
      </c>
      <c r="L35" s="240">
        <f t="shared" si="3"/>
        <v>0</v>
      </c>
      <c r="M35" s="111" t="s">
        <v>334</v>
      </c>
      <c r="N35" s="237" t="s">
        <v>190</v>
      </c>
      <c r="O35" s="236"/>
      <c r="P35" s="223"/>
      <c r="Q35" s="224"/>
      <c r="R35" s="3146">
        <v>0</v>
      </c>
      <c r="S35" s="151"/>
      <c r="T35" s="151"/>
    </row>
    <row r="36" spans="2:20" x14ac:dyDescent="0.3">
      <c r="B36" s="228"/>
      <c r="C36" s="84"/>
      <c r="D36" s="109"/>
      <c r="E36" s="256">
        <f>SUM(E30:E35)</f>
        <v>82572250</v>
      </c>
      <c r="F36" s="257"/>
      <c r="G36" s="258"/>
      <c r="H36" s="256">
        <f>SUM(H30:H35)</f>
        <v>129992100</v>
      </c>
      <c r="I36" s="259"/>
      <c r="J36" s="260">
        <f t="shared" si="1"/>
        <v>-47419850</v>
      </c>
      <c r="K36" s="256">
        <f>SUM(K30:K35)</f>
        <v>1332016556</v>
      </c>
      <c r="L36" s="244"/>
      <c r="M36" s="111"/>
      <c r="N36" s="87"/>
      <c r="O36" s="236"/>
      <c r="P36" s="223"/>
      <c r="Q36" s="224"/>
      <c r="R36" s="3151">
        <v>1249444306</v>
      </c>
      <c r="S36" s="151"/>
      <c r="T36" s="151"/>
    </row>
    <row r="37" spans="2:20" outlineLevel="1" x14ac:dyDescent="0.3">
      <c r="B37" s="228"/>
      <c r="C37" s="84" t="s">
        <v>335</v>
      </c>
      <c r="D37" s="109"/>
      <c r="E37" s="233"/>
      <c r="F37" s="240"/>
      <c r="G37" s="234"/>
      <c r="H37" s="233"/>
      <c r="I37" s="230"/>
      <c r="J37" s="239">
        <f t="shared" si="1"/>
        <v>0</v>
      </c>
      <c r="K37" s="233"/>
      <c r="L37" s="240"/>
      <c r="M37" s="111"/>
      <c r="N37" s="87" t="s">
        <v>336</v>
      </c>
      <c r="O37" s="236"/>
      <c r="P37" s="223"/>
      <c r="Q37" s="224"/>
      <c r="R37" s="3146"/>
      <c r="S37" s="151"/>
      <c r="T37" s="151"/>
    </row>
    <row r="38" spans="2:20" outlineLevel="1" x14ac:dyDescent="0.3">
      <c r="B38" s="228"/>
      <c r="C38" s="86" t="s">
        <v>190</v>
      </c>
      <c r="D38" s="261" t="s">
        <v>337</v>
      </c>
      <c r="E38" s="233">
        <v>0</v>
      </c>
      <c r="F38" s="230"/>
      <c r="G38" s="234"/>
      <c r="H38" s="233">
        <v>0</v>
      </c>
      <c r="I38" s="230"/>
      <c r="J38" s="239">
        <f t="shared" si="1"/>
        <v>0</v>
      </c>
      <c r="K38" s="233">
        <f t="shared" ref="K38:K44" si="4">E38+R38</f>
        <v>0</v>
      </c>
      <c r="L38" s="230"/>
      <c r="M38" s="111" t="s">
        <v>338</v>
      </c>
      <c r="N38" s="237" t="s">
        <v>190</v>
      </c>
      <c r="O38" s="236"/>
      <c r="P38" s="223"/>
      <c r="Q38" s="224"/>
      <c r="R38" s="3146">
        <v>0</v>
      </c>
      <c r="S38" s="151"/>
      <c r="T38" s="151"/>
    </row>
    <row r="39" spans="2:20" outlineLevel="1" x14ac:dyDescent="0.3">
      <c r="B39" s="228"/>
      <c r="C39" s="86" t="s">
        <v>190</v>
      </c>
      <c r="D39" s="261" t="s">
        <v>339</v>
      </c>
      <c r="E39" s="233">
        <v>0</v>
      </c>
      <c r="F39" s="230"/>
      <c r="G39" s="234"/>
      <c r="H39" s="233">
        <v>0</v>
      </c>
      <c r="I39" s="230"/>
      <c r="J39" s="239">
        <f t="shared" si="1"/>
        <v>0</v>
      </c>
      <c r="K39" s="233">
        <f t="shared" si="4"/>
        <v>0</v>
      </c>
      <c r="L39" s="230"/>
      <c r="M39" s="111" t="s">
        <v>340</v>
      </c>
      <c r="N39" s="237" t="s">
        <v>190</v>
      </c>
      <c r="O39" s="236"/>
      <c r="P39" s="223"/>
      <c r="Q39" s="224"/>
      <c r="R39" s="3146">
        <v>0</v>
      </c>
      <c r="S39" s="151"/>
      <c r="T39" s="151"/>
    </row>
    <row r="40" spans="2:20" outlineLevel="1" x14ac:dyDescent="0.3">
      <c r="B40" s="228"/>
      <c r="C40" s="86" t="s">
        <v>190</v>
      </c>
      <c r="D40" s="261" t="s">
        <v>341</v>
      </c>
      <c r="E40" s="233">
        <v>0</v>
      </c>
      <c r="F40" s="230"/>
      <c r="G40" s="234"/>
      <c r="H40" s="233">
        <v>0</v>
      </c>
      <c r="I40" s="230"/>
      <c r="J40" s="239">
        <f t="shared" si="1"/>
        <v>0</v>
      </c>
      <c r="K40" s="233">
        <f t="shared" si="4"/>
        <v>0</v>
      </c>
      <c r="L40" s="230"/>
      <c r="M40" s="262" t="s">
        <v>342</v>
      </c>
      <c r="N40" s="237" t="s">
        <v>190</v>
      </c>
      <c r="O40" s="236"/>
      <c r="P40" s="223"/>
      <c r="Q40" s="224"/>
      <c r="R40" s="3146">
        <v>0</v>
      </c>
      <c r="S40" s="151"/>
      <c r="T40" s="151"/>
    </row>
    <row r="41" spans="2:20" outlineLevel="1" x14ac:dyDescent="0.3">
      <c r="B41" s="228"/>
      <c r="C41" s="86" t="s">
        <v>190</v>
      </c>
      <c r="D41" s="261" t="s">
        <v>343</v>
      </c>
      <c r="E41" s="233">
        <v>0</v>
      </c>
      <c r="F41" s="230"/>
      <c r="G41" s="234"/>
      <c r="H41" s="233">
        <v>0</v>
      </c>
      <c r="I41" s="230"/>
      <c r="J41" s="239">
        <f t="shared" si="1"/>
        <v>0</v>
      </c>
      <c r="K41" s="233">
        <f t="shared" si="4"/>
        <v>0</v>
      </c>
      <c r="L41" s="240"/>
      <c r="M41" s="111" t="s">
        <v>344</v>
      </c>
      <c r="N41" s="237" t="s">
        <v>190</v>
      </c>
      <c r="O41" s="236"/>
      <c r="P41" s="223"/>
      <c r="Q41" s="224"/>
      <c r="R41" s="3146">
        <v>0</v>
      </c>
      <c r="S41" s="151"/>
      <c r="T41" s="151"/>
    </row>
    <row r="42" spans="2:20" outlineLevel="1" x14ac:dyDescent="0.3">
      <c r="B42" s="228"/>
      <c r="C42" s="86" t="s">
        <v>190</v>
      </c>
      <c r="D42" s="261" t="s">
        <v>345</v>
      </c>
      <c r="E42" s="233">
        <v>0</v>
      </c>
      <c r="F42" s="230"/>
      <c r="G42" s="234"/>
      <c r="H42" s="233">
        <v>0</v>
      </c>
      <c r="I42" s="230"/>
      <c r="J42" s="239">
        <f t="shared" si="1"/>
        <v>0</v>
      </c>
      <c r="K42" s="233">
        <f t="shared" si="4"/>
        <v>0</v>
      </c>
      <c r="L42" s="230"/>
      <c r="M42" s="263" t="s">
        <v>346</v>
      </c>
      <c r="N42" s="237" t="s">
        <v>190</v>
      </c>
      <c r="O42" s="236"/>
      <c r="P42" s="223"/>
      <c r="Q42" s="224"/>
      <c r="R42" s="3146">
        <v>0</v>
      </c>
      <c r="S42" s="151"/>
      <c r="T42" s="151"/>
    </row>
    <row r="43" spans="2:20" outlineLevel="1" x14ac:dyDescent="0.3">
      <c r="B43" s="228"/>
      <c r="C43" s="86" t="s">
        <v>190</v>
      </c>
      <c r="D43" s="261" t="s">
        <v>347</v>
      </c>
      <c r="E43" s="233">
        <v>0</v>
      </c>
      <c r="F43" s="230"/>
      <c r="G43" s="234"/>
      <c r="H43" s="233">
        <v>0</v>
      </c>
      <c r="I43" s="230"/>
      <c r="J43" s="239">
        <f t="shared" si="1"/>
        <v>0</v>
      </c>
      <c r="K43" s="233">
        <f t="shared" si="4"/>
        <v>0</v>
      </c>
      <c r="L43" s="230"/>
      <c r="M43" s="263" t="s">
        <v>348</v>
      </c>
      <c r="N43" s="237"/>
      <c r="O43" s="236"/>
      <c r="P43" s="223"/>
      <c r="Q43" s="224"/>
      <c r="R43" s="3146">
        <v>0</v>
      </c>
      <c r="S43" s="151"/>
      <c r="T43" s="151"/>
    </row>
    <row r="44" spans="2:20" x14ac:dyDescent="0.3">
      <c r="B44" s="228"/>
      <c r="C44" s="86" t="s">
        <v>190</v>
      </c>
      <c r="D44" s="261" t="s">
        <v>349</v>
      </c>
      <c r="E44" s="233">
        <f>'9'!D64</f>
        <v>0</v>
      </c>
      <c r="F44" s="230"/>
      <c r="G44" s="234"/>
      <c r="H44" s="233">
        <v>0</v>
      </c>
      <c r="I44" s="230"/>
      <c r="J44" s="239">
        <f t="shared" si="1"/>
        <v>0</v>
      </c>
      <c r="K44" s="233">
        <f t="shared" si="4"/>
        <v>0</v>
      </c>
      <c r="L44" s="230"/>
      <c r="M44" s="111" t="s">
        <v>350</v>
      </c>
      <c r="N44" s="237" t="s">
        <v>190</v>
      </c>
      <c r="O44" s="236"/>
      <c r="P44" s="223"/>
      <c r="Q44" s="224"/>
      <c r="R44" s="3146">
        <v>0</v>
      </c>
      <c r="S44" s="151"/>
      <c r="T44" s="151"/>
    </row>
    <row r="45" spans="2:20" ht="12.75" customHeight="1" outlineLevel="1" x14ac:dyDescent="0.3">
      <c r="B45" s="228"/>
      <c r="C45" s="84"/>
      <c r="D45" s="261"/>
      <c r="E45" s="256">
        <f>SUM(E38:E44)</f>
        <v>0</v>
      </c>
      <c r="F45" s="257"/>
      <c r="G45" s="258"/>
      <c r="H45" s="256">
        <v>0</v>
      </c>
      <c r="I45" s="259"/>
      <c r="J45" s="260">
        <f t="shared" si="1"/>
        <v>0</v>
      </c>
      <c r="K45" s="256">
        <f>SUM(K38:K44)</f>
        <v>0</v>
      </c>
      <c r="L45" s="244"/>
      <c r="M45" s="111"/>
      <c r="N45" s="87"/>
      <c r="O45" s="236"/>
      <c r="P45" s="223"/>
      <c r="Q45" s="224"/>
      <c r="R45" s="3147">
        <v>0</v>
      </c>
      <c r="S45" s="151"/>
      <c r="T45" s="151"/>
    </row>
    <row r="46" spans="2:20" ht="12.75" customHeight="1" thickBot="1" x14ac:dyDescent="0.35">
      <c r="B46" s="228"/>
      <c r="C46" s="264"/>
      <c r="D46" s="265"/>
      <c r="E46" s="266"/>
      <c r="F46" s="267"/>
      <c r="G46" s="268"/>
      <c r="H46" s="266"/>
      <c r="I46" s="267"/>
      <c r="J46" s="269">
        <f t="shared" si="1"/>
        <v>0</v>
      </c>
      <c r="K46" s="270"/>
      <c r="L46" s="267"/>
      <c r="M46" s="271"/>
      <c r="N46" s="272"/>
      <c r="O46" s="273"/>
      <c r="P46" s="223"/>
      <c r="Q46" s="224"/>
      <c r="R46" s="3146"/>
      <c r="S46" s="151"/>
      <c r="T46" s="151"/>
    </row>
    <row r="47" spans="2:20" ht="15" customHeight="1" x14ac:dyDescent="0.3">
      <c r="B47" s="228"/>
      <c r="C47" s="130" t="s">
        <v>351</v>
      </c>
      <c r="D47" s="109"/>
      <c r="E47" s="233"/>
      <c r="F47" s="230"/>
      <c r="G47" s="234"/>
      <c r="H47" s="233"/>
      <c r="I47" s="230"/>
      <c r="J47" s="239">
        <f t="shared" si="1"/>
        <v>0</v>
      </c>
      <c r="K47" s="235"/>
      <c r="L47" s="230"/>
      <c r="M47" s="111"/>
      <c r="N47" s="88" t="s">
        <v>352</v>
      </c>
      <c r="O47" s="236"/>
      <c r="P47" s="223"/>
      <c r="Q47" s="224"/>
      <c r="R47" s="3143"/>
      <c r="S47" s="151"/>
      <c r="T47" s="151"/>
    </row>
    <row r="48" spans="2:20" ht="15" customHeight="1" x14ac:dyDescent="0.3">
      <c r="B48" s="228"/>
      <c r="C48" s="130" t="s">
        <v>353</v>
      </c>
      <c r="D48" s="109"/>
      <c r="E48" s="250">
        <f>E45+E36+E25+E24+E27+E28+E26</f>
        <v>627072350</v>
      </c>
      <c r="F48" s="250"/>
      <c r="G48" s="250"/>
      <c r="H48" s="250">
        <f>H45+H36+H25+H24+H27+H28+H26</f>
        <v>678707218</v>
      </c>
      <c r="I48" s="274"/>
      <c r="J48" s="275">
        <f t="shared" si="1"/>
        <v>-51634868</v>
      </c>
      <c r="K48" s="250">
        <f>K45+K36+K26+K24+K27+K28+K25</f>
        <v>9848233310.3299999</v>
      </c>
      <c r="L48" s="230"/>
      <c r="M48" s="111"/>
      <c r="N48" s="88" t="s">
        <v>354</v>
      </c>
      <c r="O48" s="236"/>
      <c r="P48" s="223"/>
      <c r="Q48" s="224"/>
      <c r="R48" s="3150">
        <v>9221160960.3299999</v>
      </c>
      <c r="S48" s="151">
        <f>K48-R48</f>
        <v>627072350</v>
      </c>
      <c r="T48" s="151"/>
    </row>
    <row r="49" spans="1:21" ht="9.75" customHeight="1" x14ac:dyDescent="0.3">
      <c r="B49" s="228"/>
      <c r="C49" s="130"/>
      <c r="D49" s="109"/>
      <c r="E49" s="250"/>
      <c r="F49" s="276"/>
      <c r="G49" s="234"/>
      <c r="H49" s="250"/>
      <c r="I49" s="276"/>
      <c r="J49" s="277">
        <f t="shared" si="1"/>
        <v>0</v>
      </c>
      <c r="K49" s="278"/>
      <c r="L49" s="230"/>
      <c r="M49" s="111"/>
      <c r="N49" s="88"/>
      <c r="O49" s="236"/>
      <c r="P49" s="223"/>
      <c r="Q49" s="224"/>
      <c r="R49" s="3146"/>
      <c r="S49" s="151"/>
      <c r="T49" s="151"/>
    </row>
    <row r="50" spans="1:21" ht="15" customHeight="1" outlineLevel="1" x14ac:dyDescent="0.3">
      <c r="B50" s="228"/>
      <c r="C50" s="130" t="s">
        <v>355</v>
      </c>
      <c r="D50" s="98"/>
      <c r="E50" s="233"/>
      <c r="F50" s="230"/>
      <c r="G50" s="153"/>
      <c r="H50" s="233"/>
      <c r="I50" s="230"/>
      <c r="J50" s="239">
        <f t="shared" si="1"/>
        <v>0</v>
      </c>
      <c r="K50" s="235"/>
      <c r="L50" s="230"/>
      <c r="M50" s="108"/>
      <c r="N50" s="88" t="s">
        <v>356</v>
      </c>
      <c r="O50" s="236"/>
      <c r="P50" s="223"/>
      <c r="Q50" s="224"/>
      <c r="R50" s="3146"/>
      <c r="S50" s="151"/>
      <c r="T50" s="151"/>
    </row>
    <row r="51" spans="1:21" ht="15" customHeight="1" outlineLevel="1" x14ac:dyDescent="0.3">
      <c r="B51" s="228"/>
      <c r="C51" s="130" t="s">
        <v>357</v>
      </c>
      <c r="D51" s="130"/>
      <c r="E51" s="2896"/>
      <c r="F51" s="215"/>
      <c r="G51" s="153"/>
      <c r="H51" s="233"/>
      <c r="I51" s="230"/>
      <c r="J51" s="239">
        <f t="shared" si="1"/>
        <v>0</v>
      </c>
      <c r="K51" s="235"/>
      <c r="L51" s="230"/>
      <c r="M51" s="108"/>
      <c r="N51" s="88" t="s">
        <v>358</v>
      </c>
      <c r="O51" s="236"/>
      <c r="P51" s="223"/>
      <c r="Q51" s="224"/>
      <c r="R51" s="3146"/>
      <c r="S51" s="151"/>
      <c r="T51" s="151"/>
    </row>
    <row r="52" spans="1:21" outlineLevel="1" x14ac:dyDescent="0.3">
      <c r="B52" s="228"/>
      <c r="C52" s="109" t="s">
        <v>359</v>
      </c>
      <c r="D52" s="84"/>
      <c r="E52" s="2896">
        <f>CLK!S779</f>
        <v>14078200</v>
      </c>
      <c r="F52" s="215"/>
      <c r="G52" s="234"/>
      <c r="H52" s="233">
        <v>123119800</v>
      </c>
      <c r="I52" s="230"/>
      <c r="J52" s="239">
        <f t="shared" si="1"/>
        <v>-109041600</v>
      </c>
      <c r="K52" s="233">
        <f>E52+R52</f>
        <v>372744200</v>
      </c>
      <c r="L52" s="240"/>
      <c r="M52" s="111" t="s">
        <v>360</v>
      </c>
      <c r="N52" s="237" t="s">
        <v>190</v>
      </c>
      <c r="O52" s="236"/>
      <c r="P52" s="223"/>
      <c r="Q52" s="224"/>
      <c r="R52" s="3146">
        <v>358666000</v>
      </c>
      <c r="S52" s="151"/>
      <c r="T52" s="151"/>
    </row>
    <row r="53" spans="1:21" ht="15" customHeight="1" outlineLevel="1" x14ac:dyDescent="0.3">
      <c r="B53" s="228"/>
      <c r="C53" s="109" t="s">
        <v>361</v>
      </c>
      <c r="D53" s="84"/>
      <c r="E53" s="2896">
        <f>'8'!P59</f>
        <v>0</v>
      </c>
      <c r="F53" s="215"/>
      <c r="G53" s="234"/>
      <c r="H53" s="233">
        <v>0</v>
      </c>
      <c r="I53" s="230"/>
      <c r="J53" s="239">
        <f t="shared" si="1"/>
        <v>0</v>
      </c>
      <c r="K53" s="233">
        <f>E53+R53</f>
        <v>2640086544</v>
      </c>
      <c r="L53" s="240"/>
      <c r="M53" s="111" t="s">
        <v>362</v>
      </c>
      <c r="N53" s="237" t="s">
        <v>190</v>
      </c>
      <c r="O53" s="236"/>
      <c r="P53" s="223"/>
      <c r="Q53" s="224"/>
      <c r="R53" s="3146">
        <v>2640086544</v>
      </c>
      <c r="S53" s="151"/>
      <c r="T53" s="151"/>
    </row>
    <row r="54" spans="1:21" ht="14.25" customHeight="1" outlineLevel="1" x14ac:dyDescent="0.3">
      <c r="B54" s="228"/>
      <c r="C54" s="109" t="s">
        <v>363</v>
      </c>
      <c r="D54" s="109"/>
      <c r="E54" s="245"/>
      <c r="F54" s="246"/>
      <c r="G54" s="279"/>
      <c r="H54" s="245"/>
      <c r="I54" s="248"/>
      <c r="J54" s="249">
        <f t="shared" si="1"/>
        <v>0</v>
      </c>
      <c r="K54" s="245">
        <f>E54+H54</f>
        <v>0</v>
      </c>
      <c r="L54" s="246"/>
      <c r="M54" s="111" t="s">
        <v>364</v>
      </c>
      <c r="N54" s="237" t="s">
        <v>190</v>
      </c>
      <c r="O54" s="236"/>
      <c r="P54" s="223"/>
      <c r="Q54" s="224"/>
      <c r="R54" s="3146">
        <v>0</v>
      </c>
      <c r="S54" s="151"/>
      <c r="T54" s="151"/>
    </row>
    <row r="55" spans="1:21" ht="15" customHeight="1" outlineLevel="1" x14ac:dyDescent="0.3">
      <c r="B55" s="228"/>
      <c r="C55" s="86"/>
      <c r="D55" s="109"/>
      <c r="E55" s="256">
        <f>SUM(E52:E54)</f>
        <v>14078200</v>
      </c>
      <c r="F55" s="257"/>
      <c r="G55" s="258"/>
      <c r="H55" s="256">
        <f>SUM(H52:H54)</f>
        <v>123119800</v>
      </c>
      <c r="I55" s="259"/>
      <c r="J55" s="260">
        <f t="shared" si="1"/>
        <v>-109041600</v>
      </c>
      <c r="K55" s="256">
        <f>SUM(K52:K54)</f>
        <v>3012830744</v>
      </c>
      <c r="L55" s="244"/>
      <c r="M55" s="111"/>
      <c r="N55" s="237"/>
      <c r="O55" s="236"/>
      <c r="P55" s="223"/>
      <c r="Q55" s="224"/>
      <c r="R55" s="3151">
        <v>2998752544</v>
      </c>
      <c r="S55" s="151"/>
      <c r="T55" s="151"/>
    </row>
    <row r="56" spans="1:21" ht="12.75" customHeight="1" outlineLevel="1" thickBot="1" x14ac:dyDescent="0.35">
      <c r="B56" s="228"/>
      <c r="C56" s="84"/>
      <c r="D56" s="109"/>
      <c r="E56" s="233"/>
      <c r="F56" s="230"/>
      <c r="G56" s="234"/>
      <c r="H56" s="233"/>
      <c r="I56" s="230"/>
      <c r="J56" s="239">
        <f t="shared" si="1"/>
        <v>0</v>
      </c>
      <c r="K56" s="235"/>
      <c r="L56" s="230"/>
      <c r="M56" s="111"/>
      <c r="N56" s="87"/>
      <c r="O56" s="236"/>
      <c r="P56" s="223"/>
      <c r="Q56" s="224"/>
      <c r="R56" s="3146"/>
      <c r="S56" s="151"/>
      <c r="T56" s="151"/>
    </row>
    <row r="57" spans="1:21" s="50" customFormat="1" ht="13.5" customHeight="1" x14ac:dyDescent="0.3">
      <c r="A57" s="280"/>
      <c r="B57" s="281"/>
      <c r="C57" s="282" t="s">
        <v>365</v>
      </c>
      <c r="D57" s="283"/>
      <c r="E57" s="284"/>
      <c r="F57" s="285"/>
      <c r="G57" s="286"/>
      <c r="H57" s="284"/>
      <c r="I57" s="287"/>
      <c r="J57" s="288">
        <f t="shared" si="1"/>
        <v>0</v>
      </c>
      <c r="K57" s="284"/>
      <c r="L57" s="289"/>
      <c r="M57" s="290"/>
      <c r="N57" s="291" t="s">
        <v>366</v>
      </c>
      <c r="O57" s="292"/>
      <c r="P57" s="293"/>
      <c r="Q57" s="294"/>
      <c r="R57" s="3143"/>
      <c r="S57" s="151"/>
      <c r="T57" s="151"/>
    </row>
    <row r="58" spans="1:21" s="50" customFormat="1" ht="15" customHeight="1" thickBot="1" x14ac:dyDescent="0.35">
      <c r="B58" s="295"/>
      <c r="C58" s="296" t="s">
        <v>367</v>
      </c>
      <c r="D58" s="297"/>
      <c r="E58" s="298">
        <f>E55+E48</f>
        <v>641150550</v>
      </c>
      <c r="F58" s="299">
        <v>100</v>
      </c>
      <c r="G58" s="300"/>
      <c r="H58" s="298">
        <f>H55+H48</f>
        <v>801827018</v>
      </c>
      <c r="I58" s="301">
        <v>100</v>
      </c>
      <c r="J58" s="302">
        <f t="shared" si="1"/>
        <v>-160676468</v>
      </c>
      <c r="K58" s="298">
        <f>K55+K48</f>
        <v>12861064054.33</v>
      </c>
      <c r="L58" s="301">
        <v>100</v>
      </c>
      <c r="M58" s="303"/>
      <c r="N58" s="304" t="s">
        <v>368</v>
      </c>
      <c r="O58" s="305"/>
      <c r="P58" s="293"/>
      <c r="Q58" s="294"/>
      <c r="R58" s="3152">
        <v>12219913504.33</v>
      </c>
      <c r="S58" s="151"/>
      <c r="T58" s="151"/>
      <c r="U58" s="238">
        <v>931835924</v>
      </c>
    </row>
    <row r="59" spans="1:21" ht="22.5" customHeight="1" x14ac:dyDescent="0.3">
      <c r="B59" s="228"/>
      <c r="C59" s="130" t="s">
        <v>369</v>
      </c>
      <c r="D59" s="98"/>
      <c r="E59" s="250"/>
      <c r="F59" s="230"/>
      <c r="G59" s="153"/>
      <c r="H59" s="278"/>
      <c r="I59" s="230"/>
      <c r="J59" s="239">
        <f t="shared" si="1"/>
        <v>0</v>
      </c>
      <c r="K59" s="278"/>
      <c r="L59" s="230"/>
      <c r="M59" s="108"/>
      <c r="N59" s="88" t="s">
        <v>370</v>
      </c>
      <c r="O59" s="232"/>
      <c r="P59" s="223"/>
      <c r="Q59" s="224"/>
      <c r="R59" s="3146"/>
      <c r="S59" s="151"/>
      <c r="T59" s="151"/>
      <c r="U59" s="68"/>
    </row>
    <row r="60" spans="1:21" ht="15" customHeight="1" x14ac:dyDescent="0.3">
      <c r="B60" s="228"/>
      <c r="C60" s="84" t="s">
        <v>371</v>
      </c>
      <c r="D60" s="98"/>
      <c r="E60" s="250"/>
      <c r="F60" s="230"/>
      <c r="G60" s="153"/>
      <c r="H60" s="278"/>
      <c r="I60" s="230"/>
      <c r="J60" s="239">
        <f t="shared" si="1"/>
        <v>0</v>
      </c>
      <c r="K60" s="278"/>
      <c r="L60" s="230"/>
      <c r="M60" s="108"/>
      <c r="N60" s="87" t="s">
        <v>372</v>
      </c>
      <c r="O60" s="232"/>
      <c r="P60" s="223"/>
      <c r="Q60" s="224"/>
      <c r="R60" s="3146"/>
      <c r="S60" s="151"/>
      <c r="T60" s="151"/>
    </row>
    <row r="61" spans="1:21" x14ac:dyDescent="0.3">
      <c r="B61" s="228"/>
      <c r="C61" s="86" t="s">
        <v>190</v>
      </c>
      <c r="D61" s="109" t="s">
        <v>373</v>
      </c>
      <c r="E61" s="233">
        <f>'10'!D18</f>
        <v>13578200</v>
      </c>
      <c r="F61" s="230">
        <f t="shared" ref="F61:F69" si="5">E61/$E$75*100</f>
        <v>2.0269775470542215</v>
      </c>
      <c r="G61" s="234"/>
      <c r="H61" s="233">
        <f>'10'!F18</f>
        <v>53619800</v>
      </c>
      <c r="I61" s="230">
        <f>H61/$H$75*100</f>
        <v>5.622217521364286</v>
      </c>
      <c r="J61" s="239">
        <f t="shared" si="1"/>
        <v>-40041600</v>
      </c>
      <c r="K61" s="233">
        <f t="shared" ref="K61:K69" si="6">E61+R61</f>
        <v>286569100</v>
      </c>
      <c r="L61" s="240">
        <f t="shared" ref="L61:L69" si="7">K61/$K$75*100</f>
        <v>2.8306301096191633</v>
      </c>
      <c r="M61" s="111" t="s">
        <v>374</v>
      </c>
      <c r="N61" s="86" t="s">
        <v>190</v>
      </c>
      <c r="O61" s="236"/>
      <c r="P61" s="223"/>
      <c r="Q61" s="224"/>
      <c r="R61" s="3146">
        <v>272990900</v>
      </c>
      <c r="S61" s="151"/>
      <c r="T61" s="151"/>
    </row>
    <row r="62" spans="1:21" outlineLevel="1" x14ac:dyDescent="0.3">
      <c r="B62" s="228"/>
      <c r="C62" s="86" t="s">
        <v>190</v>
      </c>
      <c r="D62" s="109" t="s">
        <v>375</v>
      </c>
      <c r="E62" s="233">
        <f>'10'!D24</f>
        <v>1390000</v>
      </c>
      <c r="F62" s="230">
        <f t="shared" si="5"/>
        <v>0.20750164163183399</v>
      </c>
      <c r="G62" s="234"/>
      <c r="H62" s="233">
        <f>'10'!F24</f>
        <v>87571100</v>
      </c>
      <c r="I62" s="230">
        <f t="shared" ref="I62:I73" si="8">H62/$H$75*100</f>
        <v>9.1821262441326539</v>
      </c>
      <c r="J62" s="239">
        <f t="shared" si="1"/>
        <v>-86181100</v>
      </c>
      <c r="K62" s="233">
        <f t="shared" si="6"/>
        <v>448380900</v>
      </c>
      <c r="L62" s="240">
        <f t="shared" si="7"/>
        <v>4.428950909634497</v>
      </c>
      <c r="M62" s="111" t="s">
        <v>376</v>
      </c>
      <c r="N62" s="86" t="s">
        <v>190</v>
      </c>
      <c r="O62" s="236"/>
      <c r="P62" s="223"/>
      <c r="Q62" s="224"/>
      <c r="R62" s="3146">
        <v>446990900</v>
      </c>
      <c r="S62" s="151"/>
      <c r="T62" s="151"/>
    </row>
    <row r="63" spans="1:21" outlineLevel="2" x14ac:dyDescent="0.3">
      <c r="B63" s="228"/>
      <c r="C63" s="86" t="s">
        <v>190</v>
      </c>
      <c r="D63" s="109" t="s">
        <v>377</v>
      </c>
      <c r="E63" s="233">
        <f>'10'!D28</f>
        <v>0</v>
      </c>
      <c r="F63" s="230">
        <f t="shared" si="5"/>
        <v>0</v>
      </c>
      <c r="G63" s="234"/>
      <c r="H63" s="233">
        <f>'10'!F28</f>
        <v>0</v>
      </c>
      <c r="I63" s="230">
        <f t="shared" si="8"/>
        <v>0</v>
      </c>
      <c r="J63" s="239">
        <f t="shared" si="1"/>
        <v>0</v>
      </c>
      <c r="K63" s="233">
        <f t="shared" si="6"/>
        <v>4165000</v>
      </c>
      <c r="L63" s="240">
        <f t="shared" si="7"/>
        <v>4.1140424444100272E-2</v>
      </c>
      <c r="M63" s="111" t="s">
        <v>378</v>
      </c>
      <c r="N63" s="86" t="s">
        <v>190</v>
      </c>
      <c r="O63" s="236"/>
      <c r="P63" s="223"/>
      <c r="Q63" s="224"/>
      <c r="R63" s="3146">
        <v>4165000</v>
      </c>
      <c r="S63" s="151"/>
      <c r="T63" s="151"/>
    </row>
    <row r="64" spans="1:21" x14ac:dyDescent="0.3">
      <c r="B64" s="228"/>
      <c r="C64" s="86" t="s">
        <v>190</v>
      </c>
      <c r="D64" s="109" t="s">
        <v>379</v>
      </c>
      <c r="E64" s="233">
        <f>'10'!D42</f>
        <v>10808800</v>
      </c>
      <c r="F64" s="230">
        <f t="shared" si="5"/>
        <v>1.6135566504101921</v>
      </c>
      <c r="G64" s="234"/>
      <c r="H64" s="233">
        <f>'10'!F42</f>
        <v>7899800</v>
      </c>
      <c r="I64" s="230">
        <f t="shared" si="8"/>
        <v>0.82832076910532271</v>
      </c>
      <c r="J64" s="239">
        <f t="shared" si="1"/>
        <v>2909000</v>
      </c>
      <c r="K64" s="233">
        <f t="shared" si="6"/>
        <v>264820247</v>
      </c>
      <c r="L64" s="240">
        <f t="shared" si="7"/>
        <v>2.6158024881083968</v>
      </c>
      <c r="M64" s="111" t="s">
        <v>380</v>
      </c>
      <c r="N64" s="86" t="s">
        <v>190</v>
      </c>
      <c r="O64" s="236"/>
      <c r="P64" s="223"/>
      <c r="Q64" s="224"/>
      <c r="R64" s="3146">
        <v>254011447</v>
      </c>
      <c r="S64" s="151"/>
      <c r="T64" s="151"/>
    </row>
    <row r="65" spans="2:22" x14ac:dyDescent="0.3">
      <c r="B65" s="228"/>
      <c r="C65" s="86" t="s">
        <v>190</v>
      </c>
      <c r="D65" s="109" t="s">
        <v>381</v>
      </c>
      <c r="E65" s="233">
        <f>'10'!D50</f>
        <v>298317430.67000002</v>
      </c>
      <c r="F65" s="230">
        <f t="shared" si="5"/>
        <v>44.533350065766776</v>
      </c>
      <c r="G65" s="234"/>
      <c r="H65" s="233">
        <f>'10'!F50</f>
        <v>293933492.5</v>
      </c>
      <c r="I65" s="230">
        <f t="shared" si="8"/>
        <v>30.819921589586269</v>
      </c>
      <c r="J65" s="239">
        <f t="shared" si="1"/>
        <v>4383938.1700000167</v>
      </c>
      <c r="K65" s="233">
        <f t="shared" si="6"/>
        <v>4145112065.5</v>
      </c>
      <c r="L65" s="240">
        <f t="shared" si="7"/>
        <v>40.943978329659345</v>
      </c>
      <c r="M65" s="111" t="s">
        <v>382</v>
      </c>
      <c r="N65" s="86" t="s">
        <v>190</v>
      </c>
      <c r="O65" s="236"/>
      <c r="P65" s="223"/>
      <c r="Q65" s="224"/>
      <c r="R65" s="3146">
        <v>3846794634.8299999</v>
      </c>
      <c r="S65" s="151"/>
      <c r="T65" s="151"/>
    </row>
    <row r="66" spans="2:22" x14ac:dyDescent="0.3">
      <c r="B66" s="228"/>
      <c r="C66" s="86" t="s">
        <v>190</v>
      </c>
      <c r="D66" s="109" t="s">
        <v>383</v>
      </c>
      <c r="E66" s="233">
        <f>'10'!D60</f>
        <v>70631600</v>
      </c>
      <c r="F66" s="230">
        <f t="shared" si="5"/>
        <v>10.54400931732593</v>
      </c>
      <c r="G66" s="234"/>
      <c r="H66" s="233">
        <f>'10'!F60</f>
        <v>66706700</v>
      </c>
      <c r="I66" s="230">
        <f t="shared" si="8"/>
        <v>6.9944232826752621</v>
      </c>
      <c r="J66" s="239">
        <f t="shared" si="1"/>
        <v>3924900</v>
      </c>
      <c r="K66" s="233">
        <f t="shared" si="6"/>
        <v>450286093</v>
      </c>
      <c r="L66" s="240">
        <f t="shared" si="7"/>
        <v>4.4477697448488858</v>
      </c>
      <c r="M66" s="111" t="s">
        <v>384</v>
      </c>
      <c r="N66" s="86" t="s">
        <v>190</v>
      </c>
      <c r="O66" s="236"/>
      <c r="P66" s="223"/>
      <c r="Q66" s="224"/>
      <c r="R66" s="3146">
        <v>379654493</v>
      </c>
      <c r="S66" s="151"/>
      <c r="T66" s="151"/>
    </row>
    <row r="67" spans="2:22" outlineLevel="1" x14ac:dyDescent="0.3">
      <c r="B67" s="228"/>
      <c r="C67" s="86" t="s">
        <v>190</v>
      </c>
      <c r="D67" s="109" t="s">
        <v>385</v>
      </c>
      <c r="E67" s="233">
        <f>'10'!D65</f>
        <v>61850</v>
      </c>
      <c r="F67" s="230">
        <f t="shared" si="5"/>
        <v>9.2330766438337639E-3</v>
      </c>
      <c r="G67" s="234"/>
      <c r="H67" s="233">
        <f>'10'!F65</f>
        <v>53300</v>
      </c>
      <c r="I67" s="230">
        <f t="shared" si="8"/>
        <v>5.5886854089108214E-3</v>
      </c>
      <c r="J67" s="239">
        <f t="shared" si="1"/>
        <v>8550</v>
      </c>
      <c r="K67" s="233">
        <f t="shared" si="6"/>
        <v>2996487</v>
      </c>
      <c r="L67" s="240">
        <f t="shared" si="7"/>
        <v>2.9598258588530296E-2</v>
      </c>
      <c r="M67" s="111" t="s">
        <v>386</v>
      </c>
      <c r="N67" s="86" t="s">
        <v>190</v>
      </c>
      <c r="O67" s="236"/>
      <c r="P67" s="223"/>
      <c r="Q67" s="224"/>
      <c r="R67" s="3146">
        <v>2934637</v>
      </c>
      <c r="S67" s="151"/>
      <c r="T67" s="151"/>
    </row>
    <row r="68" spans="2:22" outlineLevel="1" x14ac:dyDescent="0.3">
      <c r="B68" s="228"/>
      <c r="C68" s="86" t="s">
        <v>190</v>
      </c>
      <c r="D68" s="109" t="s">
        <v>387</v>
      </c>
      <c r="E68" s="233">
        <f>'10'!D70</f>
        <v>0</v>
      </c>
      <c r="F68" s="230">
        <f t="shared" si="5"/>
        <v>0</v>
      </c>
      <c r="G68" s="234"/>
      <c r="H68" s="233">
        <f>'10'!F70</f>
        <v>0</v>
      </c>
      <c r="I68" s="230">
        <f t="shared" si="8"/>
        <v>0</v>
      </c>
      <c r="J68" s="239">
        <f t="shared" si="1"/>
        <v>0</v>
      </c>
      <c r="K68" s="233">
        <f t="shared" si="6"/>
        <v>432850231</v>
      </c>
      <c r="L68" s="240">
        <f t="shared" si="7"/>
        <v>4.2755443515166514</v>
      </c>
      <c r="M68" s="111" t="s">
        <v>388</v>
      </c>
      <c r="N68" s="86" t="s">
        <v>190</v>
      </c>
      <c r="O68" s="236"/>
      <c r="P68" s="223"/>
      <c r="Q68" s="224"/>
      <c r="R68" s="3146">
        <v>432850231</v>
      </c>
      <c r="S68" s="151"/>
      <c r="T68" s="151"/>
    </row>
    <row r="69" spans="2:22" x14ac:dyDescent="0.3">
      <c r="B69" s="228"/>
      <c r="C69" s="86" t="s">
        <v>190</v>
      </c>
      <c r="D69" s="109" t="s">
        <v>389</v>
      </c>
      <c r="E69" s="245">
        <f>'10'!D75</f>
        <v>105573243</v>
      </c>
      <c r="F69" s="246">
        <f t="shared" si="5"/>
        <v>15.760159161796061</v>
      </c>
      <c r="G69" s="247"/>
      <c r="H69" s="245">
        <f>'10'!F75</f>
        <v>226657778</v>
      </c>
      <c r="I69" s="246">
        <f t="shared" si="8"/>
        <v>23.765835210595647</v>
      </c>
      <c r="J69" s="307">
        <f t="shared" si="1"/>
        <v>-121084535</v>
      </c>
      <c r="K69" s="245">
        <f t="shared" si="6"/>
        <v>1762366822</v>
      </c>
      <c r="L69" s="246">
        <f t="shared" si="7"/>
        <v>17.408047799106871</v>
      </c>
      <c r="M69" s="111" t="s">
        <v>390</v>
      </c>
      <c r="N69" s="86" t="s">
        <v>190</v>
      </c>
      <c r="O69" s="236"/>
      <c r="P69" s="223"/>
      <c r="Q69" s="224"/>
      <c r="R69" s="3146">
        <v>1656793579</v>
      </c>
      <c r="S69" s="151"/>
      <c r="T69" s="151"/>
    </row>
    <row r="70" spans="2:22" ht="13.5" x14ac:dyDescent="0.3">
      <c r="B70" s="228"/>
      <c r="C70" s="130"/>
      <c r="D70" s="98"/>
      <c r="E70" s="250">
        <f>SUM(E61:E69)</f>
        <v>500361123.67000002</v>
      </c>
      <c r="F70" s="276"/>
      <c r="G70" s="234"/>
      <c r="H70" s="250">
        <f>SUM(H61:H69)</f>
        <v>736441970.5</v>
      </c>
      <c r="I70" s="308"/>
      <c r="J70" s="309">
        <f t="shared" si="1"/>
        <v>-236080846.82999998</v>
      </c>
      <c r="K70" s="250">
        <f>SUM(K61:K69)</f>
        <v>7797546945.5</v>
      </c>
      <c r="L70" s="276"/>
      <c r="M70" s="108"/>
      <c r="N70" s="88"/>
      <c r="O70" s="236"/>
      <c r="P70" s="223"/>
      <c r="Q70" s="224"/>
      <c r="R70" s="3146">
        <v>7297185821.8299999</v>
      </c>
      <c r="S70" s="151"/>
      <c r="T70" s="151"/>
    </row>
    <row r="71" spans="2:22" x14ac:dyDescent="0.3">
      <c r="B71" s="228"/>
      <c r="C71" s="109" t="s">
        <v>391</v>
      </c>
      <c r="D71" s="109"/>
      <c r="E71" s="233">
        <f>'10'!D86</f>
        <v>91820732.99000001</v>
      </c>
      <c r="F71" s="230">
        <f>E71/$E$75*100</f>
        <v>13.707160310261365</v>
      </c>
      <c r="G71" s="234"/>
      <c r="H71" s="233">
        <f>'10'!F86</f>
        <v>93437188.910000011</v>
      </c>
      <c r="I71" s="230">
        <f>H71/$H$75*100</f>
        <v>9.797205521781633</v>
      </c>
      <c r="J71" s="239">
        <f t="shared" si="1"/>
        <v>-1616455.9200000018</v>
      </c>
      <c r="K71" s="233">
        <f>E71+R71</f>
        <v>1111193298.1799998</v>
      </c>
      <c r="L71" s="230">
        <f>K71/$K$75*100</f>
        <v>10.975981735069597</v>
      </c>
      <c r="M71" s="111"/>
      <c r="N71" s="87" t="s">
        <v>392</v>
      </c>
      <c r="O71" s="236"/>
      <c r="P71" s="223"/>
      <c r="Q71" s="224"/>
      <c r="R71" s="3146">
        <v>1019372565.1899999</v>
      </c>
      <c r="S71" s="151"/>
      <c r="T71" s="151"/>
    </row>
    <row r="72" spans="2:22" outlineLevel="1" x14ac:dyDescent="0.3">
      <c r="B72" s="228"/>
      <c r="C72" s="109" t="s">
        <v>393</v>
      </c>
      <c r="D72" s="109"/>
      <c r="E72" s="233">
        <f>'10'!D88</f>
        <v>77692361.716666669</v>
      </c>
      <c r="F72" s="230">
        <f>E72/$E$75*100</f>
        <v>11.598052229109774</v>
      </c>
      <c r="G72" s="153"/>
      <c r="H72" s="233">
        <f>'10'!F88</f>
        <v>123833495.71666667</v>
      </c>
      <c r="I72" s="230">
        <f t="shared" si="8"/>
        <v>12.984361175350012</v>
      </c>
      <c r="J72" s="239">
        <f t="shared" si="1"/>
        <v>-46141134</v>
      </c>
      <c r="K72" s="233">
        <f>E72+R72</f>
        <v>1215122249.9100001</v>
      </c>
      <c r="L72" s="230">
        <f>K72/$K$75*100</f>
        <v>12.00255584940396</v>
      </c>
      <c r="M72" s="111"/>
      <c r="N72" s="87" t="s">
        <v>274</v>
      </c>
      <c r="O72" s="236"/>
      <c r="P72" s="223"/>
      <c r="Q72" s="224"/>
      <c r="R72" s="3146">
        <v>1137429888.1933334</v>
      </c>
      <c r="S72" s="151"/>
      <c r="T72" s="151"/>
    </row>
    <row r="73" spans="2:22" outlineLevel="1" x14ac:dyDescent="0.3">
      <c r="B73" s="228"/>
      <c r="C73" s="109" t="s">
        <v>394</v>
      </c>
      <c r="D73" s="109"/>
      <c r="E73" s="233">
        <f>'10'!D101</f>
        <v>0</v>
      </c>
      <c r="F73" s="230">
        <f>E73/$E$75*100</f>
        <v>0</v>
      </c>
      <c r="G73" s="234"/>
      <c r="H73" s="233">
        <f>'10'!F101</f>
        <v>0</v>
      </c>
      <c r="I73" s="230">
        <f t="shared" si="8"/>
        <v>0</v>
      </c>
      <c r="J73" s="239">
        <f t="shared" si="1"/>
        <v>0</v>
      </c>
      <c r="K73" s="233">
        <f>E73+R73</f>
        <v>0</v>
      </c>
      <c r="L73" s="230">
        <f>K73/$K$75*100</f>
        <v>0</v>
      </c>
      <c r="M73" s="111"/>
      <c r="N73" s="87" t="s">
        <v>395</v>
      </c>
      <c r="O73" s="236"/>
      <c r="P73" s="223"/>
      <c r="Q73" s="224"/>
      <c r="R73" s="3146">
        <v>0</v>
      </c>
      <c r="S73" s="151"/>
      <c r="T73" s="151"/>
    </row>
    <row r="74" spans="2:22" ht="13.5" outlineLevel="1" thickBot="1" x14ac:dyDescent="0.35">
      <c r="B74" s="228"/>
      <c r="C74" s="86"/>
      <c r="D74" s="109"/>
      <c r="E74" s="250"/>
      <c r="F74" s="276"/>
      <c r="G74" s="234"/>
      <c r="H74" s="250"/>
      <c r="I74" s="308"/>
      <c r="J74" s="277">
        <f t="shared" si="1"/>
        <v>0</v>
      </c>
      <c r="K74" s="278"/>
      <c r="L74" s="276"/>
      <c r="M74" s="111"/>
      <c r="N74" s="87"/>
      <c r="O74" s="236"/>
      <c r="P74" s="223"/>
      <c r="Q74" s="224"/>
      <c r="R74" s="3146"/>
      <c r="S74" s="151"/>
      <c r="T74" s="151"/>
    </row>
    <row r="75" spans="2:22" ht="14" thickBot="1" x14ac:dyDescent="0.35">
      <c r="B75" s="310"/>
      <c r="C75" s="311" t="s">
        <v>396</v>
      </c>
      <c r="D75" s="312"/>
      <c r="E75" s="313">
        <f>SUM(E70:E73)</f>
        <v>669874218.37666678</v>
      </c>
      <c r="F75" s="314">
        <v>100</v>
      </c>
      <c r="G75" s="315"/>
      <c r="H75" s="313">
        <f>SUM(H70:H73)</f>
        <v>953712655.12666667</v>
      </c>
      <c r="I75" s="316">
        <v>100</v>
      </c>
      <c r="J75" s="317">
        <f t="shared" si="1"/>
        <v>-283838436.74999988</v>
      </c>
      <c r="K75" s="313">
        <f>SUM(K70:K73)</f>
        <v>10123862493.59</v>
      </c>
      <c r="L75" s="314">
        <v>100</v>
      </c>
      <c r="M75" s="164"/>
      <c r="N75" s="318" t="s">
        <v>397</v>
      </c>
      <c r="O75" s="319"/>
      <c r="P75" s="223"/>
      <c r="Q75" s="224"/>
      <c r="R75" s="3153">
        <v>9453988275.2133331</v>
      </c>
      <c r="S75" s="151"/>
      <c r="T75" s="151"/>
    </row>
    <row r="76" spans="2:22" ht="13.5" thickBot="1" x14ac:dyDescent="0.35">
      <c r="B76" s="228"/>
      <c r="C76" s="84"/>
      <c r="D76" s="109"/>
      <c r="E76" s="250"/>
      <c r="F76" s="230"/>
      <c r="G76" s="234"/>
      <c r="H76" s="278"/>
      <c r="I76" s="240"/>
      <c r="J76" s="239">
        <f t="shared" si="1"/>
        <v>0</v>
      </c>
      <c r="K76" s="278"/>
      <c r="L76" s="230"/>
      <c r="M76" s="111"/>
      <c r="N76" s="87"/>
      <c r="O76" s="236"/>
      <c r="P76" s="223"/>
      <c r="Q76" s="224"/>
      <c r="R76" s="3146"/>
      <c r="S76" s="3348" t="s">
        <v>8164</v>
      </c>
      <c r="T76" s="151"/>
    </row>
    <row r="77" spans="2:22" ht="13.5" x14ac:dyDescent="0.3">
      <c r="B77" s="320"/>
      <c r="C77" s="282" t="s">
        <v>398</v>
      </c>
      <c r="D77" s="283"/>
      <c r="E77" s="321"/>
      <c r="F77" s="221"/>
      <c r="G77" s="286"/>
      <c r="H77" s="321"/>
      <c r="I77" s="322"/>
      <c r="J77" s="323">
        <f t="shared" si="1"/>
        <v>0</v>
      </c>
      <c r="K77" s="324"/>
      <c r="L77" s="221"/>
      <c r="M77" s="290"/>
      <c r="N77" s="291" t="s">
        <v>399</v>
      </c>
      <c r="O77" s="325"/>
      <c r="P77" s="223"/>
      <c r="Q77" s="224"/>
      <c r="R77" s="3345"/>
      <c r="S77" s="3343" t="s">
        <v>8162</v>
      </c>
      <c r="T77" s="3350">
        <f>K78/NRC!E36*100%</f>
        <v>0.11545098910058042</v>
      </c>
      <c r="U77" s="43" t="s">
        <v>8155</v>
      </c>
      <c r="V77" s="3344">
        <v>5.9799999999999999E-2</v>
      </c>
    </row>
    <row r="78" spans="2:22" ht="14" thickBot="1" x14ac:dyDescent="0.35">
      <c r="B78" s="326"/>
      <c r="C78" s="296" t="s">
        <v>269</v>
      </c>
      <c r="D78" s="327"/>
      <c r="E78" s="328">
        <f>E58-E75</f>
        <v>-28723668.376666784</v>
      </c>
      <c r="F78" s="329"/>
      <c r="G78" s="330"/>
      <c r="H78" s="328">
        <f>H58-H75</f>
        <v>-151885637.12666667</v>
      </c>
      <c r="I78" s="329">
        <f>H78/H81*100</f>
        <v>-1.0024298014279933</v>
      </c>
      <c r="J78" s="331">
        <f t="shared" si="1"/>
        <v>123161968.74999988</v>
      </c>
      <c r="K78" s="328">
        <f>K58-K75</f>
        <v>2737201560.7399998</v>
      </c>
      <c r="L78" s="329">
        <f>K78/K81*100</f>
        <v>22.373840380711457</v>
      </c>
      <c r="M78" s="332"/>
      <c r="N78" s="304" t="s">
        <v>400</v>
      </c>
      <c r="O78" s="333"/>
      <c r="P78" s="223"/>
      <c r="Q78" s="224"/>
      <c r="R78" s="3346">
        <v>2765925229.1166668</v>
      </c>
      <c r="S78" s="3347" t="s">
        <v>8163</v>
      </c>
      <c r="T78" s="3350">
        <f>K78/NRC!E74*100%</f>
        <v>0.12586659824711502</v>
      </c>
    </row>
    <row r="79" spans="2:22" x14ac:dyDescent="0.3">
      <c r="B79" s="334"/>
      <c r="C79" s="181"/>
      <c r="D79" s="335"/>
      <c r="E79" s="336"/>
      <c r="F79" s="230"/>
      <c r="G79" s="234"/>
      <c r="H79" s="233"/>
      <c r="I79" s="240"/>
      <c r="J79" s="337">
        <f t="shared" si="1"/>
        <v>0</v>
      </c>
      <c r="K79" s="233"/>
      <c r="L79" s="230"/>
      <c r="M79" s="111"/>
      <c r="N79" s="87"/>
      <c r="O79" s="236"/>
      <c r="P79" s="223"/>
      <c r="Q79" s="224"/>
      <c r="R79" s="3349"/>
      <c r="S79" s="3343" t="s">
        <v>8165</v>
      </c>
      <c r="T79" s="3350">
        <f>K78/K58</f>
        <v>0.21282854584791933</v>
      </c>
      <c r="U79" s="43" t="s">
        <v>8166</v>
      </c>
      <c r="V79" s="43" t="s">
        <v>8167</v>
      </c>
    </row>
    <row r="80" spans="2:22" x14ac:dyDescent="0.3">
      <c r="B80" s="334"/>
      <c r="C80" s="181" t="s">
        <v>401</v>
      </c>
      <c r="D80" s="338"/>
      <c r="E80" s="233"/>
      <c r="F80" s="230"/>
      <c r="G80" s="234"/>
      <c r="H80" s="233"/>
      <c r="I80" s="240"/>
      <c r="J80" s="337">
        <f t="shared" ref="J80:J85" si="9">E80-H80</f>
        <v>0</v>
      </c>
      <c r="K80" s="233"/>
      <c r="L80" s="230"/>
      <c r="M80" s="111"/>
      <c r="N80" s="87" t="s">
        <v>402</v>
      </c>
      <c r="O80" s="236"/>
      <c r="P80" s="223"/>
      <c r="Q80" s="224"/>
      <c r="R80" s="3146"/>
    </row>
    <row r="81" spans="2:19" x14ac:dyDescent="0.3">
      <c r="B81" s="334"/>
      <c r="C81" s="181" t="s">
        <v>403</v>
      </c>
      <c r="D81" s="338"/>
      <c r="E81" s="235">
        <f>H85</f>
        <v>14999862336.676657</v>
      </c>
      <c r="F81" s="230"/>
      <c r="G81" s="234"/>
      <c r="H81" s="235">
        <v>15151747973.803324</v>
      </c>
      <c r="I81" s="240"/>
      <c r="J81" s="337">
        <f t="shared" si="9"/>
        <v>-151885637.12666702</v>
      </c>
      <c r="K81" s="233">
        <f>[5]LR!$E$85</f>
        <v>12233937107.639992</v>
      </c>
      <c r="L81" s="230"/>
      <c r="M81" s="111"/>
      <c r="N81" s="87" t="s">
        <v>404</v>
      </c>
      <c r="O81" s="236"/>
      <c r="P81" s="223"/>
      <c r="Q81" s="224"/>
      <c r="R81" s="3146">
        <v>12233937107.639992</v>
      </c>
      <c r="S81" s="68"/>
    </row>
    <row r="82" spans="2:19" outlineLevel="1" x14ac:dyDescent="0.3">
      <c r="B82" s="334"/>
      <c r="C82" s="181"/>
      <c r="D82" s="338" t="s">
        <v>405</v>
      </c>
      <c r="E82" s="235">
        <v>0</v>
      </c>
      <c r="F82" s="230"/>
      <c r="G82" s="234"/>
      <c r="H82" s="235">
        <v>0</v>
      </c>
      <c r="I82" s="240"/>
      <c r="J82" s="337">
        <f t="shared" si="9"/>
        <v>0</v>
      </c>
      <c r="K82" s="233">
        <f>E82+R82</f>
        <v>0</v>
      </c>
      <c r="L82" s="230"/>
      <c r="M82" s="111" t="s">
        <v>406</v>
      </c>
      <c r="N82" s="87"/>
      <c r="O82" s="236"/>
      <c r="P82" s="223"/>
      <c r="Q82" s="224"/>
      <c r="R82" s="3146">
        <v>0</v>
      </c>
    </row>
    <row r="83" spans="2:19" ht="14" thickBot="1" x14ac:dyDescent="0.35">
      <c r="B83" s="228"/>
      <c r="C83" s="130"/>
      <c r="D83" s="98"/>
      <c r="E83" s="278"/>
      <c r="F83" s="230"/>
      <c r="G83" s="234"/>
      <c r="H83" s="278"/>
      <c r="I83" s="240"/>
      <c r="J83" s="239">
        <f t="shared" si="9"/>
        <v>0</v>
      </c>
      <c r="K83" s="278"/>
      <c r="L83" s="230"/>
      <c r="M83" s="108"/>
      <c r="N83" s="88"/>
      <c r="O83" s="232"/>
      <c r="P83" s="223"/>
      <c r="Q83" s="224"/>
      <c r="R83" s="3146"/>
    </row>
    <row r="84" spans="2:19" ht="13.5" x14ac:dyDescent="0.3">
      <c r="B84" s="219"/>
      <c r="C84" s="3416" t="s">
        <v>401</v>
      </c>
      <c r="D84" s="3416"/>
      <c r="E84" s="324"/>
      <c r="F84" s="221"/>
      <c r="G84" s="220"/>
      <c r="H84" s="324"/>
      <c r="I84" s="322"/>
      <c r="J84" s="323">
        <f t="shared" si="9"/>
        <v>0</v>
      </c>
      <c r="K84" s="324"/>
      <c r="L84" s="221"/>
      <c r="M84" s="3417" t="s">
        <v>270</v>
      </c>
      <c r="N84" s="3417"/>
      <c r="O84" s="3417"/>
      <c r="P84" s="223"/>
      <c r="Q84" s="224"/>
      <c r="R84" s="3143"/>
    </row>
    <row r="85" spans="2:19" ht="14" thickBot="1" x14ac:dyDescent="0.35">
      <c r="B85" s="225"/>
      <c r="C85" s="3418" t="s">
        <v>407</v>
      </c>
      <c r="D85" s="3418"/>
      <c r="E85" s="339">
        <f>E78+E81+E82</f>
        <v>14971138668.29999</v>
      </c>
      <c r="F85" s="329"/>
      <c r="G85" s="340"/>
      <c r="H85" s="339">
        <f>H78+H81+H82</f>
        <v>14999862336.676657</v>
      </c>
      <c r="I85" s="341"/>
      <c r="J85" s="331">
        <f t="shared" si="9"/>
        <v>-28723668.376667023</v>
      </c>
      <c r="K85" s="342">
        <f>K78+K81+K82</f>
        <v>14971138668.379992</v>
      </c>
      <c r="L85" s="329"/>
      <c r="M85" s="3419" t="s">
        <v>408</v>
      </c>
      <c r="N85" s="3419"/>
      <c r="O85" s="3419"/>
      <c r="P85" s="223"/>
      <c r="Q85" s="224"/>
      <c r="R85" s="3152">
        <v>14999862336.756659</v>
      </c>
    </row>
    <row r="86" spans="2:19" s="351" customFormat="1" x14ac:dyDescent="0.3">
      <c r="B86" s="343"/>
      <c r="C86" s="344"/>
      <c r="D86" s="344"/>
      <c r="E86" s="345">
        <f>E85-NRC!E68</f>
        <v>0.1399993896484375</v>
      </c>
      <c r="F86" s="346"/>
      <c r="G86" s="347"/>
      <c r="H86" s="345">
        <f>H85-NRC!G68</f>
        <v>0.14999771118164063</v>
      </c>
      <c r="I86" s="346"/>
      <c r="J86" s="346"/>
      <c r="K86" s="361">
        <f>K85-E85</f>
        <v>8.00018310546875E-2</v>
      </c>
      <c r="L86" s="349"/>
      <c r="M86" s="350"/>
      <c r="N86" s="350"/>
      <c r="O86" s="350"/>
      <c r="Q86" s="218"/>
      <c r="R86" s="352"/>
    </row>
    <row r="87" spans="2:19" s="359" customFormat="1" ht="10" customHeight="1" x14ac:dyDescent="0.3">
      <c r="B87" s="353"/>
      <c r="C87" s="354"/>
      <c r="D87" s="354"/>
      <c r="E87" s="355"/>
      <c r="F87" s="356"/>
      <c r="G87" s="354"/>
      <c r="H87" s="357"/>
      <c r="I87" s="356"/>
      <c r="J87" s="356"/>
      <c r="K87" s="355"/>
      <c r="L87" s="356"/>
      <c r="M87" s="358"/>
      <c r="N87" s="358"/>
      <c r="O87" s="358"/>
      <c r="Q87" s="360"/>
      <c r="R87" s="2957">
        <f>R85-[6]LR!$K$85</f>
        <v>0</v>
      </c>
    </row>
    <row r="88" spans="2:19" s="359" customFormat="1" ht="28.5" customHeight="1" x14ac:dyDescent="0.35">
      <c r="B88" s="397"/>
      <c r="C88" s="403" t="str">
        <f>IN!C4</f>
        <v>Laporan Keuangan June 2026</v>
      </c>
      <c r="D88" s="398"/>
      <c r="E88" s="399"/>
      <c r="F88" s="400"/>
      <c r="G88" s="398"/>
      <c r="H88" s="401"/>
      <c r="I88" s="400"/>
      <c r="J88" s="400"/>
      <c r="K88" s="399"/>
      <c r="L88" s="400"/>
      <c r="M88" s="404"/>
      <c r="N88" s="405" t="str">
        <f>IN!D4</f>
        <v>Financial Statement Jun 2026</v>
      </c>
      <c r="O88" s="402"/>
      <c r="Q88" s="360"/>
      <c r="R88" s="352"/>
    </row>
    <row r="89" spans="2:19" s="359" customFormat="1" ht="10" customHeight="1" x14ac:dyDescent="0.3">
      <c r="B89" s="353"/>
      <c r="C89" s="354"/>
      <c r="D89" s="361"/>
      <c r="E89" s="361"/>
      <c r="F89" s="356"/>
      <c r="G89" s="354"/>
      <c r="H89" s="357"/>
      <c r="I89" s="356"/>
      <c r="J89" s="356"/>
      <c r="K89" s="355"/>
      <c r="L89" s="356"/>
      <c r="M89" s="358"/>
      <c r="N89" s="358"/>
      <c r="O89" s="358"/>
      <c r="Q89" s="360"/>
      <c r="R89" s="352"/>
    </row>
    <row r="90" spans="2:19" s="359" customFormat="1" ht="10" customHeight="1" x14ac:dyDescent="0.3">
      <c r="B90" s="353"/>
      <c r="C90" s="354"/>
      <c r="D90" s="361"/>
      <c r="E90" s="361"/>
      <c r="F90" s="356"/>
      <c r="G90" s="354"/>
      <c r="H90" s="357"/>
      <c r="I90" s="356"/>
      <c r="J90" s="356"/>
      <c r="K90" s="355"/>
      <c r="L90" s="356"/>
      <c r="M90" s="358"/>
      <c r="N90" s="358"/>
      <c r="O90" s="358"/>
      <c r="Q90" s="360"/>
      <c r="R90" s="352"/>
    </row>
    <row r="91" spans="2:19" s="359" customFormat="1" ht="10" customHeight="1" x14ac:dyDescent="0.3">
      <c r="B91" s="353"/>
      <c r="C91" s="354"/>
      <c r="D91" s="354"/>
      <c r="E91" s="355"/>
      <c r="F91" s="356"/>
      <c r="G91" s="354"/>
      <c r="H91" s="357"/>
      <c r="I91" s="356"/>
      <c r="J91" s="356"/>
      <c r="K91" s="355"/>
      <c r="L91" s="356"/>
      <c r="M91" s="358"/>
      <c r="N91" s="358"/>
      <c r="O91" s="358"/>
      <c r="Q91" s="360"/>
      <c r="R91" s="352"/>
    </row>
    <row r="92" spans="2:19" s="359" customFormat="1" ht="10" customHeight="1" x14ac:dyDescent="0.3">
      <c r="B92" s="353"/>
      <c r="C92" s="354"/>
      <c r="D92" s="354"/>
      <c r="E92" s="355">
        <f>E78-H78</f>
        <v>123161968.74999988</v>
      </c>
      <c r="F92" s="356"/>
      <c r="G92" s="354"/>
      <c r="H92" s="357"/>
      <c r="I92" s="356"/>
      <c r="J92" s="356"/>
      <c r="K92" s="355"/>
      <c r="L92" s="356"/>
      <c r="M92" s="358"/>
      <c r="N92" s="358"/>
      <c r="O92" s="358"/>
      <c r="Q92" s="360"/>
      <c r="R92" s="352"/>
    </row>
    <row r="93" spans="2:19" s="359" customFormat="1" ht="10" customHeight="1" x14ac:dyDescent="0.3">
      <c r="B93" s="353"/>
      <c r="C93" s="354"/>
      <c r="D93" s="354"/>
      <c r="E93" s="355"/>
      <c r="F93" s="356"/>
      <c r="G93" s="354"/>
      <c r="H93" s="357"/>
      <c r="I93" s="356"/>
      <c r="J93" s="356"/>
      <c r="K93" s="355"/>
      <c r="L93" s="356"/>
      <c r="M93" s="358"/>
      <c r="N93" s="358"/>
      <c r="O93" s="358"/>
      <c r="Q93" s="360"/>
      <c r="R93" s="352"/>
    </row>
    <row r="94" spans="2:19" s="359" customFormat="1" ht="10" customHeight="1" x14ac:dyDescent="0.3">
      <c r="B94" s="353"/>
      <c r="C94" s="354"/>
      <c r="D94" s="354"/>
      <c r="E94" s="3018">
        <f>E92/H78*100%</f>
        <v>-0.81088621070396294</v>
      </c>
      <c r="F94" s="356"/>
      <c r="G94" s="354"/>
      <c r="H94" s="357"/>
      <c r="I94" s="356"/>
      <c r="J94" s="356"/>
      <c r="K94" s="355"/>
      <c r="L94" s="356"/>
      <c r="M94" s="358"/>
      <c r="N94" s="358"/>
      <c r="O94" s="358"/>
      <c r="Q94" s="360"/>
      <c r="R94" s="352"/>
    </row>
    <row r="95" spans="2:19" s="359" customFormat="1" ht="10" customHeight="1" x14ac:dyDescent="0.3">
      <c r="B95" s="353"/>
      <c r="C95" s="354"/>
      <c r="D95" s="354"/>
      <c r="E95" s="355"/>
      <c r="F95" s="356"/>
      <c r="G95" s="354"/>
      <c r="H95" s="357"/>
      <c r="I95" s="356"/>
      <c r="J95" s="356"/>
      <c r="K95" s="355"/>
      <c r="L95" s="356"/>
      <c r="M95" s="358"/>
      <c r="N95" s="358"/>
      <c r="O95" s="358"/>
      <c r="Q95" s="360"/>
      <c r="R95" s="352"/>
    </row>
    <row r="96" spans="2:19" s="359" customFormat="1" ht="10" customHeight="1" x14ac:dyDescent="0.3">
      <c r="B96" s="353"/>
      <c r="C96" s="354"/>
      <c r="D96" s="354"/>
      <c r="E96" s="355"/>
      <c r="F96" s="356"/>
      <c r="G96" s="354"/>
      <c r="H96" s="357"/>
      <c r="I96" s="356"/>
      <c r="J96" s="356"/>
      <c r="K96" s="355"/>
      <c r="L96" s="356"/>
      <c r="M96" s="358"/>
      <c r="N96" s="358"/>
      <c r="O96" s="358"/>
    </row>
    <row r="97" spans="2:18" s="359" customFormat="1" ht="10" customHeight="1" x14ac:dyDescent="0.3">
      <c r="B97" s="353"/>
      <c r="C97" s="354"/>
      <c r="D97" s="354"/>
      <c r="E97" s="355"/>
      <c r="F97" s="356"/>
      <c r="G97" s="354"/>
      <c r="H97" s="357"/>
      <c r="I97" s="356"/>
      <c r="J97" s="356"/>
      <c r="K97" s="355"/>
      <c r="L97" s="356"/>
      <c r="M97" s="358"/>
      <c r="N97" s="358"/>
      <c r="O97" s="358"/>
    </row>
    <row r="98" spans="2:18" s="359" customFormat="1" ht="10" customHeight="1" x14ac:dyDescent="0.3">
      <c r="B98" s="353"/>
      <c r="C98" s="354"/>
      <c r="N98" s="358"/>
      <c r="O98" s="358"/>
    </row>
    <row r="99" spans="2:18" s="359" customFormat="1" ht="10" customHeight="1" x14ac:dyDescent="0.3">
      <c r="B99" s="353"/>
      <c r="C99" s="354"/>
      <c r="D99" s="354"/>
      <c r="E99" s="355"/>
      <c r="F99" s="356"/>
      <c r="G99" s="354"/>
      <c r="H99" s="357"/>
      <c r="I99" s="356"/>
      <c r="J99" s="356"/>
      <c r="K99" s="355"/>
      <c r="L99" s="356"/>
      <c r="M99" s="358"/>
      <c r="N99" s="358"/>
      <c r="O99" s="358"/>
    </row>
    <row r="100" spans="2:18" s="359" customFormat="1" ht="10" customHeight="1" x14ac:dyDescent="0.3">
      <c r="B100" s="353"/>
      <c r="C100" s="354"/>
      <c r="D100" s="354"/>
      <c r="E100" s="355"/>
      <c r="F100" s="356"/>
      <c r="G100" s="354"/>
      <c r="H100" s="357"/>
      <c r="I100" s="356"/>
      <c r="J100" s="356"/>
      <c r="K100" s="355"/>
      <c r="L100" s="356"/>
      <c r="M100" s="358"/>
      <c r="N100" s="358"/>
      <c r="O100" s="358"/>
      <c r="Q100" s="360"/>
      <c r="R100" s="352"/>
    </row>
    <row r="101" spans="2:18" s="359" customFormat="1" ht="10" customHeight="1" x14ac:dyDescent="0.3">
      <c r="B101" s="353"/>
      <c r="C101" s="354"/>
      <c r="D101" s="354"/>
      <c r="E101" s="355"/>
      <c r="F101" s="356"/>
      <c r="G101" s="354"/>
      <c r="H101" s="357"/>
      <c r="I101" s="356"/>
      <c r="J101" s="356"/>
      <c r="K101" s="355"/>
      <c r="L101" s="356"/>
      <c r="M101" s="358"/>
      <c r="N101" s="358"/>
      <c r="O101" s="358"/>
      <c r="Q101" s="360"/>
      <c r="R101" s="352"/>
    </row>
    <row r="102" spans="2:18" s="359" customFormat="1" ht="10" customHeight="1" x14ac:dyDescent="0.3">
      <c r="B102" s="353"/>
      <c r="C102" s="354"/>
      <c r="D102" s="354"/>
      <c r="E102" s="355"/>
      <c r="F102" s="356"/>
      <c r="G102" s="354"/>
      <c r="H102" s="357"/>
      <c r="I102" s="356"/>
      <c r="J102" s="356"/>
      <c r="K102" s="355"/>
      <c r="L102" s="356"/>
      <c r="M102" s="358"/>
      <c r="N102" s="358"/>
      <c r="O102" s="358"/>
      <c r="Q102" s="360"/>
      <c r="R102" s="352"/>
    </row>
    <row r="103" spans="2:18" s="359" customFormat="1" ht="10" customHeight="1" x14ac:dyDescent="0.3">
      <c r="B103" s="353"/>
      <c r="C103" s="354"/>
      <c r="D103" s="354"/>
      <c r="E103" s="355"/>
      <c r="F103" s="356"/>
      <c r="G103" s="354"/>
      <c r="H103" s="357"/>
      <c r="I103" s="356"/>
      <c r="J103" s="356"/>
      <c r="K103" s="355"/>
      <c r="L103" s="356"/>
      <c r="M103" s="358"/>
      <c r="N103" s="358"/>
      <c r="O103" s="358"/>
      <c r="Q103" s="360"/>
      <c r="R103" s="352"/>
    </row>
    <row r="104" spans="2:18" s="359" customFormat="1" ht="10" customHeight="1" x14ac:dyDescent="0.3">
      <c r="B104" s="353"/>
      <c r="C104" s="354"/>
      <c r="D104" s="354"/>
      <c r="E104" s="355"/>
      <c r="F104" s="356"/>
      <c r="G104" s="354"/>
      <c r="H104" s="357"/>
      <c r="I104" s="356"/>
      <c r="J104" s="356"/>
      <c r="K104" s="355"/>
      <c r="L104" s="356"/>
      <c r="M104" s="358"/>
      <c r="N104" s="358"/>
      <c r="O104" s="358"/>
      <c r="Q104" s="360"/>
      <c r="R104" s="352"/>
    </row>
    <row r="105" spans="2:18" s="359" customFormat="1" ht="10" customHeight="1" x14ac:dyDescent="0.3">
      <c r="B105" s="353"/>
      <c r="C105" s="354"/>
      <c r="D105" s="354"/>
      <c r="E105" s="355"/>
      <c r="F105" s="356"/>
      <c r="G105" s="354"/>
      <c r="H105" s="357"/>
      <c r="I105" s="356"/>
      <c r="J105" s="356"/>
      <c r="K105" s="355"/>
      <c r="L105" s="356"/>
      <c r="M105" s="358"/>
      <c r="N105" s="358"/>
      <c r="O105" s="358"/>
      <c r="Q105" s="360"/>
      <c r="R105" s="352"/>
    </row>
    <row r="106" spans="2:18" s="359" customFormat="1" ht="10" customHeight="1" x14ac:dyDescent="0.3">
      <c r="B106" s="353"/>
      <c r="C106" s="354"/>
      <c r="D106" s="354"/>
      <c r="E106" s="355"/>
      <c r="F106" s="356"/>
      <c r="G106" s="354"/>
      <c r="H106" s="357"/>
      <c r="I106" s="356"/>
      <c r="J106" s="356"/>
      <c r="K106" s="355"/>
      <c r="L106" s="356"/>
      <c r="M106" s="358"/>
      <c r="N106" s="358"/>
      <c r="O106" s="358"/>
      <c r="Q106" s="360"/>
      <c r="R106" s="352"/>
    </row>
    <row r="107" spans="2:18" s="359" customFormat="1" ht="10" customHeight="1" x14ac:dyDescent="0.3">
      <c r="B107" s="353"/>
      <c r="C107" s="354"/>
      <c r="D107" s="354"/>
      <c r="E107" s="355"/>
      <c r="F107" s="356"/>
      <c r="G107" s="354"/>
      <c r="H107" s="357"/>
      <c r="I107" s="356"/>
      <c r="J107" s="356"/>
      <c r="K107" s="355"/>
      <c r="L107" s="356"/>
      <c r="M107" s="358"/>
      <c r="N107" s="358"/>
      <c r="O107" s="358"/>
      <c r="Q107" s="360"/>
      <c r="R107" s="352"/>
    </row>
    <row r="108" spans="2:18" s="359" customFormat="1" ht="10" customHeight="1" x14ac:dyDescent="0.3">
      <c r="B108" s="353"/>
      <c r="C108" s="354"/>
      <c r="D108" s="354"/>
      <c r="E108" s="355"/>
      <c r="F108" s="356"/>
      <c r="G108" s="354"/>
      <c r="H108" s="357"/>
      <c r="I108" s="356"/>
      <c r="J108" s="356"/>
      <c r="K108" s="355"/>
      <c r="L108" s="356"/>
      <c r="M108" s="358"/>
      <c r="N108" s="358"/>
      <c r="O108" s="358"/>
      <c r="Q108" s="360"/>
      <c r="R108" s="352"/>
    </row>
    <row r="109" spans="2:18" s="359" customFormat="1" ht="10" customHeight="1" x14ac:dyDescent="0.3">
      <c r="B109" s="353"/>
      <c r="C109" s="354"/>
      <c r="D109" s="354"/>
      <c r="E109" s="355"/>
      <c r="F109" s="356"/>
      <c r="G109" s="354"/>
      <c r="H109" s="357"/>
      <c r="I109" s="356"/>
      <c r="J109" s="356"/>
      <c r="K109" s="355"/>
      <c r="L109" s="356"/>
      <c r="M109" s="358"/>
      <c r="N109" s="358"/>
      <c r="O109" s="358"/>
      <c r="Q109" s="360"/>
      <c r="R109" s="352"/>
    </row>
    <row r="110" spans="2:18" s="359" customFormat="1" ht="10" customHeight="1" x14ac:dyDescent="0.3">
      <c r="B110" s="353"/>
      <c r="C110" s="354"/>
      <c r="D110" s="354"/>
      <c r="E110" s="355"/>
      <c r="F110" s="356"/>
      <c r="G110" s="354"/>
      <c r="H110" s="357"/>
      <c r="I110" s="356"/>
      <c r="J110" s="356"/>
      <c r="K110" s="355"/>
      <c r="L110" s="356"/>
      <c r="M110" s="358"/>
      <c r="N110" s="358"/>
      <c r="O110" s="358"/>
      <c r="Q110" s="360"/>
      <c r="R110" s="352"/>
    </row>
    <row r="111" spans="2:18" s="359" customFormat="1" ht="10" customHeight="1" x14ac:dyDescent="0.3">
      <c r="B111" s="353"/>
      <c r="C111" s="354"/>
      <c r="D111" s="354"/>
      <c r="E111" s="355"/>
      <c r="F111" s="356"/>
      <c r="G111" s="354"/>
      <c r="H111" s="357"/>
      <c r="I111" s="356"/>
      <c r="J111" s="356"/>
      <c r="K111" s="355"/>
      <c r="L111" s="356"/>
      <c r="M111" s="358"/>
      <c r="N111" s="358"/>
      <c r="O111" s="358"/>
      <c r="Q111" s="360"/>
      <c r="R111" s="352"/>
    </row>
    <row r="112" spans="2:18" s="359" customFormat="1" ht="10" customHeight="1" x14ac:dyDescent="0.3">
      <c r="B112" s="353"/>
      <c r="C112" s="354"/>
      <c r="D112" s="354"/>
      <c r="E112" s="355"/>
      <c r="F112" s="356"/>
      <c r="G112" s="354"/>
      <c r="H112" s="357"/>
      <c r="I112" s="356"/>
      <c r="J112" s="356"/>
      <c r="K112" s="355"/>
      <c r="L112" s="356"/>
      <c r="M112" s="358"/>
      <c r="N112" s="358"/>
      <c r="O112" s="358"/>
      <c r="Q112" s="360"/>
      <c r="R112" s="352"/>
    </row>
    <row r="113" spans="2:18" s="359" customFormat="1" ht="10" customHeight="1" x14ac:dyDescent="0.3">
      <c r="B113" s="353"/>
      <c r="C113" s="354"/>
      <c r="D113" s="354"/>
      <c r="E113" s="355"/>
      <c r="F113" s="356"/>
      <c r="G113" s="354"/>
      <c r="H113" s="357"/>
      <c r="I113" s="356"/>
      <c r="J113" s="356"/>
      <c r="K113" s="355"/>
      <c r="L113" s="356"/>
      <c r="M113" s="358"/>
      <c r="N113" s="358"/>
      <c r="O113" s="358"/>
      <c r="Q113" s="360"/>
      <c r="R113" s="352"/>
    </row>
    <row r="114" spans="2:18" s="359" customFormat="1" ht="10" customHeight="1" x14ac:dyDescent="0.3">
      <c r="B114" s="353"/>
      <c r="C114" s="354"/>
      <c r="D114" s="354"/>
      <c r="E114" s="355"/>
      <c r="F114" s="356"/>
      <c r="G114" s="354"/>
      <c r="H114" s="357"/>
      <c r="I114" s="356"/>
      <c r="J114" s="356"/>
      <c r="K114" s="355"/>
      <c r="L114" s="356"/>
      <c r="M114" s="358"/>
      <c r="N114" s="358"/>
      <c r="O114" s="358"/>
      <c r="Q114" s="360"/>
      <c r="R114" s="352"/>
    </row>
    <row r="115" spans="2:18" s="359" customFormat="1" ht="10" customHeight="1" x14ac:dyDescent="0.3">
      <c r="B115" s="353"/>
      <c r="C115" s="354"/>
      <c r="D115" s="354"/>
      <c r="E115" s="355"/>
      <c r="F115" s="356"/>
      <c r="G115" s="354"/>
      <c r="H115" s="357"/>
      <c r="I115" s="356"/>
      <c r="J115" s="356"/>
      <c r="K115" s="355"/>
      <c r="L115" s="356"/>
      <c r="M115" s="358"/>
      <c r="N115" s="358"/>
      <c r="O115" s="358"/>
      <c r="Q115" s="360"/>
      <c r="R115" s="352"/>
    </row>
    <row r="116" spans="2:18" s="359" customFormat="1" ht="10" customHeight="1" x14ac:dyDescent="0.3">
      <c r="B116" s="353"/>
      <c r="C116" s="354"/>
      <c r="D116" s="354"/>
      <c r="E116" s="355"/>
      <c r="F116" s="356"/>
      <c r="G116" s="354"/>
      <c r="H116" s="357"/>
      <c r="I116" s="356"/>
      <c r="J116" s="356"/>
      <c r="K116" s="355"/>
      <c r="L116" s="356"/>
      <c r="M116" s="358"/>
      <c r="N116" s="358"/>
      <c r="O116" s="358"/>
      <c r="Q116" s="360"/>
      <c r="R116" s="352"/>
    </row>
    <row r="117" spans="2:18" s="359" customFormat="1" ht="10" customHeight="1" x14ac:dyDescent="0.3">
      <c r="B117" s="353"/>
      <c r="C117" s="354"/>
      <c r="D117" s="354"/>
      <c r="E117" s="355"/>
      <c r="F117" s="356"/>
      <c r="G117" s="354"/>
      <c r="H117" s="357"/>
      <c r="I117" s="356"/>
      <c r="J117" s="356"/>
      <c r="K117" s="355"/>
      <c r="L117" s="356"/>
      <c r="M117" s="358"/>
      <c r="N117" s="358"/>
      <c r="O117" s="358"/>
      <c r="Q117" s="360"/>
      <c r="R117" s="352"/>
    </row>
    <row r="118" spans="2:18" s="359" customFormat="1" ht="10" customHeight="1" x14ac:dyDescent="0.3">
      <c r="B118" s="353"/>
      <c r="C118" s="354"/>
      <c r="D118" s="354"/>
      <c r="E118" s="355"/>
      <c r="F118" s="356"/>
      <c r="G118" s="354"/>
      <c r="H118" s="357"/>
      <c r="I118" s="356"/>
      <c r="J118" s="356"/>
      <c r="K118" s="355"/>
      <c r="L118" s="356"/>
      <c r="M118" s="358"/>
      <c r="N118" s="358"/>
      <c r="O118" s="358"/>
      <c r="Q118" s="360"/>
      <c r="R118" s="352"/>
    </row>
    <row r="119" spans="2:18" s="359" customFormat="1" ht="10" customHeight="1" x14ac:dyDescent="0.3">
      <c r="B119" s="353"/>
      <c r="C119" s="354"/>
      <c r="D119" s="354"/>
      <c r="E119" s="355"/>
      <c r="F119" s="356"/>
      <c r="G119" s="354"/>
      <c r="H119" s="357"/>
      <c r="I119" s="356"/>
      <c r="J119" s="356"/>
      <c r="K119" s="355"/>
      <c r="L119" s="356"/>
      <c r="M119" s="358"/>
      <c r="N119" s="358"/>
      <c r="O119" s="358"/>
      <c r="Q119" s="360"/>
      <c r="R119" s="352"/>
    </row>
    <row r="120" spans="2:18" s="359" customFormat="1" ht="10" customHeight="1" x14ac:dyDescent="0.3">
      <c r="B120" s="353"/>
      <c r="C120" s="354"/>
      <c r="D120" s="354"/>
      <c r="E120" s="355"/>
      <c r="F120" s="356"/>
      <c r="G120" s="354"/>
      <c r="H120" s="357"/>
      <c r="I120" s="356"/>
      <c r="J120" s="356"/>
      <c r="K120" s="355"/>
      <c r="L120" s="356"/>
      <c r="M120" s="358"/>
      <c r="N120" s="358"/>
      <c r="O120" s="358"/>
      <c r="Q120" s="360"/>
      <c r="R120" s="352"/>
    </row>
    <row r="121" spans="2:18" s="359" customFormat="1" ht="10" customHeight="1" x14ac:dyDescent="0.3">
      <c r="B121" s="353"/>
      <c r="C121" s="354"/>
      <c r="D121" s="354"/>
      <c r="E121" s="355"/>
      <c r="F121" s="356"/>
      <c r="G121" s="354"/>
      <c r="H121" s="357"/>
      <c r="I121" s="356"/>
      <c r="J121" s="356"/>
      <c r="K121" s="355"/>
      <c r="L121" s="356"/>
      <c r="M121" s="358"/>
      <c r="N121" s="358"/>
      <c r="O121" s="358"/>
      <c r="Q121" s="360"/>
      <c r="R121" s="352"/>
    </row>
    <row r="122" spans="2:18" s="359" customFormat="1" ht="10" customHeight="1" x14ac:dyDescent="0.3">
      <c r="B122" s="353"/>
      <c r="C122" s="354"/>
      <c r="D122" s="354"/>
      <c r="E122" s="355"/>
      <c r="F122" s="356"/>
      <c r="G122" s="354"/>
      <c r="H122" s="357"/>
      <c r="I122" s="356"/>
      <c r="J122" s="356"/>
      <c r="K122" s="355"/>
      <c r="L122" s="356"/>
      <c r="M122" s="358"/>
      <c r="N122" s="358"/>
      <c r="O122" s="358"/>
      <c r="Q122" s="360"/>
      <c r="R122" s="352"/>
    </row>
    <row r="123" spans="2:18" s="359" customFormat="1" ht="10" customHeight="1" x14ac:dyDescent="0.3">
      <c r="B123" s="353"/>
      <c r="C123" s="354"/>
      <c r="D123" s="354"/>
      <c r="E123" s="355"/>
      <c r="F123" s="356"/>
      <c r="G123" s="354"/>
      <c r="H123" s="357"/>
      <c r="I123" s="356"/>
      <c r="J123" s="356"/>
      <c r="K123" s="355"/>
      <c r="L123" s="356"/>
      <c r="M123" s="358"/>
      <c r="N123" s="358"/>
      <c r="O123" s="358"/>
      <c r="Q123" s="360"/>
      <c r="R123" s="352"/>
    </row>
    <row r="124" spans="2:18" s="359" customFormat="1" ht="10" customHeight="1" x14ac:dyDescent="0.3">
      <c r="B124" s="353"/>
      <c r="C124" s="354"/>
      <c r="D124" s="354"/>
      <c r="E124" s="355"/>
      <c r="F124" s="356"/>
      <c r="G124" s="354"/>
      <c r="H124" s="357"/>
      <c r="I124" s="356"/>
      <c r="J124" s="356"/>
      <c r="K124" s="355"/>
      <c r="L124" s="356"/>
      <c r="M124" s="358"/>
      <c r="N124" s="358"/>
      <c r="O124" s="358"/>
      <c r="Q124" s="360"/>
      <c r="R124" s="352"/>
    </row>
    <row r="125" spans="2:18" s="359" customFormat="1" ht="10" customHeight="1" x14ac:dyDescent="0.3">
      <c r="B125" s="353"/>
      <c r="C125" s="354"/>
      <c r="D125" s="354"/>
      <c r="E125" s="355"/>
      <c r="F125" s="356"/>
      <c r="G125" s="354"/>
      <c r="H125" s="357"/>
      <c r="I125" s="356"/>
      <c r="J125" s="356"/>
      <c r="K125" s="355"/>
      <c r="L125" s="356"/>
      <c r="M125" s="358"/>
      <c r="N125" s="358"/>
      <c r="O125" s="358"/>
      <c r="Q125" s="360"/>
      <c r="R125" s="352"/>
    </row>
    <row r="126" spans="2:18" s="359" customFormat="1" ht="10" customHeight="1" x14ac:dyDescent="0.3">
      <c r="B126" s="353"/>
      <c r="C126" s="354"/>
      <c r="D126" s="354"/>
      <c r="E126" s="355"/>
      <c r="F126" s="356"/>
      <c r="G126" s="354"/>
      <c r="H126" s="357"/>
      <c r="I126" s="356"/>
      <c r="J126" s="356"/>
      <c r="K126" s="355"/>
      <c r="L126" s="356"/>
      <c r="M126" s="358"/>
      <c r="N126" s="358"/>
      <c r="O126" s="358"/>
      <c r="Q126" s="360"/>
      <c r="R126" s="352"/>
    </row>
    <row r="127" spans="2:18" s="359" customFormat="1" ht="10" customHeight="1" x14ac:dyDescent="0.3">
      <c r="B127" s="353"/>
      <c r="C127" s="354"/>
      <c r="D127" s="354"/>
      <c r="E127" s="355"/>
      <c r="F127" s="356"/>
      <c r="G127" s="354"/>
      <c r="H127" s="357"/>
      <c r="I127" s="356"/>
      <c r="J127" s="356"/>
      <c r="K127" s="355"/>
      <c r="L127" s="356"/>
      <c r="M127" s="358"/>
      <c r="N127" s="358"/>
      <c r="O127" s="358"/>
      <c r="Q127" s="360"/>
      <c r="R127" s="352"/>
    </row>
    <row r="128" spans="2:18" s="181" customFormat="1" x14ac:dyDescent="0.15">
      <c r="B128" s="362" t="s">
        <v>409</v>
      </c>
      <c r="C128" s="84"/>
      <c r="D128" s="84"/>
      <c r="E128" s="363"/>
      <c r="F128" s="63"/>
      <c r="G128" s="363"/>
      <c r="H128" s="87"/>
      <c r="I128" s="364"/>
      <c r="J128" s="364"/>
      <c r="K128" s="365"/>
      <c r="O128" s="365" t="s">
        <v>410</v>
      </c>
      <c r="Q128" s="366"/>
      <c r="R128" s="367"/>
    </row>
    <row r="129" spans="2:20" x14ac:dyDescent="0.3">
      <c r="B129" s="86"/>
      <c r="C129" s="84"/>
      <c r="D129" s="84"/>
      <c r="E129" s="363"/>
      <c r="F129" s="86"/>
      <c r="G129" s="368"/>
      <c r="H129" s="87"/>
      <c r="I129" s="364"/>
      <c r="J129" s="364"/>
      <c r="K129" s="369"/>
      <c r="L129" s="43"/>
      <c r="M129" s="43"/>
      <c r="N129" s="43"/>
      <c r="O129" s="43"/>
      <c r="P129" s="43"/>
    </row>
    <row r="130" spans="2:20" s="376" customFormat="1" ht="15.5" x14ac:dyDescent="0.3">
      <c r="B130" s="370"/>
      <c r="C130" s="183" t="str">
        <f>[4]IN!C19</f>
        <v>Laporan keuangan August 2023</v>
      </c>
      <c r="D130" s="370"/>
      <c r="E130" s="370"/>
      <c r="F130" s="371"/>
      <c r="G130" s="370"/>
      <c r="H130" s="372" t="s">
        <v>411</v>
      </c>
      <c r="I130" s="373"/>
      <c r="J130" s="373"/>
      <c r="K130" s="374"/>
      <c r="L130" s="375"/>
      <c r="M130" s="375"/>
      <c r="N130" s="375"/>
      <c r="O130" s="185" t="e">
        <f>[4]IN!M19</f>
        <v>#N/A</v>
      </c>
      <c r="Q130" s="377"/>
      <c r="R130" s="378"/>
    </row>
    <row r="131" spans="2:20" x14ac:dyDescent="0.3">
      <c r="B131" s="86"/>
      <c r="C131" s="84"/>
      <c r="D131" s="84"/>
      <c r="E131" s="214"/>
      <c r="F131" s="215"/>
      <c r="G131" s="84"/>
      <c r="H131" s="214"/>
      <c r="I131" s="215"/>
      <c r="J131" s="215"/>
      <c r="K131" s="214"/>
      <c r="L131" s="215"/>
    </row>
    <row r="132" spans="2:20" x14ac:dyDescent="0.3">
      <c r="B132" s="86"/>
      <c r="C132" s="84"/>
      <c r="D132" s="84"/>
      <c r="E132" s="214"/>
      <c r="F132" s="215"/>
      <c r="G132" s="84"/>
      <c r="H132" s="214"/>
      <c r="I132" s="215"/>
      <c r="J132" s="215"/>
      <c r="K132" s="214"/>
      <c r="L132" s="215"/>
    </row>
    <row r="133" spans="2:20" x14ac:dyDescent="0.3">
      <c r="B133" s="86"/>
      <c r="C133" s="86"/>
      <c r="D133" s="86"/>
      <c r="E133" s="379"/>
      <c r="F133" s="380"/>
      <c r="G133" s="381"/>
      <c r="H133" s="382"/>
      <c r="I133" s="380"/>
      <c r="J133" s="380"/>
      <c r="K133" s="379"/>
      <c r="L133" s="215"/>
      <c r="Q133" s="360" t="s">
        <v>7780</v>
      </c>
      <c r="R133" s="352" t="s">
        <v>7781</v>
      </c>
      <c r="S133" s="359">
        <f>K24</f>
        <v>8504271000</v>
      </c>
      <c r="T133" s="43" t="s">
        <v>7784</v>
      </c>
    </row>
    <row r="134" spans="2:20" x14ac:dyDescent="0.3">
      <c r="B134" s="86"/>
      <c r="C134" s="86"/>
      <c r="D134" s="86"/>
      <c r="E134" s="383">
        <f>[7]LR!$E$78</f>
        <v>2310720262.7866669</v>
      </c>
      <c r="F134" s="384"/>
      <c r="G134" s="168"/>
      <c r="H134" s="385"/>
      <c r="I134" s="380"/>
      <c r="J134" s="380"/>
      <c r="K134" s="379"/>
      <c r="L134" s="215"/>
      <c r="Q134" s="360"/>
      <c r="R134" s="352" t="s">
        <v>7782</v>
      </c>
      <c r="S134" s="359">
        <f>K25+K26+K27+K28</f>
        <v>11945754.33</v>
      </c>
    </row>
    <row r="135" spans="2:20" x14ac:dyDescent="0.3">
      <c r="B135" s="63"/>
      <c r="C135" s="86"/>
      <c r="D135" s="86"/>
      <c r="E135" s="386">
        <f>E78-E134</f>
        <v>-2339443931.1633339</v>
      </c>
      <c r="F135" s="215"/>
      <c r="G135" s="86"/>
      <c r="H135" s="214"/>
      <c r="I135" s="215"/>
      <c r="J135" s="215"/>
      <c r="K135" s="214"/>
      <c r="L135" s="215"/>
      <c r="Q135" s="360"/>
      <c r="R135" s="352" t="s">
        <v>3166</v>
      </c>
      <c r="S135" s="359">
        <f>K30+K31+K32+K33+K34+K35</f>
        <v>1332016556</v>
      </c>
    </row>
    <row r="136" spans="2:20" x14ac:dyDescent="0.3">
      <c r="B136" s="48"/>
      <c r="E136" s="387"/>
      <c r="Q136" s="360"/>
      <c r="R136" s="352" t="s">
        <v>7783</v>
      </c>
      <c r="S136" s="359">
        <f>K55</f>
        <v>3012830744</v>
      </c>
    </row>
    <row r="137" spans="2:20" x14ac:dyDescent="0.3">
      <c r="B137" s="48"/>
    </row>
    <row r="138" spans="2:20" x14ac:dyDescent="0.3">
      <c r="B138" s="48"/>
      <c r="E138" s="389"/>
      <c r="H138" s="390"/>
    </row>
    <row r="139" spans="2:20" x14ac:dyDescent="0.3">
      <c r="B139" s="48"/>
      <c r="D139" s="3415" t="s">
        <v>7779</v>
      </c>
      <c r="E139" s="3415"/>
      <c r="F139" s="3415"/>
      <c r="G139" s="3415"/>
      <c r="H139" s="3415"/>
      <c r="I139" s="3415"/>
      <c r="J139" s="3415"/>
      <c r="K139" s="3415"/>
      <c r="L139" s="3415"/>
      <c r="M139" s="3415"/>
    </row>
    <row r="140" spans="2:20" x14ac:dyDescent="0.3">
      <c r="B140" s="48"/>
    </row>
    <row r="141" spans="2:20" x14ac:dyDescent="0.3">
      <c r="B141" s="48"/>
    </row>
    <row r="142" spans="2:20" x14ac:dyDescent="0.3">
      <c r="B142" s="48"/>
      <c r="E142" s="43"/>
      <c r="F142" s="43"/>
      <c r="H142" s="43"/>
      <c r="I142" s="43"/>
      <c r="J142" s="43"/>
      <c r="K142" s="43"/>
      <c r="L142" s="43"/>
      <c r="M142" s="43"/>
      <c r="N142" s="43"/>
      <c r="O142" s="43"/>
      <c r="P142" s="43"/>
      <c r="Q142" s="43"/>
    </row>
    <row r="143" spans="2:20" x14ac:dyDescent="0.3">
      <c r="B143" s="48"/>
      <c r="E143" s="43"/>
      <c r="F143" s="43"/>
      <c r="H143" s="43"/>
      <c r="I143" s="43"/>
      <c r="J143" s="43"/>
      <c r="K143" s="43"/>
      <c r="L143" s="43"/>
      <c r="M143" s="43"/>
      <c r="N143" s="43"/>
      <c r="O143" s="43"/>
      <c r="P143" s="43"/>
      <c r="Q143" s="43"/>
    </row>
    <row r="144" spans="2:20" x14ac:dyDescent="0.3">
      <c r="B144" s="48"/>
      <c r="E144" s="43"/>
      <c r="F144" s="43"/>
      <c r="H144" s="43"/>
      <c r="I144" s="43"/>
      <c r="J144" s="43"/>
      <c r="K144" s="43"/>
      <c r="L144" s="43"/>
      <c r="M144" s="43"/>
      <c r="N144" s="43"/>
      <c r="O144" s="43"/>
      <c r="P144" s="43"/>
      <c r="Q144" s="43"/>
    </row>
    <row r="145" spans="2:17" x14ac:dyDescent="0.3">
      <c r="B145" s="48"/>
      <c r="E145" s="43"/>
      <c r="F145" s="43"/>
      <c r="H145" s="43"/>
      <c r="I145" s="43"/>
      <c r="J145" s="43"/>
      <c r="K145" s="43"/>
      <c r="L145" s="43"/>
      <c r="M145" s="43"/>
      <c r="N145" s="43"/>
      <c r="O145" s="43"/>
      <c r="P145" s="43"/>
      <c r="Q145" s="43"/>
    </row>
    <row r="146" spans="2:17" x14ac:dyDescent="0.3">
      <c r="B146" s="48"/>
      <c r="E146" s="43"/>
      <c r="F146" s="43"/>
      <c r="H146" s="43"/>
      <c r="I146" s="43"/>
      <c r="J146" s="43"/>
      <c r="K146" s="43"/>
      <c r="L146" s="43"/>
      <c r="M146" s="43"/>
      <c r="N146" s="43"/>
      <c r="O146" s="43"/>
      <c r="P146" s="43"/>
      <c r="Q146" s="43"/>
    </row>
    <row r="147" spans="2:17" x14ac:dyDescent="0.3">
      <c r="B147" s="48"/>
      <c r="E147" s="43"/>
      <c r="F147" s="43"/>
      <c r="H147" s="43"/>
      <c r="I147" s="43"/>
      <c r="J147" s="43"/>
      <c r="K147" s="43"/>
      <c r="L147" s="43"/>
      <c r="M147" s="43"/>
      <c r="N147" s="43"/>
      <c r="O147" s="43"/>
      <c r="P147" s="43"/>
      <c r="Q147" s="43"/>
    </row>
    <row r="148" spans="2:17" x14ac:dyDescent="0.3">
      <c r="B148" s="48"/>
      <c r="E148" s="43"/>
      <c r="F148" s="43"/>
      <c r="H148" s="43"/>
      <c r="I148" s="43"/>
      <c r="J148" s="43"/>
      <c r="K148" s="43"/>
      <c r="L148" s="43"/>
      <c r="M148" s="43"/>
      <c r="N148" s="43"/>
      <c r="O148" s="43"/>
      <c r="P148" s="43"/>
      <c r="Q148" s="43"/>
    </row>
    <row r="149" spans="2:17" x14ac:dyDescent="0.3">
      <c r="B149" s="48"/>
      <c r="E149" s="43"/>
      <c r="F149" s="43"/>
      <c r="H149" s="43"/>
      <c r="I149" s="43"/>
      <c r="J149" s="43"/>
      <c r="K149" s="43"/>
      <c r="L149" s="43"/>
      <c r="M149" s="43"/>
      <c r="N149" s="43"/>
      <c r="O149" s="43"/>
      <c r="P149" s="43"/>
      <c r="Q149" s="43"/>
    </row>
    <row r="150" spans="2:17" x14ac:dyDescent="0.3">
      <c r="E150" s="43"/>
      <c r="F150" s="43"/>
      <c r="H150" s="43"/>
      <c r="I150" s="43"/>
      <c r="J150" s="43"/>
      <c r="K150" s="43"/>
      <c r="L150" s="43"/>
      <c r="M150" s="43"/>
      <c r="N150" s="43"/>
      <c r="O150" s="43"/>
      <c r="P150" s="43"/>
      <c r="Q150" s="43"/>
    </row>
    <row r="151" spans="2:17" x14ac:dyDescent="0.3">
      <c r="E151" s="43"/>
      <c r="F151" s="43"/>
      <c r="H151" s="43"/>
      <c r="I151" s="43"/>
      <c r="J151" s="43"/>
      <c r="K151" s="43"/>
      <c r="L151" s="43"/>
      <c r="M151" s="43"/>
      <c r="N151" s="43"/>
      <c r="O151" s="43"/>
      <c r="P151" s="43"/>
      <c r="Q151" s="43"/>
    </row>
    <row r="972" spans="5:17" s="393" customFormat="1" x14ac:dyDescent="0.3">
      <c r="E972" s="391"/>
      <c r="F972" s="392"/>
      <c r="H972" s="391"/>
      <c r="I972" s="392"/>
      <c r="J972" s="392"/>
      <c r="K972" s="391"/>
      <c r="L972" s="392"/>
      <c r="M972" s="394"/>
      <c r="N972" s="394"/>
      <c r="O972" s="394"/>
      <c r="P972" s="395"/>
      <c r="Q972" s="396"/>
    </row>
  </sheetData>
  <mergeCells count="12">
    <mergeCell ref="D139:M139"/>
    <mergeCell ref="C84:D84"/>
    <mergeCell ref="M84:O84"/>
    <mergeCell ref="C85:D85"/>
    <mergeCell ref="M85:O85"/>
    <mergeCell ref="I6:O6"/>
    <mergeCell ref="B2:O2"/>
    <mergeCell ref="C11:D12"/>
    <mergeCell ref="F11:F12"/>
    <mergeCell ref="I11:I12"/>
    <mergeCell ref="L11:L12"/>
    <mergeCell ref="M11:O12"/>
  </mergeCells>
  <pageMargins left="0.7" right="0.7" top="0.75" bottom="0.75" header="0.3" footer="0.3"/>
  <pageSetup paperSize="9" orientation="landscape"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P135"/>
  <sheetViews>
    <sheetView topLeftCell="A16" zoomScale="80" zoomScaleNormal="80" workbookViewId="0">
      <selection activeCell="G37" sqref="G37"/>
    </sheetView>
  </sheetViews>
  <sheetFormatPr defaultColWidth="8.81640625" defaultRowHeight="13" outlineLevelRow="1" outlineLevelCol="1" x14ac:dyDescent="0.3"/>
  <cols>
    <col min="1" max="1" width="2.81640625" style="43" customWidth="1"/>
    <col min="2" max="2" width="1" style="43" customWidth="1"/>
    <col min="3" max="3" width="1.26953125" style="43" customWidth="1"/>
    <col min="4" max="4" width="28.54296875" style="43" customWidth="1"/>
    <col min="5" max="5" width="7.26953125" style="43" hidden="1" customWidth="1" outlineLevel="1"/>
    <col min="6" max="6" width="19.7265625" style="388" customWidth="1" collapsed="1"/>
    <col min="7" max="7" width="18" style="388" customWidth="1"/>
    <col min="8" max="8" width="17.54296875" style="388" customWidth="1"/>
    <col min="9" max="9" width="21.7265625" style="388" customWidth="1"/>
    <col min="10" max="10" width="23.1796875" style="58" customWidth="1"/>
    <col min="11" max="11" width="1.54296875" style="58" customWidth="1"/>
    <col min="12" max="12" width="0.26953125" style="58" customWidth="1"/>
    <col min="13" max="13" width="9.7265625" style="217" customWidth="1"/>
    <col min="14" max="14" width="4.453125" style="43" customWidth="1"/>
    <col min="15" max="15" width="19.7265625" style="43" customWidth="1"/>
    <col min="16" max="16" width="21" style="43" customWidth="1"/>
    <col min="17" max="16384" width="8.81640625" style="43"/>
  </cols>
  <sheetData>
    <row r="2" spans="2:15" s="75" customFormat="1" ht="14" x14ac:dyDescent="0.3">
      <c r="B2" s="3410" t="s">
        <v>7132</v>
      </c>
      <c r="C2" s="3410"/>
      <c r="D2" s="3410"/>
      <c r="E2" s="3410"/>
      <c r="F2" s="3410"/>
      <c r="G2" s="3410"/>
      <c r="H2" s="3410"/>
      <c r="I2" s="3410"/>
      <c r="J2" s="3410"/>
      <c r="K2" s="3410"/>
      <c r="L2" s="406"/>
      <c r="M2" s="406"/>
      <c r="N2" s="406"/>
    </row>
    <row r="3" spans="2:15" s="77" customFormat="1" ht="14" x14ac:dyDescent="0.3">
      <c r="F3" s="206"/>
      <c r="G3" s="206"/>
      <c r="H3" s="206"/>
      <c r="I3" s="206"/>
      <c r="J3" s="209"/>
      <c r="K3" s="209"/>
      <c r="L3" s="209"/>
      <c r="M3" s="210"/>
    </row>
    <row r="4" spans="2:15" s="77" customFormat="1" ht="14" x14ac:dyDescent="0.3">
      <c r="B4" s="75" t="s">
        <v>412</v>
      </c>
      <c r="C4" s="75"/>
      <c r="D4" s="75"/>
      <c r="E4" s="75"/>
      <c r="F4" s="75"/>
      <c r="G4" s="75"/>
      <c r="H4" s="75"/>
      <c r="I4" s="75"/>
      <c r="J4" s="82"/>
      <c r="K4" s="82"/>
      <c r="L4" s="82" t="s">
        <v>413</v>
      </c>
      <c r="M4" s="210"/>
    </row>
    <row r="5" spans="2:15" s="77" customFormat="1" ht="14" x14ac:dyDescent="0.3">
      <c r="B5" s="3423" t="str">
        <f>LR!C6</f>
        <v>Untuk Bulan yang Berakhir 30 June 2026</v>
      </c>
      <c r="C5" s="3423"/>
      <c r="D5" s="3423"/>
      <c r="E5" s="3423"/>
      <c r="F5" s="3423"/>
      <c r="G5" s="75"/>
      <c r="H5" s="75"/>
      <c r="I5" s="75"/>
      <c r="J5" s="82"/>
      <c r="K5" s="407" t="str">
        <f>LR!I6</f>
        <v>For The Month Ended Jun 2026</v>
      </c>
      <c r="L5" s="82" t="e">
        <f>[8]RL!O6</f>
        <v>#N/A</v>
      </c>
      <c r="M5" s="210"/>
    </row>
    <row r="6" spans="2:15" s="77" customFormat="1" ht="14" x14ac:dyDescent="0.3">
      <c r="B6" s="212" t="str">
        <f>LR!C7</f>
        <v>(Dengan perbandingan informasi keuangan untuk bulan yang berakhir 31 May 2026 /</v>
      </c>
      <c r="C6" s="75"/>
      <c r="D6" s="75"/>
      <c r="E6" s="75"/>
      <c r="F6" s="75"/>
      <c r="G6" s="75"/>
      <c r="H6" s="75"/>
      <c r="I6" s="75"/>
      <c r="J6" s="82"/>
      <c r="K6" s="82"/>
      <c r="L6" s="82" t="str">
        <f>LR!O7</f>
        <v>With Comparative financial information for the month ended May 31, 2026 )</v>
      </c>
      <c r="M6" s="210"/>
    </row>
    <row r="7" spans="2:15" s="77" customFormat="1" ht="3.75" customHeight="1" x14ac:dyDescent="0.3">
      <c r="B7" s="75"/>
      <c r="C7" s="75"/>
      <c r="D7" s="75"/>
      <c r="E7" s="75"/>
      <c r="F7" s="75"/>
      <c r="G7" s="75"/>
      <c r="H7" s="75"/>
      <c r="I7" s="75"/>
      <c r="J7" s="82"/>
      <c r="K7" s="82"/>
      <c r="L7" s="82" t="e">
        <f>[8]RL!O8</f>
        <v>#N/A</v>
      </c>
      <c r="M7" s="210"/>
    </row>
    <row r="8" spans="2:15" s="77" customFormat="1" ht="14" x14ac:dyDescent="0.3">
      <c r="B8" s="75" t="s">
        <v>176</v>
      </c>
      <c r="C8" s="75"/>
      <c r="D8" s="75"/>
      <c r="E8" s="75"/>
      <c r="F8" s="75"/>
      <c r="G8" s="75"/>
      <c r="H8" s="75"/>
      <c r="I8" s="75"/>
      <c r="J8" s="82"/>
      <c r="K8" s="82"/>
      <c r="L8" s="82" t="s">
        <v>177</v>
      </c>
      <c r="M8" s="210"/>
    </row>
    <row r="9" spans="2:15" ht="3.75" customHeight="1" x14ac:dyDescent="0.35">
      <c r="B9" s="83"/>
      <c r="C9" s="50"/>
      <c r="D9" s="50"/>
      <c r="E9" s="50"/>
      <c r="F9" s="50"/>
      <c r="G9" s="50"/>
      <c r="H9" s="50"/>
      <c r="I9" s="50"/>
      <c r="J9" s="408"/>
      <c r="K9" s="408"/>
      <c r="L9" s="409"/>
    </row>
    <row r="10" spans="2:15" s="181" customFormat="1" ht="14" thickBot="1" x14ac:dyDescent="0.4">
      <c r="B10" s="64" t="str">
        <f>B5</f>
        <v>Untuk Bulan yang Berakhir 30 June 2026</v>
      </c>
      <c r="C10" s="64"/>
      <c r="D10" s="64"/>
      <c r="E10" s="64"/>
      <c r="F10" s="64"/>
      <c r="G10" s="64"/>
      <c r="H10" s="64"/>
      <c r="I10" s="64"/>
      <c r="J10" s="88"/>
      <c r="K10" s="88" t="str">
        <f>"For The Month Ended "&amp;TEXT(IN!D5,"MMM YYYY")</f>
        <v>For The Month Ended Jun 2026</v>
      </c>
      <c r="L10" s="88" t="e">
        <f>[8]IN!M23</f>
        <v>#N/A</v>
      </c>
      <c r="M10" s="410"/>
    </row>
    <row r="11" spans="2:15" ht="13.5" thickBot="1" x14ac:dyDescent="0.35">
      <c r="B11" s="219"/>
      <c r="C11" s="3412" t="s">
        <v>178</v>
      </c>
      <c r="D11" s="3412"/>
      <c r="E11" s="220" t="s">
        <v>179</v>
      </c>
      <c r="F11" s="222" t="s">
        <v>414</v>
      </c>
      <c r="G11" s="411" t="s">
        <v>415</v>
      </c>
      <c r="H11" s="222" t="s">
        <v>416</v>
      </c>
      <c r="I11" s="411" t="s">
        <v>417</v>
      </c>
      <c r="J11" s="3407" t="s">
        <v>180</v>
      </c>
      <c r="K11" s="3407"/>
      <c r="L11" s="3407"/>
    </row>
    <row r="12" spans="2:15" s="369" customFormat="1" ht="14" thickBot="1" x14ac:dyDescent="0.35">
      <c r="B12" s="412"/>
      <c r="C12" s="3412"/>
      <c r="D12" s="3412"/>
      <c r="E12" s="413" t="s">
        <v>181</v>
      </c>
      <c r="F12" s="414" t="s">
        <v>418</v>
      </c>
      <c r="G12" s="413" t="s">
        <v>419</v>
      </c>
      <c r="H12" s="414" t="s">
        <v>420</v>
      </c>
      <c r="I12" s="415" t="s">
        <v>421</v>
      </c>
      <c r="J12" s="3407"/>
      <c r="K12" s="3407"/>
      <c r="L12" s="3407"/>
      <c r="M12" s="416"/>
    </row>
    <row r="13" spans="2:15" s="369" customFormat="1" ht="14" thickBot="1" x14ac:dyDescent="0.35">
      <c r="B13" s="417"/>
      <c r="C13" s="3412"/>
      <c r="D13" s="3412"/>
      <c r="E13" s="226"/>
      <c r="F13" s="418"/>
      <c r="G13" s="226" t="s">
        <v>422</v>
      </c>
      <c r="H13" s="418" t="s">
        <v>423</v>
      </c>
      <c r="I13" s="419"/>
      <c r="J13" s="3407"/>
      <c r="K13" s="3407"/>
      <c r="L13" s="3407"/>
      <c r="M13" s="416"/>
    </row>
    <row r="14" spans="2:15" ht="13.5" x14ac:dyDescent="0.3">
      <c r="B14" s="228"/>
      <c r="C14" s="130" t="s">
        <v>424</v>
      </c>
      <c r="D14" s="98"/>
      <c r="E14" s="234"/>
      <c r="F14" s="420"/>
      <c r="G14" s="421"/>
      <c r="H14" s="420"/>
      <c r="I14" s="421"/>
      <c r="J14" s="88"/>
      <c r="K14" s="88" t="s">
        <v>425</v>
      </c>
      <c r="L14" s="232"/>
      <c r="O14" s="112"/>
    </row>
    <row r="15" spans="2:15" x14ac:dyDescent="0.3">
      <c r="B15" s="228"/>
      <c r="C15" s="84" t="s">
        <v>426</v>
      </c>
      <c r="D15" s="109"/>
      <c r="E15" s="234"/>
      <c r="F15" s="235">
        <f>LR!E22</f>
        <v>547400000</v>
      </c>
      <c r="G15" s="233">
        <v>0</v>
      </c>
      <c r="H15" s="235">
        <v>0</v>
      </c>
      <c r="I15" s="233">
        <f>SUM(F15:H15)</f>
        <v>547400000</v>
      </c>
      <c r="J15" s="87"/>
      <c r="K15" s="87" t="s">
        <v>300</v>
      </c>
      <c r="L15" s="236"/>
    </row>
    <row r="16" spans="2:15" x14ac:dyDescent="0.3">
      <c r="B16" s="228"/>
      <c r="C16" s="86" t="s">
        <v>190</v>
      </c>
      <c r="D16" s="84" t="s">
        <v>427</v>
      </c>
      <c r="E16" s="234"/>
      <c r="F16" s="422">
        <f>LR!E23</f>
        <v>-3950000</v>
      </c>
      <c r="G16" s="245"/>
      <c r="H16" s="422"/>
      <c r="I16" s="245">
        <f>SUM(F16:H16)</f>
        <v>-3950000</v>
      </c>
      <c r="J16" s="87" t="s">
        <v>319</v>
      </c>
      <c r="K16" s="237" t="s">
        <v>190</v>
      </c>
      <c r="L16" s="236"/>
    </row>
    <row r="17" spans="1:13" x14ac:dyDescent="0.3">
      <c r="B17" s="228"/>
      <c r="C17" s="84"/>
      <c r="D17" s="109"/>
      <c r="E17" s="234"/>
      <c r="F17" s="423">
        <f>F15+F16</f>
        <v>543450000</v>
      </c>
      <c r="G17" s="423">
        <f>SUM(G15:G16)</f>
        <v>0</v>
      </c>
      <c r="H17" s="423">
        <f>SUM(H15:H16)</f>
        <v>0</v>
      </c>
      <c r="I17" s="241">
        <f>I15+I16</f>
        <v>543450000</v>
      </c>
      <c r="J17" s="111"/>
      <c r="K17" s="87"/>
      <c r="L17" s="236"/>
    </row>
    <row r="18" spans="1:13" x14ac:dyDescent="0.3">
      <c r="B18" s="228"/>
      <c r="C18" s="84" t="s">
        <v>320</v>
      </c>
      <c r="D18" s="109"/>
      <c r="E18" s="234"/>
      <c r="F18" s="235">
        <f>LR!E25</f>
        <v>1000100</v>
      </c>
      <c r="G18" s="233"/>
      <c r="H18" s="235">
        <v>0</v>
      </c>
      <c r="I18" s="233">
        <f t="shared" ref="I18:I23" si="0">SUM(F18:H18)</f>
        <v>1000100</v>
      </c>
      <c r="J18" s="87"/>
      <c r="K18" s="87" t="s">
        <v>321</v>
      </c>
      <c r="L18" s="236"/>
    </row>
    <row r="19" spans="1:13" outlineLevel="1" x14ac:dyDescent="0.3">
      <c r="B19" s="228"/>
      <c r="C19" s="84" t="s">
        <v>428</v>
      </c>
      <c r="D19" s="109"/>
      <c r="E19" s="234"/>
      <c r="F19" s="235">
        <f>LR!E26</f>
        <v>0</v>
      </c>
      <c r="G19" s="233">
        <f>CLK!N785</f>
        <v>500000</v>
      </c>
      <c r="H19" s="235"/>
      <c r="I19" s="233">
        <f t="shared" si="0"/>
        <v>500000</v>
      </c>
      <c r="J19" s="87"/>
      <c r="K19" s="87" t="s">
        <v>322</v>
      </c>
      <c r="L19" s="236"/>
    </row>
    <row r="20" spans="1:13" outlineLevel="1" x14ac:dyDescent="0.3">
      <c r="B20" s="228"/>
      <c r="C20" s="84" t="s">
        <v>429</v>
      </c>
      <c r="D20" s="109"/>
      <c r="E20" s="234"/>
      <c r="F20" s="235">
        <f>LR!E27</f>
        <v>50000</v>
      </c>
      <c r="G20" s="233"/>
      <c r="H20" s="235"/>
      <c r="I20" s="233">
        <f t="shared" si="0"/>
        <v>50000</v>
      </c>
      <c r="J20" s="87"/>
      <c r="K20" s="87" t="s">
        <v>323</v>
      </c>
      <c r="L20" s="236"/>
    </row>
    <row r="21" spans="1:13" outlineLevel="1" x14ac:dyDescent="0.3">
      <c r="B21" s="228"/>
      <c r="C21" s="84" t="s">
        <v>430</v>
      </c>
      <c r="D21" s="109"/>
      <c r="E21" s="234"/>
      <c r="F21" s="235">
        <f>LR!E28</f>
        <v>0</v>
      </c>
      <c r="G21" s="233"/>
      <c r="H21" s="235"/>
      <c r="I21" s="233">
        <f t="shared" si="0"/>
        <v>0</v>
      </c>
      <c r="J21" s="87"/>
      <c r="K21" s="87" t="s">
        <v>324</v>
      </c>
      <c r="L21" s="236"/>
    </row>
    <row r="22" spans="1:13" outlineLevel="1" x14ac:dyDescent="0.3">
      <c r="B22" s="228"/>
      <c r="C22" s="84" t="s">
        <v>273</v>
      </c>
      <c r="D22" s="109"/>
      <c r="E22" s="234"/>
      <c r="F22" s="235">
        <f>LR!E36</f>
        <v>82572250</v>
      </c>
      <c r="G22" s="233"/>
      <c r="H22" s="235"/>
      <c r="I22" s="233">
        <f t="shared" si="0"/>
        <v>82572250</v>
      </c>
      <c r="J22" s="87"/>
      <c r="K22" s="87" t="s">
        <v>274</v>
      </c>
      <c r="L22" s="236"/>
    </row>
    <row r="23" spans="1:13" x14ac:dyDescent="0.3">
      <c r="B23" s="228"/>
      <c r="C23" s="84" t="s">
        <v>335</v>
      </c>
      <c r="D23" s="109"/>
      <c r="E23" s="234"/>
      <c r="F23" s="245">
        <f>LR!E45</f>
        <v>0</v>
      </c>
      <c r="G23" s="245"/>
      <c r="H23" s="422"/>
      <c r="I23" s="245">
        <f t="shared" si="0"/>
        <v>0</v>
      </c>
      <c r="J23" s="87"/>
      <c r="K23" s="87" t="s">
        <v>336</v>
      </c>
      <c r="L23" s="236"/>
    </row>
    <row r="24" spans="1:13" ht="13.5" x14ac:dyDescent="0.3">
      <c r="B24" s="228"/>
      <c r="C24" s="130" t="s">
        <v>431</v>
      </c>
      <c r="D24" s="109"/>
      <c r="E24" s="234"/>
      <c r="F24" s="424">
        <f>SUM(F17:F23)</f>
        <v>627072350</v>
      </c>
      <c r="G24" s="424">
        <f>SUM(G17:G23)</f>
        <v>500000</v>
      </c>
      <c r="H24" s="424">
        <f>SUM(H17:H23)</f>
        <v>0</v>
      </c>
      <c r="I24" s="256">
        <f>SUM(I17:I23)</f>
        <v>627572350</v>
      </c>
      <c r="J24" s="111"/>
      <c r="K24" s="88" t="s">
        <v>432</v>
      </c>
      <c r="L24" s="236"/>
    </row>
    <row r="25" spans="1:13" ht="13.5" outlineLevel="1" x14ac:dyDescent="0.3">
      <c r="B25" s="228"/>
      <c r="C25" s="130"/>
      <c r="D25" s="109"/>
      <c r="E25" s="234"/>
      <c r="F25" s="235"/>
      <c r="G25" s="233"/>
      <c r="H25" s="235"/>
      <c r="I25" s="235"/>
      <c r="J25" s="111"/>
      <c r="K25" s="88"/>
      <c r="L25" s="236"/>
    </row>
    <row r="26" spans="1:13" ht="13.5" outlineLevel="1" x14ac:dyDescent="0.3">
      <c r="B26" s="228"/>
      <c r="C26" s="84" t="s">
        <v>355</v>
      </c>
      <c r="D26" s="98"/>
      <c r="E26" s="234"/>
      <c r="F26" s="235"/>
      <c r="G26" s="233"/>
      <c r="H26" s="235"/>
      <c r="I26" s="235"/>
      <c r="J26" s="108"/>
      <c r="K26" s="87" t="s">
        <v>356</v>
      </c>
      <c r="L26" s="236"/>
    </row>
    <row r="27" spans="1:13" ht="13.5" outlineLevel="1" x14ac:dyDescent="0.3">
      <c r="B27" s="228"/>
      <c r="C27" s="84" t="s">
        <v>357</v>
      </c>
      <c r="D27" s="98"/>
      <c r="E27" s="234"/>
      <c r="F27" s="235">
        <f>LR!E55</f>
        <v>14078200</v>
      </c>
      <c r="G27" s="233">
        <f>-CLK!S794</f>
        <v>-14078200</v>
      </c>
      <c r="H27" s="235">
        <v>0</v>
      </c>
      <c r="I27" s="235">
        <f>SUM(F27:H27)</f>
        <v>0</v>
      </c>
      <c r="J27" s="108"/>
      <c r="K27" s="87" t="s">
        <v>358</v>
      </c>
      <c r="L27" s="236"/>
    </row>
    <row r="28" spans="1:13" ht="13.5" outlineLevel="1" thickBot="1" x14ac:dyDescent="0.35">
      <c r="B28" s="228"/>
      <c r="C28" s="84"/>
      <c r="D28" s="109"/>
      <c r="E28" s="234"/>
      <c r="F28" s="235"/>
      <c r="G28" s="233"/>
      <c r="H28" s="235"/>
      <c r="I28" s="233"/>
      <c r="J28" s="87"/>
      <c r="K28" s="272"/>
      <c r="L28" s="236"/>
    </row>
    <row r="29" spans="1:13" s="50" customFormat="1" ht="13.5" x14ac:dyDescent="0.3">
      <c r="A29" s="280"/>
      <c r="B29" s="425"/>
      <c r="C29" s="426" t="s">
        <v>365</v>
      </c>
      <c r="D29" s="427"/>
      <c r="E29" s="428"/>
      <c r="F29" s="429"/>
      <c r="G29" s="430"/>
      <c r="H29" s="429"/>
      <c r="I29" s="430"/>
      <c r="J29" s="103"/>
      <c r="K29" s="88" t="s">
        <v>433</v>
      </c>
      <c r="L29" s="431"/>
      <c r="M29" s="432"/>
    </row>
    <row r="30" spans="1:13" s="50" customFormat="1" ht="14" thickBot="1" x14ac:dyDescent="0.35">
      <c r="B30" s="433"/>
      <c r="C30" s="434" t="s">
        <v>434</v>
      </c>
      <c r="D30" s="435"/>
      <c r="E30" s="268"/>
      <c r="F30" s="436">
        <f>F27+F24</f>
        <v>641150550</v>
      </c>
      <c r="G30" s="436">
        <f>G27+G24</f>
        <v>-13578200</v>
      </c>
      <c r="H30" s="436">
        <f>H27+H24</f>
        <v>0</v>
      </c>
      <c r="I30" s="436">
        <f>SUM(F30:H30)</f>
        <v>627572350</v>
      </c>
      <c r="J30" s="437"/>
      <c r="K30" s="438" t="s">
        <v>368</v>
      </c>
      <c r="L30" s="439"/>
      <c r="M30" s="432"/>
    </row>
    <row r="31" spans="1:13" ht="13.5" x14ac:dyDescent="0.3">
      <c r="B31" s="228"/>
      <c r="C31" s="130"/>
      <c r="D31" s="98"/>
      <c r="E31" s="153"/>
      <c r="F31" s="278"/>
      <c r="G31" s="250"/>
      <c r="H31" s="278"/>
      <c r="I31" s="250"/>
      <c r="J31" s="88"/>
      <c r="K31" s="88"/>
      <c r="L31" s="232"/>
    </row>
    <row r="32" spans="1:13" ht="13.5" x14ac:dyDescent="0.3">
      <c r="B32" s="228"/>
      <c r="C32" s="84" t="s">
        <v>369</v>
      </c>
      <c r="D32" s="98"/>
      <c r="E32" s="153"/>
      <c r="F32" s="235">
        <f>LR!E75</f>
        <v>669874218.37666678</v>
      </c>
      <c r="G32" s="250">
        <v>0</v>
      </c>
      <c r="H32" s="278">
        <v>0</v>
      </c>
      <c r="I32" s="278">
        <f>SUM(F32:H32)</f>
        <v>669874218.37666678</v>
      </c>
      <c r="J32" s="108"/>
      <c r="K32" s="87" t="s">
        <v>370</v>
      </c>
      <c r="L32" s="232"/>
    </row>
    <row r="33" spans="2:13" ht="13.5" thickBot="1" x14ac:dyDescent="0.35">
      <c r="B33" s="228"/>
      <c r="C33" s="84"/>
      <c r="D33" s="109"/>
      <c r="E33" s="234"/>
      <c r="F33" s="278"/>
      <c r="G33" s="250"/>
      <c r="H33" s="278"/>
      <c r="I33" s="250"/>
      <c r="J33" s="87"/>
      <c r="K33" s="87"/>
      <c r="L33" s="236"/>
    </row>
    <row r="34" spans="2:13" ht="13.5" x14ac:dyDescent="0.3">
      <c r="B34" s="219"/>
      <c r="C34" s="282" t="s">
        <v>435</v>
      </c>
      <c r="D34" s="283"/>
      <c r="E34" s="286"/>
      <c r="F34" s="324"/>
      <c r="G34" s="321"/>
      <c r="H34" s="324"/>
      <c r="I34" s="321"/>
      <c r="J34" s="291"/>
      <c r="K34" s="291" t="s">
        <v>399</v>
      </c>
      <c r="L34" s="292"/>
    </row>
    <row r="35" spans="2:13" ht="14" thickBot="1" x14ac:dyDescent="0.35">
      <c r="B35" s="440"/>
      <c r="C35" s="296" t="s">
        <v>436</v>
      </c>
      <c r="D35" s="297"/>
      <c r="E35" s="300"/>
      <c r="F35" s="441">
        <f>F30-F32</f>
        <v>-28723668.376666784</v>
      </c>
      <c r="G35" s="441">
        <f>G30-G32</f>
        <v>-13578200</v>
      </c>
      <c r="H35" s="441">
        <f>H30-H32</f>
        <v>0</v>
      </c>
      <c r="I35" s="442">
        <f>SUM(F35:H35)</f>
        <v>-42301868.376666784</v>
      </c>
      <c r="J35" s="304"/>
      <c r="K35" s="304" t="s">
        <v>437</v>
      </c>
      <c r="L35" s="443"/>
    </row>
    <row r="36" spans="2:13" x14ac:dyDescent="0.3">
      <c r="B36" s="334"/>
      <c r="C36" s="181"/>
      <c r="D36" s="338"/>
      <c r="E36" s="234"/>
      <c r="F36" s="235"/>
      <c r="G36" s="233"/>
      <c r="H36" s="235"/>
      <c r="I36" s="233"/>
      <c r="J36" s="87"/>
      <c r="K36" s="87"/>
      <c r="L36" s="236"/>
    </row>
    <row r="37" spans="2:13" x14ac:dyDescent="0.3">
      <c r="B37" s="334"/>
      <c r="C37" s="181" t="s">
        <v>438</v>
      </c>
      <c r="D37" s="338"/>
      <c r="E37" s="234"/>
      <c r="F37" s="235">
        <f>F73</f>
        <v>14999862336.52667</v>
      </c>
      <c r="G37" s="235">
        <f t="shared" ref="G37:H37" si="1">G73</f>
        <v>351222700</v>
      </c>
      <c r="H37" s="235">
        <f t="shared" si="1"/>
        <v>6438063087</v>
      </c>
      <c r="I37" s="235">
        <f>SUM(F37:H37)</f>
        <v>21789148123.526672</v>
      </c>
      <c r="J37" s="111"/>
      <c r="K37" s="87" t="s">
        <v>439</v>
      </c>
      <c r="L37" s="236"/>
    </row>
    <row r="38" spans="2:13" outlineLevel="1" x14ac:dyDescent="0.3">
      <c r="B38" s="334"/>
      <c r="C38" s="181"/>
      <c r="D38" s="338" t="s">
        <v>405</v>
      </c>
      <c r="E38" s="234"/>
      <c r="F38" s="235">
        <v>0</v>
      </c>
      <c r="G38" s="233"/>
      <c r="H38" s="235"/>
      <c r="I38" s="235">
        <f>SUM(F38:H38)</f>
        <v>0</v>
      </c>
      <c r="J38" s="111" t="s">
        <v>406</v>
      </c>
      <c r="K38" s="87"/>
      <c r="L38" s="236"/>
    </row>
    <row r="39" spans="2:13" ht="7.5" customHeight="1" thickBot="1" x14ac:dyDescent="0.35">
      <c r="B39" s="228"/>
      <c r="C39" s="130"/>
      <c r="D39" s="98"/>
      <c r="E39" s="234"/>
      <c r="F39" s="278"/>
      <c r="G39" s="250"/>
      <c r="H39" s="278"/>
      <c r="I39" s="250"/>
      <c r="J39" s="88"/>
      <c r="K39" s="88"/>
      <c r="L39" s="232"/>
    </row>
    <row r="40" spans="2:13" ht="14" thickBot="1" x14ac:dyDescent="0.35">
      <c r="B40" s="444"/>
      <c r="C40" s="3420" t="s">
        <v>440</v>
      </c>
      <c r="D40" s="3420"/>
      <c r="E40" s="445"/>
      <c r="F40" s="446">
        <f>F35+F37</f>
        <v>14971138668.150003</v>
      </c>
      <c r="G40" s="446">
        <f>G35+G37</f>
        <v>337644500</v>
      </c>
      <c r="H40" s="446">
        <f t="shared" ref="H40:I40" si="2">H35+H37</f>
        <v>6438063087</v>
      </c>
      <c r="I40" s="446">
        <f t="shared" si="2"/>
        <v>21746846255.150005</v>
      </c>
      <c r="J40" s="3421" t="s">
        <v>441</v>
      </c>
      <c r="K40" s="3421"/>
      <c r="L40" s="3421"/>
    </row>
    <row r="41" spans="2:13" s="451" customFormat="1" x14ac:dyDescent="0.3">
      <c r="B41" s="447"/>
      <c r="C41" s="448"/>
      <c r="D41" s="448"/>
      <c r="E41" s="448"/>
      <c r="F41" s="449">
        <f>NRC!E68-F40</f>
        <v>9.98687744140625E-3</v>
      </c>
      <c r="G41" s="449">
        <f>G40-NRC!E70</f>
        <v>0</v>
      </c>
      <c r="H41" s="449">
        <f>H40-NRC!E71</f>
        <v>0</v>
      </c>
      <c r="I41" s="449">
        <f>I40-NRC!E74</f>
        <v>-9.983062744140625E-3</v>
      </c>
      <c r="J41" s="450"/>
      <c r="K41" s="450"/>
      <c r="L41" s="450"/>
    </row>
    <row r="42" spans="2:13" x14ac:dyDescent="0.3">
      <c r="B42" s="86"/>
      <c r="C42" s="84"/>
      <c r="D42" s="84"/>
      <c r="E42" s="84"/>
      <c r="F42" s="452"/>
      <c r="G42" s="452"/>
      <c r="H42" s="452"/>
      <c r="I42" s="452"/>
      <c r="J42" s="453"/>
    </row>
    <row r="43" spans="2:13" s="181" customFormat="1" ht="14" thickBot="1" x14ac:dyDescent="0.4">
      <c r="B43" s="64" t="str">
        <f>"Untuk Bulan yang Berakhir "&amp;TEXT(IN!C8,"MMMm YYYY")</f>
        <v>Untuk Bulan yang Berakhir May 2026</v>
      </c>
      <c r="C43" s="64"/>
      <c r="D43" s="64"/>
      <c r="E43" s="64"/>
      <c r="F43" s="64"/>
      <c r="G43" s="64"/>
      <c r="H43" s="64"/>
      <c r="I43" s="64"/>
      <c r="J43" s="88"/>
      <c r="K43" s="88" t="str">
        <f>"For The Month Ended "&amp;TEXT(IN!D8,"MMM YYYY")</f>
        <v>For The Month Ended May 2026</v>
      </c>
      <c r="L43" s="88" t="e">
        <f>[8]IN!M26</f>
        <v>#N/A</v>
      </c>
      <c r="M43" s="410"/>
    </row>
    <row r="44" spans="2:13" ht="13.5" thickBot="1" x14ac:dyDescent="0.35">
      <c r="B44" s="219"/>
      <c r="C44" s="3412" t="s">
        <v>178</v>
      </c>
      <c r="D44" s="3412"/>
      <c r="E44" s="220" t="s">
        <v>179</v>
      </c>
      <c r="F44" s="222" t="s">
        <v>414</v>
      </c>
      <c r="G44" s="411" t="s">
        <v>415</v>
      </c>
      <c r="H44" s="222" t="s">
        <v>416</v>
      </c>
      <c r="I44" s="411" t="s">
        <v>417</v>
      </c>
      <c r="J44" s="3407" t="s">
        <v>180</v>
      </c>
      <c r="K44" s="3407"/>
      <c r="L44" s="3407"/>
    </row>
    <row r="45" spans="2:13" s="369" customFormat="1" ht="14" thickBot="1" x14ac:dyDescent="0.35">
      <c r="B45" s="412"/>
      <c r="C45" s="3412"/>
      <c r="D45" s="3412"/>
      <c r="E45" s="413" t="s">
        <v>181</v>
      </c>
      <c r="F45" s="414" t="s">
        <v>418</v>
      </c>
      <c r="G45" s="413" t="s">
        <v>419</v>
      </c>
      <c r="H45" s="414" t="s">
        <v>420</v>
      </c>
      <c r="I45" s="415" t="s">
        <v>421</v>
      </c>
      <c r="J45" s="3407"/>
      <c r="K45" s="3407"/>
      <c r="L45" s="3407"/>
      <c r="M45" s="416"/>
    </row>
    <row r="46" spans="2:13" s="369" customFormat="1" ht="14" thickBot="1" x14ac:dyDescent="0.35">
      <c r="B46" s="417"/>
      <c r="C46" s="3412"/>
      <c r="D46" s="3412"/>
      <c r="E46" s="226"/>
      <c r="F46" s="418"/>
      <c r="G46" s="226" t="s">
        <v>422</v>
      </c>
      <c r="H46" s="418" t="s">
        <v>423</v>
      </c>
      <c r="I46" s="419"/>
      <c r="J46" s="3407"/>
      <c r="K46" s="3407"/>
      <c r="L46" s="3407"/>
      <c r="M46" s="416"/>
    </row>
    <row r="47" spans="2:13" ht="13.5" x14ac:dyDescent="0.3">
      <c r="B47" s="228"/>
      <c r="C47" s="130" t="s">
        <v>424</v>
      </c>
      <c r="D47" s="98"/>
      <c r="E47" s="234"/>
      <c r="F47" s="420"/>
      <c r="G47" s="421"/>
      <c r="H47" s="420"/>
      <c r="I47" s="421"/>
      <c r="J47" s="88"/>
      <c r="K47" s="88" t="s">
        <v>425</v>
      </c>
      <c r="L47" s="232"/>
    </row>
    <row r="48" spans="2:13" x14ac:dyDescent="0.3">
      <c r="B48" s="228"/>
      <c r="C48" s="84" t="s">
        <v>426</v>
      </c>
      <c r="D48" s="109"/>
      <c r="E48" s="234"/>
      <c r="F48" s="235">
        <v>552500000</v>
      </c>
      <c r="G48" s="233">
        <v>0</v>
      </c>
      <c r="H48" s="235">
        <v>0</v>
      </c>
      <c r="I48" s="233">
        <f>SUM(F48:H48)</f>
        <v>552500000</v>
      </c>
      <c r="J48" s="87"/>
      <c r="K48" s="87" t="s">
        <v>300</v>
      </c>
      <c r="L48" s="236"/>
    </row>
    <row r="49" spans="1:13" x14ac:dyDescent="0.3">
      <c r="B49" s="228"/>
      <c r="C49" s="86" t="s">
        <v>190</v>
      </c>
      <c r="D49" s="84" t="s">
        <v>427</v>
      </c>
      <c r="E49" s="234"/>
      <c r="F49" s="422">
        <v>-4200000</v>
      </c>
      <c r="G49" s="245"/>
      <c r="H49" s="422"/>
      <c r="I49" s="245">
        <f>SUM(F49:H49)</f>
        <v>-4200000</v>
      </c>
      <c r="J49" s="87" t="s">
        <v>319</v>
      </c>
      <c r="K49" s="237" t="s">
        <v>190</v>
      </c>
      <c r="L49" s="236"/>
    </row>
    <row r="50" spans="1:13" x14ac:dyDescent="0.3">
      <c r="B50" s="228"/>
      <c r="C50" s="84"/>
      <c r="D50" s="109"/>
      <c r="E50" s="234"/>
      <c r="F50" s="423">
        <f>F48+F49</f>
        <v>548300000</v>
      </c>
      <c r="G50" s="423">
        <f t="shared" ref="G50:H50" si="3">SUM(G48:G49)</f>
        <v>0</v>
      </c>
      <c r="H50" s="423">
        <f t="shared" si="3"/>
        <v>0</v>
      </c>
      <c r="I50" s="241">
        <f>I48+I49</f>
        <v>548300000</v>
      </c>
      <c r="J50" s="111"/>
      <c r="K50" s="87"/>
      <c r="L50" s="236"/>
    </row>
    <row r="51" spans="1:13" x14ac:dyDescent="0.3">
      <c r="B51" s="228"/>
      <c r="C51" s="84" t="s">
        <v>320</v>
      </c>
      <c r="D51" s="109"/>
      <c r="E51" s="234"/>
      <c r="F51" s="235">
        <v>168</v>
      </c>
      <c r="G51" s="233"/>
      <c r="H51" s="235">
        <v>0</v>
      </c>
      <c r="I51" s="233">
        <f t="shared" ref="I51:I56" si="4">SUM(F51:H51)</f>
        <v>168</v>
      </c>
      <c r="J51" s="87"/>
      <c r="K51" s="87" t="s">
        <v>321</v>
      </c>
      <c r="L51" s="236"/>
    </row>
    <row r="52" spans="1:13" outlineLevel="1" x14ac:dyDescent="0.3">
      <c r="B52" s="228"/>
      <c r="C52" s="84" t="s">
        <v>428</v>
      </c>
      <c r="D52" s="109"/>
      <c r="E52" s="234"/>
      <c r="F52" s="235">
        <v>0</v>
      </c>
      <c r="G52" s="233">
        <v>160735000</v>
      </c>
      <c r="H52" s="235"/>
      <c r="I52" s="233">
        <f t="shared" si="4"/>
        <v>160735000</v>
      </c>
      <c r="J52" s="87"/>
      <c r="K52" s="87" t="s">
        <v>322</v>
      </c>
      <c r="L52" s="236"/>
    </row>
    <row r="53" spans="1:13" outlineLevel="1" x14ac:dyDescent="0.3">
      <c r="B53" s="228"/>
      <c r="C53" s="84" t="s">
        <v>429</v>
      </c>
      <c r="D53" s="109"/>
      <c r="E53" s="234"/>
      <c r="F53" s="235">
        <v>414950</v>
      </c>
      <c r="G53" s="233"/>
      <c r="H53" s="235"/>
      <c r="I53" s="233">
        <f t="shared" si="4"/>
        <v>414950</v>
      </c>
      <c r="J53" s="87"/>
      <c r="K53" s="87" t="s">
        <v>323</v>
      </c>
      <c r="L53" s="236"/>
    </row>
    <row r="54" spans="1:13" x14ac:dyDescent="0.3">
      <c r="B54" s="228"/>
      <c r="C54" s="84" t="s">
        <v>430</v>
      </c>
      <c r="D54" s="109"/>
      <c r="E54" s="234"/>
      <c r="F54" s="235">
        <v>0</v>
      </c>
      <c r="G54" s="233"/>
      <c r="H54" s="235"/>
      <c r="I54" s="233">
        <f t="shared" si="4"/>
        <v>0</v>
      </c>
      <c r="J54" s="87"/>
      <c r="K54" s="87" t="s">
        <v>324</v>
      </c>
      <c r="L54" s="236"/>
    </row>
    <row r="55" spans="1:13" x14ac:dyDescent="0.3">
      <c r="B55" s="228"/>
      <c r="C55" s="84" t="s">
        <v>273</v>
      </c>
      <c r="D55" s="109"/>
      <c r="E55" s="234"/>
      <c r="F55" s="3138">
        <v>129992100</v>
      </c>
      <c r="G55" s="233"/>
      <c r="H55" s="235"/>
      <c r="I55" s="233">
        <f t="shared" si="4"/>
        <v>129992100</v>
      </c>
      <c r="J55" s="87"/>
      <c r="K55" s="87" t="s">
        <v>274</v>
      </c>
      <c r="L55" s="236"/>
    </row>
    <row r="56" spans="1:13" x14ac:dyDescent="0.3">
      <c r="B56" s="228"/>
      <c r="C56" s="84" t="s">
        <v>335</v>
      </c>
      <c r="D56" s="109"/>
      <c r="E56" s="234"/>
      <c r="F56" s="245">
        <v>0</v>
      </c>
      <c r="G56" s="245"/>
      <c r="H56" s="422"/>
      <c r="I56" s="245">
        <f t="shared" si="4"/>
        <v>0</v>
      </c>
      <c r="J56" s="87"/>
      <c r="K56" s="87" t="s">
        <v>336</v>
      </c>
      <c r="L56" s="236"/>
    </row>
    <row r="57" spans="1:13" ht="13.5" x14ac:dyDescent="0.3">
      <c r="B57" s="228"/>
      <c r="C57" s="130" t="s">
        <v>431</v>
      </c>
      <c r="D57" s="109"/>
      <c r="E57" s="234"/>
      <c r="F57" s="424">
        <f>SUM(F50:F56)</f>
        <v>678707218</v>
      </c>
      <c r="G57" s="424">
        <f>SUM(G51:G56)+G50</f>
        <v>160735000</v>
      </c>
      <c r="H57" s="424">
        <f>SUM(H51:H56)+H50</f>
        <v>0</v>
      </c>
      <c r="I57" s="256">
        <f>SUM(I50:I56)</f>
        <v>839442218</v>
      </c>
      <c r="J57" s="111"/>
      <c r="K57" s="88" t="s">
        <v>432</v>
      </c>
      <c r="L57" s="236"/>
    </row>
    <row r="58" spans="1:13" ht="13.5" outlineLevel="1" x14ac:dyDescent="0.3">
      <c r="B58" s="228"/>
      <c r="C58" s="130"/>
      <c r="D58" s="109"/>
      <c r="E58" s="234"/>
      <c r="F58" s="235"/>
      <c r="G58" s="233"/>
      <c r="H58" s="235"/>
      <c r="I58" s="235"/>
      <c r="J58" s="111"/>
      <c r="K58" s="88"/>
      <c r="L58" s="236"/>
    </row>
    <row r="59" spans="1:13" ht="13.5" outlineLevel="1" x14ac:dyDescent="0.3">
      <c r="B59" s="228"/>
      <c r="C59" s="84" t="s">
        <v>355</v>
      </c>
      <c r="D59" s="98"/>
      <c r="E59" s="234"/>
      <c r="F59" s="235"/>
      <c r="G59" s="233"/>
      <c r="H59" s="235"/>
      <c r="I59" s="235"/>
      <c r="J59" s="108"/>
      <c r="K59" s="87" t="s">
        <v>356</v>
      </c>
      <c r="L59" s="236"/>
    </row>
    <row r="60" spans="1:13" ht="13.5" outlineLevel="1" x14ac:dyDescent="0.3">
      <c r="B60" s="228"/>
      <c r="C60" s="84" t="s">
        <v>357</v>
      </c>
      <c r="D60" s="98"/>
      <c r="E60" s="234"/>
      <c r="F60" s="235">
        <v>123119800</v>
      </c>
      <c r="G60" s="233">
        <f>-F60</f>
        <v>-123119800</v>
      </c>
      <c r="H60" s="235">
        <v>0</v>
      </c>
      <c r="I60" s="235">
        <f>SUM(F60:H60)</f>
        <v>0</v>
      </c>
      <c r="J60" s="108"/>
      <c r="K60" s="87" t="s">
        <v>358</v>
      </c>
      <c r="L60" s="236"/>
    </row>
    <row r="61" spans="1:13" ht="13.5" outlineLevel="1" thickBot="1" x14ac:dyDescent="0.35">
      <c r="B61" s="228"/>
      <c r="C61" s="84"/>
      <c r="D61" s="109"/>
      <c r="E61" s="234"/>
      <c r="F61" s="235"/>
      <c r="G61" s="233"/>
      <c r="H61" s="235"/>
      <c r="I61" s="233"/>
      <c r="J61" s="87"/>
      <c r="K61" s="272"/>
      <c r="L61" s="236"/>
    </row>
    <row r="62" spans="1:13" s="50" customFormat="1" ht="13.5" x14ac:dyDescent="0.3">
      <c r="A62" s="454"/>
      <c r="B62" s="425"/>
      <c r="C62" s="426" t="s">
        <v>365</v>
      </c>
      <c r="D62" s="427"/>
      <c r="E62" s="428"/>
      <c r="F62" s="429"/>
      <c r="G62" s="430"/>
      <c r="H62" s="429"/>
      <c r="I62" s="430"/>
      <c r="J62" s="103"/>
      <c r="K62" s="88" t="s">
        <v>433</v>
      </c>
      <c r="L62" s="431"/>
      <c r="M62" s="432"/>
    </row>
    <row r="63" spans="1:13" s="50" customFormat="1" ht="14" thickBot="1" x14ac:dyDescent="0.35">
      <c r="B63" s="433"/>
      <c r="C63" s="434" t="s">
        <v>434</v>
      </c>
      <c r="D63" s="435"/>
      <c r="E63" s="268"/>
      <c r="F63" s="3102">
        <f>F60+F57</f>
        <v>801827018</v>
      </c>
      <c r="G63" s="436">
        <f>G57+G60</f>
        <v>37615200</v>
      </c>
      <c r="H63" s="436">
        <f>H60+H57</f>
        <v>0</v>
      </c>
      <c r="I63" s="436">
        <f>SUM(F63:H63)</f>
        <v>839442218</v>
      </c>
      <c r="J63" s="437"/>
      <c r="K63" s="438" t="s">
        <v>368</v>
      </c>
      <c r="L63" s="439"/>
      <c r="M63" s="432"/>
    </row>
    <row r="64" spans="1:13" ht="13.5" x14ac:dyDescent="0.3">
      <c r="B64" s="228"/>
      <c r="C64" s="130"/>
      <c r="D64" s="98"/>
      <c r="E64" s="153"/>
      <c r="F64" s="278"/>
      <c r="G64" s="250"/>
      <c r="H64" s="278"/>
      <c r="I64" s="250"/>
      <c r="J64" s="88"/>
      <c r="K64" s="88"/>
      <c r="L64" s="232"/>
    </row>
    <row r="65" spans="1:16" ht="13.5" x14ac:dyDescent="0.3">
      <c r="B65" s="228"/>
      <c r="C65" s="84" t="s">
        <v>369</v>
      </c>
      <c r="D65" s="98"/>
      <c r="E65" s="153"/>
      <c r="F65" s="235">
        <v>953712655.12666667</v>
      </c>
      <c r="G65" s="250">
        <v>0</v>
      </c>
      <c r="H65" s="278">
        <v>0</v>
      </c>
      <c r="I65" s="278">
        <f>SUM(F65:H65)</f>
        <v>953712655.12666667</v>
      </c>
      <c r="J65" s="108"/>
      <c r="K65" s="87" t="s">
        <v>370</v>
      </c>
      <c r="L65" s="232"/>
    </row>
    <row r="66" spans="1:16" ht="13.5" thickBot="1" x14ac:dyDescent="0.35">
      <c r="B66" s="228"/>
      <c r="C66" s="84"/>
      <c r="D66" s="109"/>
      <c r="E66" s="234"/>
      <c r="F66" s="278"/>
      <c r="G66" s="250"/>
      <c r="H66" s="278"/>
      <c r="I66" s="250"/>
      <c r="J66" s="87"/>
      <c r="K66" s="87"/>
      <c r="L66" s="236"/>
    </row>
    <row r="67" spans="1:16" ht="13.5" x14ac:dyDescent="0.3">
      <c r="B67" s="219"/>
      <c r="C67" s="282" t="s">
        <v>435</v>
      </c>
      <c r="D67" s="283"/>
      <c r="E67" s="286"/>
      <c r="F67" s="324"/>
      <c r="G67" s="321"/>
      <c r="H67" s="324"/>
      <c r="I67" s="321"/>
      <c r="J67" s="291"/>
      <c r="K67" s="291" t="s">
        <v>399</v>
      </c>
      <c r="L67" s="292"/>
    </row>
    <row r="68" spans="1:16" ht="14" thickBot="1" x14ac:dyDescent="0.35">
      <c r="B68" s="225"/>
      <c r="C68" s="296" t="s">
        <v>436</v>
      </c>
      <c r="D68" s="297"/>
      <c r="E68" s="300"/>
      <c r="F68" s="3101">
        <f>F63-F65</f>
        <v>-151885637.12666667</v>
      </c>
      <c r="G68" s="441">
        <f>G63-G65</f>
        <v>37615200</v>
      </c>
      <c r="H68" s="441">
        <f>H63-H65</f>
        <v>0</v>
      </c>
      <c r="I68" s="442">
        <f>SUM(F68:H68)</f>
        <v>-114270437.12666667</v>
      </c>
      <c r="J68" s="304"/>
      <c r="K68" s="304" t="s">
        <v>437</v>
      </c>
      <c r="L68" s="305"/>
    </row>
    <row r="69" spans="1:16" outlineLevel="1" x14ac:dyDescent="0.3">
      <c r="B69" s="334"/>
      <c r="C69" s="338"/>
      <c r="D69" s="338"/>
      <c r="E69" s="234"/>
      <c r="F69" s="235"/>
      <c r="G69" s="233"/>
      <c r="H69" s="235"/>
      <c r="I69" s="235">
        <f>SUM(F69:H69)</f>
        <v>0</v>
      </c>
      <c r="J69" s="263"/>
      <c r="K69" s="87"/>
      <c r="L69" s="236"/>
    </row>
    <row r="70" spans="1:16" x14ac:dyDescent="0.3">
      <c r="B70" s="334"/>
      <c r="C70" s="181" t="s">
        <v>438</v>
      </c>
      <c r="D70" s="338"/>
      <c r="E70" s="234"/>
      <c r="F70" s="235">
        <v>15151747973.653337</v>
      </c>
      <c r="G70" s="233">
        <v>313607500</v>
      </c>
      <c r="H70" s="235">
        <v>6438063087</v>
      </c>
      <c r="I70" s="235">
        <f>SUM(F70:H70)</f>
        <v>21903418560.653336</v>
      </c>
      <c r="J70" s="111"/>
      <c r="K70" s="87" t="s">
        <v>439</v>
      </c>
      <c r="L70" s="236"/>
      <c r="O70" s="68"/>
    </row>
    <row r="71" spans="1:16" outlineLevel="1" x14ac:dyDescent="0.3">
      <c r="B71" s="334"/>
      <c r="C71" s="181"/>
      <c r="D71" s="338" t="s">
        <v>405</v>
      </c>
      <c r="E71" s="234"/>
      <c r="F71" s="235">
        <v>0</v>
      </c>
      <c r="G71" s="233"/>
      <c r="H71" s="235"/>
      <c r="I71" s="235">
        <f>SUM(F71:H71)</f>
        <v>0</v>
      </c>
      <c r="J71" s="111" t="s">
        <v>406</v>
      </c>
      <c r="K71" s="87"/>
      <c r="L71" s="236"/>
    </row>
    <row r="72" spans="1:16" ht="14" thickBot="1" x14ac:dyDescent="0.35">
      <c r="B72" s="228"/>
      <c r="C72" s="130"/>
      <c r="D72" s="98"/>
      <c r="E72" s="234"/>
      <c r="F72" s="278"/>
      <c r="G72" s="250"/>
      <c r="H72" s="278"/>
      <c r="I72" s="250"/>
      <c r="J72" s="88"/>
      <c r="K72" s="88"/>
      <c r="L72" s="232"/>
    </row>
    <row r="73" spans="1:16" ht="14" thickBot="1" x14ac:dyDescent="0.35">
      <c r="B73" s="444"/>
      <c r="C73" s="3420" t="s">
        <v>440</v>
      </c>
      <c r="D73" s="3420"/>
      <c r="E73" s="445"/>
      <c r="F73" s="446">
        <f>F68+F70</f>
        <v>14999862336.52667</v>
      </c>
      <c r="G73" s="446">
        <f t="shared" ref="G73:H73" si="5">G68+G70</f>
        <v>351222700</v>
      </c>
      <c r="H73" s="446">
        <f t="shared" si="5"/>
        <v>6438063087</v>
      </c>
      <c r="I73" s="446">
        <f>SUM(I68:I71)</f>
        <v>21789148123.526669</v>
      </c>
      <c r="J73" s="3421" t="s">
        <v>441</v>
      </c>
      <c r="K73" s="3421"/>
      <c r="L73" s="3421"/>
      <c r="O73" s="143"/>
      <c r="P73" s="121"/>
    </row>
    <row r="74" spans="1:16" s="451" customFormat="1" x14ac:dyDescent="0.3">
      <c r="B74" s="447"/>
      <c r="C74" s="448"/>
      <c r="D74" s="448"/>
      <c r="E74" s="448"/>
      <c r="F74" s="455">
        <f>F73-NRC!G68</f>
        <v>0</v>
      </c>
      <c r="G74" s="455">
        <f>G73-NRC!G70</f>
        <v>0</v>
      </c>
      <c r="H74" s="455">
        <f>H73-NRC!G71</f>
        <v>0</v>
      </c>
      <c r="I74" s="455">
        <f>I73-NRC!G74</f>
        <v>0</v>
      </c>
      <c r="J74" s="450"/>
      <c r="K74" s="450"/>
      <c r="L74" s="450"/>
    </row>
    <row r="75" spans="1:16" s="359" customFormat="1" ht="27" customHeight="1" x14ac:dyDescent="0.3">
      <c r="A75" s="182"/>
      <c r="B75" s="204" t="str">
        <f>IN!C4</f>
        <v>Laporan Keuangan June 2026</v>
      </c>
      <c r="C75" s="199"/>
      <c r="D75" s="199"/>
      <c r="E75" s="200"/>
      <c r="F75" s="201"/>
      <c r="G75" s="202"/>
      <c r="H75" s="202"/>
      <c r="I75" s="203"/>
      <c r="J75" s="205"/>
      <c r="K75" s="205" t="str">
        <f>IN!D4</f>
        <v>Financial Statement Jun 2026</v>
      </c>
      <c r="L75" s="358"/>
    </row>
    <row r="76" spans="1:16" s="359" customFormat="1" ht="10" customHeight="1" x14ac:dyDescent="0.3">
      <c r="B76" s="353"/>
      <c r="C76" s="354"/>
      <c r="D76" s="354"/>
      <c r="E76" s="354"/>
      <c r="F76" s="456"/>
      <c r="G76" s="456"/>
      <c r="H76" s="456"/>
      <c r="I76" s="456"/>
      <c r="J76" s="358"/>
      <c r="K76" s="358"/>
      <c r="L76" s="358"/>
    </row>
    <row r="77" spans="1:16" s="359" customFormat="1" ht="10" customHeight="1" x14ac:dyDescent="0.3">
      <c r="B77" s="353"/>
      <c r="C77" s="354"/>
      <c r="D77" s="354"/>
      <c r="E77" s="354"/>
      <c r="F77" s="456"/>
      <c r="G77" s="456"/>
      <c r="H77" s="456"/>
      <c r="I77" s="456"/>
      <c r="J77" s="358"/>
      <c r="K77" s="358"/>
      <c r="L77" s="358"/>
    </row>
    <row r="78" spans="1:16" s="359" customFormat="1" ht="10" customHeight="1" x14ac:dyDescent="0.3">
      <c r="B78" s="353"/>
      <c r="C78" s="354"/>
      <c r="D78" s="354"/>
      <c r="E78" s="354"/>
      <c r="F78" s="456"/>
      <c r="G78" s="456"/>
      <c r="H78" s="456"/>
      <c r="I78" s="456"/>
      <c r="J78" s="358"/>
      <c r="K78" s="358"/>
      <c r="L78" s="358"/>
    </row>
    <row r="79" spans="1:16" s="359" customFormat="1" ht="10" customHeight="1" x14ac:dyDescent="0.3">
      <c r="B79" s="353"/>
      <c r="C79" s="354"/>
      <c r="D79" s="354"/>
      <c r="E79" s="354"/>
      <c r="F79" s="456"/>
      <c r="G79" s="456"/>
      <c r="H79" s="456"/>
      <c r="I79" s="456"/>
      <c r="J79" s="358"/>
      <c r="K79" s="358"/>
      <c r="L79" s="358"/>
    </row>
    <row r="80" spans="1:16" s="359" customFormat="1" ht="10" customHeight="1" x14ac:dyDescent="0.3">
      <c r="B80" s="353"/>
      <c r="C80" s="354"/>
      <c r="D80" s="354"/>
      <c r="E80" s="354"/>
      <c r="F80" s="456"/>
      <c r="G80" s="456"/>
      <c r="H80" s="456"/>
      <c r="I80" s="456"/>
      <c r="J80" s="358"/>
      <c r="K80" s="358"/>
      <c r="L80" s="358"/>
    </row>
    <row r="81" spans="2:12" s="359" customFormat="1" ht="10" customHeight="1" x14ac:dyDescent="0.3">
      <c r="B81" s="353"/>
      <c r="C81" s="354"/>
      <c r="D81" s="354"/>
      <c r="E81" s="354"/>
      <c r="F81" s="456"/>
      <c r="G81" s="456"/>
      <c r="H81" s="456"/>
      <c r="I81" s="456"/>
      <c r="J81" s="358"/>
      <c r="K81" s="358"/>
      <c r="L81" s="358"/>
    </row>
    <row r="82" spans="2:12" s="359" customFormat="1" ht="10" customHeight="1" x14ac:dyDescent="0.3">
      <c r="B82" s="353"/>
      <c r="C82" s="354"/>
      <c r="D82" s="354"/>
      <c r="E82" s="354"/>
      <c r="F82" s="456"/>
      <c r="G82" s="456"/>
      <c r="H82" s="456"/>
      <c r="I82" s="456"/>
      <c r="J82" s="358"/>
      <c r="K82" s="358"/>
      <c r="L82" s="358"/>
    </row>
    <row r="83" spans="2:12" s="359" customFormat="1" ht="10" customHeight="1" x14ac:dyDescent="0.3">
      <c r="B83" s="353"/>
      <c r="C83" s="354"/>
      <c r="D83" s="354"/>
      <c r="E83" s="354"/>
      <c r="F83" s="456"/>
      <c r="G83" s="456"/>
      <c r="H83" s="456"/>
      <c r="I83" s="456"/>
      <c r="J83" s="358"/>
      <c r="K83" s="358"/>
      <c r="L83" s="358"/>
    </row>
    <row r="84" spans="2:12" s="359" customFormat="1" ht="10" customHeight="1" x14ac:dyDescent="0.3">
      <c r="B84" s="353"/>
      <c r="C84" s="354"/>
      <c r="D84" s="354"/>
      <c r="E84" s="354"/>
      <c r="F84" s="456"/>
      <c r="G84" s="456"/>
      <c r="H84" s="456"/>
      <c r="I84" s="456"/>
      <c r="J84" s="358"/>
      <c r="K84" s="358"/>
      <c r="L84" s="358"/>
    </row>
    <row r="85" spans="2:12" s="359" customFormat="1" ht="10" customHeight="1" x14ac:dyDescent="0.3">
      <c r="B85" s="353"/>
      <c r="C85" s="354"/>
      <c r="D85" s="354"/>
      <c r="E85" s="354"/>
      <c r="F85" s="456"/>
      <c r="G85" s="456"/>
      <c r="H85" s="456"/>
      <c r="I85" s="456"/>
      <c r="J85" s="358"/>
      <c r="K85" s="358"/>
      <c r="L85" s="358"/>
    </row>
    <row r="86" spans="2:12" s="359" customFormat="1" ht="10" customHeight="1" x14ac:dyDescent="0.3">
      <c r="B86" s="353"/>
      <c r="C86" s="354"/>
      <c r="D86" s="354"/>
      <c r="E86" s="354"/>
      <c r="F86" s="456"/>
      <c r="G86" s="456"/>
      <c r="H86" s="456"/>
      <c r="I86" s="456"/>
      <c r="J86" s="358"/>
      <c r="K86" s="358"/>
      <c r="L86" s="358"/>
    </row>
    <row r="87" spans="2:12" s="359" customFormat="1" ht="10" customHeight="1" x14ac:dyDescent="0.3">
      <c r="B87" s="353"/>
      <c r="C87" s="354"/>
      <c r="D87" s="354"/>
      <c r="E87" s="354"/>
      <c r="F87" s="456"/>
      <c r="G87" s="456"/>
      <c r="H87" s="456"/>
      <c r="I87" s="456"/>
      <c r="J87" s="358"/>
      <c r="K87" s="358"/>
      <c r="L87" s="358"/>
    </row>
    <row r="88" spans="2:12" s="359" customFormat="1" ht="10" customHeight="1" x14ac:dyDescent="0.3">
      <c r="B88" s="353"/>
      <c r="C88" s="354"/>
      <c r="D88" s="354"/>
      <c r="E88" s="354"/>
      <c r="F88" s="456"/>
      <c r="G88" s="456"/>
      <c r="H88" s="456"/>
      <c r="I88" s="456"/>
      <c r="J88" s="358"/>
      <c r="K88" s="358"/>
      <c r="L88" s="358"/>
    </row>
    <row r="89" spans="2:12" s="359" customFormat="1" ht="10" customHeight="1" x14ac:dyDescent="0.3">
      <c r="B89" s="353"/>
      <c r="C89" s="354"/>
      <c r="D89" s="354"/>
      <c r="E89" s="354"/>
      <c r="F89" s="456"/>
      <c r="G89" s="456"/>
      <c r="H89" s="456"/>
      <c r="I89" s="456"/>
      <c r="J89" s="358"/>
      <c r="K89" s="358"/>
      <c r="L89" s="358"/>
    </row>
    <row r="90" spans="2:12" s="359" customFormat="1" ht="10" customHeight="1" x14ac:dyDescent="0.3">
      <c r="B90" s="353"/>
      <c r="C90" s="354"/>
      <c r="D90" s="354"/>
      <c r="E90" s="354"/>
      <c r="F90" s="456"/>
      <c r="G90" s="456"/>
      <c r="H90" s="456"/>
      <c r="I90" s="456"/>
      <c r="J90" s="358"/>
      <c r="K90" s="358"/>
      <c r="L90" s="358"/>
    </row>
    <row r="91" spans="2:12" s="359" customFormat="1" ht="10" customHeight="1" x14ac:dyDescent="0.3">
      <c r="B91" s="353"/>
      <c r="C91" s="354"/>
      <c r="D91" s="354"/>
      <c r="E91" s="354"/>
      <c r="F91" s="456"/>
      <c r="G91" s="456"/>
      <c r="H91" s="456"/>
      <c r="I91" s="456"/>
      <c r="J91" s="358"/>
      <c r="K91" s="358"/>
      <c r="L91" s="358"/>
    </row>
    <row r="92" spans="2:12" s="359" customFormat="1" ht="10" customHeight="1" x14ac:dyDescent="0.3">
      <c r="B92" s="353"/>
      <c r="C92" s="354"/>
      <c r="D92" s="354"/>
      <c r="E92" s="354"/>
      <c r="F92" s="456"/>
      <c r="G92" s="456"/>
      <c r="H92" s="456"/>
      <c r="I92" s="456"/>
      <c r="J92" s="358"/>
      <c r="K92" s="358"/>
      <c r="L92" s="358"/>
    </row>
    <row r="93" spans="2:12" s="359" customFormat="1" ht="10" customHeight="1" x14ac:dyDescent="0.3">
      <c r="B93" s="353"/>
      <c r="C93" s="354"/>
      <c r="D93" s="354"/>
      <c r="E93" s="354"/>
      <c r="F93" s="456"/>
      <c r="G93" s="456"/>
      <c r="H93" s="456"/>
      <c r="I93" s="456"/>
      <c r="J93" s="358"/>
      <c r="K93" s="358"/>
      <c r="L93" s="358"/>
    </row>
    <row r="94" spans="2:12" s="359" customFormat="1" ht="10" customHeight="1" x14ac:dyDescent="0.3">
      <c r="B94" s="353"/>
      <c r="C94" s="354"/>
      <c r="D94" s="354"/>
      <c r="E94" s="354"/>
      <c r="F94" s="456"/>
      <c r="G94" s="456"/>
      <c r="H94" s="456"/>
      <c r="I94" s="456"/>
      <c r="J94" s="358"/>
      <c r="K94" s="358"/>
      <c r="L94" s="358"/>
    </row>
    <row r="95" spans="2:12" s="359" customFormat="1" ht="10" customHeight="1" x14ac:dyDescent="0.3">
      <c r="B95" s="353"/>
      <c r="C95" s="354"/>
      <c r="D95" s="354"/>
      <c r="E95" s="354"/>
      <c r="F95" s="456"/>
      <c r="G95" s="456"/>
      <c r="H95" s="456"/>
      <c r="I95" s="456"/>
      <c r="J95" s="358"/>
      <c r="K95" s="358"/>
      <c r="L95" s="358"/>
    </row>
    <row r="96" spans="2:12" s="359" customFormat="1" ht="10" customHeight="1" x14ac:dyDescent="0.3">
      <c r="B96" s="353"/>
      <c r="C96" s="354"/>
      <c r="D96" s="354"/>
      <c r="E96" s="354"/>
      <c r="F96" s="456"/>
      <c r="G96" s="456"/>
      <c r="H96" s="456"/>
      <c r="I96" s="456"/>
      <c r="J96" s="358"/>
      <c r="K96" s="358"/>
      <c r="L96" s="358"/>
    </row>
    <row r="97" spans="2:12" s="359" customFormat="1" ht="10" customHeight="1" x14ac:dyDescent="0.3">
      <c r="B97" s="353"/>
      <c r="C97" s="354"/>
      <c r="D97" s="354"/>
      <c r="E97" s="354"/>
      <c r="F97" s="456"/>
      <c r="G97" s="456"/>
      <c r="H97" s="456"/>
      <c r="I97" s="456"/>
      <c r="J97" s="358"/>
      <c r="K97" s="358"/>
      <c r="L97" s="358"/>
    </row>
    <row r="98" spans="2:12" s="359" customFormat="1" ht="10" customHeight="1" x14ac:dyDescent="0.3">
      <c r="B98" s="353"/>
      <c r="C98" s="354"/>
      <c r="D98" s="354"/>
      <c r="E98" s="354"/>
      <c r="F98" s="456"/>
      <c r="G98" s="456"/>
      <c r="H98" s="456"/>
      <c r="I98" s="456"/>
      <c r="J98" s="358"/>
      <c r="K98" s="358"/>
      <c r="L98" s="358"/>
    </row>
    <row r="99" spans="2:12" s="359" customFormat="1" ht="10" customHeight="1" x14ac:dyDescent="0.3">
      <c r="B99" s="353"/>
      <c r="C99" s="354"/>
      <c r="D99" s="354"/>
      <c r="E99" s="354"/>
      <c r="F99" s="456"/>
      <c r="G99" s="456"/>
      <c r="H99" s="456"/>
      <c r="I99" s="456"/>
      <c r="J99" s="358"/>
      <c r="K99" s="358"/>
      <c r="L99" s="358"/>
    </row>
    <row r="100" spans="2:12" s="359" customFormat="1" ht="10" customHeight="1" x14ac:dyDescent="0.3">
      <c r="B100" s="353"/>
      <c r="C100" s="354"/>
      <c r="D100" s="354"/>
      <c r="E100" s="354"/>
      <c r="F100" s="456"/>
      <c r="G100" s="456"/>
      <c r="H100" s="456"/>
      <c r="I100" s="456"/>
      <c r="J100" s="358"/>
      <c r="K100" s="358"/>
      <c r="L100" s="358"/>
    </row>
    <row r="101" spans="2:12" s="359" customFormat="1" ht="10" customHeight="1" x14ac:dyDescent="0.3">
      <c r="B101" s="353"/>
      <c r="C101" s="354"/>
      <c r="D101" s="354"/>
      <c r="E101" s="354"/>
      <c r="F101" s="456"/>
      <c r="G101" s="456"/>
      <c r="H101" s="456"/>
      <c r="I101" s="456"/>
      <c r="J101" s="358"/>
      <c r="K101" s="358"/>
      <c r="L101" s="358"/>
    </row>
    <row r="102" spans="2:12" s="359" customFormat="1" ht="10" customHeight="1" x14ac:dyDescent="0.3">
      <c r="B102" s="353"/>
      <c r="C102" s="354"/>
      <c r="D102" s="354"/>
      <c r="E102" s="354"/>
      <c r="F102" s="456"/>
      <c r="G102" s="456"/>
      <c r="H102" s="456"/>
      <c r="I102" s="456"/>
      <c r="J102" s="358"/>
      <c r="K102" s="358"/>
      <c r="L102" s="358"/>
    </row>
    <row r="103" spans="2:12" s="359" customFormat="1" ht="10" customHeight="1" x14ac:dyDescent="0.3">
      <c r="B103" s="353"/>
      <c r="C103" s="354"/>
      <c r="D103" s="354"/>
      <c r="E103" s="354"/>
      <c r="F103" s="456"/>
      <c r="G103" s="456"/>
      <c r="H103" s="456"/>
      <c r="I103" s="456"/>
      <c r="J103" s="358"/>
      <c r="K103" s="358"/>
      <c r="L103" s="358"/>
    </row>
    <row r="104" spans="2:12" s="359" customFormat="1" ht="10" customHeight="1" x14ac:dyDescent="0.3">
      <c r="B104" s="353"/>
      <c r="C104" s="354"/>
      <c r="D104" s="354"/>
      <c r="E104" s="354"/>
      <c r="F104" s="456"/>
      <c r="G104" s="456"/>
      <c r="H104" s="456"/>
      <c r="I104" s="456"/>
      <c r="J104" s="358"/>
      <c r="K104" s="358"/>
      <c r="L104" s="358"/>
    </row>
    <row r="105" spans="2:12" s="359" customFormat="1" ht="10" customHeight="1" x14ac:dyDescent="0.3">
      <c r="B105" s="353"/>
      <c r="C105" s="354"/>
      <c r="D105" s="354"/>
      <c r="E105" s="354"/>
      <c r="F105" s="456"/>
      <c r="G105" s="456"/>
      <c r="H105" s="456"/>
      <c r="I105" s="456"/>
      <c r="J105" s="358"/>
      <c r="K105" s="358"/>
      <c r="L105" s="358"/>
    </row>
    <row r="106" spans="2:12" s="359" customFormat="1" ht="10" customHeight="1" x14ac:dyDescent="0.3">
      <c r="B106" s="353"/>
      <c r="C106" s="354"/>
      <c r="D106" s="354"/>
      <c r="E106" s="354"/>
      <c r="F106" s="456"/>
      <c r="G106" s="456"/>
      <c r="H106" s="456"/>
      <c r="I106" s="456"/>
      <c r="J106" s="358"/>
      <c r="K106" s="358"/>
      <c r="L106" s="358"/>
    </row>
    <row r="107" spans="2:12" s="359" customFormat="1" ht="10" customHeight="1" x14ac:dyDescent="0.3">
      <c r="B107" s="353"/>
      <c r="C107" s="354"/>
      <c r="D107" s="354"/>
      <c r="E107" s="354"/>
      <c r="F107" s="456"/>
      <c r="G107" s="456"/>
      <c r="H107" s="456"/>
      <c r="I107" s="456"/>
      <c r="J107" s="358"/>
      <c r="K107" s="358"/>
      <c r="L107" s="358"/>
    </row>
    <row r="108" spans="2:12" s="359" customFormat="1" ht="10" customHeight="1" x14ac:dyDescent="0.3">
      <c r="B108" s="353"/>
      <c r="C108" s="354"/>
      <c r="D108" s="354"/>
      <c r="E108" s="354"/>
      <c r="F108" s="456"/>
      <c r="G108" s="456"/>
      <c r="H108" s="456"/>
      <c r="I108" s="456"/>
      <c r="J108" s="358"/>
      <c r="K108" s="358"/>
      <c r="L108" s="358"/>
    </row>
    <row r="109" spans="2:12" s="359" customFormat="1" ht="10" customHeight="1" x14ac:dyDescent="0.3">
      <c r="B109" s="353"/>
      <c r="C109" s="354"/>
      <c r="D109" s="354"/>
      <c r="E109" s="354"/>
      <c r="F109" s="456"/>
      <c r="G109" s="456"/>
      <c r="H109" s="456"/>
      <c r="I109" s="456"/>
      <c r="J109" s="358"/>
      <c r="K109" s="358"/>
      <c r="L109" s="358"/>
    </row>
    <row r="110" spans="2:12" s="359" customFormat="1" ht="10" customHeight="1" x14ac:dyDescent="0.3">
      <c r="B110" s="353"/>
      <c r="C110" s="354"/>
      <c r="D110" s="354"/>
      <c r="E110" s="354"/>
      <c r="F110" s="456"/>
      <c r="G110" s="456"/>
      <c r="H110" s="456"/>
      <c r="I110" s="456"/>
      <c r="J110" s="358"/>
      <c r="K110" s="358"/>
      <c r="L110" s="358"/>
    </row>
    <row r="111" spans="2:12" s="359" customFormat="1" ht="10" customHeight="1" x14ac:dyDescent="0.3">
      <c r="B111" s="353"/>
      <c r="C111" s="354"/>
      <c r="D111" s="354"/>
      <c r="E111" s="354"/>
      <c r="F111" s="456"/>
      <c r="G111" s="456"/>
      <c r="H111" s="456"/>
      <c r="I111" s="456"/>
      <c r="J111" s="358"/>
      <c r="K111" s="358"/>
      <c r="L111" s="358"/>
    </row>
    <row r="112" spans="2:12" s="359" customFormat="1" ht="10" customHeight="1" x14ac:dyDescent="0.3">
      <c r="B112" s="353"/>
      <c r="C112" s="354"/>
      <c r="D112" s="354"/>
      <c r="E112" s="354"/>
      <c r="F112" s="456"/>
      <c r="G112" s="456"/>
      <c r="H112" s="456"/>
      <c r="I112" s="456"/>
      <c r="J112" s="358"/>
      <c r="K112" s="358"/>
      <c r="L112" s="358"/>
    </row>
    <row r="113" spans="2:14" s="359" customFormat="1" ht="10" customHeight="1" x14ac:dyDescent="0.3">
      <c r="B113" s="353"/>
      <c r="C113" s="354"/>
      <c r="D113" s="354"/>
      <c r="E113" s="354"/>
      <c r="F113" s="456"/>
      <c r="G113" s="456"/>
      <c r="H113" s="456"/>
      <c r="I113" s="456"/>
      <c r="J113" s="358"/>
      <c r="K113" s="358"/>
      <c r="L113" s="358"/>
    </row>
    <row r="114" spans="2:14" s="359" customFormat="1" ht="14.15" customHeight="1" x14ac:dyDescent="0.3">
      <c r="B114" s="353"/>
      <c r="C114" s="354"/>
      <c r="D114" s="354"/>
      <c r="E114" s="354"/>
      <c r="F114" s="456"/>
      <c r="G114" s="456"/>
      <c r="H114" s="456"/>
      <c r="I114" s="456"/>
      <c r="J114" s="358"/>
      <c r="K114" s="358"/>
      <c r="L114" s="358"/>
    </row>
    <row r="115" spans="2:14" s="460" customFormat="1" ht="7" x14ac:dyDescent="0.35">
      <c r="B115" s="457" t="s">
        <v>409</v>
      </c>
      <c r="C115" s="457"/>
      <c r="D115" s="457"/>
      <c r="E115" s="458"/>
      <c r="F115" s="459"/>
      <c r="G115" s="458"/>
      <c r="H115" s="365"/>
      <c r="I115" s="365"/>
      <c r="J115" s="365"/>
      <c r="L115" s="365" t="s">
        <v>410</v>
      </c>
      <c r="N115" s="365"/>
    </row>
    <row r="116" spans="2:14" ht="6.75" customHeight="1" x14ac:dyDescent="0.3">
      <c r="B116" s="86"/>
      <c r="C116" s="84"/>
      <c r="D116" s="84"/>
      <c r="E116" s="363"/>
      <c r="F116" s="86"/>
      <c r="G116" s="368"/>
      <c r="H116" s="87"/>
      <c r="I116" s="87"/>
      <c r="J116" s="369"/>
      <c r="K116" s="43"/>
      <c r="L116" s="43"/>
      <c r="M116" s="43"/>
    </row>
    <row r="117" spans="2:14" s="376" customFormat="1" ht="17.25" customHeight="1" x14ac:dyDescent="0.3">
      <c r="B117" s="183" t="str">
        <f>[8]IN!C19</f>
        <v>Laporan keuangan July 2023</v>
      </c>
      <c r="C117" s="370"/>
      <c r="D117" s="370"/>
      <c r="E117" s="370"/>
      <c r="F117" s="371"/>
      <c r="G117" s="372" t="s">
        <v>442</v>
      </c>
      <c r="H117" s="461"/>
      <c r="I117" s="373"/>
      <c r="J117" s="373"/>
      <c r="K117" s="373" t="e">
        <f>[8]IN!M19</f>
        <v>#N/A</v>
      </c>
      <c r="L117" s="185" t="s">
        <v>443</v>
      </c>
      <c r="N117" s="462"/>
    </row>
    <row r="118" spans="2:14" s="176" customFormat="1" ht="15.75" customHeight="1" x14ac:dyDescent="0.3">
      <c r="B118" s="168"/>
      <c r="C118" s="3422"/>
      <c r="D118" s="3422"/>
      <c r="E118" s="3422"/>
      <c r="F118" s="3422"/>
      <c r="G118" s="3422"/>
      <c r="H118" s="3422"/>
      <c r="I118" s="3422"/>
      <c r="J118" s="3422"/>
      <c r="K118" s="3422"/>
      <c r="L118" s="3422"/>
      <c r="M118" s="463"/>
    </row>
    <row r="119" spans="2:14" ht="15.75" customHeight="1" x14ac:dyDescent="0.3">
      <c r="B119" s="86"/>
      <c r="C119" s="86"/>
      <c r="D119" s="86"/>
      <c r="E119" s="86"/>
      <c r="F119" s="214"/>
      <c r="G119" s="214"/>
      <c r="H119" s="214"/>
      <c r="I119" s="214"/>
    </row>
    <row r="120" spans="2:14" ht="15.75" customHeight="1" x14ac:dyDescent="0.3">
      <c r="B120" s="63"/>
      <c r="C120" s="86"/>
      <c r="D120" s="86"/>
      <c r="E120" s="86"/>
      <c r="F120" s="214"/>
      <c r="G120" s="214"/>
      <c r="H120" s="214"/>
      <c r="I120" s="214"/>
    </row>
    <row r="121" spans="2:14" ht="15.75" customHeight="1" x14ac:dyDescent="0.3">
      <c r="B121" s="48"/>
    </row>
    <row r="122" spans="2:14" ht="15.75" customHeight="1" x14ac:dyDescent="0.3">
      <c r="B122" s="48"/>
    </row>
    <row r="123" spans="2:14" ht="15.75" customHeight="1" x14ac:dyDescent="0.3">
      <c r="B123" s="48"/>
    </row>
    <row r="124" spans="2:14" ht="15.75" customHeight="1" x14ac:dyDescent="0.3">
      <c r="B124" s="48"/>
    </row>
    <row r="125" spans="2:14" ht="15.75" customHeight="1" x14ac:dyDescent="0.3">
      <c r="B125" s="48"/>
    </row>
    <row r="126" spans="2:14" ht="15.75" customHeight="1" x14ac:dyDescent="0.3">
      <c r="B126" s="48"/>
    </row>
    <row r="127" spans="2:14" ht="15.75" customHeight="1" x14ac:dyDescent="0.3">
      <c r="B127" s="48"/>
    </row>
    <row r="128" spans="2:14" ht="15.75" customHeight="1" x14ac:dyDescent="0.3">
      <c r="B128" s="48"/>
    </row>
    <row r="129" spans="2:13" ht="15.75" customHeight="1" x14ac:dyDescent="0.3">
      <c r="B129" s="48"/>
    </row>
    <row r="130" spans="2:13" ht="15.75" customHeight="1" x14ac:dyDescent="0.3">
      <c r="B130" s="48"/>
    </row>
    <row r="131" spans="2:13" ht="15.75" customHeight="1" x14ac:dyDescent="0.3">
      <c r="B131" s="48"/>
    </row>
    <row r="132" spans="2:13" x14ac:dyDescent="0.3">
      <c r="B132" s="48"/>
      <c r="F132" s="43"/>
      <c r="G132" s="43"/>
      <c r="H132" s="43"/>
      <c r="I132" s="43"/>
      <c r="J132" s="43"/>
      <c r="K132" s="43"/>
      <c r="L132" s="43"/>
      <c r="M132" s="43"/>
    </row>
    <row r="133" spans="2:13" x14ac:dyDescent="0.3">
      <c r="B133" s="48"/>
      <c r="F133" s="43"/>
      <c r="G133" s="43"/>
      <c r="H133" s="43"/>
      <c r="I133" s="43"/>
      <c r="J133" s="43"/>
      <c r="K133" s="43"/>
      <c r="L133" s="43"/>
      <c r="M133" s="43"/>
    </row>
    <row r="134" spans="2:13" x14ac:dyDescent="0.3">
      <c r="F134" s="43"/>
      <c r="G134" s="43"/>
      <c r="H134" s="43"/>
      <c r="I134" s="43"/>
      <c r="J134" s="43"/>
      <c r="K134" s="43"/>
      <c r="L134" s="43"/>
      <c r="M134" s="43"/>
    </row>
    <row r="135" spans="2:13" x14ac:dyDescent="0.3">
      <c r="F135" s="43"/>
      <c r="G135" s="43"/>
      <c r="H135" s="43"/>
      <c r="I135" s="43"/>
      <c r="J135" s="43"/>
      <c r="K135" s="43"/>
      <c r="L135" s="43"/>
      <c r="M135" s="43"/>
    </row>
  </sheetData>
  <mergeCells count="11">
    <mergeCell ref="C73:D73"/>
    <mergeCell ref="J73:L73"/>
    <mergeCell ref="C118:L118"/>
    <mergeCell ref="B5:F5"/>
    <mergeCell ref="B2:K2"/>
    <mergeCell ref="C11:D13"/>
    <mergeCell ref="J11:L13"/>
    <mergeCell ref="C40:D40"/>
    <mergeCell ref="J40:L40"/>
    <mergeCell ref="C44:D46"/>
    <mergeCell ref="J44:L46"/>
  </mergeCells>
  <pageMargins left="0.7" right="0.7" top="0.75" bottom="0.75" header="0.3" footer="0.3"/>
  <pageSetup paperSize="9" orientation="landscape" horizontalDpi="0" verticalDpi="0"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R99"/>
  <sheetViews>
    <sheetView topLeftCell="A34" zoomScale="80" zoomScaleNormal="80" zoomScaleSheetLayoutView="90" workbookViewId="0">
      <selection activeCell="E55" sqref="E55"/>
    </sheetView>
  </sheetViews>
  <sheetFormatPr defaultColWidth="8.81640625" defaultRowHeight="13" outlineLevelRow="1" x14ac:dyDescent="0.35"/>
  <cols>
    <col min="1" max="1" width="2.81640625" style="181" customWidth="1"/>
    <col min="2" max="2" width="0.26953125" style="181" customWidth="1"/>
    <col min="3" max="3" width="1.26953125" style="181" customWidth="1"/>
    <col min="4" max="4" width="32.7265625" style="181" customWidth="1"/>
    <col min="5" max="7" width="22.453125" style="214" customWidth="1"/>
    <col min="8" max="8" width="24.1796875" style="87" customWidth="1"/>
    <col min="9" max="9" width="1.26953125" style="87" customWidth="1"/>
    <col min="10" max="10" width="2.26953125" style="87" customWidth="1"/>
    <col min="11" max="11" width="5.81640625" style="181" customWidth="1"/>
    <col min="12" max="13" width="22.1796875" style="181" customWidth="1"/>
    <col min="14" max="14" width="19.7265625" style="181" customWidth="1"/>
    <col min="15" max="15" width="19.1796875" style="181" customWidth="1"/>
    <col min="16" max="16" width="10.1796875" style="181" customWidth="1"/>
    <col min="17" max="16384" width="8.81640625" style="181"/>
  </cols>
  <sheetData>
    <row r="1" spans="2:15" x14ac:dyDescent="0.35">
      <c r="L1" s="85">
        <f>E58</f>
        <v>0</v>
      </c>
      <c r="M1" s="85"/>
    </row>
    <row r="3" spans="2:15" s="465" customFormat="1" ht="14" x14ac:dyDescent="0.35">
      <c r="B3" s="3425" t="s">
        <v>7325</v>
      </c>
      <c r="C3" s="3425"/>
      <c r="D3" s="3425"/>
      <c r="E3" s="3425"/>
      <c r="F3" s="3425"/>
      <c r="G3" s="3425"/>
      <c r="H3" s="3425"/>
      <c r="I3" s="3425"/>
      <c r="J3" s="3425"/>
      <c r="K3" s="464"/>
      <c r="L3" s="464"/>
      <c r="M3" s="464"/>
    </row>
    <row r="4" spans="2:15" s="466" customFormat="1" ht="14" x14ac:dyDescent="0.35">
      <c r="E4" s="467"/>
      <c r="F4" s="467"/>
      <c r="G4" s="467"/>
      <c r="H4" s="468"/>
      <c r="I4" s="468"/>
      <c r="J4" s="468"/>
    </row>
    <row r="5" spans="2:15" s="466" customFormat="1" ht="14" x14ac:dyDescent="0.35">
      <c r="B5" s="465" t="s">
        <v>444</v>
      </c>
      <c r="C5" s="465"/>
      <c r="D5" s="465"/>
      <c r="E5" s="465"/>
      <c r="F5" s="469"/>
      <c r="G5" s="465"/>
      <c r="H5" s="470"/>
      <c r="I5" s="470"/>
      <c r="J5" s="470" t="s">
        <v>445</v>
      </c>
    </row>
    <row r="6" spans="2:15" s="466" customFormat="1" ht="14" x14ac:dyDescent="0.35">
      <c r="B6" s="465"/>
      <c r="C6" s="465" t="str">
        <f>PAB!B5</f>
        <v>Untuk Bulan yang Berakhir 30 June 2026</v>
      </c>
      <c r="D6" s="465"/>
      <c r="E6" s="465"/>
      <c r="F6" s="465"/>
      <c r="G6" s="465"/>
      <c r="H6" s="470"/>
      <c r="I6" s="470"/>
      <c r="J6" s="470" t="str">
        <f>LR!I6</f>
        <v>For The Month Ended Jun 2026</v>
      </c>
    </row>
    <row r="7" spans="2:15" s="466" customFormat="1" ht="14" x14ac:dyDescent="0.35">
      <c r="B7" s="471" t="str">
        <f>[8]Nrc!B6</f>
        <v>(Dengan perbandingan informasi keuangan 30 June 2023 )</v>
      </c>
      <c r="C7" s="519" t="str">
        <f>LR!C7</f>
        <v>(Dengan perbandingan informasi keuangan untuk bulan yang berakhir 31 May 2026 /</v>
      </c>
      <c r="D7" s="465"/>
      <c r="E7" s="465"/>
      <c r="F7" s="465"/>
      <c r="G7" s="465"/>
      <c r="H7" s="470"/>
      <c r="I7" s="470"/>
      <c r="J7" s="88" t="str">
        <f>LR!O7</f>
        <v>With Comparative financial information for the month ended May 31, 2026 )</v>
      </c>
    </row>
    <row r="8" spans="2:15" s="466" customFormat="1" ht="14" x14ac:dyDescent="0.35">
      <c r="B8" s="471"/>
      <c r="C8" s="465"/>
      <c r="D8" s="465"/>
      <c r="E8" s="465"/>
      <c r="F8" s="465"/>
      <c r="G8" s="465"/>
      <c r="H8" s="470"/>
      <c r="I8" s="470"/>
      <c r="J8" s="470"/>
    </row>
    <row r="9" spans="2:15" s="466" customFormat="1" ht="14" x14ac:dyDescent="0.35">
      <c r="B9" s="465" t="str">
        <f>'[9]LR '!B9</f>
        <v>(Disajikan dalam rupiah)</v>
      </c>
      <c r="C9" s="465"/>
      <c r="D9" s="465"/>
      <c r="E9" s="465"/>
      <c r="F9" s="465"/>
      <c r="G9" s="465"/>
      <c r="H9" s="470"/>
      <c r="I9" s="470"/>
      <c r="J9" s="470" t="str">
        <f>'[9]LR '!N9</f>
        <v>(Expressed in rupiah)</v>
      </c>
    </row>
    <row r="10" spans="2:15" ht="13.5" thickBot="1" x14ac:dyDescent="0.4">
      <c r="B10" s="130"/>
      <c r="C10" s="84"/>
      <c r="D10" s="84"/>
      <c r="G10" s="179"/>
    </row>
    <row r="11" spans="2:15" ht="13.5" thickBot="1" x14ac:dyDescent="0.4">
      <c r="B11" s="219"/>
      <c r="C11" s="3412" t="s">
        <v>446</v>
      </c>
      <c r="D11" s="3412"/>
      <c r="E11" s="222" t="str">
        <f>NRC!E9</f>
        <v>30 June 2026/</v>
      </c>
      <c r="F11" s="222" t="str">
        <f>NRC!G9</f>
        <v>31 May 2026/</v>
      </c>
      <c r="G11" s="222" t="str">
        <f>"sd "&amp;(E11)</f>
        <v>sd 30 June 2026/</v>
      </c>
      <c r="H11" s="3407" t="s">
        <v>447</v>
      </c>
      <c r="I11" s="3407"/>
      <c r="J11" s="3407"/>
      <c r="L11" s="2997" t="str">
        <f>"sd "&amp;(F11)</f>
        <v>sd 31 May 2026/</v>
      </c>
    </row>
    <row r="12" spans="2:15" ht="14" thickBot="1" x14ac:dyDescent="0.4">
      <c r="B12" s="225"/>
      <c r="C12" s="3412"/>
      <c r="D12" s="3412"/>
      <c r="E12" s="472">
        <f>NRC!E10</f>
        <v>46203</v>
      </c>
      <c r="F12" s="472">
        <f>NRC!G10</f>
        <v>46173</v>
      </c>
      <c r="G12" s="472">
        <f>E12</f>
        <v>46203</v>
      </c>
      <c r="H12" s="3407"/>
      <c r="I12" s="3407"/>
      <c r="J12" s="3407"/>
      <c r="L12" s="2998">
        <f>F12</f>
        <v>46173</v>
      </c>
    </row>
    <row r="13" spans="2:15" ht="13.5" x14ac:dyDescent="0.35">
      <c r="B13" s="228"/>
      <c r="C13" s="427" t="s">
        <v>448</v>
      </c>
      <c r="D13" s="98"/>
      <c r="E13" s="229"/>
      <c r="F13" s="231"/>
      <c r="G13" s="231"/>
      <c r="H13" s="108"/>
      <c r="I13" s="88" t="s">
        <v>449</v>
      </c>
      <c r="J13" s="232"/>
      <c r="L13" s="2999"/>
    </row>
    <row r="14" spans="2:15" x14ac:dyDescent="0.35">
      <c r="B14" s="334"/>
      <c r="C14" s="109" t="s">
        <v>450</v>
      </c>
      <c r="D14" s="109"/>
      <c r="E14" s="233"/>
      <c r="F14" s="233"/>
      <c r="G14" s="233"/>
      <c r="H14" s="111"/>
      <c r="I14" s="87" t="s">
        <v>451</v>
      </c>
      <c r="J14" s="236"/>
      <c r="L14" s="3000"/>
    </row>
    <row r="15" spans="2:15" x14ac:dyDescent="0.35">
      <c r="B15" s="228"/>
      <c r="C15" s="237" t="s">
        <v>190</v>
      </c>
      <c r="D15" s="109" t="s">
        <v>452</v>
      </c>
      <c r="E15" s="233">
        <f>IF(K15&lt;&gt;"",SUMIF(CRAK1,K15,CRAK2),0)+IF(K15&lt;&gt;"",SUMIF(JMAK1,K15,JMAK2),0)</f>
        <v>590502000</v>
      </c>
      <c r="F15" s="233">
        <v>662186000</v>
      </c>
      <c r="G15" s="233">
        <f t="shared" ref="G15:G20" si="0">E15+L15</f>
        <v>7949850000</v>
      </c>
      <c r="H15" s="87" t="s">
        <v>300</v>
      </c>
      <c r="I15" s="237" t="s">
        <v>190</v>
      </c>
      <c r="J15" s="236"/>
      <c r="K15" s="181" t="s">
        <v>453</v>
      </c>
      <c r="L15" s="3001">
        <v>7359348000</v>
      </c>
      <c r="M15" s="473"/>
      <c r="N15" s="474">
        <f>[8]CR!N1</f>
        <v>57351290</v>
      </c>
      <c r="O15" s="367">
        <f>E15-N15</f>
        <v>533150710</v>
      </c>
    </row>
    <row r="16" spans="2:15" outlineLevel="1" x14ac:dyDescent="0.35">
      <c r="B16" s="228"/>
      <c r="C16" s="237" t="s">
        <v>190</v>
      </c>
      <c r="D16" s="109" t="s">
        <v>454</v>
      </c>
      <c r="E16" s="233">
        <f>IF(K16&lt;&gt;"",SUMIF(CRAK1,K16,CRAK2),0)+IF(K16&lt;&gt;"",SUMIF(JMAK1,K16,JMAK2),0)</f>
        <v>0</v>
      </c>
      <c r="F16" s="233">
        <v>126385000</v>
      </c>
      <c r="G16" s="233">
        <f t="shared" si="0"/>
        <v>2580657300</v>
      </c>
      <c r="H16" s="87" t="s">
        <v>455</v>
      </c>
      <c r="I16" s="237" t="s">
        <v>190</v>
      </c>
      <c r="J16" s="236"/>
      <c r="K16" s="181" t="s">
        <v>456</v>
      </c>
      <c r="L16" s="3001">
        <v>2580657300</v>
      </c>
      <c r="M16" s="473"/>
    </row>
    <row r="17" spans="2:15" outlineLevel="1" x14ac:dyDescent="0.3">
      <c r="B17" s="228"/>
      <c r="C17" s="237" t="s">
        <v>190</v>
      </c>
      <c r="D17" s="109" t="s">
        <v>7710</v>
      </c>
      <c r="E17" s="233">
        <f>'[10]Buku Besar'!$K$15</f>
        <v>50007700</v>
      </c>
      <c r="F17" s="475">
        <v>177492100</v>
      </c>
      <c r="G17" s="233">
        <f t="shared" si="0"/>
        <v>1518668400</v>
      </c>
      <c r="H17" s="87" t="s">
        <v>458</v>
      </c>
      <c r="I17" s="237" t="s">
        <v>190</v>
      </c>
      <c r="J17" s="236"/>
      <c r="K17" s="181" t="s">
        <v>459</v>
      </c>
      <c r="L17" s="3001">
        <v>1468660700</v>
      </c>
      <c r="M17" s="473"/>
    </row>
    <row r="18" spans="2:15" x14ac:dyDescent="0.35">
      <c r="B18" s="228"/>
      <c r="C18" s="237" t="s">
        <v>190</v>
      </c>
      <c r="D18" s="109" t="s">
        <v>241</v>
      </c>
      <c r="E18" s="233">
        <f>IF(K18&lt;&gt;"",SUMIF(CRAK1,K18,CRAK2),0)+IF(K18&lt;&gt;"",SUMIF(JMAK1,K18,JMAK2),0)</f>
        <v>101337100</v>
      </c>
      <c r="F18" s="233">
        <v>153240700</v>
      </c>
      <c r="G18" s="233">
        <f t="shared" si="0"/>
        <v>1651932750</v>
      </c>
      <c r="H18" s="87" t="s">
        <v>460</v>
      </c>
      <c r="I18" s="237" t="s">
        <v>190</v>
      </c>
      <c r="J18" s="236"/>
      <c r="K18" s="181" t="s">
        <v>461</v>
      </c>
      <c r="L18" s="3001">
        <v>1550595650</v>
      </c>
      <c r="M18" s="473"/>
      <c r="N18" s="476">
        <f>[8]Jm!H53</f>
        <v>166740500</v>
      </c>
      <c r="O18" s="476">
        <f>E18-N18</f>
        <v>-65403400</v>
      </c>
    </row>
    <row r="19" spans="2:15" outlineLevel="1" x14ac:dyDescent="0.35">
      <c r="B19" s="228"/>
      <c r="C19" s="237" t="s">
        <v>190</v>
      </c>
      <c r="D19" s="109" t="s">
        <v>462</v>
      </c>
      <c r="E19" s="233">
        <f>IF(K19&lt;&gt;"",SUMIF(CRAK1,K19,CRAK2),0)+IF(K19&lt;&gt;"",SUMIF(JMAK1,K19,JMAK2),0)</f>
        <v>2000000</v>
      </c>
      <c r="F19" s="233">
        <v>7831615</v>
      </c>
      <c r="G19" s="233">
        <f t="shared" si="0"/>
        <v>21263281.670000002</v>
      </c>
      <c r="H19" s="87" t="s">
        <v>463</v>
      </c>
      <c r="I19" s="237" t="s">
        <v>190</v>
      </c>
      <c r="J19" s="236"/>
      <c r="K19" s="181" t="s">
        <v>464</v>
      </c>
      <c r="L19" s="3001">
        <v>19263281.670000002</v>
      </c>
      <c r="M19" s="473"/>
    </row>
    <row r="20" spans="2:15" x14ac:dyDescent="0.35">
      <c r="B20" s="228"/>
      <c r="C20" s="237" t="s">
        <v>190</v>
      </c>
      <c r="D20" s="109" t="s">
        <v>465</v>
      </c>
      <c r="E20" s="2469">
        <f>IF(K20&lt;&gt;"",SUMIF(CRAK1,K20,CRAK2),0)+IF(K20&lt;&gt;"",SUMIF(JMAK1,K20,JMAK2),0)</f>
        <v>250100</v>
      </c>
      <c r="F20" s="245">
        <v>415118</v>
      </c>
      <c r="G20" s="245">
        <f t="shared" si="0"/>
        <v>465859124.32999998</v>
      </c>
      <c r="H20" s="87" t="s">
        <v>466</v>
      </c>
      <c r="I20" s="237" t="s">
        <v>190</v>
      </c>
      <c r="J20" s="236"/>
      <c r="K20" s="181" t="s">
        <v>467</v>
      </c>
      <c r="L20" s="3002">
        <v>465609024.32999998</v>
      </c>
      <c r="M20" s="473"/>
      <c r="N20" s="474">
        <f>[8]CR!N2</f>
        <v>215130000</v>
      </c>
      <c r="O20" s="476">
        <f>E20-N20</f>
        <v>-214879900</v>
      </c>
    </row>
    <row r="21" spans="2:15" x14ac:dyDescent="0.35">
      <c r="B21" s="228"/>
      <c r="C21" s="84"/>
      <c r="D21" s="109"/>
      <c r="E21" s="250">
        <f>SUM(E15:E20)</f>
        <v>744096900</v>
      </c>
      <c r="F21" s="250">
        <v>1127550533</v>
      </c>
      <c r="G21" s="250">
        <f>SUM(G15:G20)</f>
        <v>14188230856</v>
      </c>
      <c r="I21" s="237"/>
      <c r="J21" s="236"/>
      <c r="L21" s="3003">
        <v>13444133956</v>
      </c>
      <c r="M21" s="473"/>
    </row>
    <row r="22" spans="2:15" x14ac:dyDescent="0.35">
      <c r="B22" s="334"/>
      <c r="C22" s="109" t="s">
        <v>468</v>
      </c>
      <c r="D22" s="109"/>
      <c r="E22" s="233"/>
      <c r="F22" s="233"/>
      <c r="G22" s="233"/>
      <c r="I22" s="87" t="s">
        <v>469</v>
      </c>
      <c r="J22" s="236"/>
      <c r="L22" s="3001"/>
      <c r="M22" s="473"/>
    </row>
    <row r="23" spans="2:15" x14ac:dyDescent="0.35">
      <c r="B23" s="228"/>
      <c r="C23" s="237" t="s">
        <v>190</v>
      </c>
      <c r="D23" s="109" t="s">
        <v>470</v>
      </c>
      <c r="E23" s="233">
        <f>IF(K23&lt;&gt;"",SUMIF(CDAK1,K23,CDAK2),0)+IF(K23&lt;&gt;"",SUMIF(JMAK1,K23,JMAK3),0)</f>
        <v>133355190</v>
      </c>
      <c r="F23" s="233">
        <v>393937728</v>
      </c>
      <c r="G23" s="233">
        <f>E23+L23</f>
        <v>3955722741</v>
      </c>
      <c r="H23" s="87" t="s">
        <v>471</v>
      </c>
      <c r="I23" s="237" t="s">
        <v>190</v>
      </c>
      <c r="J23" s="236"/>
      <c r="K23" s="181" t="s">
        <v>472</v>
      </c>
      <c r="L23" s="3004">
        <v>3822367551</v>
      </c>
      <c r="M23" s="477"/>
      <c r="N23" s="474">
        <f>[8]CD!N1</f>
        <v>124052605</v>
      </c>
      <c r="O23" s="476">
        <f t="shared" ref="O23:O25" si="1">E23-N23</f>
        <v>9302585</v>
      </c>
    </row>
    <row r="24" spans="2:15" x14ac:dyDescent="0.35">
      <c r="B24" s="228"/>
      <c r="C24" s="237" t="s">
        <v>190</v>
      </c>
      <c r="D24" s="109" t="s">
        <v>473</v>
      </c>
      <c r="E24" s="233">
        <f>IF(K24&lt;&gt;"",SUMIF(CDAK1,K24,CDAK2),0)+IF(K24&lt;&gt;"",SUMIF(JMAK1,K24,JMAK3),0)</f>
        <v>266681354</v>
      </c>
      <c r="F24" s="233">
        <v>261680735</v>
      </c>
      <c r="G24" s="233">
        <f>E24+L24</f>
        <v>3402269724</v>
      </c>
      <c r="H24" s="111" t="s">
        <v>474</v>
      </c>
      <c r="I24" s="237" t="s">
        <v>190</v>
      </c>
      <c r="J24" s="236"/>
      <c r="K24" s="181" t="s">
        <v>475</v>
      </c>
      <c r="L24" s="3001">
        <v>3135588370</v>
      </c>
      <c r="M24" s="473"/>
      <c r="N24" s="474">
        <f>[8]CD!N2</f>
        <v>25931842</v>
      </c>
      <c r="O24" s="476">
        <f t="shared" si="1"/>
        <v>240749512</v>
      </c>
    </row>
    <row r="25" spans="2:15" x14ac:dyDescent="0.35">
      <c r="B25" s="228"/>
      <c r="C25" s="237" t="s">
        <v>190</v>
      </c>
      <c r="D25" s="109" t="s">
        <v>476</v>
      </c>
      <c r="E25" s="233">
        <f>IF(K25&lt;&gt;"",SUMIF(CDAK1,K25,CDAK2),0)+IF(K25&lt;&gt;"",SUMIF(JMAK1,K25,JMAK3),0)</f>
        <v>122322700</v>
      </c>
      <c r="F25" s="233">
        <v>160638350</v>
      </c>
      <c r="G25" s="233">
        <f>E25+L25</f>
        <v>1398061300</v>
      </c>
      <c r="H25" s="111" t="s">
        <v>477</v>
      </c>
      <c r="I25" s="237" t="s">
        <v>190</v>
      </c>
      <c r="J25" s="236"/>
      <c r="K25" s="181" t="s">
        <v>478</v>
      </c>
      <c r="L25" s="3001">
        <v>1275738600</v>
      </c>
      <c r="M25" s="473"/>
      <c r="N25" s="478">
        <f>[8]CD!N3+[8]Jm!G52</f>
        <v>164455790</v>
      </c>
      <c r="O25" s="476">
        <f t="shared" si="1"/>
        <v>-42133090</v>
      </c>
    </row>
    <row r="26" spans="2:15" outlineLevel="1" x14ac:dyDescent="0.3">
      <c r="B26" s="228"/>
      <c r="C26" s="237" t="s">
        <v>190</v>
      </c>
      <c r="D26" s="109" t="s">
        <v>7711</v>
      </c>
      <c r="E26" s="233">
        <f>'[10]Buku Besar'!$L$15</f>
        <v>92728464</v>
      </c>
      <c r="F26" s="479">
        <v>139591402</v>
      </c>
      <c r="G26" s="233">
        <f>E26+L26</f>
        <v>1490314752</v>
      </c>
      <c r="H26" s="87" t="s">
        <v>480</v>
      </c>
      <c r="I26" s="237" t="s">
        <v>190</v>
      </c>
      <c r="J26" s="236"/>
      <c r="L26" s="3001">
        <v>1397586288</v>
      </c>
      <c r="M26" s="473"/>
    </row>
    <row r="27" spans="2:15" outlineLevel="1" x14ac:dyDescent="0.3">
      <c r="B27" s="228"/>
      <c r="C27" s="237" t="s">
        <v>190</v>
      </c>
      <c r="D27" s="109" t="s">
        <v>481</v>
      </c>
      <c r="E27" s="2469">
        <f>IF(K27&lt;&gt;"",SUMIF(CDAK1,K27,CDAK2),0)+IF(K27&lt;&gt;"",SUMIF(JMAK1,K27,JMAK3),0)</f>
        <v>4200000</v>
      </c>
      <c r="F27" s="480">
        <v>74027100</v>
      </c>
      <c r="G27" s="245">
        <f>E27+L27</f>
        <v>175457128</v>
      </c>
      <c r="H27" s="111" t="s">
        <v>482</v>
      </c>
      <c r="I27" s="237" t="s">
        <v>190</v>
      </c>
      <c r="J27" s="236"/>
      <c r="K27" s="181" t="s">
        <v>483</v>
      </c>
      <c r="L27" s="3002">
        <v>171257128</v>
      </c>
      <c r="M27" s="473"/>
    </row>
    <row r="28" spans="2:15" x14ac:dyDescent="0.35">
      <c r="B28" s="228"/>
      <c r="C28" s="86"/>
      <c r="D28" s="109"/>
      <c r="E28" s="250">
        <f>SUM(E23:E27)</f>
        <v>619287708</v>
      </c>
      <c r="F28" s="250">
        <v>1029875315</v>
      </c>
      <c r="G28" s="250">
        <f>SUM(G23:G27)</f>
        <v>10421825645</v>
      </c>
      <c r="H28" s="111"/>
      <c r="I28" s="237"/>
      <c r="J28" s="236"/>
      <c r="L28" s="3003">
        <v>9802537937</v>
      </c>
      <c r="M28" s="473"/>
    </row>
    <row r="29" spans="2:15" ht="13.5" thickBot="1" x14ac:dyDescent="0.4">
      <c r="B29" s="228"/>
      <c r="C29" s="84"/>
      <c r="D29" s="109"/>
      <c r="E29" s="233"/>
      <c r="F29" s="233"/>
      <c r="G29" s="235"/>
      <c r="H29" s="111"/>
      <c r="I29" s="272"/>
      <c r="J29" s="236"/>
      <c r="K29" s="64"/>
      <c r="L29" s="3005"/>
      <c r="M29" s="473"/>
    </row>
    <row r="30" spans="2:15" s="64" customFormat="1" ht="13.5" x14ac:dyDescent="0.35">
      <c r="B30" s="481"/>
      <c r="C30" s="482" t="s">
        <v>484</v>
      </c>
      <c r="D30" s="483"/>
      <c r="E30" s="484"/>
      <c r="F30" s="484"/>
      <c r="G30" s="484"/>
      <c r="H30" s="485"/>
      <c r="I30" s="486" t="s">
        <v>485</v>
      </c>
      <c r="J30" s="487"/>
      <c r="L30" s="3001"/>
      <c r="M30" s="473"/>
    </row>
    <row r="31" spans="2:15" s="64" customFormat="1" ht="14" thickBot="1" x14ac:dyDescent="0.4">
      <c r="B31" s="488"/>
      <c r="C31" s="489" t="s">
        <v>486</v>
      </c>
      <c r="D31" s="490"/>
      <c r="E31" s="491">
        <f>E21-E28</f>
        <v>124809192</v>
      </c>
      <c r="F31" s="491">
        <f>F21-F28</f>
        <v>97675218</v>
      </c>
      <c r="G31" s="491">
        <f>G21-G28</f>
        <v>3766405211</v>
      </c>
      <c r="H31" s="492"/>
      <c r="I31" s="493" t="s">
        <v>487</v>
      </c>
      <c r="J31" s="494"/>
      <c r="K31" s="181"/>
      <c r="L31" s="3005">
        <v>3641596019</v>
      </c>
      <c r="M31" s="473"/>
    </row>
    <row r="32" spans="2:15" ht="13.5" x14ac:dyDescent="0.35">
      <c r="B32" s="228"/>
      <c r="C32" s="427" t="s">
        <v>488</v>
      </c>
      <c r="D32" s="98"/>
      <c r="E32" s="229"/>
      <c r="F32" s="231"/>
      <c r="G32" s="231"/>
      <c r="H32" s="108"/>
      <c r="I32" s="88" t="s">
        <v>489</v>
      </c>
      <c r="J32" s="232"/>
      <c r="L32" s="3006"/>
      <c r="M32" s="473"/>
    </row>
    <row r="33" spans="2:16" x14ac:dyDescent="0.35">
      <c r="B33" s="334"/>
      <c r="C33" s="84" t="s">
        <v>490</v>
      </c>
      <c r="D33" s="109"/>
      <c r="E33" s="233">
        <f>IF(K33&lt;&gt;"",SUMIF(CDAK1,K33,CDAK2),0)+IF(K33&lt;&gt;"",SUMIF(JMAK1,K33,JMAK3),0)</f>
        <v>1500000</v>
      </c>
      <c r="F33" s="233">
        <v>30940000</v>
      </c>
      <c r="G33" s="233">
        <f>E33+L33</f>
        <v>1775248773</v>
      </c>
      <c r="H33" s="111"/>
      <c r="I33" s="87" t="s">
        <v>491</v>
      </c>
      <c r="J33" s="236"/>
      <c r="K33" s="181" t="s">
        <v>492</v>
      </c>
      <c r="L33" s="3001">
        <v>1773748773</v>
      </c>
      <c r="M33" s="473"/>
    </row>
    <row r="34" spans="2:16" ht="13.5" outlineLevel="1" x14ac:dyDescent="0.35">
      <c r="B34" s="228"/>
      <c r="C34" s="84" t="s">
        <v>493</v>
      </c>
      <c r="D34" s="98"/>
      <c r="E34" s="233">
        <f>IF(K34&lt;&gt;"",SUMIF(CDAK1,K34,CDAK2),0)+IF(K34&lt;&gt;"",SUMIF(JMAK1,K34,JMAK3),0)</f>
        <v>0</v>
      </c>
      <c r="F34" s="495">
        <v>0</v>
      </c>
      <c r="G34" s="233">
        <f>SUM(E34:F34)</f>
        <v>0</v>
      </c>
      <c r="H34" s="108"/>
      <c r="I34" s="87" t="s">
        <v>494</v>
      </c>
      <c r="J34" s="232"/>
      <c r="K34" s="181" t="s">
        <v>6684</v>
      </c>
      <c r="L34" s="3001">
        <v>0</v>
      </c>
      <c r="M34" s="473"/>
    </row>
    <row r="35" spans="2:16" ht="13.5" outlineLevel="1" x14ac:dyDescent="0.35">
      <c r="B35" s="228"/>
      <c r="C35" s="84" t="s">
        <v>495</v>
      </c>
      <c r="D35" s="98"/>
      <c r="E35" s="250"/>
      <c r="F35" s="278"/>
      <c r="G35" s="233">
        <f>SUM(E35:F35)</f>
        <v>0</v>
      </c>
      <c r="H35" s="108"/>
      <c r="I35" s="87" t="s">
        <v>496</v>
      </c>
      <c r="J35" s="232"/>
      <c r="L35" s="3001">
        <v>0</v>
      </c>
      <c r="M35" s="473"/>
    </row>
    <row r="36" spans="2:16" ht="13.5" outlineLevel="1" thickBot="1" x14ac:dyDescent="0.4">
      <c r="B36" s="228"/>
      <c r="C36" s="84" t="s">
        <v>497</v>
      </c>
      <c r="D36" s="109"/>
      <c r="E36" s="233">
        <v>0</v>
      </c>
      <c r="F36" s="233">
        <v>0</v>
      </c>
      <c r="G36" s="233">
        <f>SUM(E36:F36)</f>
        <v>0</v>
      </c>
      <c r="H36" s="111"/>
      <c r="I36" s="87" t="s">
        <v>498</v>
      </c>
      <c r="J36" s="236"/>
      <c r="L36" s="3005">
        <v>0</v>
      </c>
      <c r="M36" s="473"/>
    </row>
    <row r="37" spans="2:16" s="64" customFormat="1" ht="13.5" x14ac:dyDescent="0.35">
      <c r="B37" s="481"/>
      <c r="C37" s="482" t="s">
        <v>484</v>
      </c>
      <c r="D37" s="483"/>
      <c r="E37" s="484"/>
      <c r="F37" s="484"/>
      <c r="G37" s="484"/>
      <c r="H37" s="485"/>
      <c r="I37" s="486" t="s">
        <v>485</v>
      </c>
      <c r="J37" s="487"/>
      <c r="L37" s="3006"/>
      <c r="M37" s="473"/>
    </row>
    <row r="38" spans="2:16" s="64" customFormat="1" ht="14" thickBot="1" x14ac:dyDescent="0.4">
      <c r="B38" s="488"/>
      <c r="C38" s="489" t="s">
        <v>499</v>
      </c>
      <c r="D38" s="490"/>
      <c r="E38" s="491">
        <f>E34-E33</f>
        <v>-1500000</v>
      </c>
      <c r="F38" s="491">
        <f>F34-F33</f>
        <v>-30940000</v>
      </c>
      <c r="G38" s="491">
        <f>G34-G33</f>
        <v>-1775248773</v>
      </c>
      <c r="H38" s="492"/>
      <c r="I38" s="493" t="s">
        <v>500</v>
      </c>
      <c r="J38" s="494"/>
      <c r="L38" s="3005">
        <v>-1773748773</v>
      </c>
      <c r="M38" s="473"/>
    </row>
    <row r="39" spans="2:16" ht="13.5" outlineLevel="1" x14ac:dyDescent="0.35">
      <c r="B39" s="228"/>
      <c r="C39" s="427" t="s">
        <v>501</v>
      </c>
      <c r="D39" s="98"/>
      <c r="E39" s="229"/>
      <c r="F39" s="231"/>
      <c r="G39" s="231"/>
      <c r="H39" s="108"/>
      <c r="I39" s="88" t="s">
        <v>502</v>
      </c>
      <c r="J39" s="232"/>
      <c r="L39" s="3006"/>
      <c r="M39" s="473"/>
    </row>
    <row r="40" spans="2:16" outlineLevel="1" x14ac:dyDescent="0.35">
      <c r="B40" s="228"/>
      <c r="C40" s="109" t="s">
        <v>503</v>
      </c>
      <c r="D40" s="109"/>
      <c r="E40" s="233"/>
      <c r="F40" s="233"/>
      <c r="G40" s="233"/>
      <c r="H40" s="111"/>
      <c r="I40" s="87" t="s">
        <v>504</v>
      </c>
      <c r="J40" s="236"/>
      <c r="L40" s="3001"/>
      <c r="M40" s="473"/>
    </row>
    <row r="41" spans="2:16" outlineLevel="1" x14ac:dyDescent="0.35">
      <c r="B41" s="228"/>
      <c r="C41" s="86" t="s">
        <v>190</v>
      </c>
      <c r="D41" s="109" t="s">
        <v>505</v>
      </c>
      <c r="E41" s="233">
        <v>0</v>
      </c>
      <c r="F41" s="233">
        <v>0</v>
      </c>
      <c r="G41" s="233">
        <f>E41+L41</f>
        <v>0</v>
      </c>
      <c r="H41" s="111" t="s">
        <v>506</v>
      </c>
      <c r="I41" s="86" t="s">
        <v>190</v>
      </c>
      <c r="J41" s="236"/>
      <c r="K41" s="181">
        <v>31</v>
      </c>
      <c r="L41" s="3001">
        <v>0</v>
      </c>
      <c r="M41" s="473"/>
    </row>
    <row r="42" spans="2:16" outlineLevel="1" x14ac:dyDescent="0.35">
      <c r="B42" s="228"/>
      <c r="C42" s="86" t="s">
        <v>190</v>
      </c>
      <c r="D42" s="109" t="s">
        <v>507</v>
      </c>
      <c r="E42" s="245">
        <v>0</v>
      </c>
      <c r="F42" s="245">
        <v>0</v>
      </c>
      <c r="G42" s="245">
        <f>SUM(E42:F42)</f>
        <v>0</v>
      </c>
      <c r="H42" s="111" t="s">
        <v>508</v>
      </c>
      <c r="I42" s="86" t="s">
        <v>190</v>
      </c>
      <c r="J42" s="236" t="s">
        <v>509</v>
      </c>
      <c r="K42" s="181">
        <v>32</v>
      </c>
      <c r="L42" s="3002">
        <v>0</v>
      </c>
      <c r="M42" s="473"/>
    </row>
    <row r="43" spans="2:16" outlineLevel="1" x14ac:dyDescent="0.35">
      <c r="B43" s="228"/>
      <c r="C43" s="84"/>
      <c r="D43" s="109"/>
      <c r="E43" s="241">
        <f>SUM(E41:E42)</f>
        <v>0</v>
      </c>
      <c r="F43" s="241">
        <v>0</v>
      </c>
      <c r="G43" s="241">
        <f>SUM(G41:G42)</f>
        <v>0</v>
      </c>
      <c r="H43" s="111"/>
      <c r="J43" s="236"/>
      <c r="L43" s="3003">
        <v>0</v>
      </c>
      <c r="M43" s="473"/>
      <c r="N43" s="3426"/>
      <c r="O43" s="3426"/>
      <c r="P43" s="3426"/>
    </row>
    <row r="44" spans="2:16" outlineLevel="1" x14ac:dyDescent="0.35">
      <c r="B44" s="228"/>
      <c r="C44" s="84" t="s">
        <v>510</v>
      </c>
      <c r="D44" s="109"/>
      <c r="E44" s="233"/>
      <c r="F44" s="233"/>
      <c r="G44" s="233"/>
      <c r="H44" s="111"/>
      <c r="I44" s="87" t="s">
        <v>511</v>
      </c>
      <c r="J44" s="236"/>
      <c r="L44" s="3001"/>
      <c r="M44" s="473"/>
    </row>
    <row r="45" spans="2:16" outlineLevel="1" x14ac:dyDescent="0.35">
      <c r="B45" s="228"/>
      <c r="C45" s="86"/>
      <c r="D45" s="109" t="s">
        <v>512</v>
      </c>
      <c r="E45" s="233"/>
      <c r="F45" s="233"/>
      <c r="G45" s="233"/>
      <c r="H45" s="111" t="s">
        <v>508</v>
      </c>
      <c r="J45" s="236"/>
      <c r="L45" s="3001"/>
      <c r="M45" s="473"/>
      <c r="O45" s="496"/>
    </row>
    <row r="46" spans="2:16" outlineLevel="1" x14ac:dyDescent="0.35">
      <c r="B46" s="228"/>
      <c r="C46" s="84" t="s">
        <v>513</v>
      </c>
      <c r="D46" s="109"/>
      <c r="E46" s="233"/>
      <c r="F46" s="233"/>
      <c r="G46" s="233"/>
      <c r="H46" s="111"/>
      <c r="I46" s="87" t="s">
        <v>514</v>
      </c>
      <c r="J46" s="236"/>
      <c r="K46" s="181">
        <v>21</v>
      </c>
      <c r="L46" s="3001"/>
      <c r="M46" s="473"/>
      <c r="O46" s="496"/>
      <c r="P46" s="496"/>
    </row>
    <row r="47" spans="2:16" ht="13.5" outlineLevel="1" thickBot="1" x14ac:dyDescent="0.4">
      <c r="B47" s="228"/>
      <c r="C47" s="84" t="s">
        <v>515</v>
      </c>
      <c r="D47" s="109"/>
      <c r="E47" s="233">
        <v>0</v>
      </c>
      <c r="F47" s="233">
        <v>0</v>
      </c>
      <c r="G47" s="235"/>
      <c r="H47" s="111"/>
      <c r="I47" s="87" t="s">
        <v>516</v>
      </c>
      <c r="J47" s="236"/>
      <c r="K47" s="181">
        <v>22</v>
      </c>
      <c r="L47" s="3005"/>
      <c r="M47" s="473"/>
      <c r="P47" s="496"/>
    </row>
    <row r="48" spans="2:16" s="64" customFormat="1" ht="13.5" outlineLevel="1" x14ac:dyDescent="0.35">
      <c r="B48" s="481"/>
      <c r="C48" s="482" t="s">
        <v>484</v>
      </c>
      <c r="D48" s="483"/>
      <c r="E48" s="484"/>
      <c r="F48" s="484"/>
      <c r="G48" s="484"/>
      <c r="H48" s="485"/>
      <c r="I48" s="486" t="s">
        <v>485</v>
      </c>
      <c r="J48" s="487"/>
      <c r="L48" s="3006"/>
      <c r="M48" s="473"/>
      <c r="N48" s="181"/>
      <c r="O48" s="181"/>
      <c r="P48" s="496"/>
    </row>
    <row r="49" spans="2:18" s="64" customFormat="1" ht="14" outlineLevel="1" thickBot="1" x14ac:dyDescent="0.4">
      <c r="B49" s="488"/>
      <c r="C49" s="489" t="s">
        <v>517</v>
      </c>
      <c r="D49" s="490"/>
      <c r="E49" s="491">
        <f>E43+E46-E47</f>
        <v>0</v>
      </c>
      <c r="F49" s="491">
        <v>0</v>
      </c>
      <c r="G49" s="491">
        <f>G43+G46-G47</f>
        <v>0</v>
      </c>
      <c r="H49" s="492"/>
      <c r="I49" s="493" t="s">
        <v>518</v>
      </c>
      <c r="J49" s="494"/>
      <c r="L49" s="3005">
        <v>0</v>
      </c>
      <c r="M49" s="473"/>
      <c r="N49" s="181"/>
      <c r="O49" s="497"/>
      <c r="P49" s="497"/>
    </row>
    <row r="50" spans="2:18" ht="13.5" outlineLevel="1" thickBot="1" x14ac:dyDescent="0.4">
      <c r="B50" s="334"/>
      <c r="D50" s="338"/>
      <c r="E50" s="233"/>
      <c r="F50" s="233"/>
      <c r="G50" s="233"/>
      <c r="H50" s="111"/>
      <c r="J50" s="236"/>
      <c r="L50" s="3007"/>
      <c r="M50" s="473"/>
      <c r="N50" s="64"/>
      <c r="O50" s="64"/>
      <c r="P50" s="498"/>
    </row>
    <row r="51" spans="2:18" s="64" customFormat="1" ht="13.5" x14ac:dyDescent="0.35">
      <c r="B51" s="281"/>
      <c r="C51" s="282" t="s">
        <v>519</v>
      </c>
      <c r="D51" s="283"/>
      <c r="E51" s="321"/>
      <c r="F51" s="321"/>
      <c r="G51" s="321"/>
      <c r="H51" s="290"/>
      <c r="I51" s="291" t="s">
        <v>520</v>
      </c>
      <c r="J51" s="499"/>
      <c r="L51" s="3006"/>
      <c r="M51" s="473"/>
      <c r="N51" s="181"/>
      <c r="O51" s="181"/>
      <c r="P51" s="181"/>
    </row>
    <row r="52" spans="2:18" s="64" customFormat="1" ht="14" thickBot="1" x14ac:dyDescent="0.4">
      <c r="B52" s="295"/>
      <c r="C52" s="296" t="s">
        <v>521</v>
      </c>
      <c r="D52" s="297"/>
      <c r="E52" s="442">
        <f>E49+E38+E31</f>
        <v>123309192</v>
      </c>
      <c r="F52" s="442">
        <f>F49+F38+F31</f>
        <v>66735218</v>
      </c>
      <c r="G52" s="442">
        <f>G49+G38+G31</f>
        <v>1991156438</v>
      </c>
      <c r="H52" s="303"/>
      <c r="I52" s="304" t="s">
        <v>522</v>
      </c>
      <c r="J52" s="500"/>
      <c r="L52" s="3005">
        <v>1867847246</v>
      </c>
      <c r="M52" s="473"/>
      <c r="R52" s="501"/>
    </row>
    <row r="53" spans="2:18" s="64" customFormat="1" ht="13.5" x14ac:dyDescent="0.35">
      <c r="B53" s="228"/>
      <c r="C53" s="130"/>
      <c r="D53" s="98"/>
      <c r="E53" s="250"/>
      <c r="F53" s="250"/>
      <c r="G53" s="278"/>
      <c r="H53" s="108"/>
      <c r="I53" s="88"/>
      <c r="J53" s="232"/>
      <c r="L53" s="3006"/>
      <c r="M53" s="473"/>
    </row>
    <row r="54" spans="2:18" x14ac:dyDescent="0.35">
      <c r="B54" s="334"/>
      <c r="C54" s="181" t="s">
        <v>523</v>
      </c>
      <c r="D54" s="338"/>
      <c r="E54" s="233"/>
      <c r="F54" s="233"/>
      <c r="G54" s="233">
        <v>0</v>
      </c>
      <c r="H54" s="111"/>
      <c r="I54" s="87" t="s">
        <v>524</v>
      </c>
      <c r="J54" s="236"/>
      <c r="L54" s="3001">
        <v>0</v>
      </c>
      <c r="M54" s="473"/>
      <c r="O54" s="502"/>
      <c r="P54" s="496"/>
    </row>
    <row r="55" spans="2:18" ht="13.5" x14ac:dyDescent="0.35">
      <c r="B55" s="228"/>
      <c r="C55" s="84" t="s">
        <v>403</v>
      </c>
      <c r="D55" s="109"/>
      <c r="E55" s="278">
        <f>F57</f>
        <v>3005116568.5799999</v>
      </c>
      <c r="F55" s="278">
        <v>2938381350.5799999</v>
      </c>
      <c r="G55" s="250">
        <v>1137269322.5799999</v>
      </c>
      <c r="H55" s="111" t="s">
        <v>525</v>
      </c>
      <c r="J55" s="232"/>
      <c r="L55" s="3001">
        <v>1137269322.5799999</v>
      </c>
      <c r="M55" s="473"/>
      <c r="O55" s="496"/>
      <c r="P55" s="496"/>
    </row>
    <row r="56" spans="2:18" ht="14" thickBot="1" x14ac:dyDescent="0.4">
      <c r="B56" s="228"/>
      <c r="C56" s="84"/>
      <c r="D56" s="109"/>
      <c r="E56" s="278"/>
      <c r="F56" s="278"/>
      <c r="G56" s="278"/>
      <c r="H56" s="108"/>
      <c r="J56" s="232"/>
      <c r="L56" s="3001"/>
      <c r="M56" s="473"/>
      <c r="O56" s="503"/>
      <c r="P56" s="503"/>
    </row>
    <row r="57" spans="2:18" ht="14" thickBot="1" x14ac:dyDescent="0.4">
      <c r="B57" s="444"/>
      <c r="C57" s="311" t="s">
        <v>526</v>
      </c>
      <c r="D57" s="504"/>
      <c r="E57" s="446">
        <f>E52+E55</f>
        <v>3128425760.5799999</v>
      </c>
      <c r="F57" s="446">
        <f>F52+F55</f>
        <v>3005116568.5799999</v>
      </c>
      <c r="G57" s="446">
        <f>G52+G55</f>
        <v>3128425760.5799999</v>
      </c>
      <c r="H57" s="3421" t="s">
        <v>527</v>
      </c>
      <c r="I57" s="3421"/>
      <c r="J57" s="3421"/>
      <c r="L57" s="446">
        <v>3005116568.5799999</v>
      </c>
      <c r="M57" s="473"/>
      <c r="O57" s="496"/>
      <c r="P57" s="496"/>
    </row>
    <row r="58" spans="2:18" s="507" customFormat="1" x14ac:dyDescent="0.35">
      <c r="B58" s="353"/>
      <c r="C58" s="354"/>
      <c r="D58" s="354"/>
      <c r="E58" s="505">
        <f>E57-NRC!E13</f>
        <v>0</v>
      </c>
      <c r="F58" s="505">
        <f>F57-NRC!G13</f>
        <v>0</v>
      </c>
      <c r="G58" s="505">
        <f>G57-NRC!E13</f>
        <v>0</v>
      </c>
      <c r="H58" s="506"/>
      <c r="I58" s="506"/>
      <c r="J58" s="506"/>
      <c r="L58" s="508">
        <f>L57-[6]AK!$G$57</f>
        <v>0</v>
      </c>
      <c r="M58" s="178"/>
      <c r="N58" s="181"/>
      <c r="O58" s="496"/>
      <c r="P58" s="496"/>
    </row>
    <row r="59" spans="2:18" s="507" customFormat="1" x14ac:dyDescent="0.35">
      <c r="B59" s="353"/>
      <c r="C59" s="354"/>
      <c r="D59" s="354"/>
      <c r="E59" s="505"/>
      <c r="F59" s="505"/>
      <c r="G59" s="505"/>
      <c r="H59" s="506"/>
      <c r="I59" s="506"/>
      <c r="J59" s="506"/>
      <c r="L59" s="473"/>
      <c r="M59" s="473"/>
      <c r="N59" s="181"/>
      <c r="O59" s="496"/>
      <c r="P59" s="496"/>
    </row>
    <row r="60" spans="2:18" s="507" customFormat="1" x14ac:dyDescent="0.35">
      <c r="B60" s="353"/>
      <c r="C60" s="354"/>
      <c r="D60" s="354"/>
      <c r="E60" s="505"/>
      <c r="F60" s="505"/>
      <c r="G60" s="505"/>
      <c r="H60" s="506"/>
      <c r="I60" s="506"/>
      <c r="J60" s="506"/>
      <c r="L60" s="473"/>
      <c r="M60" s="473"/>
      <c r="N60" s="181"/>
      <c r="O60" s="496"/>
      <c r="P60" s="496"/>
    </row>
    <row r="61" spans="2:18" x14ac:dyDescent="0.35">
      <c r="B61" s="457" t="s">
        <v>409</v>
      </c>
      <c r="C61" s="84"/>
      <c r="D61" s="84"/>
      <c r="E61" s="363"/>
      <c r="F61" s="63"/>
      <c r="G61" s="363"/>
      <c r="J61" s="365" t="s">
        <v>410</v>
      </c>
      <c r="L61" s="365"/>
      <c r="M61" s="365"/>
    </row>
    <row r="62" spans="2:18" ht="6" customHeight="1" x14ac:dyDescent="0.35">
      <c r="B62" s="86"/>
      <c r="C62" s="84"/>
      <c r="D62" s="84"/>
      <c r="E62" s="363"/>
      <c r="F62" s="86"/>
      <c r="G62" s="368"/>
      <c r="J62" s="142"/>
    </row>
    <row r="63" spans="2:18" s="42" customFormat="1" ht="15" customHeight="1" x14ac:dyDescent="0.35">
      <c r="B63" s="514" t="str">
        <f>[9]NRC!B81</f>
        <v>Laporan keuangan August 2015</v>
      </c>
      <c r="C63" s="183" t="str">
        <f>IN!C4</f>
        <v>Laporan Keuangan June 2026</v>
      </c>
      <c r="D63" s="514"/>
      <c r="E63" s="514"/>
      <c r="F63" s="515" t="s">
        <v>528</v>
      </c>
      <c r="G63" s="515"/>
      <c r="H63" s="515"/>
      <c r="I63" s="373"/>
      <c r="J63" s="185" t="str">
        <f>IN!D4</f>
        <v>Financial Statement Jun 2026</v>
      </c>
      <c r="K63" s="516"/>
      <c r="L63" s="516"/>
      <c r="M63" s="516"/>
      <c r="N63" s="181"/>
      <c r="O63" s="181"/>
      <c r="P63" s="181"/>
    </row>
    <row r="64" spans="2:18" ht="15.75" customHeight="1" x14ac:dyDescent="0.35">
      <c r="B64" s="457"/>
      <c r="C64" s="84"/>
      <c r="D64" s="84"/>
      <c r="E64" s="363"/>
      <c r="F64" s="86"/>
      <c r="G64" s="181"/>
      <c r="J64" s="517"/>
      <c r="K64" s="179"/>
      <c r="L64" s="87"/>
      <c r="M64" s="87"/>
    </row>
    <row r="65" spans="2:16" ht="15.75" customHeight="1" x14ac:dyDescent="0.35">
      <c r="B65" s="457"/>
      <c r="C65" s="3424"/>
      <c r="D65" s="3424"/>
      <c r="E65" s="3424"/>
      <c r="F65" s="3424"/>
      <c r="G65" s="3424"/>
      <c r="H65" s="3424"/>
      <c r="I65" s="3424"/>
      <c r="J65" s="517"/>
      <c r="K65" s="179"/>
      <c r="L65" s="87"/>
      <c r="M65" s="87"/>
    </row>
    <row r="66" spans="2:16" ht="15.75" customHeight="1" x14ac:dyDescent="0.35">
      <c r="B66" s="457"/>
      <c r="C66" s="84"/>
      <c r="D66" s="84" t="s">
        <v>8153</v>
      </c>
      <c r="E66" s="363">
        <f>E15+E19+E20+E16</f>
        <v>592752100</v>
      </c>
      <c r="F66" s="3430">
        <f>E66-E67</f>
        <v>188515556</v>
      </c>
      <c r="G66" s="181" t="s">
        <v>7657</v>
      </c>
      <c r="J66" s="517"/>
      <c r="K66" s="179"/>
      <c r="L66" s="87"/>
      <c r="M66" s="87"/>
    </row>
    <row r="67" spans="2:16" ht="15.75" customHeight="1" x14ac:dyDescent="0.3">
      <c r="B67" s="457"/>
      <c r="C67" s="84"/>
      <c r="D67" s="84" t="s">
        <v>7650</v>
      </c>
      <c r="E67" s="363">
        <f>E23+E24+E27</f>
        <v>404236544</v>
      </c>
      <c r="F67" s="3424"/>
      <c r="G67" s="181"/>
      <c r="J67" s="517"/>
      <c r="K67" s="179"/>
      <c r="L67" s="87"/>
      <c r="M67" s="87"/>
      <c r="N67" s="42"/>
      <c r="O67" s="42"/>
      <c r="P67" s="42"/>
    </row>
    <row r="68" spans="2:16" ht="15.75" customHeight="1" x14ac:dyDescent="0.35">
      <c r="B68" s="457"/>
      <c r="C68" s="84"/>
      <c r="D68" s="3029"/>
      <c r="E68" s="363"/>
      <c r="F68" s="86"/>
      <c r="G68" s="181"/>
      <c r="J68" s="517"/>
      <c r="K68" s="179"/>
      <c r="L68" s="87"/>
      <c r="M68" s="87"/>
    </row>
    <row r="69" spans="2:16" ht="15.75" customHeight="1" x14ac:dyDescent="0.35">
      <c r="B69" s="457"/>
      <c r="C69" s="84"/>
      <c r="D69" s="84"/>
      <c r="E69" s="363"/>
      <c r="F69" s="86"/>
      <c r="G69" s="181"/>
      <c r="J69" s="517"/>
      <c r="K69" s="179"/>
      <c r="L69" s="87"/>
      <c r="M69" s="87"/>
    </row>
    <row r="70" spans="2:16" x14ac:dyDescent="0.35">
      <c r="B70" s="457"/>
      <c r="C70" s="84"/>
      <c r="D70" s="84" t="s">
        <v>7652</v>
      </c>
      <c r="E70" s="363">
        <v>0</v>
      </c>
      <c r="F70" s="3430">
        <f>E70-E71</f>
        <v>-1500000</v>
      </c>
      <c r="G70" s="181"/>
      <c r="J70" s="517"/>
      <c r="K70" s="179"/>
      <c r="L70" s="87"/>
      <c r="M70" s="87"/>
    </row>
    <row r="71" spans="2:16" x14ac:dyDescent="0.35">
      <c r="B71" s="457"/>
      <c r="C71" s="84"/>
      <c r="D71" s="84" t="s">
        <v>7651</v>
      </c>
      <c r="E71" s="363">
        <f>E33</f>
        <v>1500000</v>
      </c>
      <c r="F71" s="3424"/>
      <c r="G71" s="181"/>
      <c r="J71" s="517"/>
      <c r="K71" s="179"/>
      <c r="L71" s="87"/>
      <c r="M71" s="87"/>
    </row>
    <row r="72" spans="2:16" x14ac:dyDescent="0.35">
      <c r="B72" s="457"/>
      <c r="C72" s="84"/>
      <c r="D72" s="84"/>
      <c r="E72" s="363"/>
      <c r="F72" s="86"/>
      <c r="G72" s="181"/>
      <c r="J72" s="517"/>
      <c r="K72" s="179"/>
      <c r="L72" s="87"/>
      <c r="M72" s="87"/>
    </row>
    <row r="73" spans="2:16" x14ac:dyDescent="0.35">
      <c r="B73" s="457"/>
      <c r="C73" s="84"/>
      <c r="D73" s="84" t="s">
        <v>7653</v>
      </c>
      <c r="E73" s="363">
        <f>E18</f>
        <v>101337100</v>
      </c>
      <c r="F73" s="3430">
        <f>E73-E74</f>
        <v>-20985600</v>
      </c>
      <c r="G73" s="181"/>
      <c r="J73" s="517"/>
      <c r="K73" s="179"/>
      <c r="L73" s="87"/>
      <c r="M73" s="87"/>
    </row>
    <row r="74" spans="2:16" x14ac:dyDescent="0.35">
      <c r="B74" s="457"/>
      <c r="C74" s="84"/>
      <c r="D74" s="84" t="s">
        <v>7654</v>
      </c>
      <c r="E74" s="363">
        <f>E25</f>
        <v>122322700</v>
      </c>
      <c r="F74" s="3424"/>
      <c r="G74" s="181"/>
      <c r="J74" s="517"/>
      <c r="K74" s="179"/>
      <c r="L74" s="87"/>
      <c r="M74" s="87"/>
    </row>
    <row r="75" spans="2:16" x14ac:dyDescent="0.35">
      <c r="B75" s="457"/>
      <c r="C75" s="84"/>
      <c r="D75" s="84"/>
      <c r="E75" s="363"/>
      <c r="F75" s="86"/>
      <c r="G75" s="181"/>
      <c r="J75" s="517"/>
      <c r="K75" s="179"/>
      <c r="L75" s="87"/>
      <c r="M75" s="87"/>
    </row>
    <row r="76" spans="2:16" x14ac:dyDescent="0.35">
      <c r="B76" s="457"/>
      <c r="C76" s="84"/>
      <c r="D76" s="84" t="s">
        <v>7655</v>
      </c>
      <c r="E76" s="363">
        <f>E17</f>
        <v>50007700</v>
      </c>
      <c r="F76" s="3430">
        <f>E76-E77</f>
        <v>-42720764</v>
      </c>
      <c r="G76" s="181"/>
      <c r="J76" s="517"/>
      <c r="K76" s="179"/>
      <c r="L76" s="87"/>
      <c r="M76" s="87"/>
    </row>
    <row r="77" spans="2:16" ht="13.5" thickBot="1" x14ac:dyDescent="0.4">
      <c r="B77" s="457"/>
      <c r="C77" s="84"/>
      <c r="D77" s="84" t="s">
        <v>7656</v>
      </c>
      <c r="E77" s="363">
        <f>E26</f>
        <v>92728464</v>
      </c>
      <c r="F77" s="3424"/>
      <c r="G77" s="181"/>
      <c r="J77" s="517"/>
      <c r="K77" s="179"/>
      <c r="L77" s="87"/>
      <c r="M77" s="87"/>
    </row>
    <row r="78" spans="2:16" x14ac:dyDescent="0.35">
      <c r="B78" s="457"/>
      <c r="C78" s="84"/>
      <c r="D78" s="3427" t="s">
        <v>519</v>
      </c>
      <c r="E78" s="3427"/>
      <c r="F78" s="3429">
        <f>SUM(F66:F76)</f>
        <v>123309192</v>
      </c>
      <c r="G78" s="181"/>
      <c r="J78" s="517"/>
      <c r="K78" s="179"/>
      <c r="L78" s="87"/>
      <c r="M78" s="87"/>
    </row>
    <row r="79" spans="2:16" ht="13.5" thickBot="1" x14ac:dyDescent="0.4">
      <c r="B79" s="457"/>
      <c r="C79" s="84"/>
      <c r="D79" s="3428"/>
      <c r="E79" s="3428"/>
      <c r="F79" s="3428"/>
      <c r="G79" s="181"/>
      <c r="J79" s="517"/>
      <c r="K79" s="179"/>
      <c r="L79" s="87"/>
      <c r="M79" s="87"/>
    </row>
    <row r="80" spans="2:16" x14ac:dyDescent="0.35">
      <c r="B80" s="86"/>
      <c r="C80" s="84"/>
      <c r="D80" s="84"/>
    </row>
    <row r="81" spans="2:10" x14ac:dyDescent="0.35">
      <c r="B81" s="86"/>
      <c r="C81" s="84"/>
      <c r="D81" s="84"/>
    </row>
    <row r="82" spans="2:10" x14ac:dyDescent="0.35">
      <c r="B82" s="86"/>
      <c r="C82" s="86"/>
      <c r="D82" s="86"/>
    </row>
    <row r="83" spans="2:10" x14ac:dyDescent="0.35">
      <c r="B83" s="86"/>
      <c r="C83" s="86"/>
      <c r="D83" s="86"/>
    </row>
    <row r="84" spans="2:10" x14ac:dyDescent="0.35">
      <c r="B84" s="63"/>
      <c r="C84" s="86"/>
      <c r="D84" s="86"/>
    </row>
    <row r="85" spans="2:10" x14ac:dyDescent="0.35">
      <c r="B85" s="86"/>
    </row>
    <row r="86" spans="2:10" x14ac:dyDescent="0.35">
      <c r="B86" s="86"/>
      <c r="H86" s="181"/>
      <c r="I86" s="181"/>
      <c r="J86" s="181"/>
    </row>
    <row r="87" spans="2:10" x14ac:dyDescent="0.35">
      <c r="B87" s="86"/>
      <c r="H87" s="181"/>
      <c r="I87" s="181"/>
      <c r="J87" s="181"/>
    </row>
    <row r="88" spans="2:10" x14ac:dyDescent="0.35">
      <c r="B88" s="86"/>
      <c r="H88" s="181"/>
      <c r="I88" s="181"/>
      <c r="J88" s="181"/>
    </row>
    <row r="89" spans="2:10" x14ac:dyDescent="0.35">
      <c r="B89" s="86"/>
      <c r="H89" s="181"/>
      <c r="I89" s="181"/>
      <c r="J89" s="181"/>
    </row>
    <row r="90" spans="2:10" x14ac:dyDescent="0.35">
      <c r="B90" s="86"/>
      <c r="H90" s="181"/>
      <c r="I90" s="181"/>
      <c r="J90" s="181"/>
    </row>
    <row r="91" spans="2:10" x14ac:dyDescent="0.35">
      <c r="B91" s="86"/>
      <c r="H91" s="181"/>
      <c r="I91" s="181"/>
      <c r="J91" s="181"/>
    </row>
    <row r="92" spans="2:10" x14ac:dyDescent="0.35">
      <c r="B92" s="86"/>
      <c r="H92" s="181"/>
      <c r="I92" s="181"/>
      <c r="J92" s="181"/>
    </row>
    <row r="93" spans="2:10" x14ac:dyDescent="0.35">
      <c r="B93" s="86"/>
      <c r="H93" s="181"/>
      <c r="I93" s="181"/>
      <c r="J93" s="181"/>
    </row>
    <row r="94" spans="2:10" x14ac:dyDescent="0.35">
      <c r="B94" s="86"/>
      <c r="H94" s="181"/>
      <c r="I94" s="181"/>
      <c r="J94" s="181"/>
    </row>
    <row r="95" spans="2:10" x14ac:dyDescent="0.35">
      <c r="B95" s="86"/>
      <c r="H95" s="181"/>
      <c r="I95" s="181"/>
      <c r="J95" s="181"/>
    </row>
    <row r="96" spans="2:10" x14ac:dyDescent="0.35">
      <c r="B96" s="86"/>
      <c r="H96" s="181"/>
      <c r="I96" s="181"/>
      <c r="J96" s="181"/>
    </row>
    <row r="97" spans="2:10" x14ac:dyDescent="0.35">
      <c r="B97" s="86"/>
      <c r="H97" s="181"/>
      <c r="I97" s="181"/>
      <c r="J97" s="181"/>
    </row>
    <row r="98" spans="2:10" x14ac:dyDescent="0.35">
      <c r="H98" s="181"/>
      <c r="I98" s="181"/>
      <c r="J98" s="181"/>
    </row>
    <row r="99" spans="2:10" x14ac:dyDescent="0.35">
      <c r="H99" s="181"/>
      <c r="I99" s="181"/>
      <c r="J99" s="181"/>
    </row>
  </sheetData>
  <mergeCells count="12">
    <mergeCell ref="D78:E79"/>
    <mergeCell ref="F78:F79"/>
    <mergeCell ref="F66:F67"/>
    <mergeCell ref="F70:F71"/>
    <mergeCell ref="F73:F74"/>
    <mergeCell ref="F76:F77"/>
    <mergeCell ref="C65:I65"/>
    <mergeCell ref="B3:J3"/>
    <mergeCell ref="C11:D12"/>
    <mergeCell ref="H11:J12"/>
    <mergeCell ref="N43:P43"/>
    <mergeCell ref="H57:J57"/>
  </mergeCells>
  <pageMargins left="0.7" right="0.7" top="0.75" bottom="0.75" header="0.3" footer="0.3"/>
  <pageSetup paperSize="9" orientation="landscape" horizontalDpi="0" verticalDpi="0"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3:BC938"/>
  <sheetViews>
    <sheetView topLeftCell="A585" zoomScale="80" zoomScaleNormal="80" workbookViewId="0">
      <selection activeCell="U599" sqref="U599:Z599"/>
    </sheetView>
  </sheetViews>
  <sheetFormatPr defaultColWidth="8.81640625" defaultRowHeight="13" outlineLevelRow="2" outlineLevelCol="1" x14ac:dyDescent="0.35"/>
  <cols>
    <col min="1" max="1" width="2.7265625" style="181" customWidth="1"/>
    <col min="2" max="2" width="3.1796875" style="130" customWidth="1"/>
    <col min="3" max="3" width="3.81640625" style="181" customWidth="1"/>
    <col min="4" max="4" width="4.81640625" style="181" customWidth="1"/>
    <col min="5" max="7" width="2.54296875" style="181" customWidth="1"/>
    <col min="8" max="8" width="2.81640625" style="181" customWidth="1"/>
    <col min="9" max="9" width="3.26953125" style="181" customWidth="1"/>
    <col min="10" max="10" width="4.26953125" style="181" customWidth="1"/>
    <col min="11" max="11" width="5.453125" style="181" customWidth="1"/>
    <col min="12" max="12" width="3" style="181" customWidth="1"/>
    <col min="13" max="13" width="4.1796875" style="181" customWidth="1"/>
    <col min="14" max="14" width="4" style="181" customWidth="1"/>
    <col min="15" max="15" width="3.81640625" style="181" customWidth="1"/>
    <col min="16" max="16" width="3.453125" style="181" customWidth="1"/>
    <col min="17" max="17" width="3.7265625" style="181" customWidth="1"/>
    <col min="18" max="18" width="3.453125" style="181" customWidth="1"/>
    <col min="19" max="19" width="3.7265625" style="181" customWidth="1"/>
    <col min="20" max="20" width="3.81640625" style="181" customWidth="1"/>
    <col min="21" max="21" width="5.54296875" style="181" customWidth="1" outlineLevel="1"/>
    <col min="22" max="22" width="5.1796875" style="181" customWidth="1" outlineLevel="1"/>
    <col min="23" max="23" width="3.7265625" style="181" customWidth="1" outlineLevel="1"/>
    <col min="24" max="24" width="4.26953125" style="181" customWidth="1" outlineLevel="1"/>
    <col min="25" max="25" width="2.453125" style="181" customWidth="1" outlineLevel="1"/>
    <col min="26" max="26" width="5" style="181" customWidth="1" outlineLevel="1"/>
    <col min="27" max="27" width="3.54296875" style="181" customWidth="1" outlineLevel="1"/>
    <col min="28" max="28" width="5.1796875" style="181" customWidth="1" outlineLevel="1"/>
    <col min="29" max="29" width="3.7265625" style="181" customWidth="1" outlineLevel="1"/>
    <col min="30" max="30" width="3" style="181" customWidth="1" outlineLevel="1"/>
    <col min="31" max="31" width="4.26953125" style="181" customWidth="1" outlineLevel="1"/>
    <col min="32" max="32" width="4.7265625" style="181" customWidth="1"/>
    <col min="33" max="33" width="4.1796875" style="181" customWidth="1"/>
    <col min="34" max="34" width="3.81640625" style="181" customWidth="1"/>
    <col min="35" max="36" width="3.453125" style="181" customWidth="1"/>
    <col min="37" max="37" width="5.7265625" style="181" customWidth="1"/>
    <col min="38" max="38" width="5" style="181" customWidth="1"/>
    <col min="39" max="39" width="7.1796875" style="181" customWidth="1"/>
    <col min="40" max="40" width="3.54296875" style="181" customWidth="1"/>
    <col min="41" max="41" width="2.54296875" style="181" customWidth="1"/>
    <col min="42" max="42" width="1.453125" style="179" customWidth="1"/>
    <col min="43" max="43" width="1.54296875" style="179" customWidth="1"/>
    <col min="44" max="44" width="3.54296875" style="181" customWidth="1"/>
    <col min="45" max="45" width="19.26953125" style="534" customWidth="1"/>
    <col min="46" max="46" width="21.1796875" style="181" customWidth="1"/>
    <col min="47" max="47" width="26.7265625" style="181" customWidth="1"/>
    <col min="48" max="48" width="17" style="181" customWidth="1"/>
    <col min="49" max="49" width="16.26953125" style="181" customWidth="1"/>
    <col min="50" max="50" width="1.81640625" style="181" customWidth="1"/>
    <col min="51" max="51" width="14.81640625" style="181" customWidth="1"/>
    <col min="52" max="52" width="15.26953125" style="181" customWidth="1"/>
    <col min="53" max="53" width="14.26953125" style="181" customWidth="1"/>
    <col min="54" max="54" width="18.1796875" style="181" customWidth="1"/>
    <col min="55" max="55" width="18.7265625" style="181" customWidth="1"/>
    <col min="56" max="56" width="10.7265625" style="181" customWidth="1"/>
    <col min="57" max="16384" width="8.81640625" style="181"/>
  </cols>
  <sheetData>
    <row r="3" spans="2:45" s="520" customFormat="1" ht="14" x14ac:dyDescent="0.35">
      <c r="B3" s="3760" t="s">
        <v>7325</v>
      </c>
      <c r="C3" s="3760"/>
      <c r="D3" s="3760"/>
      <c r="E3" s="3760"/>
      <c r="F3" s="3760"/>
      <c r="G3" s="3760"/>
      <c r="H3" s="3760"/>
      <c r="I3" s="3760"/>
      <c r="J3" s="3760"/>
      <c r="K3" s="3760"/>
      <c r="L3" s="3760"/>
      <c r="M3" s="3760"/>
      <c r="N3" s="3760"/>
      <c r="O3" s="3760"/>
      <c r="P3" s="3760"/>
      <c r="Q3" s="3760"/>
      <c r="R3" s="3760"/>
      <c r="S3" s="3760"/>
      <c r="T3" s="3760"/>
      <c r="U3" s="3760"/>
      <c r="V3" s="3760"/>
      <c r="W3" s="3760"/>
      <c r="X3" s="3760"/>
      <c r="Y3" s="3760"/>
      <c r="Z3" s="3760"/>
      <c r="AA3" s="3760"/>
      <c r="AB3" s="3760"/>
      <c r="AC3" s="3760"/>
      <c r="AD3" s="3760"/>
      <c r="AE3" s="3760"/>
      <c r="AF3" s="3760"/>
      <c r="AG3" s="3760"/>
      <c r="AH3" s="3760"/>
      <c r="AI3" s="3760"/>
      <c r="AJ3" s="3760"/>
      <c r="AK3" s="3760"/>
      <c r="AL3" s="3760"/>
      <c r="AM3" s="3760"/>
      <c r="AN3" s="3760"/>
      <c r="AO3" s="3760"/>
      <c r="AP3" s="3760"/>
      <c r="AQ3" s="3760"/>
      <c r="AS3" s="521"/>
    </row>
    <row r="4" spans="2:45" s="64" customFormat="1" ht="14" x14ac:dyDescent="0.35">
      <c r="B4" s="522"/>
      <c r="C4" s="522"/>
      <c r="D4" s="522"/>
      <c r="E4" s="522"/>
      <c r="F4" s="522"/>
      <c r="G4" s="522"/>
      <c r="H4" s="522"/>
      <c r="I4" s="522"/>
      <c r="J4" s="522"/>
      <c r="K4" s="522"/>
      <c r="L4" s="522"/>
      <c r="M4" s="522"/>
      <c r="N4" s="522"/>
      <c r="O4" s="522"/>
      <c r="P4" s="522"/>
      <c r="Q4" s="522"/>
      <c r="R4" s="522"/>
      <c r="S4" s="522"/>
      <c r="T4" s="522"/>
      <c r="U4" s="522"/>
      <c r="V4" s="522"/>
      <c r="W4" s="522"/>
      <c r="X4" s="522"/>
      <c r="Y4" s="522"/>
      <c r="Z4" s="522"/>
      <c r="AA4" s="522"/>
      <c r="AB4" s="522"/>
      <c r="AC4" s="522"/>
      <c r="AD4" s="522"/>
      <c r="AE4" s="522"/>
      <c r="AF4" s="522"/>
      <c r="AG4" s="522"/>
      <c r="AH4" s="522"/>
      <c r="AI4" s="522"/>
      <c r="AJ4" s="522"/>
      <c r="AK4" s="522"/>
      <c r="AL4" s="522"/>
      <c r="AM4" s="522"/>
      <c r="AN4" s="522"/>
      <c r="AO4" s="522"/>
      <c r="AP4" s="522"/>
      <c r="AQ4" s="522"/>
      <c r="AS4" s="523"/>
    </row>
    <row r="5" spans="2:45" s="466" customFormat="1" ht="14" x14ac:dyDescent="0.35">
      <c r="B5" s="213" t="s">
        <v>529</v>
      </c>
      <c r="C5" s="522"/>
      <c r="D5" s="522"/>
      <c r="E5" s="522"/>
      <c r="F5" s="522"/>
      <c r="G5" s="522"/>
      <c r="H5" s="522"/>
      <c r="I5" s="522"/>
      <c r="J5" s="522"/>
      <c r="K5" s="522"/>
      <c r="L5" s="522"/>
      <c r="M5" s="522"/>
      <c r="N5" s="522"/>
      <c r="O5" s="522"/>
      <c r="P5" s="522"/>
      <c r="Q5" s="522"/>
      <c r="R5" s="522"/>
      <c r="S5" s="522"/>
      <c r="T5" s="522"/>
      <c r="U5" s="522"/>
      <c r="V5" s="522"/>
      <c r="W5" s="522"/>
      <c r="X5" s="522"/>
      <c r="Y5" s="522"/>
      <c r="Z5" s="522"/>
      <c r="AA5" s="522"/>
      <c r="AB5" s="522"/>
      <c r="AC5" s="522"/>
      <c r="AD5" s="522"/>
      <c r="AE5" s="522"/>
      <c r="AF5" s="522"/>
      <c r="AG5" s="522"/>
      <c r="AH5" s="522"/>
      <c r="AI5" s="522"/>
      <c r="AJ5" s="522"/>
      <c r="AK5" s="522"/>
      <c r="AL5" s="522"/>
      <c r="AM5" s="522"/>
      <c r="AN5" s="522"/>
      <c r="AO5" s="522"/>
      <c r="AP5" s="524"/>
      <c r="AQ5" s="470" t="s">
        <v>530</v>
      </c>
      <c r="AS5" s="525"/>
    </row>
    <row r="6" spans="2:45" s="527" customFormat="1" ht="15.5" x14ac:dyDescent="0.35">
      <c r="B6" s="3761" t="str">
        <f>NRC!B5</f>
        <v>30 June 2026</v>
      </c>
      <c r="C6" s="3761"/>
      <c r="D6" s="3761"/>
      <c r="E6" s="3761"/>
      <c r="F6" s="3761"/>
      <c r="G6" s="3761"/>
      <c r="H6" s="3761"/>
      <c r="I6" s="3761"/>
      <c r="J6" s="3761"/>
      <c r="K6" s="3761"/>
      <c r="L6" s="526"/>
      <c r="M6" s="526"/>
      <c r="N6" s="526"/>
      <c r="O6" s="526"/>
      <c r="P6" s="526"/>
      <c r="Q6" s="526"/>
      <c r="R6" s="526"/>
      <c r="S6" s="526"/>
      <c r="T6" s="526"/>
      <c r="U6" s="526"/>
      <c r="V6" s="526"/>
      <c r="W6" s="526"/>
      <c r="X6" s="526"/>
      <c r="Y6" s="526"/>
      <c r="Z6" s="526"/>
      <c r="AA6" s="526"/>
      <c r="AB6" s="526"/>
      <c r="AC6" s="526"/>
      <c r="AD6" s="526"/>
      <c r="AE6" s="526"/>
      <c r="AF6" s="526"/>
      <c r="AG6" s="526"/>
      <c r="AH6" s="526"/>
      <c r="AI6" s="526"/>
      <c r="AJ6" s="3762">
        <f>NRC!I5</f>
        <v>46203</v>
      </c>
      <c r="AK6" s="3762"/>
      <c r="AL6" s="3762"/>
      <c r="AM6" s="3762"/>
      <c r="AN6" s="3762"/>
      <c r="AO6" s="3762"/>
      <c r="AP6" s="3762"/>
      <c r="AQ6" s="3762"/>
      <c r="AS6" s="528"/>
    </row>
    <row r="7" spans="2:45" s="527" customFormat="1" ht="15.5" x14ac:dyDescent="0.35">
      <c r="B7" s="529" t="str">
        <f>NRC!C6&amp;")"</f>
        <v>(Dengan perbandingan informasi keuangan untuk bulan yang berakhir 31 May 2026 /)</v>
      </c>
      <c r="C7" s="529"/>
      <c r="D7" s="526"/>
      <c r="E7" s="526"/>
      <c r="F7" s="526"/>
      <c r="G7" s="526"/>
      <c r="H7" s="526"/>
      <c r="I7" s="526"/>
      <c r="J7" s="526"/>
      <c r="K7" s="526"/>
      <c r="L7" s="526"/>
      <c r="M7" s="526"/>
      <c r="N7" s="526"/>
      <c r="O7" s="526"/>
      <c r="P7" s="526"/>
      <c r="Q7" s="526"/>
      <c r="R7" s="526"/>
      <c r="S7" s="526"/>
      <c r="T7" s="526"/>
      <c r="U7" s="526"/>
      <c r="V7" s="526"/>
      <c r="W7" s="526"/>
      <c r="X7" s="526"/>
      <c r="Y7" s="526"/>
      <c r="Z7" s="526"/>
      <c r="AA7" s="526"/>
      <c r="AB7" s="526"/>
      <c r="AC7" s="526"/>
      <c r="AP7" s="531" t="str">
        <f>"("&amp;NRC!K6</f>
        <v>(With Comparative financial information for the month ended May 31, 2026 )</v>
      </c>
      <c r="AQ7" s="532"/>
      <c r="AS7" s="528"/>
    </row>
    <row r="8" spans="2:45" s="527" customFormat="1" ht="15.5" x14ac:dyDescent="0.35">
      <c r="B8" s="529" t="s">
        <v>176</v>
      </c>
      <c r="C8" s="376"/>
      <c r="AP8" s="530"/>
      <c r="AQ8" s="532" t="str">
        <f>[9]NRC!J7</f>
        <v>(Expressed in rupiah)</v>
      </c>
      <c r="AS8" s="528"/>
    </row>
    <row r="9" spans="2:45" s="466" customFormat="1" ht="14" x14ac:dyDescent="0.35">
      <c r="B9" s="213" t="s">
        <v>531</v>
      </c>
      <c r="C9" s="465"/>
      <c r="AP9" s="524"/>
      <c r="AQ9" s="470" t="s">
        <v>532</v>
      </c>
      <c r="AS9" s="525"/>
    </row>
    <row r="10" spans="2:45" x14ac:dyDescent="0.35">
      <c r="B10" s="83"/>
      <c r="C10" s="64"/>
      <c r="AQ10" s="533"/>
    </row>
    <row r="11" spans="2:45" x14ac:dyDescent="0.35">
      <c r="B11" s="83"/>
      <c r="C11" s="64"/>
      <c r="AQ11" s="533"/>
    </row>
    <row r="12" spans="2:45" s="544" customFormat="1" ht="13.5" x14ac:dyDescent="0.35">
      <c r="B12" s="535" t="s">
        <v>533</v>
      </c>
      <c r="C12" s="536" t="s">
        <v>534</v>
      </c>
      <c r="D12" s="535"/>
      <c r="E12" s="537"/>
      <c r="F12" s="537"/>
      <c r="G12" s="537"/>
      <c r="H12" s="537"/>
      <c r="I12" s="537"/>
      <c r="J12" s="537"/>
      <c r="K12" s="537"/>
      <c r="L12" s="537"/>
      <c r="M12" s="537"/>
      <c r="N12" s="537"/>
      <c r="O12" s="537"/>
      <c r="P12" s="537"/>
      <c r="Q12" s="537"/>
      <c r="R12" s="537"/>
      <c r="S12" s="537"/>
      <c r="T12" s="537"/>
      <c r="U12" s="538"/>
      <c r="V12" s="537"/>
      <c r="W12" s="539"/>
      <c r="X12" s="539" t="str">
        <f>B12</f>
        <v>1.</v>
      </c>
      <c r="Y12" s="540" t="s">
        <v>535</v>
      </c>
      <c r="Z12" s="540"/>
      <c r="AA12" s="540"/>
      <c r="AB12" s="540"/>
      <c r="AC12" s="540"/>
      <c r="AD12" s="540"/>
      <c r="AE12" s="540"/>
      <c r="AF12" s="540"/>
      <c r="AG12" s="540"/>
      <c r="AH12" s="540"/>
      <c r="AI12" s="540"/>
      <c r="AJ12" s="540"/>
      <c r="AK12" s="540"/>
      <c r="AL12" s="540"/>
      <c r="AM12" s="540"/>
      <c r="AN12" s="541"/>
      <c r="AO12" s="542"/>
      <c r="AP12" s="543"/>
      <c r="AQ12" s="543"/>
      <c r="AS12" s="545"/>
    </row>
    <row r="13" spans="2:45" ht="13.5" x14ac:dyDescent="0.35">
      <c r="C13" s="64"/>
      <c r="D13" s="84"/>
      <c r="E13" s="546"/>
      <c r="F13" s="546"/>
      <c r="G13" s="546"/>
      <c r="H13" s="546"/>
      <c r="I13" s="546"/>
      <c r="J13" s="546"/>
      <c r="K13" s="546"/>
      <c r="L13" s="546"/>
      <c r="M13" s="546"/>
      <c r="N13" s="546"/>
      <c r="O13" s="546"/>
      <c r="P13" s="546"/>
      <c r="Q13" s="546"/>
      <c r="R13" s="546"/>
      <c r="S13" s="546"/>
      <c r="T13" s="546"/>
      <c r="U13" s="547"/>
      <c r="V13" s="546"/>
      <c r="W13" s="546"/>
      <c r="X13" s="546"/>
      <c r="Y13" s="546"/>
      <c r="Z13" s="546"/>
      <c r="AA13" s="546"/>
      <c r="AB13" s="546"/>
      <c r="AN13" s="179"/>
      <c r="AO13" s="88"/>
      <c r="AP13" s="181"/>
      <c r="AQ13" s="181"/>
      <c r="AS13" s="548"/>
    </row>
    <row r="14" spans="2:45" ht="13.5" x14ac:dyDescent="0.35">
      <c r="C14" s="64"/>
      <c r="D14" s="84"/>
      <c r="E14" s="546"/>
      <c r="F14" s="546"/>
      <c r="G14" s="546"/>
      <c r="H14" s="546"/>
      <c r="I14" s="546"/>
      <c r="J14" s="546"/>
      <c r="K14" s="546"/>
      <c r="L14" s="546"/>
      <c r="M14" s="546"/>
      <c r="N14" s="546"/>
      <c r="O14" s="546"/>
      <c r="P14" s="546"/>
      <c r="Q14" s="546"/>
      <c r="R14" s="546"/>
      <c r="S14" s="546"/>
      <c r="T14" s="546"/>
      <c r="U14" s="547"/>
      <c r="V14" s="546"/>
      <c r="W14" s="546"/>
      <c r="X14" s="546"/>
      <c r="Y14" s="546"/>
      <c r="Z14" s="546"/>
      <c r="AA14" s="546"/>
      <c r="AB14" s="546"/>
      <c r="AN14" s="179"/>
      <c r="AO14" s="88"/>
      <c r="AP14" s="181"/>
      <c r="AQ14" s="181"/>
      <c r="AS14" s="548"/>
    </row>
    <row r="15" spans="2:45" x14ac:dyDescent="0.3">
      <c r="B15" s="84"/>
      <c r="C15" s="181" t="s">
        <v>536</v>
      </c>
      <c r="D15" s="84"/>
      <c r="E15" s="546"/>
      <c r="F15" s="546"/>
      <c r="G15" s="546"/>
      <c r="H15" s="546"/>
      <c r="I15" s="546"/>
      <c r="J15" s="546"/>
      <c r="K15" s="546"/>
      <c r="L15" s="546"/>
      <c r="M15" s="546"/>
      <c r="N15" s="549"/>
      <c r="P15" s="546"/>
      <c r="Q15" s="546"/>
      <c r="R15" s="546"/>
      <c r="S15" s="546"/>
      <c r="T15" s="546"/>
      <c r="U15" s="547"/>
      <c r="V15" s="546"/>
      <c r="W15" s="546"/>
      <c r="X15" s="546"/>
      <c r="Y15" s="550" t="str">
        <f>"The Istitution's financial statements were prepared and completed on"&amp;" August"</f>
        <v>The Istitution's financial statements were prepared and completed on August</v>
      </c>
      <c r="Z15" s="546"/>
      <c r="AA15" s="546"/>
      <c r="AB15" s="546"/>
      <c r="AN15" s="179"/>
      <c r="AO15" s="87"/>
      <c r="AP15" s="181"/>
      <c r="AQ15" s="181"/>
      <c r="AS15" s="548"/>
    </row>
    <row r="16" spans="2:45" x14ac:dyDescent="0.35">
      <c r="B16" s="84"/>
      <c r="C16" s="181" t="s">
        <v>537</v>
      </c>
      <c r="D16" s="84"/>
      <c r="E16" s="546"/>
      <c r="F16" s="546"/>
      <c r="G16" s="546"/>
      <c r="H16" s="546"/>
      <c r="I16" s="546"/>
      <c r="J16" s="546"/>
      <c r="K16" s="546"/>
      <c r="L16" s="546"/>
      <c r="M16" s="546"/>
      <c r="N16" s="546"/>
      <c r="O16" s="546"/>
      <c r="P16" s="546"/>
      <c r="Q16" s="546"/>
      <c r="R16" s="546"/>
      <c r="S16" s="546"/>
      <c r="T16" s="546"/>
      <c r="U16" s="547"/>
      <c r="V16" s="546"/>
      <c r="W16" s="546"/>
      <c r="X16" s="546"/>
      <c r="Y16" s="551" t="str">
        <f>"09, 2023. Presented below are the significant accounting policies adopted in"</f>
        <v>09, 2023. Presented below are the significant accounting policies adopted in</v>
      </c>
      <c r="Z16" s="546"/>
      <c r="AA16" s="546"/>
      <c r="AB16" s="546"/>
      <c r="AN16" s="179"/>
      <c r="AO16" s="87"/>
      <c r="AP16" s="181"/>
      <c r="AQ16" s="181"/>
      <c r="AS16" s="548"/>
    </row>
    <row r="17" spans="2:45" x14ac:dyDescent="0.35">
      <c r="B17" s="84"/>
      <c r="C17" s="552" t="s">
        <v>538</v>
      </c>
      <c r="D17" s="84"/>
      <c r="E17" s="546"/>
      <c r="F17" s="546"/>
      <c r="G17" s="546"/>
      <c r="H17" s="546"/>
      <c r="I17" s="546"/>
      <c r="J17" s="546"/>
      <c r="K17" s="546"/>
      <c r="L17" s="546"/>
      <c r="M17" s="546"/>
      <c r="N17" s="546"/>
      <c r="O17" s="546"/>
      <c r="P17" s="546"/>
      <c r="Q17" s="546"/>
      <c r="R17" s="546"/>
      <c r="S17" s="546"/>
      <c r="T17" s="546"/>
      <c r="U17" s="547"/>
      <c r="V17" s="546"/>
      <c r="W17" s="546"/>
      <c r="X17" s="546"/>
      <c r="Y17" s="553" t="s">
        <v>539</v>
      </c>
      <c r="Z17" s="546"/>
      <c r="AA17" s="546"/>
      <c r="AB17" s="546"/>
      <c r="AN17" s="179"/>
      <c r="AO17" s="87"/>
      <c r="AP17" s="181"/>
      <c r="AQ17" s="181"/>
      <c r="AS17" s="548"/>
    </row>
    <row r="18" spans="2:45" x14ac:dyDescent="0.35">
      <c r="B18" s="84"/>
      <c r="C18" s="552" t="s">
        <v>540</v>
      </c>
      <c r="D18" s="84"/>
      <c r="E18" s="546"/>
      <c r="F18" s="546"/>
      <c r="G18" s="546"/>
      <c r="H18" s="546"/>
      <c r="I18" s="546"/>
      <c r="J18" s="546"/>
      <c r="K18" s="546"/>
      <c r="L18" s="546"/>
      <c r="M18" s="546"/>
      <c r="N18" s="546"/>
      <c r="O18" s="546"/>
      <c r="P18" s="546"/>
      <c r="Q18" s="546"/>
      <c r="R18" s="546"/>
      <c r="S18" s="546"/>
      <c r="T18" s="546"/>
      <c r="U18" s="547"/>
      <c r="V18" s="546"/>
      <c r="W18" s="546"/>
      <c r="X18" s="546"/>
      <c r="Y18" s="553" t="s">
        <v>541</v>
      </c>
      <c r="Z18" s="546"/>
      <c r="AA18" s="546"/>
      <c r="AB18" s="546"/>
      <c r="AN18" s="179"/>
      <c r="AO18" s="87"/>
      <c r="AP18" s="181"/>
      <c r="AQ18" s="181"/>
      <c r="AS18" s="548"/>
    </row>
    <row r="19" spans="2:45" x14ac:dyDescent="0.35">
      <c r="B19" s="84"/>
      <c r="D19" s="84"/>
      <c r="E19" s="546"/>
      <c r="F19" s="546"/>
      <c r="G19" s="546"/>
      <c r="H19" s="546"/>
      <c r="I19" s="546"/>
      <c r="J19" s="546"/>
      <c r="K19" s="546"/>
      <c r="L19" s="546"/>
      <c r="M19" s="546"/>
      <c r="N19" s="546"/>
      <c r="O19" s="546"/>
      <c r="P19" s="546"/>
      <c r="Q19" s="546"/>
      <c r="R19" s="546"/>
      <c r="S19" s="546"/>
      <c r="T19" s="546"/>
      <c r="U19" s="547"/>
      <c r="V19" s="546"/>
      <c r="W19" s="546"/>
      <c r="X19" s="546"/>
      <c r="Y19" s="553" t="s">
        <v>542</v>
      </c>
      <c r="Z19" s="546"/>
      <c r="AA19" s="546"/>
      <c r="AB19" s="546"/>
      <c r="AN19" s="179"/>
      <c r="AO19" s="87"/>
      <c r="AP19" s="181"/>
      <c r="AQ19" s="181"/>
      <c r="AS19" s="548"/>
    </row>
    <row r="20" spans="2:45" x14ac:dyDescent="0.35">
      <c r="B20" s="84"/>
      <c r="D20" s="84"/>
      <c r="E20" s="546"/>
      <c r="F20" s="546"/>
      <c r="G20" s="546"/>
      <c r="H20" s="546"/>
      <c r="I20" s="546"/>
      <c r="J20" s="546"/>
      <c r="K20" s="546"/>
      <c r="L20" s="546"/>
      <c r="M20" s="546"/>
      <c r="N20" s="546"/>
      <c r="O20" s="546"/>
      <c r="P20" s="546"/>
      <c r="Q20" s="546"/>
      <c r="R20" s="546"/>
      <c r="S20" s="546"/>
      <c r="T20" s="546"/>
      <c r="U20" s="547"/>
      <c r="V20" s="546"/>
      <c r="W20" s="546"/>
      <c r="X20" s="546"/>
      <c r="Y20" s="546"/>
      <c r="Z20" s="546"/>
      <c r="AA20" s="546"/>
      <c r="AB20" s="546"/>
      <c r="AN20" s="179"/>
      <c r="AO20" s="87"/>
      <c r="AP20" s="181"/>
      <c r="AQ20" s="181"/>
      <c r="AS20" s="548"/>
    </row>
    <row r="21" spans="2:45" ht="13.5" x14ac:dyDescent="0.35">
      <c r="B21" s="84"/>
      <c r="C21" s="64" t="s">
        <v>543</v>
      </c>
      <c r="D21" s="130" t="s">
        <v>544</v>
      </c>
      <c r="E21" s="546"/>
      <c r="F21" s="546"/>
      <c r="G21" s="546"/>
      <c r="H21" s="546"/>
      <c r="I21" s="546"/>
      <c r="J21" s="546"/>
      <c r="K21" s="546"/>
      <c r="L21" s="546"/>
      <c r="M21" s="546"/>
      <c r="N21" s="546"/>
      <c r="O21" s="546"/>
      <c r="P21" s="546"/>
      <c r="Q21" s="546"/>
      <c r="R21" s="546"/>
      <c r="S21" s="546"/>
      <c r="T21" s="546"/>
      <c r="U21" s="547"/>
      <c r="V21" s="546"/>
      <c r="W21" s="546"/>
      <c r="Y21" s="554" t="s">
        <v>543</v>
      </c>
      <c r="Z21" s="554" t="s">
        <v>545</v>
      </c>
      <c r="AA21" s="546"/>
      <c r="AB21" s="546"/>
      <c r="AN21" s="179"/>
      <c r="AO21" s="87"/>
      <c r="AP21" s="181"/>
      <c r="AQ21" s="181"/>
      <c r="AS21" s="548"/>
    </row>
    <row r="22" spans="2:45" x14ac:dyDescent="0.35">
      <c r="B22" s="84"/>
      <c r="D22" s="84"/>
      <c r="E22" s="546"/>
      <c r="F22" s="546"/>
      <c r="G22" s="546"/>
      <c r="H22" s="546"/>
      <c r="I22" s="546"/>
      <c r="J22" s="546"/>
      <c r="K22" s="546"/>
      <c r="L22" s="546"/>
      <c r="M22" s="546"/>
      <c r="N22" s="546"/>
      <c r="O22" s="546"/>
      <c r="P22" s="546"/>
      <c r="Q22" s="546"/>
      <c r="R22" s="546"/>
      <c r="S22" s="546"/>
      <c r="T22" s="546"/>
      <c r="U22" s="547"/>
      <c r="V22" s="546"/>
      <c r="W22" s="546"/>
      <c r="X22" s="546"/>
      <c r="Y22" s="546"/>
      <c r="Z22" s="546"/>
      <c r="AA22" s="546"/>
      <c r="AB22" s="546"/>
      <c r="AN22" s="179"/>
      <c r="AO22" s="87"/>
      <c r="AP22" s="181"/>
      <c r="AQ22" s="181"/>
      <c r="AS22" s="548"/>
    </row>
    <row r="23" spans="2:45" x14ac:dyDescent="0.35">
      <c r="B23" s="84"/>
      <c r="D23" s="84"/>
      <c r="E23" s="546"/>
      <c r="F23" s="546"/>
      <c r="G23" s="546"/>
      <c r="H23" s="546"/>
      <c r="I23" s="546"/>
      <c r="J23" s="546"/>
      <c r="K23" s="546"/>
      <c r="L23" s="546"/>
      <c r="M23" s="546"/>
      <c r="N23" s="546"/>
      <c r="O23" s="546"/>
      <c r="P23" s="546"/>
      <c r="Q23" s="546"/>
      <c r="R23" s="546"/>
      <c r="S23" s="546"/>
      <c r="T23" s="546"/>
      <c r="U23" s="547"/>
      <c r="V23" s="546"/>
      <c r="W23" s="546"/>
      <c r="X23" s="546"/>
      <c r="Y23" s="546"/>
      <c r="Z23" s="546"/>
      <c r="AA23" s="546"/>
      <c r="AB23" s="546"/>
      <c r="AN23" s="179"/>
      <c r="AO23" s="87"/>
      <c r="AP23" s="181"/>
      <c r="AQ23" s="181"/>
      <c r="AS23" s="548"/>
    </row>
    <row r="24" spans="2:45" x14ac:dyDescent="0.35">
      <c r="B24" s="84"/>
      <c r="D24" s="84"/>
      <c r="E24" s="546"/>
      <c r="F24" s="546"/>
      <c r="G24" s="546"/>
      <c r="H24" s="546"/>
      <c r="I24" s="546"/>
      <c r="J24" s="546"/>
      <c r="K24" s="546"/>
      <c r="L24" s="546"/>
      <c r="M24" s="546"/>
      <c r="N24" s="546"/>
      <c r="O24" s="546"/>
      <c r="P24" s="546"/>
      <c r="Q24" s="546"/>
      <c r="R24" s="546"/>
      <c r="S24" s="546"/>
      <c r="T24" s="546"/>
      <c r="U24" s="547"/>
      <c r="V24" s="546"/>
      <c r="W24" s="546"/>
      <c r="X24" s="546"/>
      <c r="Y24" s="546"/>
      <c r="Z24" s="546"/>
      <c r="AA24" s="546"/>
      <c r="AB24" s="546"/>
      <c r="AN24" s="179"/>
      <c r="AO24" s="87"/>
      <c r="AP24" s="181"/>
      <c r="AQ24" s="181"/>
      <c r="AS24" s="548"/>
    </row>
    <row r="25" spans="2:45" x14ac:dyDescent="0.35">
      <c r="B25" s="84"/>
      <c r="D25" s="84"/>
      <c r="E25" s="546"/>
      <c r="F25" s="546"/>
      <c r="G25" s="546"/>
      <c r="H25" s="546"/>
      <c r="I25" s="546"/>
      <c r="J25" s="546"/>
      <c r="K25" s="546"/>
      <c r="L25" s="546"/>
      <c r="M25" s="546"/>
      <c r="N25" s="546"/>
      <c r="O25" s="546"/>
      <c r="P25" s="546"/>
      <c r="Q25" s="546"/>
      <c r="R25" s="546"/>
      <c r="S25" s="546"/>
      <c r="T25" s="546"/>
      <c r="U25" s="547"/>
      <c r="V25" s="546"/>
      <c r="W25" s="546"/>
      <c r="X25" s="546"/>
      <c r="Y25" s="546"/>
      <c r="Z25" s="546"/>
      <c r="AA25" s="546"/>
      <c r="AB25" s="546"/>
      <c r="AN25" s="179"/>
      <c r="AO25" s="87"/>
      <c r="AP25" s="181"/>
      <c r="AQ25" s="181"/>
      <c r="AS25" s="548"/>
    </row>
    <row r="26" spans="2:45" x14ac:dyDescent="0.35">
      <c r="B26" s="84"/>
      <c r="D26" s="84"/>
      <c r="E26" s="546"/>
      <c r="F26" s="546"/>
      <c r="G26" s="546"/>
      <c r="H26" s="546"/>
      <c r="I26" s="546"/>
      <c r="J26" s="546"/>
      <c r="K26" s="546"/>
      <c r="L26" s="546"/>
      <c r="M26" s="546"/>
      <c r="N26" s="546"/>
      <c r="O26" s="546"/>
      <c r="P26" s="546"/>
      <c r="Q26" s="546"/>
      <c r="R26" s="546"/>
      <c r="S26" s="546"/>
      <c r="T26" s="546"/>
      <c r="U26" s="547"/>
      <c r="V26" s="546"/>
      <c r="W26" s="546"/>
      <c r="X26" s="546"/>
      <c r="Y26" s="546"/>
      <c r="Z26" s="546"/>
      <c r="AA26" s="546"/>
      <c r="AB26" s="546"/>
      <c r="AN26" s="179"/>
      <c r="AO26" s="87"/>
      <c r="AP26" s="181"/>
      <c r="AQ26" s="181"/>
      <c r="AS26" s="548"/>
    </row>
    <row r="27" spans="2:45" x14ac:dyDescent="0.35">
      <c r="B27" s="84"/>
      <c r="D27" s="84"/>
      <c r="E27" s="546"/>
      <c r="F27" s="546"/>
      <c r="G27" s="546"/>
      <c r="H27" s="546"/>
      <c r="I27" s="546"/>
      <c r="J27" s="546"/>
      <c r="K27" s="546"/>
      <c r="L27" s="546"/>
      <c r="M27" s="546"/>
      <c r="N27" s="546"/>
      <c r="O27" s="546"/>
      <c r="P27" s="546"/>
      <c r="Q27" s="546"/>
      <c r="R27" s="546"/>
      <c r="S27" s="546"/>
      <c r="T27" s="546"/>
      <c r="U27" s="547"/>
      <c r="V27" s="546"/>
      <c r="W27" s="546"/>
      <c r="X27" s="546"/>
      <c r="Y27" s="546"/>
      <c r="Z27" s="546"/>
      <c r="AA27" s="546"/>
      <c r="AB27" s="546"/>
      <c r="AN27" s="179"/>
      <c r="AO27" s="87"/>
      <c r="AP27" s="181"/>
      <c r="AQ27" s="181"/>
      <c r="AS27" s="548"/>
    </row>
    <row r="28" spans="2:45" x14ac:dyDescent="0.35">
      <c r="B28" s="84"/>
      <c r="D28" s="84"/>
      <c r="E28" s="546"/>
      <c r="F28" s="546"/>
      <c r="G28" s="546"/>
      <c r="H28" s="546"/>
      <c r="I28" s="546"/>
      <c r="J28" s="546"/>
      <c r="K28" s="546"/>
      <c r="L28" s="546"/>
      <c r="M28" s="546"/>
      <c r="N28" s="546"/>
      <c r="O28" s="546"/>
      <c r="P28" s="546"/>
      <c r="Q28" s="546"/>
      <c r="R28" s="546"/>
      <c r="S28" s="546"/>
      <c r="T28" s="546"/>
      <c r="U28" s="547"/>
      <c r="V28" s="546"/>
      <c r="W28" s="546"/>
      <c r="X28" s="546"/>
      <c r="Y28" s="546"/>
      <c r="Z28" s="546"/>
      <c r="AA28" s="546"/>
      <c r="AB28" s="546"/>
      <c r="AN28" s="179"/>
      <c r="AO28" s="87"/>
      <c r="AP28" s="181"/>
      <c r="AQ28" s="181"/>
      <c r="AS28" s="548"/>
    </row>
    <row r="29" spans="2:45" x14ac:dyDescent="0.35">
      <c r="B29" s="84"/>
      <c r="D29" s="84"/>
      <c r="E29" s="546"/>
      <c r="F29" s="546"/>
      <c r="G29" s="546"/>
      <c r="H29" s="546"/>
      <c r="I29" s="546"/>
      <c r="J29" s="546"/>
      <c r="K29" s="546"/>
      <c r="L29" s="546"/>
      <c r="M29" s="546"/>
      <c r="N29" s="546"/>
      <c r="O29" s="546"/>
      <c r="P29" s="546"/>
      <c r="Q29" s="546"/>
      <c r="R29" s="546"/>
      <c r="S29" s="546"/>
      <c r="T29" s="546"/>
      <c r="U29" s="547"/>
      <c r="V29" s="546"/>
      <c r="W29" s="546"/>
      <c r="X29" s="546"/>
      <c r="Y29" s="546"/>
      <c r="Z29" s="546"/>
      <c r="AA29" s="546"/>
      <c r="AB29" s="546"/>
      <c r="AN29" s="179"/>
      <c r="AO29" s="87"/>
      <c r="AP29" s="181"/>
      <c r="AQ29" s="181"/>
      <c r="AS29" s="548"/>
    </row>
    <row r="30" spans="2:45" x14ac:dyDescent="0.35">
      <c r="B30" s="84"/>
      <c r="D30" s="84"/>
      <c r="E30" s="546"/>
      <c r="F30" s="546"/>
      <c r="G30" s="546"/>
      <c r="H30" s="546"/>
      <c r="I30" s="546"/>
      <c r="J30" s="546"/>
      <c r="K30" s="546"/>
      <c r="L30" s="546"/>
      <c r="M30" s="546"/>
      <c r="N30" s="546"/>
      <c r="O30" s="546"/>
      <c r="P30" s="546"/>
      <c r="Q30" s="546"/>
      <c r="R30" s="546"/>
      <c r="S30" s="546"/>
      <c r="T30" s="546"/>
      <c r="U30" s="547"/>
      <c r="V30" s="546"/>
      <c r="W30" s="546"/>
      <c r="X30" s="546"/>
      <c r="Y30" s="546"/>
      <c r="Z30" s="546"/>
      <c r="AA30" s="546"/>
      <c r="AB30" s="546"/>
      <c r="AN30" s="179"/>
      <c r="AO30" s="87"/>
      <c r="AP30" s="181"/>
      <c r="AQ30" s="181"/>
      <c r="AS30" s="548"/>
    </row>
    <row r="31" spans="2:45" x14ac:dyDescent="0.35">
      <c r="B31" s="84"/>
      <c r="D31" s="84"/>
      <c r="E31" s="546"/>
      <c r="F31" s="546"/>
      <c r="G31" s="546"/>
      <c r="H31" s="546"/>
      <c r="I31" s="546"/>
      <c r="J31" s="546"/>
      <c r="K31" s="546"/>
      <c r="L31" s="546"/>
      <c r="M31" s="546"/>
      <c r="N31" s="546"/>
      <c r="O31" s="546"/>
      <c r="P31" s="546"/>
      <c r="Q31" s="546"/>
      <c r="R31" s="546"/>
      <c r="S31" s="546"/>
      <c r="T31" s="546"/>
      <c r="U31" s="547"/>
      <c r="V31" s="546"/>
      <c r="W31" s="546"/>
      <c r="X31" s="546"/>
      <c r="Y31" s="546"/>
      <c r="Z31" s="546"/>
      <c r="AA31" s="546"/>
      <c r="AB31" s="546"/>
      <c r="AN31" s="179"/>
      <c r="AO31" s="87"/>
      <c r="AP31" s="181"/>
      <c r="AQ31" s="181"/>
      <c r="AS31" s="548"/>
    </row>
    <row r="32" spans="2:45" x14ac:dyDescent="0.35">
      <c r="B32" s="84"/>
      <c r="D32" s="84"/>
      <c r="E32" s="546"/>
      <c r="F32" s="546"/>
      <c r="G32" s="546"/>
      <c r="H32" s="546"/>
      <c r="I32" s="546"/>
      <c r="J32" s="546"/>
      <c r="K32" s="546"/>
      <c r="L32" s="546"/>
      <c r="M32" s="546"/>
      <c r="N32" s="546"/>
      <c r="O32" s="546"/>
      <c r="P32" s="546"/>
      <c r="Q32" s="546"/>
      <c r="R32" s="546"/>
      <c r="S32" s="546"/>
      <c r="T32" s="546"/>
      <c r="U32" s="547"/>
      <c r="V32" s="546"/>
      <c r="W32" s="546"/>
      <c r="X32" s="546"/>
      <c r="Y32" s="546"/>
      <c r="Z32" s="546"/>
      <c r="AA32" s="546"/>
      <c r="AB32" s="546"/>
      <c r="AN32" s="179"/>
      <c r="AO32" s="87"/>
      <c r="AP32" s="181"/>
      <c r="AQ32" s="181"/>
      <c r="AS32" s="548"/>
    </row>
    <row r="33" spans="2:45" x14ac:dyDescent="0.35">
      <c r="B33" s="84"/>
      <c r="D33" s="84"/>
      <c r="E33" s="546"/>
      <c r="F33" s="546"/>
      <c r="G33" s="546"/>
      <c r="H33" s="546"/>
      <c r="I33" s="546"/>
      <c r="J33" s="546"/>
      <c r="K33" s="546"/>
      <c r="L33" s="546"/>
      <c r="M33" s="546"/>
      <c r="N33" s="546"/>
      <c r="O33" s="546"/>
      <c r="P33" s="546"/>
      <c r="Q33" s="546"/>
      <c r="R33" s="546"/>
      <c r="S33" s="546"/>
      <c r="T33" s="546"/>
      <c r="U33" s="547"/>
      <c r="V33" s="546"/>
      <c r="W33" s="546"/>
      <c r="X33" s="546"/>
      <c r="Y33" s="546"/>
      <c r="Z33" s="546"/>
      <c r="AA33" s="546"/>
      <c r="AB33" s="546"/>
      <c r="AN33" s="179"/>
      <c r="AO33" s="87"/>
      <c r="AP33" s="181"/>
      <c r="AQ33" s="181"/>
      <c r="AS33" s="548"/>
    </row>
    <row r="34" spans="2:45" s="64" customFormat="1" ht="13.5" x14ac:dyDescent="0.35">
      <c r="B34" s="130"/>
      <c r="C34" s="64" t="s">
        <v>546</v>
      </c>
      <c r="D34" s="130" t="s">
        <v>186</v>
      </c>
      <c r="E34" s="555"/>
      <c r="F34" s="555"/>
      <c r="G34" s="555"/>
      <c r="H34" s="555"/>
      <c r="I34" s="555"/>
      <c r="J34" s="555"/>
      <c r="K34" s="555"/>
      <c r="L34" s="555"/>
      <c r="M34" s="555"/>
      <c r="N34" s="555"/>
      <c r="O34" s="555"/>
      <c r="P34" s="555"/>
      <c r="Q34" s="555"/>
      <c r="R34" s="555"/>
      <c r="S34" s="555"/>
      <c r="T34" s="555"/>
      <c r="U34" s="556"/>
      <c r="V34" s="555"/>
      <c r="W34" s="555"/>
      <c r="Y34" s="554" t="s">
        <v>546</v>
      </c>
      <c r="Z34" s="554" t="s">
        <v>547</v>
      </c>
      <c r="AA34" s="555"/>
      <c r="AB34" s="555"/>
      <c r="AN34" s="557"/>
      <c r="AO34" s="88"/>
      <c r="AS34" s="523"/>
    </row>
    <row r="35" spans="2:45" x14ac:dyDescent="0.35">
      <c r="B35" s="84"/>
      <c r="D35" s="84"/>
      <c r="E35" s="546"/>
      <c r="F35" s="546"/>
      <c r="G35" s="546"/>
      <c r="H35" s="546"/>
      <c r="I35" s="546"/>
      <c r="J35" s="546"/>
      <c r="K35" s="546"/>
      <c r="L35" s="546"/>
      <c r="M35" s="546"/>
      <c r="N35" s="546"/>
      <c r="O35" s="546"/>
      <c r="P35" s="546"/>
      <c r="Q35" s="546"/>
      <c r="R35" s="546"/>
      <c r="S35" s="546"/>
      <c r="T35" s="546"/>
      <c r="U35" s="547"/>
      <c r="V35" s="546"/>
      <c r="W35" s="546"/>
      <c r="X35" s="553"/>
      <c r="Y35" s="546"/>
      <c r="Z35" s="546"/>
      <c r="AA35" s="546"/>
      <c r="AB35" s="546"/>
      <c r="AN35" s="179"/>
      <c r="AO35" s="87"/>
      <c r="AP35" s="181"/>
      <c r="AQ35" s="181"/>
      <c r="AS35" s="548"/>
    </row>
    <row r="36" spans="2:45" x14ac:dyDescent="0.35">
      <c r="B36" s="84"/>
      <c r="D36" s="84"/>
      <c r="E36" s="546"/>
      <c r="F36" s="546"/>
      <c r="G36" s="546"/>
      <c r="H36" s="546"/>
      <c r="I36" s="546"/>
      <c r="J36" s="546"/>
      <c r="K36" s="546"/>
      <c r="L36" s="546"/>
      <c r="M36" s="546"/>
      <c r="N36" s="546"/>
      <c r="O36" s="546"/>
      <c r="P36" s="546"/>
      <c r="Q36" s="546"/>
      <c r="R36" s="546"/>
      <c r="S36" s="546"/>
      <c r="T36" s="546"/>
      <c r="U36" s="547"/>
      <c r="V36" s="546"/>
      <c r="W36" s="546"/>
      <c r="X36" s="553"/>
      <c r="Y36" s="546"/>
      <c r="Z36" s="546"/>
      <c r="AA36" s="546"/>
      <c r="AB36" s="546"/>
      <c r="AN36" s="179"/>
      <c r="AO36" s="87"/>
      <c r="AP36" s="181"/>
      <c r="AQ36" s="181"/>
      <c r="AS36" s="548"/>
    </row>
    <row r="37" spans="2:45" x14ac:dyDescent="0.35">
      <c r="B37" s="84"/>
      <c r="D37" s="84"/>
      <c r="E37" s="546"/>
      <c r="F37" s="546"/>
      <c r="G37" s="546"/>
      <c r="H37" s="546"/>
      <c r="I37" s="546"/>
      <c r="J37" s="546"/>
      <c r="K37" s="546"/>
      <c r="L37" s="546"/>
      <c r="M37" s="546"/>
      <c r="N37" s="546"/>
      <c r="O37" s="546"/>
      <c r="P37" s="546"/>
      <c r="Q37" s="546"/>
      <c r="R37" s="546"/>
      <c r="S37" s="546"/>
      <c r="T37" s="546"/>
      <c r="U37" s="547"/>
      <c r="V37" s="546"/>
      <c r="W37" s="546"/>
      <c r="X37" s="553"/>
      <c r="Y37" s="546"/>
      <c r="Z37" s="546"/>
      <c r="AA37" s="546"/>
      <c r="AB37" s="546"/>
      <c r="AN37" s="179"/>
      <c r="AO37" s="87"/>
      <c r="AP37" s="181"/>
      <c r="AQ37" s="181"/>
      <c r="AS37" s="548"/>
    </row>
    <row r="38" spans="2:45" x14ac:dyDescent="0.35">
      <c r="B38" s="84"/>
      <c r="D38" s="84"/>
      <c r="E38" s="546"/>
      <c r="F38" s="546"/>
      <c r="G38" s="546"/>
      <c r="H38" s="546"/>
      <c r="I38" s="546"/>
      <c r="J38" s="546"/>
      <c r="K38" s="546"/>
      <c r="L38" s="546"/>
      <c r="M38" s="546"/>
      <c r="N38" s="546"/>
      <c r="O38" s="546"/>
      <c r="P38" s="546"/>
      <c r="Q38" s="546"/>
      <c r="R38" s="546"/>
      <c r="S38" s="546"/>
      <c r="T38" s="546"/>
      <c r="U38" s="547"/>
      <c r="V38" s="546"/>
      <c r="W38" s="546"/>
      <c r="X38" s="553"/>
      <c r="Y38" s="546"/>
      <c r="Z38" s="546"/>
      <c r="AA38" s="546"/>
      <c r="AB38" s="546"/>
      <c r="AN38" s="179"/>
      <c r="AO38" s="87"/>
      <c r="AP38" s="181"/>
      <c r="AQ38" s="181"/>
      <c r="AS38" s="548"/>
    </row>
    <row r="39" spans="2:45" x14ac:dyDescent="0.35">
      <c r="B39" s="84"/>
      <c r="D39" s="84"/>
      <c r="E39" s="546"/>
      <c r="F39" s="546"/>
      <c r="G39" s="546"/>
      <c r="H39" s="546"/>
      <c r="I39" s="546"/>
      <c r="J39" s="546"/>
      <c r="K39" s="546"/>
      <c r="L39" s="546"/>
      <c r="M39" s="546"/>
      <c r="N39" s="546"/>
      <c r="O39" s="546"/>
      <c r="P39" s="546"/>
      <c r="Q39" s="546"/>
      <c r="R39" s="546"/>
      <c r="S39" s="546"/>
      <c r="T39" s="546"/>
      <c r="U39" s="547"/>
      <c r="V39" s="546"/>
      <c r="W39" s="546"/>
      <c r="X39" s="553"/>
      <c r="Y39" s="546"/>
      <c r="Z39" s="546"/>
      <c r="AA39" s="546"/>
      <c r="AB39" s="546"/>
      <c r="AN39" s="179"/>
      <c r="AO39" s="87"/>
      <c r="AP39" s="181"/>
      <c r="AQ39" s="181"/>
      <c r="AS39" s="548"/>
    </row>
    <row r="40" spans="2:45" s="64" customFormat="1" ht="13.5" x14ac:dyDescent="0.35">
      <c r="B40" s="130"/>
      <c r="C40" s="64" t="s">
        <v>548</v>
      </c>
      <c r="D40" s="130" t="s">
        <v>549</v>
      </c>
      <c r="E40" s="555"/>
      <c r="F40" s="555"/>
      <c r="G40" s="555"/>
      <c r="H40" s="555"/>
      <c r="I40" s="555"/>
      <c r="J40" s="555"/>
      <c r="K40" s="555"/>
      <c r="L40" s="555"/>
      <c r="M40" s="555"/>
      <c r="N40" s="555"/>
      <c r="O40" s="555"/>
      <c r="P40" s="555"/>
      <c r="Q40" s="555"/>
      <c r="R40" s="555"/>
      <c r="S40" s="555"/>
      <c r="T40" s="555"/>
      <c r="U40" s="556"/>
      <c r="V40" s="555"/>
      <c r="W40" s="555"/>
      <c r="Y40" s="554" t="s">
        <v>548</v>
      </c>
      <c r="Z40" s="554" t="s">
        <v>550</v>
      </c>
      <c r="AA40" s="555"/>
      <c r="AB40" s="555"/>
      <c r="AN40" s="557"/>
      <c r="AO40" s="88"/>
      <c r="AS40" s="523"/>
    </row>
    <row r="41" spans="2:45" x14ac:dyDescent="0.35">
      <c r="B41" s="84"/>
      <c r="D41" s="84"/>
      <c r="E41" s="546"/>
      <c r="F41" s="546"/>
      <c r="G41" s="546"/>
      <c r="H41" s="546"/>
      <c r="I41" s="546"/>
      <c r="J41" s="546"/>
      <c r="K41" s="546"/>
      <c r="L41" s="546"/>
      <c r="M41" s="546"/>
      <c r="N41" s="546"/>
      <c r="O41" s="546"/>
      <c r="P41" s="546"/>
      <c r="Q41" s="546"/>
      <c r="R41" s="546"/>
      <c r="S41" s="546"/>
      <c r="T41" s="546"/>
      <c r="U41" s="547"/>
      <c r="V41" s="546"/>
      <c r="W41" s="546"/>
      <c r="X41" s="553"/>
      <c r="Y41" s="546"/>
      <c r="Z41" s="546"/>
      <c r="AA41" s="546"/>
      <c r="AB41" s="546"/>
      <c r="AN41" s="179"/>
      <c r="AO41" s="87"/>
      <c r="AP41" s="181"/>
      <c r="AQ41" s="181"/>
      <c r="AS41" s="548"/>
    </row>
    <row r="42" spans="2:45" x14ac:dyDescent="0.35">
      <c r="B42" s="84"/>
      <c r="D42" s="84"/>
      <c r="E42" s="546"/>
      <c r="F42" s="546"/>
      <c r="G42" s="546"/>
      <c r="H42" s="546"/>
      <c r="I42" s="546"/>
      <c r="J42" s="546"/>
      <c r="K42" s="546"/>
      <c r="L42" s="546"/>
      <c r="M42" s="546"/>
      <c r="N42" s="546"/>
      <c r="O42" s="546"/>
      <c r="P42" s="546"/>
      <c r="Q42" s="546"/>
      <c r="R42" s="546"/>
      <c r="S42" s="546"/>
      <c r="T42" s="546"/>
      <c r="U42" s="547"/>
      <c r="V42" s="546"/>
      <c r="W42" s="546"/>
      <c r="X42" s="553"/>
      <c r="Y42" s="546"/>
      <c r="Z42" s="546"/>
      <c r="AA42" s="546"/>
      <c r="AB42" s="546"/>
      <c r="AN42" s="179"/>
      <c r="AO42" s="87"/>
      <c r="AP42" s="181"/>
      <c r="AQ42" s="181"/>
      <c r="AS42" s="548"/>
    </row>
    <row r="43" spans="2:45" x14ac:dyDescent="0.35">
      <c r="B43" s="84"/>
      <c r="D43" s="84"/>
      <c r="E43" s="546"/>
      <c r="F43" s="546"/>
      <c r="G43" s="546"/>
      <c r="H43" s="546"/>
      <c r="I43" s="546"/>
      <c r="J43" s="546"/>
      <c r="K43" s="546"/>
      <c r="L43" s="546"/>
      <c r="M43" s="546"/>
      <c r="N43" s="546"/>
      <c r="O43" s="546"/>
      <c r="P43" s="546"/>
      <c r="Q43" s="546"/>
      <c r="R43" s="546"/>
      <c r="S43" s="546"/>
      <c r="T43" s="546"/>
      <c r="U43" s="547"/>
      <c r="V43" s="546"/>
      <c r="W43" s="546"/>
      <c r="X43" s="553"/>
      <c r="Y43" s="546"/>
      <c r="Z43" s="546"/>
      <c r="AA43" s="546"/>
      <c r="AB43" s="546"/>
      <c r="AN43" s="179"/>
      <c r="AO43" s="87"/>
      <c r="AP43" s="181"/>
      <c r="AQ43" s="181"/>
      <c r="AS43" s="548"/>
    </row>
    <row r="44" spans="2:45" x14ac:dyDescent="0.35">
      <c r="B44" s="84"/>
      <c r="D44" s="84"/>
      <c r="E44" s="546"/>
      <c r="F44" s="546"/>
      <c r="G44" s="546"/>
      <c r="H44" s="546"/>
      <c r="I44" s="546"/>
      <c r="J44" s="546"/>
      <c r="K44" s="546"/>
      <c r="L44" s="546"/>
      <c r="M44" s="546"/>
      <c r="N44" s="546"/>
      <c r="O44" s="546"/>
      <c r="P44" s="546"/>
      <c r="Q44" s="546"/>
      <c r="R44" s="546"/>
      <c r="S44" s="546"/>
      <c r="T44" s="546"/>
      <c r="U44" s="547"/>
      <c r="V44" s="546"/>
      <c r="W44" s="546"/>
      <c r="X44" s="553"/>
      <c r="Y44" s="546"/>
      <c r="Z44" s="546"/>
      <c r="AA44" s="546"/>
      <c r="AB44" s="546"/>
      <c r="AN44" s="179"/>
      <c r="AO44" s="87"/>
      <c r="AP44" s="181"/>
      <c r="AQ44" s="181"/>
      <c r="AS44" s="548"/>
    </row>
    <row r="45" spans="2:45" x14ac:dyDescent="0.35">
      <c r="B45" s="84"/>
      <c r="D45" s="84"/>
      <c r="E45" s="546"/>
      <c r="F45" s="546"/>
      <c r="G45" s="546"/>
      <c r="H45" s="546"/>
      <c r="I45" s="546"/>
      <c r="J45" s="546"/>
      <c r="K45" s="546"/>
      <c r="L45" s="546"/>
      <c r="M45" s="546"/>
      <c r="N45" s="546"/>
      <c r="O45" s="546"/>
      <c r="P45" s="546"/>
      <c r="Q45" s="546"/>
      <c r="R45" s="546"/>
      <c r="S45" s="546"/>
      <c r="T45" s="546"/>
      <c r="U45" s="547"/>
      <c r="V45" s="546"/>
      <c r="W45" s="546"/>
      <c r="X45" s="553"/>
      <c r="Y45" s="546"/>
      <c r="Z45" s="546"/>
      <c r="AA45" s="546"/>
      <c r="AB45" s="546"/>
      <c r="AN45" s="179"/>
      <c r="AO45" s="87"/>
      <c r="AP45" s="181"/>
      <c r="AQ45" s="181"/>
      <c r="AS45" s="548"/>
    </row>
    <row r="46" spans="2:45" x14ac:dyDescent="0.35">
      <c r="B46" s="84"/>
      <c r="D46" s="84"/>
      <c r="E46" s="546"/>
      <c r="F46" s="546"/>
      <c r="G46" s="546"/>
      <c r="H46" s="546"/>
      <c r="I46" s="546"/>
      <c r="J46" s="546"/>
      <c r="K46" s="546"/>
      <c r="L46" s="546"/>
      <c r="M46" s="546"/>
      <c r="N46" s="546"/>
      <c r="O46" s="546"/>
      <c r="P46" s="546"/>
      <c r="Q46" s="546"/>
      <c r="R46" s="546"/>
      <c r="S46" s="546"/>
      <c r="T46" s="546"/>
      <c r="U46" s="547"/>
      <c r="V46" s="546"/>
      <c r="W46" s="546"/>
      <c r="X46" s="553"/>
      <c r="Y46" s="546"/>
      <c r="Z46" s="546"/>
      <c r="AA46" s="546"/>
      <c r="AB46" s="546"/>
      <c r="AN46" s="179"/>
      <c r="AO46" s="87"/>
      <c r="AP46" s="181"/>
      <c r="AQ46" s="181"/>
      <c r="AS46" s="548"/>
    </row>
    <row r="47" spans="2:45" ht="13.5" x14ac:dyDescent="0.35">
      <c r="B47" s="84"/>
      <c r="C47" s="64" t="s">
        <v>551</v>
      </c>
      <c r="D47" s="64" t="s">
        <v>199</v>
      </c>
      <c r="E47" s="546"/>
      <c r="F47" s="546"/>
      <c r="G47" s="546"/>
      <c r="H47" s="546"/>
      <c r="I47" s="546"/>
      <c r="J47" s="546"/>
      <c r="K47" s="546"/>
      <c r="L47" s="546"/>
      <c r="M47" s="546"/>
      <c r="N47" s="546"/>
      <c r="O47" s="546"/>
      <c r="P47" s="546"/>
      <c r="Q47" s="546"/>
      <c r="R47" s="546"/>
      <c r="S47" s="546"/>
      <c r="T47" s="546"/>
      <c r="U47" s="547"/>
      <c r="V47" s="546"/>
      <c r="W47" s="546"/>
      <c r="Y47" s="553" t="s">
        <v>551</v>
      </c>
      <c r="Z47" s="554" t="s">
        <v>200</v>
      </c>
      <c r="AA47" s="546"/>
      <c r="AB47" s="546"/>
      <c r="AN47" s="179"/>
      <c r="AO47" s="87"/>
      <c r="AP47" s="181"/>
      <c r="AQ47" s="181"/>
      <c r="AS47" s="548"/>
    </row>
    <row r="48" spans="2:45" x14ac:dyDescent="0.35">
      <c r="B48" s="84"/>
      <c r="D48" s="84"/>
      <c r="E48" s="546"/>
      <c r="F48" s="546"/>
      <c r="G48" s="546"/>
      <c r="H48" s="546"/>
      <c r="I48" s="546"/>
      <c r="J48" s="546"/>
      <c r="K48" s="546"/>
      <c r="L48" s="546"/>
      <c r="M48" s="546"/>
      <c r="N48" s="546"/>
      <c r="O48" s="546"/>
      <c r="P48" s="546"/>
      <c r="Q48" s="546"/>
      <c r="R48" s="546"/>
      <c r="S48" s="546"/>
      <c r="T48" s="546"/>
      <c r="U48" s="547"/>
      <c r="V48" s="546"/>
      <c r="W48" s="546"/>
      <c r="X48" s="546"/>
      <c r="Y48" s="546"/>
      <c r="Z48" s="546"/>
      <c r="AA48" s="546"/>
      <c r="AB48" s="546"/>
      <c r="AN48" s="179"/>
      <c r="AO48" s="87"/>
      <c r="AP48" s="181"/>
      <c r="AQ48" s="181"/>
      <c r="AS48" s="548"/>
    </row>
    <row r="49" spans="1:45" x14ac:dyDescent="0.35">
      <c r="B49" s="84"/>
      <c r="D49" s="84"/>
      <c r="E49" s="546"/>
      <c r="F49" s="546"/>
      <c r="G49" s="546"/>
      <c r="H49" s="546"/>
      <c r="I49" s="546"/>
      <c r="J49" s="546"/>
      <c r="K49" s="546"/>
      <c r="L49" s="546"/>
      <c r="M49" s="546"/>
      <c r="N49" s="546"/>
      <c r="O49" s="546"/>
      <c r="P49" s="546"/>
      <c r="Q49" s="546"/>
      <c r="R49" s="546"/>
      <c r="S49" s="546"/>
      <c r="T49" s="546"/>
      <c r="U49" s="547"/>
      <c r="V49" s="546"/>
      <c r="W49" s="546"/>
      <c r="X49" s="546"/>
      <c r="Y49" s="546"/>
      <c r="Z49" s="546"/>
      <c r="AA49" s="546"/>
      <c r="AB49" s="546"/>
      <c r="AN49" s="179"/>
      <c r="AO49" s="87"/>
      <c r="AP49" s="181"/>
      <c r="AQ49" s="181"/>
      <c r="AS49" s="548"/>
    </row>
    <row r="50" spans="1:45" x14ac:dyDescent="0.35">
      <c r="B50" s="84"/>
      <c r="D50" s="84"/>
      <c r="E50" s="546"/>
      <c r="F50" s="546"/>
      <c r="G50" s="546"/>
      <c r="H50" s="546"/>
      <c r="I50" s="546"/>
      <c r="J50" s="546"/>
      <c r="K50" s="546"/>
      <c r="L50" s="546"/>
      <c r="M50" s="546"/>
      <c r="N50" s="546"/>
      <c r="O50" s="546"/>
      <c r="P50" s="546"/>
      <c r="Q50" s="546"/>
      <c r="R50" s="546"/>
      <c r="S50" s="546"/>
      <c r="T50" s="546"/>
      <c r="U50" s="547"/>
      <c r="V50" s="546"/>
      <c r="W50" s="546"/>
      <c r="X50" s="546"/>
      <c r="Y50" s="546"/>
      <c r="Z50" s="546"/>
      <c r="AA50" s="546"/>
      <c r="AB50" s="546"/>
      <c r="AN50" s="179"/>
      <c r="AO50" s="87"/>
      <c r="AP50" s="181"/>
      <c r="AQ50" s="181"/>
      <c r="AS50" s="548"/>
    </row>
    <row r="51" spans="1:45" x14ac:dyDescent="0.35">
      <c r="B51" s="84"/>
      <c r="D51" s="84"/>
      <c r="E51" s="546"/>
      <c r="F51" s="546"/>
      <c r="G51" s="546"/>
      <c r="H51" s="546"/>
      <c r="I51" s="546"/>
      <c r="J51" s="546"/>
      <c r="K51" s="546"/>
      <c r="L51" s="546"/>
      <c r="M51" s="546"/>
      <c r="N51" s="546"/>
      <c r="O51" s="546"/>
      <c r="P51" s="546"/>
      <c r="Q51" s="546"/>
      <c r="R51" s="546"/>
      <c r="S51" s="546"/>
      <c r="T51" s="546"/>
      <c r="U51" s="547"/>
      <c r="V51" s="546"/>
      <c r="W51" s="546"/>
      <c r="X51" s="546"/>
      <c r="Y51" s="546"/>
      <c r="Z51" s="546"/>
      <c r="AA51" s="546"/>
      <c r="AB51" s="546"/>
      <c r="AN51" s="179"/>
      <c r="AO51" s="87"/>
      <c r="AP51" s="181"/>
      <c r="AQ51" s="181"/>
      <c r="AS51" s="548"/>
    </row>
    <row r="52" spans="1:45" x14ac:dyDescent="0.35">
      <c r="B52" s="84"/>
      <c r="D52" s="84"/>
      <c r="E52" s="546"/>
      <c r="F52" s="546"/>
      <c r="G52" s="546"/>
      <c r="H52" s="546"/>
      <c r="I52" s="546"/>
      <c r="J52" s="546"/>
      <c r="K52" s="546"/>
      <c r="L52" s="546"/>
      <c r="M52" s="546"/>
      <c r="N52" s="546"/>
      <c r="O52" s="546"/>
      <c r="P52" s="546"/>
      <c r="Q52" s="546"/>
      <c r="R52" s="546"/>
      <c r="S52" s="546"/>
      <c r="T52" s="546"/>
      <c r="U52" s="547"/>
      <c r="V52" s="546"/>
      <c r="W52" s="546"/>
      <c r="X52" s="546"/>
      <c r="Y52" s="546"/>
      <c r="Z52" s="546"/>
      <c r="AA52" s="546"/>
      <c r="AB52" s="546"/>
      <c r="AN52" s="179"/>
      <c r="AO52" s="87"/>
      <c r="AP52" s="181"/>
      <c r="AQ52" s="181"/>
      <c r="AS52" s="548"/>
    </row>
    <row r="53" spans="1:45" x14ac:dyDescent="0.35">
      <c r="B53" s="84"/>
      <c r="D53" s="84"/>
      <c r="E53" s="546"/>
      <c r="F53" s="546"/>
      <c r="G53" s="546"/>
      <c r="H53" s="546"/>
      <c r="I53" s="546"/>
      <c r="J53" s="546"/>
      <c r="K53" s="546"/>
      <c r="L53" s="546"/>
      <c r="M53" s="546"/>
      <c r="N53" s="546"/>
      <c r="O53" s="546"/>
      <c r="P53" s="546"/>
      <c r="Q53" s="546"/>
      <c r="R53" s="546"/>
      <c r="S53" s="546"/>
      <c r="T53" s="546"/>
      <c r="U53" s="547"/>
      <c r="V53" s="546"/>
      <c r="W53" s="546"/>
      <c r="X53" s="546"/>
      <c r="Y53" s="546"/>
      <c r="Z53" s="546"/>
      <c r="AA53" s="546"/>
      <c r="AB53" s="546"/>
      <c r="AN53" s="179"/>
      <c r="AO53" s="87"/>
      <c r="AP53" s="181"/>
      <c r="AQ53" s="181"/>
      <c r="AS53" s="548"/>
    </row>
    <row r="54" spans="1:45" x14ac:dyDescent="0.35">
      <c r="B54" s="84"/>
      <c r="D54" s="84"/>
      <c r="E54" s="546"/>
      <c r="F54" s="546"/>
      <c r="G54" s="546"/>
      <c r="H54" s="546"/>
      <c r="I54" s="546"/>
      <c r="J54" s="546"/>
      <c r="K54" s="546"/>
      <c r="L54" s="546"/>
      <c r="M54" s="546"/>
      <c r="N54" s="546"/>
      <c r="O54" s="546"/>
      <c r="P54" s="546"/>
      <c r="Q54" s="546"/>
      <c r="R54" s="546"/>
      <c r="S54" s="546"/>
      <c r="T54" s="546"/>
      <c r="U54" s="547"/>
      <c r="V54" s="546"/>
      <c r="W54" s="546"/>
      <c r="X54" s="546"/>
      <c r="Y54" s="546"/>
      <c r="Z54" s="546"/>
      <c r="AA54" s="546"/>
      <c r="AB54" s="546"/>
      <c r="AN54" s="179"/>
      <c r="AO54" s="87"/>
      <c r="AP54" s="181"/>
      <c r="AQ54" s="181"/>
      <c r="AS54" s="548"/>
    </row>
    <row r="55" spans="1:45" x14ac:dyDescent="0.35">
      <c r="B55" s="84"/>
      <c r="D55" s="84"/>
      <c r="E55" s="546"/>
      <c r="F55" s="546"/>
      <c r="G55" s="546"/>
      <c r="H55" s="546"/>
      <c r="I55" s="546"/>
      <c r="J55" s="546"/>
      <c r="K55" s="546"/>
      <c r="L55" s="546"/>
      <c r="M55" s="546"/>
      <c r="N55" s="546"/>
      <c r="O55" s="546"/>
      <c r="P55" s="546"/>
      <c r="Q55" s="546"/>
      <c r="R55" s="546"/>
      <c r="S55" s="546"/>
      <c r="T55" s="546"/>
      <c r="U55" s="547"/>
      <c r="V55" s="546"/>
      <c r="W55" s="546"/>
      <c r="X55" s="546"/>
      <c r="Y55" s="546"/>
      <c r="Z55" s="546"/>
      <c r="AA55" s="546"/>
      <c r="AB55" s="546"/>
      <c r="AN55" s="179"/>
      <c r="AO55" s="87"/>
      <c r="AP55" s="181"/>
      <c r="AQ55" s="181"/>
      <c r="AS55" s="548"/>
    </row>
    <row r="56" spans="1:45" x14ac:dyDescent="0.35">
      <c r="B56" s="84"/>
      <c r="D56" s="84"/>
      <c r="E56" s="546"/>
      <c r="F56" s="546"/>
      <c r="G56" s="546"/>
      <c r="H56" s="546"/>
      <c r="I56" s="546"/>
      <c r="J56" s="546"/>
      <c r="K56" s="546"/>
      <c r="L56" s="546"/>
      <c r="M56" s="546"/>
      <c r="N56" s="546"/>
      <c r="O56" s="546"/>
      <c r="P56" s="546"/>
      <c r="Q56" s="546"/>
      <c r="R56" s="546"/>
      <c r="S56" s="546"/>
      <c r="T56" s="546"/>
      <c r="U56" s="547"/>
      <c r="V56" s="546"/>
      <c r="W56" s="546"/>
      <c r="X56" s="546"/>
      <c r="Y56" s="546"/>
      <c r="Z56" s="546"/>
      <c r="AA56" s="546"/>
      <c r="AB56" s="546"/>
      <c r="AN56" s="179"/>
      <c r="AO56" s="87"/>
      <c r="AP56" s="181"/>
      <c r="AQ56" s="181"/>
      <c r="AS56" s="548"/>
    </row>
    <row r="57" spans="1:45" x14ac:dyDescent="0.35">
      <c r="B57" s="84"/>
      <c r="D57" s="84"/>
      <c r="E57" s="546"/>
      <c r="F57" s="546"/>
      <c r="G57" s="546"/>
      <c r="H57" s="546"/>
      <c r="I57" s="546"/>
      <c r="J57" s="546"/>
      <c r="K57" s="546"/>
      <c r="L57" s="546"/>
      <c r="M57" s="546"/>
      <c r="N57" s="546"/>
      <c r="O57" s="546"/>
      <c r="P57" s="546"/>
      <c r="Q57" s="546"/>
      <c r="R57" s="546"/>
      <c r="S57" s="546"/>
      <c r="T57" s="546"/>
      <c r="U57" s="547"/>
      <c r="V57" s="546"/>
      <c r="W57" s="546"/>
      <c r="X57" s="546"/>
      <c r="Y57" s="546"/>
      <c r="Z57" s="546"/>
      <c r="AA57" s="546"/>
      <c r="AB57" s="546"/>
      <c r="AN57" s="179"/>
      <c r="AO57" s="87"/>
      <c r="AP57" s="181"/>
      <c r="AQ57" s="181"/>
      <c r="AS57" s="548"/>
    </row>
    <row r="58" spans="1:45" s="64" customFormat="1" ht="13.5" x14ac:dyDescent="0.35">
      <c r="A58" s="181"/>
      <c r="B58" s="130"/>
      <c r="C58" s="64" t="s">
        <v>552</v>
      </c>
      <c r="D58" s="130" t="s">
        <v>553</v>
      </c>
      <c r="E58" s="555"/>
      <c r="F58" s="555"/>
      <c r="G58" s="555"/>
      <c r="H58" s="555"/>
      <c r="I58" s="555"/>
      <c r="J58" s="555"/>
      <c r="K58" s="555"/>
      <c r="L58" s="555"/>
      <c r="M58" s="555"/>
      <c r="N58" s="555"/>
      <c r="O58" s="555"/>
      <c r="P58" s="555"/>
      <c r="Q58" s="555"/>
      <c r="R58" s="555"/>
      <c r="S58" s="555"/>
      <c r="T58" s="555"/>
      <c r="U58" s="556"/>
      <c r="V58" s="555"/>
      <c r="W58" s="555"/>
      <c r="Y58" s="554" t="s">
        <v>552</v>
      </c>
      <c r="Z58" s="554" t="s">
        <v>554</v>
      </c>
      <c r="AA58" s="555"/>
      <c r="AB58" s="555"/>
      <c r="AN58" s="557"/>
      <c r="AO58" s="88"/>
      <c r="AS58" s="523"/>
    </row>
    <row r="59" spans="1:45" x14ac:dyDescent="0.35">
      <c r="B59" s="84"/>
      <c r="D59" s="84"/>
      <c r="E59" s="546"/>
      <c r="F59" s="546"/>
      <c r="G59" s="546"/>
      <c r="H59" s="546"/>
      <c r="I59" s="546"/>
      <c r="J59" s="546"/>
      <c r="K59" s="546"/>
      <c r="L59" s="546"/>
      <c r="M59" s="546"/>
      <c r="N59" s="546"/>
      <c r="O59" s="546"/>
      <c r="P59" s="546"/>
      <c r="Q59" s="546"/>
      <c r="R59" s="546"/>
      <c r="S59" s="546"/>
      <c r="T59" s="546"/>
      <c r="U59" s="547"/>
      <c r="V59" s="546"/>
      <c r="W59" s="546"/>
      <c r="X59" s="546"/>
      <c r="Y59" s="546"/>
      <c r="Z59" s="546"/>
      <c r="AA59" s="546"/>
      <c r="AB59" s="546"/>
      <c r="AN59" s="179"/>
      <c r="AO59" s="87"/>
      <c r="AP59" s="181"/>
      <c r="AQ59" s="181"/>
      <c r="AS59" s="548"/>
    </row>
    <row r="60" spans="1:45" x14ac:dyDescent="0.35">
      <c r="B60" s="84"/>
      <c r="D60" s="84"/>
      <c r="E60" s="546"/>
      <c r="F60" s="546"/>
      <c r="G60" s="546"/>
      <c r="H60" s="546"/>
      <c r="I60" s="546"/>
      <c r="J60" s="546"/>
      <c r="K60" s="546"/>
      <c r="L60" s="546"/>
      <c r="M60" s="546"/>
      <c r="N60" s="546"/>
      <c r="O60" s="546"/>
      <c r="P60" s="546"/>
      <c r="Q60" s="546"/>
      <c r="R60" s="546"/>
      <c r="S60" s="546"/>
      <c r="T60" s="546"/>
      <c r="U60" s="547"/>
      <c r="V60" s="546"/>
      <c r="W60" s="546"/>
      <c r="X60" s="546"/>
      <c r="Y60" s="546"/>
      <c r="Z60" s="546"/>
      <c r="AA60" s="546"/>
      <c r="AB60" s="546"/>
      <c r="AN60" s="179"/>
      <c r="AO60" s="87"/>
      <c r="AP60" s="181"/>
      <c r="AQ60" s="181"/>
      <c r="AS60" s="548"/>
    </row>
    <row r="61" spans="1:45" x14ac:dyDescent="0.35">
      <c r="B61" s="84"/>
      <c r="D61" s="84"/>
      <c r="E61" s="546"/>
      <c r="F61" s="546"/>
      <c r="G61" s="546"/>
      <c r="H61" s="546"/>
      <c r="I61" s="546"/>
      <c r="J61" s="546"/>
      <c r="K61" s="546"/>
      <c r="L61" s="546"/>
      <c r="M61" s="546"/>
      <c r="N61" s="546"/>
      <c r="O61" s="546"/>
      <c r="P61" s="546"/>
      <c r="Q61" s="546"/>
      <c r="R61" s="546"/>
      <c r="S61" s="546"/>
      <c r="T61" s="546"/>
      <c r="U61" s="547"/>
      <c r="V61" s="546"/>
      <c r="W61" s="546"/>
      <c r="X61" s="546"/>
      <c r="Y61" s="546"/>
      <c r="Z61" s="546"/>
      <c r="AA61" s="546"/>
      <c r="AB61" s="546"/>
      <c r="AN61" s="179"/>
      <c r="AO61" s="87"/>
      <c r="AP61" s="181"/>
      <c r="AQ61" s="181"/>
      <c r="AS61" s="548"/>
    </row>
    <row r="62" spans="1:45" x14ac:dyDescent="0.35">
      <c r="B62" s="84"/>
      <c r="D62" s="84"/>
      <c r="E62" s="546"/>
      <c r="F62" s="546"/>
      <c r="G62" s="546"/>
      <c r="H62" s="546"/>
      <c r="I62" s="546"/>
      <c r="J62" s="546"/>
      <c r="K62" s="546"/>
      <c r="L62" s="546"/>
      <c r="M62" s="546"/>
      <c r="N62" s="546"/>
      <c r="O62" s="546"/>
      <c r="P62" s="546"/>
      <c r="Q62" s="546"/>
      <c r="R62" s="546"/>
      <c r="S62" s="546"/>
      <c r="T62" s="546"/>
      <c r="U62" s="547"/>
      <c r="V62" s="546"/>
      <c r="W62" s="546"/>
      <c r="X62" s="546"/>
      <c r="Y62" s="546"/>
      <c r="Z62" s="546"/>
      <c r="AA62" s="546"/>
      <c r="AB62" s="546"/>
      <c r="AN62" s="179"/>
      <c r="AO62" s="87"/>
      <c r="AP62" s="181"/>
      <c r="AQ62" s="181"/>
      <c r="AS62" s="548"/>
    </row>
    <row r="63" spans="1:45" x14ac:dyDescent="0.35">
      <c r="B63" s="84"/>
      <c r="D63" s="84"/>
      <c r="E63" s="546"/>
      <c r="F63" s="546"/>
      <c r="G63" s="546"/>
      <c r="H63" s="546"/>
      <c r="I63" s="546"/>
      <c r="J63" s="546"/>
      <c r="K63" s="546"/>
      <c r="L63" s="546"/>
      <c r="M63" s="546"/>
      <c r="N63" s="546"/>
      <c r="O63" s="546"/>
      <c r="P63" s="546"/>
      <c r="Q63" s="546"/>
      <c r="R63" s="546"/>
      <c r="S63" s="546"/>
      <c r="T63" s="546"/>
      <c r="U63" s="547"/>
      <c r="V63" s="546"/>
      <c r="W63" s="546"/>
      <c r="X63" s="546"/>
      <c r="Y63" s="546"/>
      <c r="Z63" s="546"/>
      <c r="AA63" s="546"/>
      <c r="AB63" s="546"/>
      <c r="AN63" s="179"/>
      <c r="AO63" s="87"/>
      <c r="AP63" s="181"/>
      <c r="AQ63" s="181"/>
      <c r="AS63" s="548"/>
    </row>
    <row r="64" spans="1:45" x14ac:dyDescent="0.35">
      <c r="B64" s="84"/>
      <c r="D64" s="84"/>
      <c r="E64" s="546"/>
      <c r="F64" s="546"/>
      <c r="G64" s="546"/>
      <c r="H64" s="546"/>
      <c r="I64" s="546"/>
      <c r="J64" s="546"/>
      <c r="K64" s="546"/>
      <c r="L64" s="546"/>
      <c r="M64" s="546"/>
      <c r="N64" s="546"/>
      <c r="O64" s="546"/>
      <c r="P64" s="546"/>
      <c r="Q64" s="546"/>
      <c r="R64" s="546"/>
      <c r="S64" s="546"/>
      <c r="T64" s="546"/>
      <c r="U64" s="547"/>
      <c r="V64" s="546"/>
      <c r="W64" s="546"/>
      <c r="X64" s="546"/>
      <c r="Y64" s="546"/>
      <c r="Z64" s="546"/>
      <c r="AA64" s="546"/>
      <c r="AB64" s="546"/>
      <c r="AN64" s="179"/>
      <c r="AO64" s="87"/>
      <c r="AP64" s="181"/>
      <c r="AQ64" s="181"/>
      <c r="AS64" s="548"/>
    </row>
    <row r="65" spans="2:45" x14ac:dyDescent="0.35">
      <c r="B65" s="84"/>
      <c r="D65" s="84"/>
      <c r="E65" s="546"/>
      <c r="F65" s="546"/>
      <c r="G65" s="546"/>
      <c r="H65" s="546"/>
      <c r="I65" s="546"/>
      <c r="J65" s="546"/>
      <c r="K65" s="546"/>
      <c r="L65" s="546"/>
      <c r="M65" s="546"/>
      <c r="N65" s="546"/>
      <c r="O65" s="546"/>
      <c r="P65" s="546"/>
      <c r="Q65" s="546"/>
      <c r="R65" s="546"/>
      <c r="S65" s="546"/>
      <c r="T65" s="546"/>
      <c r="U65" s="547"/>
      <c r="V65" s="546"/>
      <c r="W65" s="546"/>
      <c r="X65" s="546"/>
      <c r="Y65" s="546"/>
      <c r="Z65" s="546"/>
      <c r="AA65" s="546"/>
      <c r="AB65" s="546"/>
      <c r="AN65" s="179"/>
      <c r="AO65" s="87"/>
      <c r="AP65" s="181"/>
      <c r="AQ65" s="181"/>
      <c r="AS65" s="548"/>
    </row>
    <row r="66" spans="2:45" x14ac:dyDescent="0.35">
      <c r="B66" s="84"/>
      <c r="D66" s="84"/>
      <c r="E66" s="546"/>
      <c r="F66" s="546"/>
      <c r="G66" s="546"/>
      <c r="H66" s="546"/>
      <c r="I66" s="546"/>
      <c r="J66" s="546"/>
      <c r="K66" s="546"/>
      <c r="L66" s="546"/>
      <c r="M66" s="546"/>
      <c r="N66" s="546"/>
      <c r="O66" s="546"/>
      <c r="P66" s="546"/>
      <c r="Q66" s="546"/>
      <c r="R66" s="546"/>
      <c r="S66" s="546"/>
      <c r="T66" s="546"/>
      <c r="U66" s="547"/>
      <c r="V66" s="546"/>
      <c r="W66" s="546"/>
      <c r="X66" s="546"/>
      <c r="Y66" s="546"/>
      <c r="Z66" s="546"/>
      <c r="AA66" s="546"/>
      <c r="AB66" s="546"/>
      <c r="AN66" s="179"/>
      <c r="AO66" s="87"/>
      <c r="AP66" s="181"/>
      <c r="AQ66" s="181"/>
      <c r="AS66" s="548"/>
    </row>
    <row r="67" spans="2:45" x14ac:dyDescent="0.35">
      <c r="B67" s="84"/>
      <c r="D67" s="84"/>
      <c r="E67" s="546"/>
      <c r="F67" s="546"/>
      <c r="G67" s="546"/>
      <c r="H67" s="546"/>
      <c r="I67" s="546"/>
      <c r="J67" s="546"/>
      <c r="K67" s="546"/>
      <c r="L67" s="546"/>
      <c r="M67" s="546"/>
      <c r="N67" s="546"/>
      <c r="O67" s="546"/>
      <c r="P67" s="546"/>
      <c r="Q67" s="546"/>
      <c r="R67" s="546"/>
      <c r="S67" s="546"/>
      <c r="T67" s="3448" t="s">
        <v>555</v>
      </c>
      <c r="U67" s="3448"/>
      <c r="V67" s="3448"/>
      <c r="W67" s="3448"/>
      <c r="X67" s="3448"/>
      <c r="Y67" s="3448"/>
      <c r="Z67" s="3448"/>
      <c r="AA67" s="546"/>
      <c r="AB67" s="546"/>
      <c r="AN67" s="179"/>
      <c r="AO67" s="87"/>
      <c r="AP67" s="181"/>
      <c r="AQ67" s="181"/>
      <c r="AS67" s="548"/>
    </row>
    <row r="68" spans="2:45" x14ac:dyDescent="0.35">
      <c r="B68" s="84"/>
      <c r="D68" s="84"/>
      <c r="E68" s="546"/>
      <c r="F68" s="546"/>
      <c r="G68" s="546"/>
      <c r="H68" s="546"/>
      <c r="I68" s="546"/>
      <c r="J68" s="546"/>
      <c r="K68" s="546"/>
      <c r="L68" s="546"/>
      <c r="M68" s="546"/>
      <c r="N68" s="546"/>
      <c r="O68" s="546"/>
      <c r="P68" s="546"/>
      <c r="Q68" s="546"/>
      <c r="R68" s="546"/>
      <c r="S68" s="546"/>
      <c r="T68" s="3448" t="s">
        <v>556</v>
      </c>
      <c r="U68" s="3448"/>
      <c r="V68" s="3448"/>
      <c r="W68" s="3448"/>
      <c r="X68" s="3448"/>
      <c r="Y68" s="3448"/>
      <c r="Z68" s="3448"/>
      <c r="AA68" s="546"/>
      <c r="AB68" s="546"/>
      <c r="AN68" s="179"/>
      <c r="AO68" s="87"/>
      <c r="AP68" s="181"/>
      <c r="AQ68" s="181"/>
      <c r="AS68" s="548"/>
    </row>
    <row r="69" spans="2:45" x14ac:dyDescent="0.35">
      <c r="B69" s="84"/>
      <c r="D69" s="84"/>
      <c r="E69" s="546"/>
      <c r="F69" s="546"/>
      <c r="G69" s="546"/>
      <c r="H69" s="546"/>
      <c r="I69" s="546"/>
      <c r="J69" s="546"/>
      <c r="K69" s="546"/>
      <c r="L69" s="546"/>
      <c r="M69" s="546"/>
      <c r="N69" s="546"/>
      <c r="O69" s="546"/>
      <c r="P69" s="546"/>
      <c r="Q69" s="546"/>
      <c r="R69" s="546"/>
      <c r="S69" s="546"/>
      <c r="U69" s="558"/>
      <c r="V69" s="558"/>
      <c r="W69" s="558"/>
      <c r="X69" s="558"/>
      <c r="Y69" s="558"/>
      <c r="Z69" s="558"/>
      <c r="AA69" s="546"/>
      <c r="AB69" s="546"/>
      <c r="AN69" s="179"/>
      <c r="AO69" s="87"/>
      <c r="AP69" s="181"/>
      <c r="AQ69" s="181"/>
      <c r="AS69" s="548"/>
    </row>
    <row r="70" spans="2:45" x14ac:dyDescent="0.35">
      <c r="B70" s="84"/>
      <c r="D70" s="84" t="s">
        <v>557</v>
      </c>
      <c r="E70" s="546"/>
      <c r="F70" s="546"/>
      <c r="G70" s="546"/>
      <c r="H70" s="546"/>
      <c r="I70" s="546"/>
      <c r="J70" s="546"/>
      <c r="K70" s="546"/>
      <c r="L70" s="546"/>
      <c r="M70" s="546"/>
      <c r="N70" s="546"/>
      <c r="O70" s="546"/>
      <c r="P70" s="546"/>
      <c r="Q70" s="546"/>
      <c r="R70" s="546"/>
      <c r="S70" s="546"/>
      <c r="T70" s="3448">
        <v>20</v>
      </c>
      <c r="U70" s="3448"/>
      <c r="V70" s="3448"/>
      <c r="W70" s="3448"/>
      <c r="X70" s="3448"/>
      <c r="Y70" s="3448"/>
      <c r="Z70" s="3448"/>
      <c r="AA70" s="546"/>
      <c r="AB70" s="546"/>
      <c r="AN70" s="87"/>
      <c r="AO70" s="87" t="s">
        <v>558</v>
      </c>
      <c r="AP70" s="181"/>
      <c r="AQ70" s="181"/>
      <c r="AS70" s="548"/>
    </row>
    <row r="71" spans="2:45" x14ac:dyDescent="0.35">
      <c r="B71" s="84"/>
      <c r="D71" s="84" t="s">
        <v>559</v>
      </c>
      <c r="E71" s="546"/>
      <c r="F71" s="546"/>
      <c r="G71" s="546"/>
      <c r="H71" s="546"/>
      <c r="I71" s="546"/>
      <c r="J71" s="546"/>
      <c r="K71" s="546"/>
      <c r="L71" s="546"/>
      <c r="M71" s="546"/>
      <c r="N71" s="546"/>
      <c r="O71" s="546"/>
      <c r="P71" s="546"/>
      <c r="Q71" s="546"/>
      <c r="R71" s="546"/>
      <c r="S71" s="546"/>
      <c r="T71" s="3753" t="s">
        <v>560</v>
      </c>
      <c r="U71" s="3448"/>
      <c r="V71" s="3448"/>
      <c r="W71" s="3448"/>
      <c r="X71" s="3448"/>
      <c r="Y71" s="3448"/>
      <c r="Z71" s="3448"/>
      <c r="AA71" s="546"/>
      <c r="AB71" s="546"/>
      <c r="AN71" s="87"/>
      <c r="AO71" s="87" t="s">
        <v>561</v>
      </c>
      <c r="AP71" s="181"/>
      <c r="AQ71" s="181"/>
      <c r="AS71" s="548"/>
    </row>
    <row r="72" spans="2:45" x14ac:dyDescent="0.35">
      <c r="B72" s="84"/>
      <c r="D72" s="84" t="s">
        <v>562</v>
      </c>
      <c r="E72" s="546"/>
      <c r="F72" s="546"/>
      <c r="G72" s="546"/>
      <c r="H72" s="546"/>
      <c r="I72" s="546"/>
      <c r="J72" s="546"/>
      <c r="K72" s="546"/>
      <c r="L72" s="546"/>
      <c r="M72" s="546"/>
      <c r="N72" s="546"/>
      <c r="O72" s="546"/>
      <c r="P72" s="546"/>
      <c r="Q72" s="546"/>
      <c r="R72" s="546"/>
      <c r="S72" s="546"/>
      <c r="T72" s="3448">
        <v>5</v>
      </c>
      <c r="U72" s="3448"/>
      <c r="V72" s="3448"/>
      <c r="W72" s="3448"/>
      <c r="X72" s="3448"/>
      <c r="Y72" s="3448"/>
      <c r="Z72" s="3448"/>
      <c r="AA72" s="546"/>
      <c r="AB72" s="546"/>
      <c r="AN72" s="87"/>
      <c r="AO72" s="87" t="s">
        <v>563</v>
      </c>
      <c r="AP72" s="181"/>
      <c r="AQ72" s="181"/>
      <c r="AS72" s="548"/>
    </row>
    <row r="73" spans="2:45" x14ac:dyDescent="0.35">
      <c r="B73" s="84"/>
      <c r="D73" s="84" t="s">
        <v>564</v>
      </c>
      <c r="E73" s="546"/>
      <c r="F73" s="546"/>
      <c r="G73" s="546"/>
      <c r="H73" s="546"/>
      <c r="I73" s="546"/>
      <c r="J73" s="546"/>
      <c r="K73" s="546"/>
      <c r="L73" s="546"/>
      <c r="M73" s="546"/>
      <c r="N73" s="546"/>
      <c r="O73" s="546"/>
      <c r="P73" s="546"/>
      <c r="Q73" s="546"/>
      <c r="R73" s="546"/>
      <c r="S73" s="546"/>
      <c r="T73" s="3448">
        <v>5</v>
      </c>
      <c r="U73" s="3448"/>
      <c r="V73" s="3448"/>
      <c r="W73" s="3448"/>
      <c r="X73" s="3448"/>
      <c r="Y73" s="3448"/>
      <c r="Z73" s="3448"/>
      <c r="AA73" s="546"/>
      <c r="AB73" s="546"/>
      <c r="AN73" s="87"/>
      <c r="AO73" s="87" t="s">
        <v>565</v>
      </c>
      <c r="AP73" s="181"/>
      <c r="AQ73" s="181"/>
      <c r="AS73" s="548"/>
    </row>
    <row r="74" spans="2:45" x14ac:dyDescent="0.35">
      <c r="B74" s="84"/>
      <c r="D74" s="84" t="s">
        <v>566</v>
      </c>
      <c r="E74" s="546"/>
      <c r="F74" s="546"/>
      <c r="G74" s="546"/>
      <c r="H74" s="546"/>
      <c r="I74" s="546"/>
      <c r="J74" s="546"/>
      <c r="K74" s="546"/>
      <c r="L74" s="546"/>
      <c r="M74" s="546"/>
      <c r="N74" s="546"/>
      <c r="O74" s="546"/>
      <c r="P74" s="546"/>
      <c r="Q74" s="546"/>
      <c r="R74" s="546"/>
      <c r="S74" s="546"/>
      <c r="T74" s="3448">
        <v>8</v>
      </c>
      <c r="U74" s="3448"/>
      <c r="V74" s="3448"/>
      <c r="W74" s="3448"/>
      <c r="X74" s="3448"/>
      <c r="Y74" s="3448"/>
      <c r="Z74" s="3448"/>
      <c r="AA74" s="546"/>
      <c r="AB74" s="546"/>
      <c r="AN74" s="87"/>
      <c r="AO74" s="87" t="s">
        <v>567</v>
      </c>
      <c r="AP74" s="181"/>
      <c r="AQ74" s="181"/>
      <c r="AS74" s="548"/>
    </row>
    <row r="75" spans="2:45" x14ac:dyDescent="0.35">
      <c r="B75" s="84"/>
      <c r="D75" s="84" t="s">
        <v>568</v>
      </c>
      <c r="E75" s="546"/>
      <c r="F75" s="546"/>
      <c r="G75" s="546"/>
      <c r="H75" s="546"/>
      <c r="I75" s="546"/>
      <c r="J75" s="546"/>
      <c r="K75" s="546"/>
      <c r="L75" s="546"/>
      <c r="M75" s="546"/>
      <c r="N75" s="546"/>
      <c r="O75" s="546"/>
      <c r="P75" s="546"/>
      <c r="Q75" s="546"/>
      <c r="R75" s="546"/>
      <c r="S75" s="546"/>
      <c r="T75" s="3448">
        <v>5</v>
      </c>
      <c r="U75" s="3448"/>
      <c r="V75" s="3448"/>
      <c r="W75" s="3448"/>
      <c r="X75" s="3448"/>
      <c r="Y75" s="3448"/>
      <c r="Z75" s="3448"/>
      <c r="AA75" s="546"/>
      <c r="AB75" s="546"/>
      <c r="AN75" s="87"/>
      <c r="AO75" s="87" t="s">
        <v>569</v>
      </c>
      <c r="AP75" s="181"/>
      <c r="AQ75" s="181"/>
      <c r="AS75" s="548"/>
    </row>
    <row r="76" spans="2:45" x14ac:dyDescent="0.35">
      <c r="B76" s="84"/>
      <c r="D76" s="84" t="s">
        <v>570</v>
      </c>
      <c r="E76" s="546"/>
      <c r="F76" s="546"/>
      <c r="G76" s="546"/>
      <c r="H76" s="546"/>
      <c r="I76" s="546"/>
      <c r="J76" s="546"/>
      <c r="K76" s="546"/>
      <c r="L76" s="546"/>
      <c r="M76" s="546"/>
      <c r="N76" s="546"/>
      <c r="O76" s="546"/>
      <c r="P76" s="546"/>
      <c r="Q76" s="546"/>
      <c r="R76" s="546"/>
      <c r="S76" s="546"/>
      <c r="T76" s="3448">
        <v>5</v>
      </c>
      <c r="U76" s="3448"/>
      <c r="V76" s="3448"/>
      <c r="W76" s="3448"/>
      <c r="X76" s="3448"/>
      <c r="Y76" s="3448"/>
      <c r="Z76" s="3448"/>
      <c r="AA76" s="546"/>
      <c r="AB76" s="546"/>
      <c r="AN76" s="87"/>
      <c r="AO76" s="87" t="s">
        <v>571</v>
      </c>
      <c r="AP76" s="181"/>
      <c r="AQ76" s="181"/>
      <c r="AS76" s="548"/>
    </row>
    <row r="77" spans="2:45" x14ac:dyDescent="0.35">
      <c r="B77" s="84"/>
      <c r="D77" s="84"/>
      <c r="E77" s="546"/>
      <c r="F77" s="546"/>
      <c r="G77" s="546"/>
      <c r="H77" s="546"/>
      <c r="I77" s="546"/>
      <c r="J77" s="546"/>
      <c r="K77" s="546"/>
      <c r="L77" s="546"/>
      <c r="M77" s="546"/>
      <c r="N77" s="546"/>
      <c r="O77" s="546"/>
      <c r="P77" s="546"/>
      <c r="Q77" s="546"/>
      <c r="R77" s="546"/>
      <c r="S77" s="546"/>
      <c r="T77" s="546"/>
      <c r="U77" s="547"/>
      <c r="V77" s="546"/>
      <c r="W77" s="546"/>
      <c r="X77" s="546"/>
      <c r="Y77" s="546"/>
      <c r="Z77" s="546"/>
      <c r="AA77" s="546"/>
      <c r="AB77" s="546"/>
      <c r="AN77" s="179"/>
      <c r="AO77" s="87"/>
      <c r="AP77" s="181"/>
      <c r="AQ77" s="181"/>
      <c r="AS77" s="548"/>
    </row>
    <row r="78" spans="2:45" x14ac:dyDescent="0.35">
      <c r="B78" s="84"/>
      <c r="D78" s="84"/>
      <c r="E78" s="546"/>
      <c r="F78" s="546"/>
      <c r="G78" s="546"/>
      <c r="H78" s="546"/>
      <c r="I78" s="546"/>
      <c r="J78" s="546"/>
      <c r="K78" s="546"/>
      <c r="L78" s="546"/>
      <c r="M78" s="546"/>
      <c r="N78" s="546"/>
      <c r="O78" s="546"/>
      <c r="P78" s="546"/>
      <c r="Q78" s="546"/>
      <c r="R78" s="546"/>
      <c r="S78" s="546"/>
      <c r="T78" s="546"/>
      <c r="U78" s="547"/>
      <c r="V78" s="546"/>
      <c r="W78" s="546"/>
      <c r="X78" s="546"/>
      <c r="Y78" s="546"/>
      <c r="Z78" s="546"/>
      <c r="AA78" s="546"/>
      <c r="AB78" s="546"/>
      <c r="AN78" s="179"/>
      <c r="AO78" s="87"/>
      <c r="AP78" s="181"/>
      <c r="AQ78" s="181"/>
      <c r="AS78" s="548"/>
    </row>
    <row r="79" spans="2:45" x14ac:dyDescent="0.35">
      <c r="B79" s="84"/>
      <c r="D79" s="84"/>
      <c r="E79" s="546"/>
      <c r="F79" s="546"/>
      <c r="G79" s="546"/>
      <c r="H79" s="546"/>
      <c r="I79" s="546"/>
      <c r="J79" s="546"/>
      <c r="K79" s="546"/>
      <c r="L79" s="546"/>
      <c r="M79" s="546"/>
      <c r="N79" s="546"/>
      <c r="O79" s="546"/>
      <c r="P79" s="546"/>
      <c r="Q79" s="546"/>
      <c r="R79" s="546"/>
      <c r="S79" s="546"/>
      <c r="T79" s="546"/>
      <c r="U79" s="547"/>
      <c r="V79" s="546"/>
      <c r="W79" s="546"/>
      <c r="X79" s="546"/>
      <c r="Y79" s="546"/>
      <c r="Z79" s="546"/>
      <c r="AA79" s="546"/>
      <c r="AB79" s="546"/>
      <c r="AN79" s="179"/>
      <c r="AO79" s="87"/>
      <c r="AP79" s="181"/>
      <c r="AQ79" s="181"/>
      <c r="AS79" s="548"/>
    </row>
    <row r="80" spans="2:45" x14ac:dyDescent="0.35">
      <c r="B80" s="84"/>
      <c r="D80" s="84"/>
      <c r="E80" s="546"/>
      <c r="F80" s="546"/>
      <c r="G80" s="546"/>
      <c r="H80" s="546"/>
      <c r="I80" s="546"/>
      <c r="J80" s="546"/>
      <c r="K80" s="546"/>
      <c r="L80" s="546"/>
      <c r="M80" s="546"/>
      <c r="N80" s="546"/>
      <c r="O80" s="546"/>
      <c r="P80" s="546"/>
      <c r="Q80" s="546"/>
      <c r="R80" s="546"/>
      <c r="S80" s="546"/>
      <c r="T80" s="546"/>
      <c r="U80" s="547"/>
      <c r="V80" s="546"/>
      <c r="W80" s="546"/>
      <c r="X80" s="546"/>
      <c r="Y80" s="546"/>
      <c r="Z80" s="546"/>
      <c r="AA80" s="546"/>
      <c r="AB80" s="546"/>
      <c r="AN80" s="179"/>
      <c r="AO80" s="87"/>
      <c r="AP80" s="181"/>
      <c r="AQ80" s="181"/>
      <c r="AS80" s="548"/>
    </row>
    <row r="81" spans="2:45" x14ac:dyDescent="0.35">
      <c r="B81" s="84"/>
      <c r="D81" s="84"/>
      <c r="E81" s="546"/>
      <c r="F81" s="546"/>
      <c r="G81" s="546"/>
      <c r="H81" s="546"/>
      <c r="I81" s="546"/>
      <c r="J81" s="546"/>
      <c r="K81" s="546"/>
      <c r="L81" s="546"/>
      <c r="M81" s="546"/>
      <c r="N81" s="546"/>
      <c r="O81" s="546"/>
      <c r="P81" s="546"/>
      <c r="Q81" s="546"/>
      <c r="R81" s="546"/>
      <c r="S81" s="546"/>
      <c r="T81" s="546"/>
      <c r="U81" s="547"/>
      <c r="V81" s="546"/>
      <c r="W81" s="546"/>
      <c r="X81" s="546"/>
      <c r="Y81" s="546"/>
      <c r="Z81" s="546"/>
      <c r="AA81" s="546"/>
      <c r="AB81" s="546"/>
      <c r="AN81" s="179"/>
      <c r="AO81" s="87"/>
      <c r="AP81" s="181"/>
      <c r="AQ81" s="181"/>
      <c r="AS81" s="548"/>
    </row>
    <row r="82" spans="2:45" x14ac:dyDescent="0.35">
      <c r="B82" s="84"/>
      <c r="D82" s="84"/>
      <c r="E82" s="546"/>
      <c r="F82" s="546"/>
      <c r="G82" s="546"/>
      <c r="H82" s="546"/>
      <c r="I82" s="546"/>
      <c r="J82" s="546"/>
      <c r="K82" s="546"/>
      <c r="L82" s="546"/>
      <c r="M82" s="546"/>
      <c r="N82" s="546"/>
      <c r="O82" s="546"/>
      <c r="P82" s="546"/>
      <c r="Q82" s="546"/>
      <c r="R82" s="546"/>
      <c r="S82" s="546"/>
      <c r="T82" s="546"/>
      <c r="U82" s="547"/>
      <c r="V82" s="546"/>
      <c r="W82" s="546"/>
      <c r="X82" s="546"/>
      <c r="Y82" s="546"/>
      <c r="Z82" s="546"/>
      <c r="AA82" s="546"/>
      <c r="AB82" s="546"/>
      <c r="AN82" s="179"/>
      <c r="AO82" s="87"/>
      <c r="AP82" s="181"/>
      <c r="AQ82" s="181"/>
      <c r="AS82" s="548"/>
    </row>
    <row r="83" spans="2:45" x14ac:dyDescent="0.35">
      <c r="B83" s="84"/>
      <c r="D83" s="84"/>
      <c r="E83" s="546"/>
      <c r="F83" s="546"/>
      <c r="G83" s="546"/>
      <c r="H83" s="546"/>
      <c r="I83" s="546"/>
      <c r="J83" s="546"/>
      <c r="K83" s="546"/>
      <c r="L83" s="546"/>
      <c r="M83" s="546"/>
      <c r="N83" s="546"/>
      <c r="O83" s="546"/>
      <c r="P83" s="546"/>
      <c r="Q83" s="546"/>
      <c r="R83" s="546"/>
      <c r="S83" s="546"/>
      <c r="T83" s="546"/>
      <c r="U83" s="547"/>
      <c r="V83" s="546"/>
      <c r="W83" s="546"/>
      <c r="X83" s="546"/>
      <c r="Y83" s="546"/>
      <c r="Z83" s="546"/>
      <c r="AA83" s="546"/>
      <c r="AB83" s="546"/>
      <c r="AN83" s="179"/>
      <c r="AO83" s="87"/>
      <c r="AP83" s="181"/>
      <c r="AQ83" s="181"/>
      <c r="AS83" s="548"/>
    </row>
    <row r="84" spans="2:45" x14ac:dyDescent="0.35">
      <c r="B84" s="84"/>
      <c r="D84" s="84"/>
      <c r="E84" s="546"/>
      <c r="F84" s="546"/>
      <c r="G84" s="546"/>
      <c r="H84" s="546"/>
      <c r="I84" s="546"/>
      <c r="J84" s="546"/>
      <c r="K84" s="546"/>
      <c r="L84" s="546"/>
      <c r="M84" s="546"/>
      <c r="N84" s="546"/>
      <c r="O84" s="546"/>
      <c r="P84" s="546"/>
      <c r="Q84" s="546"/>
      <c r="R84" s="546"/>
      <c r="S84" s="546"/>
      <c r="T84" s="546"/>
      <c r="U84" s="547"/>
      <c r="V84" s="546"/>
      <c r="W84" s="546"/>
      <c r="X84" s="546"/>
      <c r="Y84" s="546"/>
      <c r="Z84" s="546"/>
      <c r="AA84" s="546"/>
      <c r="AB84" s="546"/>
      <c r="AN84" s="179"/>
      <c r="AO84" s="87"/>
      <c r="AP84" s="181"/>
      <c r="AQ84" s="181"/>
      <c r="AS84" s="548"/>
    </row>
    <row r="85" spans="2:45" x14ac:dyDescent="0.35">
      <c r="B85" s="84"/>
      <c r="D85" s="84"/>
      <c r="E85" s="546"/>
      <c r="F85" s="546"/>
      <c r="G85" s="546"/>
      <c r="H85" s="546"/>
      <c r="I85" s="546"/>
      <c r="J85" s="546"/>
      <c r="K85" s="546"/>
      <c r="L85" s="546"/>
      <c r="M85" s="546"/>
      <c r="N85" s="546"/>
      <c r="O85" s="546"/>
      <c r="P85" s="546"/>
      <c r="Q85" s="546"/>
      <c r="R85" s="546"/>
      <c r="S85" s="546"/>
      <c r="T85" s="546"/>
      <c r="U85" s="547"/>
      <c r="V85" s="546"/>
      <c r="W85" s="546"/>
      <c r="X85" s="546"/>
      <c r="Y85" s="546"/>
      <c r="Z85" s="546"/>
      <c r="AA85" s="546"/>
      <c r="AB85" s="546"/>
      <c r="AN85" s="179"/>
      <c r="AO85" s="87"/>
      <c r="AP85" s="181"/>
      <c r="AQ85" s="181"/>
      <c r="AS85" s="548"/>
    </row>
    <row r="86" spans="2:45" x14ac:dyDescent="0.35">
      <c r="B86" s="84"/>
      <c r="D86" s="84"/>
      <c r="E86" s="546"/>
      <c r="F86" s="546"/>
      <c r="G86" s="546"/>
      <c r="H86" s="546"/>
      <c r="I86" s="546"/>
      <c r="J86" s="546"/>
      <c r="K86" s="546"/>
      <c r="L86" s="546"/>
      <c r="M86" s="546"/>
      <c r="N86" s="546"/>
      <c r="O86" s="546"/>
      <c r="P86" s="546"/>
      <c r="Q86" s="546"/>
      <c r="R86" s="546"/>
      <c r="S86" s="546"/>
      <c r="T86" s="546"/>
      <c r="U86" s="547"/>
      <c r="V86" s="546"/>
      <c r="W86" s="546"/>
      <c r="X86" s="546"/>
      <c r="Y86" s="546"/>
      <c r="Z86" s="546"/>
      <c r="AA86" s="546"/>
      <c r="AB86" s="546"/>
      <c r="AN86" s="179"/>
      <c r="AO86" s="87"/>
      <c r="AP86" s="181"/>
      <c r="AQ86" s="181"/>
      <c r="AS86" s="548"/>
    </row>
    <row r="87" spans="2:45" x14ac:dyDescent="0.35">
      <c r="B87" s="84"/>
      <c r="D87" s="84"/>
      <c r="E87" s="546"/>
      <c r="F87" s="546"/>
      <c r="G87" s="546"/>
      <c r="H87" s="546"/>
      <c r="I87" s="546"/>
      <c r="J87" s="546"/>
      <c r="K87" s="546"/>
      <c r="L87" s="546"/>
      <c r="M87" s="546"/>
      <c r="N87" s="546"/>
      <c r="O87" s="546"/>
      <c r="P87" s="546"/>
      <c r="Q87" s="546"/>
      <c r="R87" s="546"/>
      <c r="S87" s="546"/>
      <c r="T87" s="546"/>
      <c r="U87" s="547"/>
      <c r="V87" s="546"/>
      <c r="W87" s="546"/>
      <c r="X87" s="546"/>
      <c r="Y87" s="546"/>
      <c r="Z87" s="546"/>
      <c r="AA87" s="546"/>
      <c r="AB87" s="546"/>
      <c r="AN87" s="179"/>
      <c r="AO87" s="87"/>
      <c r="AP87" s="181"/>
      <c r="AQ87" s="181"/>
      <c r="AS87" s="548"/>
    </row>
    <row r="88" spans="2:45" x14ac:dyDescent="0.35">
      <c r="B88" s="84"/>
      <c r="D88" s="84"/>
      <c r="E88" s="546"/>
      <c r="F88" s="546"/>
      <c r="G88" s="546"/>
      <c r="H88" s="546"/>
      <c r="I88" s="546"/>
      <c r="J88" s="546"/>
      <c r="K88" s="546"/>
      <c r="L88" s="546"/>
      <c r="M88" s="546"/>
      <c r="N88" s="546"/>
      <c r="O88" s="546"/>
      <c r="P88" s="546"/>
      <c r="Q88" s="546"/>
      <c r="R88" s="546"/>
      <c r="S88" s="546"/>
      <c r="T88" s="546"/>
      <c r="U88" s="547"/>
      <c r="V88" s="546"/>
      <c r="W88" s="546"/>
      <c r="X88" s="546"/>
      <c r="Y88" s="546"/>
      <c r="Z88" s="546"/>
      <c r="AA88" s="546"/>
      <c r="AB88" s="546"/>
      <c r="AN88" s="179"/>
      <c r="AO88" s="87"/>
      <c r="AP88" s="181"/>
      <c r="AQ88" s="181"/>
      <c r="AS88" s="548"/>
    </row>
    <row r="89" spans="2:45" x14ac:dyDescent="0.35">
      <c r="B89" s="84"/>
      <c r="D89" s="84"/>
      <c r="E89" s="546"/>
      <c r="F89" s="546"/>
      <c r="G89" s="546"/>
      <c r="H89" s="546"/>
      <c r="I89" s="546"/>
      <c r="J89" s="546"/>
      <c r="K89" s="546"/>
      <c r="L89" s="546"/>
      <c r="M89" s="546"/>
      <c r="N89" s="546"/>
      <c r="O89" s="546"/>
      <c r="P89" s="546"/>
      <c r="Q89" s="546"/>
      <c r="R89" s="546"/>
      <c r="S89" s="546"/>
      <c r="T89" s="546"/>
      <c r="U89" s="547"/>
      <c r="V89" s="546"/>
      <c r="W89" s="546"/>
      <c r="X89" s="546"/>
      <c r="Y89" s="546"/>
      <c r="Z89" s="546"/>
      <c r="AA89" s="546"/>
      <c r="AB89" s="546"/>
      <c r="AN89" s="179"/>
      <c r="AO89" s="87"/>
      <c r="AP89" s="181"/>
      <c r="AQ89" s="181"/>
      <c r="AS89" s="548"/>
    </row>
    <row r="90" spans="2:45" x14ac:dyDescent="0.35">
      <c r="B90" s="84"/>
      <c r="D90" s="84"/>
      <c r="E90" s="546"/>
      <c r="F90" s="546"/>
      <c r="G90" s="546"/>
      <c r="H90" s="546"/>
      <c r="I90" s="546"/>
      <c r="J90" s="546"/>
      <c r="K90" s="546"/>
      <c r="L90" s="546"/>
      <c r="M90" s="546"/>
      <c r="N90" s="546"/>
      <c r="O90" s="546"/>
      <c r="P90" s="546"/>
      <c r="Q90" s="546"/>
      <c r="R90" s="546"/>
      <c r="S90" s="546"/>
      <c r="T90" s="546"/>
      <c r="U90" s="547"/>
      <c r="V90" s="546"/>
      <c r="W90" s="546"/>
      <c r="X90" s="546"/>
      <c r="Y90" s="546"/>
      <c r="Z90" s="546"/>
      <c r="AA90" s="546"/>
      <c r="AB90" s="546"/>
      <c r="AN90" s="179"/>
      <c r="AO90" s="87"/>
      <c r="AP90" s="181"/>
      <c r="AQ90" s="181"/>
      <c r="AS90" s="548"/>
    </row>
    <row r="91" spans="2:45" x14ac:dyDescent="0.35">
      <c r="B91" s="84"/>
      <c r="D91" s="84"/>
      <c r="E91" s="546"/>
      <c r="F91" s="546"/>
      <c r="G91" s="546"/>
      <c r="H91" s="546"/>
      <c r="I91" s="546"/>
      <c r="J91" s="546"/>
      <c r="K91" s="546"/>
      <c r="L91" s="546"/>
      <c r="M91" s="546"/>
      <c r="N91" s="546"/>
      <c r="O91" s="546"/>
      <c r="P91" s="546"/>
      <c r="Q91" s="546"/>
      <c r="R91" s="546"/>
      <c r="S91" s="546"/>
      <c r="T91" s="546"/>
      <c r="U91" s="547"/>
      <c r="V91" s="546"/>
      <c r="W91" s="546"/>
      <c r="X91" s="546"/>
      <c r="Y91" s="546"/>
      <c r="Z91" s="546"/>
      <c r="AA91" s="546"/>
      <c r="AB91" s="546"/>
      <c r="AN91" s="179"/>
      <c r="AO91" s="87"/>
      <c r="AP91" s="181"/>
      <c r="AQ91" s="181"/>
      <c r="AS91" s="548"/>
    </row>
    <row r="92" spans="2:45" x14ac:dyDescent="0.35">
      <c r="B92" s="84"/>
      <c r="D92" s="84"/>
      <c r="E92" s="546"/>
      <c r="F92" s="546"/>
      <c r="G92" s="546"/>
      <c r="H92" s="546"/>
      <c r="I92" s="546"/>
      <c r="J92" s="546"/>
      <c r="K92" s="546"/>
      <c r="L92" s="546"/>
      <c r="M92" s="546"/>
      <c r="N92" s="546"/>
      <c r="O92" s="546"/>
      <c r="P92" s="546"/>
      <c r="Q92" s="546"/>
      <c r="R92" s="546"/>
      <c r="S92" s="546"/>
      <c r="T92" s="546"/>
      <c r="U92" s="547"/>
      <c r="V92" s="546"/>
      <c r="W92" s="546"/>
      <c r="X92" s="546"/>
      <c r="Y92" s="546"/>
      <c r="Z92" s="546"/>
      <c r="AA92" s="546"/>
      <c r="AB92" s="546"/>
      <c r="AN92" s="179"/>
      <c r="AO92" s="87"/>
      <c r="AP92" s="181"/>
      <c r="AQ92" s="181"/>
      <c r="AS92" s="548"/>
    </row>
    <row r="93" spans="2:45" x14ac:dyDescent="0.35">
      <c r="B93" s="84"/>
      <c r="D93" s="84"/>
      <c r="E93" s="546"/>
      <c r="F93" s="546"/>
      <c r="G93" s="546"/>
      <c r="H93" s="546"/>
      <c r="I93" s="546"/>
      <c r="J93" s="546"/>
      <c r="K93" s="546"/>
      <c r="L93" s="546"/>
      <c r="M93" s="546"/>
      <c r="N93" s="546"/>
      <c r="O93" s="546"/>
      <c r="P93" s="546"/>
      <c r="Q93" s="546"/>
      <c r="R93" s="546"/>
      <c r="S93" s="546"/>
      <c r="T93" s="546"/>
      <c r="U93" s="547"/>
      <c r="V93" s="546"/>
      <c r="W93" s="546"/>
      <c r="X93" s="546"/>
      <c r="Y93" s="546"/>
      <c r="Z93" s="546"/>
      <c r="AA93" s="546"/>
      <c r="AB93" s="546"/>
      <c r="AN93" s="179"/>
      <c r="AO93" s="87"/>
      <c r="AP93" s="181"/>
      <c r="AQ93" s="181"/>
      <c r="AS93" s="548"/>
    </row>
    <row r="94" spans="2:45" x14ac:dyDescent="0.35">
      <c r="B94" s="84"/>
      <c r="D94" s="84"/>
      <c r="E94" s="546"/>
      <c r="F94" s="546"/>
      <c r="G94" s="546"/>
      <c r="H94" s="546"/>
      <c r="I94" s="546"/>
      <c r="J94" s="546"/>
      <c r="K94" s="546"/>
      <c r="L94" s="546"/>
      <c r="M94" s="546"/>
      <c r="N94" s="546"/>
      <c r="O94" s="546"/>
      <c r="P94" s="546"/>
      <c r="Q94" s="546"/>
      <c r="R94" s="546"/>
      <c r="S94" s="546"/>
      <c r="T94" s="546"/>
      <c r="U94" s="547"/>
      <c r="V94" s="546"/>
      <c r="W94" s="546"/>
      <c r="X94" s="546"/>
      <c r="Y94" s="546"/>
      <c r="Z94" s="546"/>
      <c r="AA94" s="546"/>
      <c r="AB94" s="546"/>
      <c r="AN94" s="179"/>
      <c r="AO94" s="87"/>
      <c r="AP94" s="181"/>
      <c r="AQ94" s="181"/>
      <c r="AS94" s="548"/>
    </row>
    <row r="95" spans="2:45" x14ac:dyDescent="0.35">
      <c r="B95" s="84"/>
      <c r="D95" s="84"/>
      <c r="E95" s="546"/>
      <c r="F95" s="546"/>
      <c r="G95" s="546"/>
      <c r="H95" s="546"/>
      <c r="I95" s="546"/>
      <c r="J95" s="546"/>
      <c r="K95" s="546"/>
      <c r="L95" s="546"/>
      <c r="M95" s="546"/>
      <c r="N95" s="546"/>
      <c r="O95" s="546"/>
      <c r="P95" s="546"/>
      <c r="Q95" s="546"/>
      <c r="R95" s="546"/>
      <c r="S95" s="546"/>
      <c r="T95" s="546"/>
      <c r="U95" s="547"/>
      <c r="V95" s="546"/>
      <c r="W95" s="546"/>
      <c r="X95" s="546"/>
      <c r="Y95" s="546"/>
      <c r="Z95" s="546"/>
      <c r="AA95" s="546"/>
      <c r="AB95" s="546"/>
      <c r="AN95" s="179"/>
      <c r="AO95" s="87"/>
      <c r="AP95" s="181"/>
      <c r="AQ95" s="181"/>
      <c r="AS95" s="548"/>
    </row>
    <row r="96" spans="2:45" x14ac:dyDescent="0.35">
      <c r="B96" s="84"/>
      <c r="D96" s="84"/>
      <c r="E96" s="546"/>
      <c r="F96" s="546"/>
      <c r="G96" s="546"/>
      <c r="H96" s="546"/>
      <c r="I96" s="546"/>
      <c r="J96" s="546"/>
      <c r="K96" s="546"/>
      <c r="L96" s="546"/>
      <c r="M96" s="546"/>
      <c r="N96" s="546"/>
      <c r="O96" s="546"/>
      <c r="P96" s="546"/>
      <c r="Q96" s="546"/>
      <c r="R96" s="546"/>
      <c r="S96" s="546"/>
      <c r="T96" s="546"/>
      <c r="U96" s="547"/>
      <c r="V96" s="546"/>
      <c r="W96" s="546"/>
      <c r="X96" s="546"/>
      <c r="Y96" s="546"/>
      <c r="Z96" s="546"/>
      <c r="AA96" s="546"/>
      <c r="AB96" s="546"/>
      <c r="AN96" s="179"/>
      <c r="AO96" s="87"/>
      <c r="AP96" s="181"/>
      <c r="AQ96" s="181"/>
      <c r="AS96" s="548"/>
    </row>
    <row r="97" spans="2:45" s="64" customFormat="1" ht="13.5" x14ac:dyDescent="0.35">
      <c r="B97" s="130"/>
      <c r="C97" s="64" t="s">
        <v>572</v>
      </c>
      <c r="D97" s="130" t="s">
        <v>573</v>
      </c>
      <c r="E97" s="555"/>
      <c r="F97" s="555"/>
      <c r="G97" s="555"/>
      <c r="H97" s="555"/>
      <c r="I97" s="555"/>
      <c r="J97" s="555"/>
      <c r="K97" s="555"/>
      <c r="L97" s="555"/>
      <c r="M97" s="555"/>
      <c r="N97" s="555"/>
      <c r="O97" s="555"/>
      <c r="P97" s="555"/>
      <c r="Q97" s="555"/>
      <c r="R97" s="555"/>
      <c r="S97" s="555"/>
      <c r="T97" s="555"/>
      <c r="U97" s="556"/>
      <c r="V97" s="555"/>
      <c r="W97" s="130"/>
      <c r="Y97" s="559" t="s">
        <v>572</v>
      </c>
      <c r="Z97" s="559" t="s">
        <v>574</v>
      </c>
      <c r="AA97" s="554"/>
      <c r="AB97" s="554"/>
      <c r="AC97" s="560"/>
      <c r="AD97" s="560"/>
      <c r="AN97" s="557"/>
      <c r="AO97" s="88"/>
      <c r="AS97" s="523"/>
    </row>
    <row r="98" spans="2:45" x14ac:dyDescent="0.35">
      <c r="B98" s="84"/>
      <c r="D98" s="84"/>
      <c r="E98" s="546"/>
      <c r="F98" s="546"/>
      <c r="G98" s="546"/>
      <c r="H98" s="546"/>
      <c r="I98" s="546"/>
      <c r="J98" s="546"/>
      <c r="K98" s="546"/>
      <c r="L98" s="546"/>
      <c r="M98" s="546"/>
      <c r="N98" s="546"/>
      <c r="O98" s="546"/>
      <c r="P98" s="546"/>
      <c r="Q98" s="546"/>
      <c r="R98" s="546"/>
      <c r="S98" s="546"/>
      <c r="T98" s="546"/>
      <c r="U98" s="547"/>
      <c r="V98" s="546"/>
      <c r="W98" s="546"/>
      <c r="X98" s="546"/>
      <c r="Y98" s="546"/>
      <c r="Z98" s="546"/>
      <c r="AA98" s="546"/>
      <c r="AB98" s="546"/>
      <c r="AN98" s="179"/>
      <c r="AO98" s="87"/>
      <c r="AP98" s="181"/>
      <c r="AQ98" s="181"/>
      <c r="AS98" s="548"/>
    </row>
    <row r="99" spans="2:45" x14ac:dyDescent="0.35">
      <c r="B99" s="84"/>
      <c r="D99" s="84"/>
      <c r="E99" s="546"/>
      <c r="F99" s="546"/>
      <c r="G99" s="546"/>
      <c r="H99" s="546"/>
      <c r="I99" s="546"/>
      <c r="J99" s="546"/>
      <c r="K99" s="546"/>
      <c r="L99" s="546"/>
      <c r="M99" s="546"/>
      <c r="N99" s="546"/>
      <c r="O99" s="546"/>
      <c r="P99" s="546"/>
      <c r="Q99" s="546"/>
      <c r="R99" s="546"/>
      <c r="S99" s="546"/>
      <c r="T99" s="546"/>
      <c r="U99" s="547"/>
      <c r="V99" s="546"/>
      <c r="W99" s="546"/>
      <c r="X99" s="546"/>
      <c r="Y99" s="546"/>
      <c r="Z99" s="546"/>
      <c r="AA99" s="546"/>
      <c r="AB99" s="546"/>
      <c r="AN99" s="179"/>
      <c r="AO99" s="87"/>
      <c r="AP99" s="181"/>
      <c r="AQ99" s="181"/>
      <c r="AS99" s="548"/>
    </row>
    <row r="100" spans="2:45" x14ac:dyDescent="0.35">
      <c r="B100" s="84"/>
      <c r="D100" s="84"/>
      <c r="E100" s="546"/>
      <c r="F100" s="546"/>
      <c r="G100" s="546"/>
      <c r="H100" s="546"/>
      <c r="I100" s="546"/>
      <c r="J100" s="546"/>
      <c r="K100" s="546"/>
      <c r="L100" s="546"/>
      <c r="M100" s="546"/>
      <c r="N100" s="546"/>
      <c r="O100" s="546"/>
      <c r="P100" s="546"/>
      <c r="Q100" s="546"/>
      <c r="R100" s="546"/>
      <c r="S100" s="546"/>
      <c r="T100" s="546"/>
      <c r="U100" s="547"/>
      <c r="V100" s="546"/>
      <c r="W100" s="546"/>
      <c r="X100" s="546"/>
      <c r="Y100" s="546"/>
      <c r="Z100" s="546"/>
      <c r="AA100" s="546"/>
      <c r="AB100" s="546"/>
      <c r="AN100" s="179"/>
      <c r="AO100" s="87"/>
      <c r="AP100" s="181"/>
      <c r="AQ100" s="181"/>
      <c r="AS100" s="548"/>
    </row>
    <row r="101" spans="2:45" x14ac:dyDescent="0.35">
      <c r="B101" s="84"/>
      <c r="D101" s="84"/>
      <c r="E101" s="546"/>
      <c r="F101" s="546"/>
      <c r="G101" s="546"/>
      <c r="H101" s="546"/>
      <c r="I101" s="546"/>
      <c r="J101" s="546"/>
      <c r="K101" s="546"/>
      <c r="L101" s="546"/>
      <c r="M101" s="546"/>
      <c r="N101" s="546"/>
      <c r="O101" s="546"/>
      <c r="P101" s="546"/>
      <c r="Q101" s="546"/>
      <c r="R101" s="546"/>
      <c r="S101" s="546"/>
      <c r="T101" s="546"/>
      <c r="U101" s="547"/>
      <c r="V101" s="546"/>
      <c r="W101" s="546"/>
      <c r="X101" s="546"/>
      <c r="Y101" s="546"/>
      <c r="Z101" s="546"/>
      <c r="AA101" s="546"/>
      <c r="AB101" s="546"/>
      <c r="AN101" s="179"/>
      <c r="AO101" s="87"/>
      <c r="AP101" s="181"/>
      <c r="AQ101" s="181"/>
      <c r="AS101" s="548"/>
    </row>
    <row r="102" spans="2:45" x14ac:dyDescent="0.35">
      <c r="B102" s="84"/>
      <c r="D102" s="84"/>
      <c r="E102" s="546"/>
      <c r="F102" s="546"/>
      <c r="G102" s="546"/>
      <c r="H102" s="546"/>
      <c r="I102" s="546"/>
      <c r="J102" s="546"/>
      <c r="K102" s="546"/>
      <c r="L102" s="546"/>
      <c r="M102" s="546"/>
      <c r="N102" s="546"/>
      <c r="O102" s="546"/>
      <c r="P102" s="546"/>
      <c r="Q102" s="546"/>
      <c r="R102" s="546"/>
      <c r="S102" s="546"/>
      <c r="T102" s="546"/>
      <c r="U102" s="547"/>
      <c r="V102" s="546"/>
      <c r="W102" s="546"/>
      <c r="X102" s="546"/>
      <c r="Y102" s="546"/>
      <c r="Z102" s="546"/>
      <c r="AA102" s="546"/>
      <c r="AB102" s="546"/>
      <c r="AN102" s="179"/>
      <c r="AO102" s="87"/>
      <c r="AP102" s="181"/>
      <c r="AQ102" s="181"/>
      <c r="AS102" s="548"/>
    </row>
    <row r="103" spans="2:45" x14ac:dyDescent="0.35">
      <c r="B103" s="84"/>
      <c r="D103" s="84"/>
      <c r="E103" s="546"/>
      <c r="F103" s="546"/>
      <c r="G103" s="546"/>
      <c r="H103" s="546"/>
      <c r="I103" s="546"/>
      <c r="J103" s="546"/>
      <c r="K103" s="546"/>
      <c r="L103" s="546"/>
      <c r="M103" s="546"/>
      <c r="N103" s="546"/>
      <c r="O103" s="546"/>
      <c r="P103" s="546"/>
      <c r="Q103" s="546"/>
      <c r="R103" s="546"/>
      <c r="S103" s="546"/>
      <c r="T103" s="546"/>
      <c r="U103" s="547"/>
      <c r="V103" s="546"/>
      <c r="W103" s="546"/>
      <c r="X103" s="546"/>
      <c r="Y103" s="546"/>
      <c r="Z103" s="546"/>
      <c r="AA103" s="546"/>
      <c r="AB103" s="546"/>
      <c r="AN103" s="179"/>
      <c r="AO103" s="87"/>
      <c r="AP103" s="181"/>
      <c r="AQ103" s="181"/>
      <c r="AS103" s="548"/>
    </row>
    <row r="104" spans="2:45" x14ac:dyDescent="0.35">
      <c r="B104" s="84"/>
      <c r="D104" s="84"/>
      <c r="E104" s="546"/>
      <c r="F104" s="546"/>
      <c r="G104" s="546"/>
      <c r="H104" s="546"/>
      <c r="I104" s="546"/>
      <c r="J104" s="546"/>
      <c r="K104" s="546"/>
      <c r="L104" s="546"/>
      <c r="M104" s="546"/>
      <c r="N104" s="546"/>
      <c r="O104" s="546"/>
      <c r="P104" s="546"/>
      <c r="Q104" s="546"/>
      <c r="R104" s="546"/>
      <c r="S104" s="546"/>
      <c r="T104" s="546"/>
      <c r="U104" s="547"/>
      <c r="V104" s="546"/>
      <c r="W104" s="546"/>
      <c r="X104" s="546"/>
      <c r="Y104" s="546"/>
      <c r="Z104" s="546"/>
      <c r="AA104" s="546"/>
      <c r="AB104" s="546"/>
      <c r="AN104" s="179"/>
      <c r="AO104" s="87"/>
      <c r="AP104" s="181"/>
      <c r="AQ104" s="181"/>
      <c r="AS104" s="548"/>
    </row>
    <row r="105" spans="2:45" x14ac:dyDescent="0.35">
      <c r="B105" s="84"/>
      <c r="D105" s="84"/>
      <c r="E105" s="546"/>
      <c r="F105" s="546"/>
      <c r="G105" s="546"/>
      <c r="H105" s="546"/>
      <c r="I105" s="546"/>
      <c r="J105" s="546"/>
      <c r="K105" s="546"/>
      <c r="L105" s="546"/>
      <c r="M105" s="546"/>
      <c r="N105" s="546"/>
      <c r="O105" s="546"/>
      <c r="P105" s="546"/>
      <c r="Q105" s="546"/>
      <c r="R105" s="546"/>
      <c r="S105" s="546"/>
      <c r="T105" s="546"/>
      <c r="U105" s="547"/>
      <c r="V105" s="546"/>
      <c r="W105" s="546"/>
      <c r="X105" s="546"/>
      <c r="Y105" s="546"/>
      <c r="Z105" s="546"/>
      <c r="AA105" s="546"/>
      <c r="AB105" s="546"/>
      <c r="AN105" s="179"/>
      <c r="AO105" s="87"/>
      <c r="AP105" s="181"/>
      <c r="AQ105" s="181"/>
      <c r="AS105" s="548"/>
    </row>
    <row r="106" spans="2:45" x14ac:dyDescent="0.35">
      <c r="B106" s="84"/>
      <c r="D106" s="84"/>
      <c r="E106" s="546"/>
      <c r="F106" s="546"/>
      <c r="G106" s="546"/>
      <c r="H106" s="546"/>
      <c r="I106" s="546"/>
      <c r="J106" s="546"/>
      <c r="K106" s="546"/>
      <c r="L106" s="546"/>
      <c r="M106" s="546"/>
      <c r="N106" s="546"/>
      <c r="O106" s="546"/>
      <c r="P106" s="546"/>
      <c r="Q106" s="546"/>
      <c r="R106" s="546"/>
      <c r="S106" s="546"/>
      <c r="T106" s="546"/>
      <c r="U106" s="547"/>
      <c r="V106" s="546"/>
      <c r="W106" s="546"/>
      <c r="X106" s="546"/>
      <c r="Y106" s="546"/>
      <c r="Z106" s="546"/>
      <c r="AA106" s="546"/>
      <c r="AB106" s="546"/>
      <c r="AN106" s="179"/>
      <c r="AO106" s="87"/>
      <c r="AP106" s="181"/>
      <c r="AQ106" s="181"/>
      <c r="AS106" s="548"/>
    </row>
    <row r="107" spans="2:45" x14ac:dyDescent="0.35">
      <c r="B107" s="84"/>
      <c r="D107" s="84"/>
      <c r="E107" s="546"/>
      <c r="F107" s="546"/>
      <c r="G107" s="546"/>
      <c r="H107" s="546"/>
      <c r="I107" s="546"/>
      <c r="J107" s="546"/>
      <c r="K107" s="546"/>
      <c r="L107" s="546"/>
      <c r="M107" s="546"/>
      <c r="N107" s="546"/>
      <c r="O107" s="546"/>
      <c r="P107" s="546"/>
      <c r="Q107" s="546"/>
      <c r="R107" s="546"/>
      <c r="S107" s="546"/>
      <c r="T107" s="546"/>
      <c r="U107" s="547"/>
      <c r="V107" s="546"/>
      <c r="W107" s="546"/>
      <c r="X107" s="546"/>
      <c r="Y107" s="546"/>
      <c r="Z107" s="546"/>
      <c r="AA107" s="546"/>
      <c r="AB107" s="546"/>
      <c r="AN107" s="179"/>
      <c r="AO107" s="87"/>
      <c r="AP107" s="181"/>
      <c r="AQ107" s="181"/>
      <c r="AS107" s="548"/>
    </row>
    <row r="108" spans="2:45" x14ac:dyDescent="0.35">
      <c r="B108" s="84"/>
      <c r="D108" s="84"/>
      <c r="E108" s="546"/>
      <c r="F108" s="546"/>
      <c r="G108" s="546"/>
      <c r="H108" s="546"/>
      <c r="I108" s="546"/>
      <c r="J108" s="546"/>
      <c r="K108" s="546"/>
      <c r="L108" s="546"/>
      <c r="M108" s="546"/>
      <c r="N108" s="546"/>
      <c r="O108" s="546"/>
      <c r="P108" s="546"/>
      <c r="Q108" s="546"/>
      <c r="R108" s="546"/>
      <c r="S108" s="546"/>
      <c r="T108" s="546"/>
      <c r="U108" s="547"/>
      <c r="V108" s="546"/>
      <c r="W108" s="546"/>
      <c r="X108" s="546"/>
      <c r="Y108" s="546"/>
      <c r="Z108" s="546"/>
      <c r="AA108" s="546"/>
      <c r="AB108" s="546"/>
      <c r="AN108" s="179"/>
      <c r="AO108" s="87"/>
      <c r="AP108" s="181"/>
      <c r="AQ108" s="181"/>
      <c r="AS108" s="548"/>
    </row>
    <row r="109" spans="2:45" x14ac:dyDescent="0.35">
      <c r="B109" s="84"/>
      <c r="D109" s="84"/>
      <c r="E109" s="546"/>
      <c r="F109" s="546"/>
      <c r="G109" s="546"/>
      <c r="H109" s="546"/>
      <c r="I109" s="546"/>
      <c r="J109" s="546"/>
      <c r="K109" s="546"/>
      <c r="L109" s="546"/>
      <c r="M109" s="546"/>
      <c r="N109" s="546"/>
      <c r="O109" s="546"/>
      <c r="P109" s="546"/>
      <c r="Q109" s="546"/>
      <c r="R109" s="546"/>
      <c r="S109" s="546"/>
      <c r="T109" s="546"/>
      <c r="U109" s="547"/>
      <c r="V109" s="546"/>
      <c r="W109" s="546"/>
      <c r="X109" s="546"/>
      <c r="Y109" s="546"/>
      <c r="Z109" s="546"/>
      <c r="AA109" s="546"/>
      <c r="AB109" s="546"/>
      <c r="AN109" s="179"/>
      <c r="AO109" s="87"/>
      <c r="AP109" s="181"/>
      <c r="AQ109" s="181"/>
      <c r="AS109" s="548"/>
    </row>
    <row r="110" spans="2:45" x14ac:dyDescent="0.35">
      <c r="B110" s="84"/>
      <c r="D110" s="84"/>
      <c r="E110" s="546"/>
      <c r="F110" s="546"/>
      <c r="G110" s="546"/>
      <c r="H110" s="546"/>
      <c r="I110" s="546"/>
      <c r="J110" s="546"/>
      <c r="K110" s="546"/>
      <c r="L110" s="546"/>
      <c r="M110" s="546"/>
      <c r="N110" s="546"/>
      <c r="O110" s="546"/>
      <c r="P110" s="546"/>
      <c r="Q110" s="546"/>
      <c r="R110" s="546"/>
      <c r="S110" s="546"/>
      <c r="T110" s="546"/>
      <c r="U110" s="547"/>
      <c r="V110" s="546"/>
      <c r="W110" s="546"/>
      <c r="X110" s="546"/>
      <c r="Y110" s="546"/>
      <c r="Z110" s="546"/>
      <c r="AA110" s="546"/>
      <c r="AB110" s="546"/>
      <c r="AN110" s="179"/>
      <c r="AO110" s="87"/>
      <c r="AP110" s="181"/>
      <c r="AQ110" s="181"/>
      <c r="AS110" s="548"/>
    </row>
    <row r="111" spans="2:45" ht="15" customHeight="1" x14ac:dyDescent="0.35">
      <c r="B111" s="84"/>
      <c r="D111" s="84"/>
      <c r="E111" s="546"/>
      <c r="F111" s="546"/>
      <c r="G111" s="546"/>
      <c r="H111" s="546"/>
      <c r="I111" s="546"/>
      <c r="J111" s="546"/>
      <c r="K111" s="546"/>
      <c r="L111" s="546"/>
      <c r="M111" s="546"/>
      <c r="N111" s="546"/>
      <c r="O111" s="546"/>
      <c r="P111" s="546"/>
      <c r="Q111" s="546"/>
      <c r="R111" s="546"/>
      <c r="S111" s="546"/>
      <c r="T111" s="546"/>
      <c r="U111" s="547"/>
      <c r="V111" s="546"/>
      <c r="W111" s="546"/>
      <c r="X111" s="546"/>
      <c r="Y111" s="546"/>
      <c r="Z111" s="546"/>
      <c r="AA111" s="546"/>
      <c r="AB111" s="546"/>
      <c r="AN111" s="179"/>
      <c r="AO111" s="87"/>
      <c r="AP111" s="181"/>
      <c r="AQ111" s="181"/>
      <c r="AS111" s="548"/>
    </row>
    <row r="112" spans="2:45" ht="15" customHeight="1" x14ac:dyDescent="0.35">
      <c r="B112" s="84"/>
      <c r="D112" s="84"/>
      <c r="E112" s="546"/>
      <c r="F112" s="546"/>
      <c r="G112" s="546"/>
      <c r="H112" s="546"/>
      <c r="I112" s="546"/>
      <c r="J112" s="546"/>
      <c r="K112" s="546"/>
      <c r="L112" s="546"/>
      <c r="M112" s="546"/>
      <c r="N112" s="546"/>
      <c r="O112" s="546"/>
      <c r="P112" s="546"/>
      <c r="Q112" s="546"/>
      <c r="R112" s="546"/>
      <c r="S112" s="546"/>
      <c r="T112" s="546"/>
      <c r="U112" s="547"/>
      <c r="V112" s="546"/>
      <c r="W112" s="546"/>
      <c r="X112" s="546"/>
      <c r="Y112" s="546"/>
      <c r="Z112" s="546"/>
      <c r="AA112" s="546"/>
      <c r="AB112" s="546"/>
      <c r="AN112" s="179"/>
      <c r="AO112" s="87"/>
      <c r="AP112" s="181"/>
      <c r="AQ112" s="181"/>
      <c r="AS112" s="548"/>
    </row>
    <row r="113" spans="2:54" ht="15" customHeight="1" x14ac:dyDescent="0.35">
      <c r="B113" s="84"/>
      <c r="D113" s="84"/>
      <c r="E113" s="546"/>
      <c r="F113" s="546"/>
      <c r="G113" s="546"/>
      <c r="H113" s="546"/>
      <c r="I113" s="546"/>
      <c r="J113" s="546"/>
      <c r="K113" s="546"/>
      <c r="L113" s="546"/>
      <c r="M113" s="546"/>
      <c r="N113" s="546"/>
      <c r="O113" s="546"/>
      <c r="P113" s="546"/>
      <c r="Q113" s="546"/>
      <c r="R113" s="546"/>
      <c r="S113" s="546"/>
      <c r="T113" s="546"/>
      <c r="U113" s="547"/>
      <c r="V113" s="546"/>
      <c r="W113" s="546"/>
      <c r="X113" s="546"/>
      <c r="Y113" s="546"/>
      <c r="Z113" s="546"/>
      <c r="AA113" s="546"/>
      <c r="AB113" s="546"/>
      <c r="AN113" s="179"/>
      <c r="AO113" s="87"/>
      <c r="AP113" s="181"/>
      <c r="AQ113" s="181"/>
      <c r="AS113" s="548"/>
    </row>
    <row r="114" spans="2:54" ht="15" customHeight="1" x14ac:dyDescent="0.35">
      <c r="B114" s="84"/>
      <c r="D114" s="84"/>
      <c r="E114" s="546"/>
      <c r="F114" s="546"/>
      <c r="G114" s="546"/>
      <c r="H114" s="546"/>
      <c r="I114" s="546"/>
      <c r="J114" s="546"/>
      <c r="K114" s="546"/>
      <c r="L114" s="546"/>
      <c r="M114" s="546"/>
      <c r="N114" s="546"/>
      <c r="O114" s="546"/>
      <c r="P114" s="546"/>
      <c r="Q114" s="546"/>
      <c r="R114" s="546"/>
      <c r="S114" s="546"/>
      <c r="T114" s="546"/>
      <c r="U114" s="547"/>
      <c r="V114" s="546"/>
      <c r="W114" s="546"/>
      <c r="X114" s="546"/>
      <c r="Y114" s="546"/>
      <c r="Z114" s="546"/>
      <c r="AA114" s="546"/>
      <c r="AB114" s="546"/>
      <c r="AN114" s="179"/>
      <c r="AO114" s="87"/>
      <c r="AP114" s="181"/>
      <c r="AQ114" s="181"/>
      <c r="AS114" s="548"/>
    </row>
    <row r="115" spans="2:54" ht="15" customHeight="1" x14ac:dyDescent="0.35">
      <c r="B115" s="84"/>
      <c r="D115" s="84"/>
      <c r="E115" s="546"/>
      <c r="F115" s="546"/>
      <c r="G115" s="546"/>
      <c r="H115" s="546"/>
      <c r="I115" s="546"/>
      <c r="J115" s="546"/>
      <c r="K115" s="546"/>
      <c r="L115" s="546"/>
      <c r="M115" s="546"/>
      <c r="N115" s="546"/>
      <c r="O115" s="546"/>
      <c r="P115" s="546"/>
      <c r="Q115" s="546"/>
      <c r="R115" s="546"/>
      <c r="S115" s="546"/>
      <c r="T115" s="546"/>
      <c r="U115" s="547"/>
      <c r="V115" s="546"/>
      <c r="W115" s="546"/>
      <c r="X115" s="546"/>
      <c r="Y115" s="546"/>
      <c r="Z115" s="546"/>
      <c r="AA115" s="546"/>
      <c r="AB115" s="546"/>
      <c r="AN115" s="179"/>
      <c r="AO115" s="87"/>
      <c r="AP115" s="181"/>
      <c r="AQ115" s="181"/>
      <c r="AS115" s="548"/>
    </row>
    <row r="116" spans="2:54" ht="15" customHeight="1" x14ac:dyDescent="0.35">
      <c r="B116" s="84"/>
      <c r="D116" s="84"/>
      <c r="E116" s="546"/>
      <c r="F116" s="546"/>
      <c r="G116" s="546"/>
      <c r="H116" s="546"/>
      <c r="I116" s="546"/>
      <c r="J116" s="546"/>
      <c r="K116" s="546"/>
      <c r="L116" s="546"/>
      <c r="M116" s="546"/>
      <c r="N116" s="546"/>
      <c r="O116" s="546"/>
      <c r="P116" s="546"/>
      <c r="Q116" s="546"/>
      <c r="R116" s="546"/>
      <c r="S116" s="546"/>
      <c r="T116" s="546"/>
      <c r="U116" s="547"/>
      <c r="V116" s="546"/>
      <c r="W116" s="546"/>
      <c r="X116" s="546"/>
      <c r="Y116" s="546"/>
      <c r="Z116" s="546"/>
      <c r="AA116" s="546"/>
      <c r="AB116" s="546"/>
      <c r="AN116" s="179"/>
      <c r="AO116" s="87"/>
      <c r="AP116" s="181"/>
      <c r="AQ116" s="181"/>
      <c r="AS116" s="548"/>
    </row>
    <row r="117" spans="2:54" ht="15" customHeight="1" x14ac:dyDescent="0.35">
      <c r="B117" s="84"/>
      <c r="D117" s="84"/>
      <c r="E117" s="546"/>
      <c r="F117" s="546"/>
      <c r="G117" s="546"/>
      <c r="H117" s="546"/>
      <c r="I117" s="546"/>
      <c r="J117" s="546"/>
      <c r="K117" s="546"/>
      <c r="L117" s="546"/>
      <c r="M117" s="546"/>
      <c r="N117" s="546"/>
      <c r="O117" s="546"/>
      <c r="P117" s="546"/>
      <c r="Q117" s="546"/>
      <c r="R117" s="546"/>
      <c r="S117" s="546"/>
      <c r="T117" s="546"/>
      <c r="U117" s="547"/>
      <c r="V117" s="546"/>
      <c r="W117" s="546"/>
      <c r="X117" s="546"/>
      <c r="Y117" s="546"/>
      <c r="Z117" s="546"/>
      <c r="AA117" s="546"/>
      <c r="AB117" s="546"/>
      <c r="AN117" s="179"/>
      <c r="AO117" s="87"/>
      <c r="AP117" s="181"/>
      <c r="AQ117" s="181"/>
      <c r="AS117" s="548"/>
    </row>
    <row r="118" spans="2:54" x14ac:dyDescent="0.35">
      <c r="B118" s="457" t="s">
        <v>409</v>
      </c>
      <c r="C118" s="84"/>
      <c r="D118" s="84"/>
      <c r="E118" s="363"/>
      <c r="F118" s="63"/>
      <c r="G118" s="363"/>
      <c r="H118" s="87"/>
      <c r="I118" s="87"/>
      <c r="J118" s="365"/>
      <c r="L118" s="365"/>
      <c r="N118" s="365"/>
      <c r="AP118" s="181"/>
      <c r="AQ118" s="365" t="s">
        <v>410</v>
      </c>
      <c r="AS118" s="548"/>
    </row>
    <row r="119" spans="2:54" ht="16.5" customHeight="1" x14ac:dyDescent="0.35">
      <c r="B119" s="86"/>
      <c r="C119" s="84"/>
      <c r="D119" s="84"/>
      <c r="E119" s="363"/>
      <c r="F119" s="86"/>
      <c r="G119" s="363"/>
      <c r="H119" s="87"/>
      <c r="I119" s="87"/>
      <c r="J119" s="142"/>
      <c r="AP119" s="181"/>
      <c r="AQ119" s="181"/>
      <c r="AS119" s="548"/>
    </row>
    <row r="120" spans="2:54" s="564" customFormat="1" ht="16.5" x14ac:dyDescent="0.35">
      <c r="B120" s="561" t="str">
        <f>IN!C4</f>
        <v>Laporan Keuangan June 2026</v>
      </c>
      <c r="C120" s="561"/>
      <c r="D120" s="561"/>
      <c r="E120" s="561"/>
      <c r="F120" s="561"/>
      <c r="G120" s="561"/>
      <c r="H120" s="561"/>
      <c r="I120" s="561"/>
      <c r="J120" s="561"/>
      <c r="K120" s="561"/>
      <c r="L120" s="561"/>
      <c r="M120" s="561"/>
      <c r="N120" s="561"/>
      <c r="O120" s="561"/>
      <c r="P120" s="561"/>
      <c r="Q120" s="561"/>
      <c r="R120" s="561"/>
      <c r="S120" s="561"/>
      <c r="T120" s="561"/>
      <c r="U120" s="561"/>
      <c r="V120" s="562"/>
      <c r="W120" s="562" t="s">
        <v>575</v>
      </c>
      <c r="X120" s="561"/>
      <c r="Y120" s="561"/>
      <c r="Z120" s="561"/>
      <c r="AA120" s="561"/>
      <c r="AB120" s="561"/>
      <c r="AC120" s="561"/>
      <c r="AD120" s="561"/>
      <c r="AE120" s="561"/>
      <c r="AF120" s="561"/>
      <c r="AG120" s="561"/>
      <c r="AH120" s="561"/>
      <c r="AI120" s="561"/>
      <c r="AJ120" s="561"/>
      <c r="AK120" s="561"/>
      <c r="AL120" s="561"/>
      <c r="AM120" s="561"/>
      <c r="AN120" s="561"/>
      <c r="AO120" s="561"/>
      <c r="AP120" s="561"/>
      <c r="AQ120" s="563" t="str">
        <f>IN!D4</f>
        <v>Financial Statement Jun 2026</v>
      </c>
      <c r="AS120" s="565"/>
    </row>
    <row r="121" spans="2:54" s="544" customFormat="1" ht="13.5" x14ac:dyDescent="0.35">
      <c r="B121" s="535" t="s">
        <v>576</v>
      </c>
      <c r="C121" s="536" t="s">
        <v>577</v>
      </c>
      <c r="D121" s="535"/>
      <c r="E121" s="537"/>
      <c r="F121" s="537"/>
      <c r="G121" s="537"/>
      <c r="H121" s="537"/>
      <c r="I121" s="537"/>
      <c r="J121" s="537"/>
      <c r="K121" s="537"/>
      <c r="L121" s="537"/>
      <c r="M121" s="537"/>
      <c r="N121" s="537"/>
      <c r="O121" s="537"/>
      <c r="P121" s="537"/>
      <c r="Q121" s="537"/>
      <c r="R121" s="537"/>
      <c r="S121" s="537"/>
      <c r="T121" s="537"/>
      <c r="U121" s="537"/>
      <c r="V121" s="538"/>
      <c r="W121" s="537"/>
      <c r="X121" s="539" t="str">
        <f>B121</f>
        <v>2.</v>
      </c>
      <c r="Y121" s="539" t="s">
        <v>578</v>
      </c>
      <c r="Z121" s="539"/>
      <c r="AA121" s="539"/>
      <c r="AB121" s="539"/>
      <c r="AC121" s="539"/>
      <c r="AD121" s="539"/>
      <c r="AE121" s="539"/>
      <c r="AF121" s="539"/>
      <c r="AG121" s="539"/>
      <c r="AH121" s="539"/>
      <c r="AI121" s="539"/>
      <c r="AJ121" s="539"/>
      <c r="AK121" s="539"/>
      <c r="AL121" s="539"/>
      <c r="AM121" s="539"/>
      <c r="AN121" s="539"/>
      <c r="AO121" s="539"/>
      <c r="AP121" s="566"/>
      <c r="AQ121" s="567"/>
      <c r="AS121" s="545"/>
    </row>
    <row r="122" spans="2:54" ht="13.5" x14ac:dyDescent="0.35">
      <c r="C122" s="64"/>
      <c r="D122" s="84"/>
      <c r="E122" s="546"/>
      <c r="F122" s="546"/>
      <c r="G122" s="546"/>
      <c r="H122" s="546"/>
      <c r="I122" s="546"/>
      <c r="J122" s="546"/>
      <c r="K122" s="546"/>
      <c r="L122" s="546"/>
      <c r="M122" s="546"/>
      <c r="N122" s="546"/>
      <c r="O122" s="546"/>
      <c r="P122" s="546"/>
      <c r="Q122" s="546"/>
      <c r="R122" s="546"/>
      <c r="S122" s="546"/>
      <c r="T122" s="546"/>
      <c r="U122" s="546"/>
      <c r="V122" s="547"/>
      <c r="W122" s="546"/>
      <c r="X122" s="546"/>
      <c r="Y122" s="546"/>
      <c r="Z122" s="546"/>
      <c r="AA122" s="546"/>
      <c r="AB122" s="546"/>
      <c r="AC122" s="546"/>
      <c r="AQ122" s="88"/>
      <c r="AS122" s="548"/>
    </row>
    <row r="123" spans="2:54" x14ac:dyDescent="0.35">
      <c r="B123" s="84"/>
      <c r="C123" s="181" t="s">
        <v>579</v>
      </c>
      <c r="D123" s="84"/>
      <c r="E123" s="546"/>
      <c r="F123" s="546"/>
      <c r="G123" s="546"/>
      <c r="H123" s="546"/>
      <c r="I123" s="546"/>
      <c r="J123" s="546"/>
      <c r="K123" s="546"/>
      <c r="L123" s="546"/>
      <c r="M123" s="546"/>
      <c r="N123" s="546"/>
      <c r="O123" s="546"/>
      <c r="P123" s="546"/>
      <c r="Q123" s="546"/>
      <c r="R123" s="546"/>
      <c r="S123" s="546"/>
      <c r="T123" s="546"/>
      <c r="U123" s="546"/>
      <c r="V123" s="547"/>
      <c r="W123" s="546"/>
      <c r="X123" s="546"/>
      <c r="Y123" s="546"/>
      <c r="Z123" s="546"/>
      <c r="AA123" s="546"/>
      <c r="AB123" s="546"/>
      <c r="AC123" s="546"/>
      <c r="AQ123" s="87" t="s">
        <v>580</v>
      </c>
      <c r="AS123" s="548"/>
    </row>
    <row r="124" spans="2:54" ht="13.5" x14ac:dyDescent="0.35">
      <c r="C124" s="64"/>
      <c r="D124" s="84"/>
      <c r="E124" s="546"/>
      <c r="F124" s="546"/>
      <c r="G124" s="546"/>
      <c r="H124" s="546"/>
      <c r="I124" s="546"/>
      <c r="J124" s="546"/>
      <c r="K124" s="546"/>
      <c r="L124" s="546"/>
      <c r="M124" s="546"/>
      <c r="N124" s="546"/>
      <c r="O124" s="546"/>
      <c r="P124" s="546"/>
      <c r="Q124" s="3766" t="str">
        <f>NRC!E9</f>
        <v>30 June 2026/</v>
      </c>
      <c r="R124" s="3766" t="str">
        <f>[8]IN!$G$23</f>
        <v>31 July 2023 /</v>
      </c>
      <c r="S124" s="3766" t="str">
        <f>[8]IN!$G$23</f>
        <v>31 July 2023 /</v>
      </c>
      <c r="T124" s="3766" t="str">
        <f>[8]IN!$G$23</f>
        <v>31 July 2023 /</v>
      </c>
      <c r="U124" s="3766" t="str">
        <f>[8]IN!$G$23</f>
        <v>31 July 2023 /</v>
      </c>
      <c r="V124" s="3766" t="str">
        <f>[8]IN!$G$23</f>
        <v>31 July 2023 /</v>
      </c>
      <c r="W124" s="548"/>
      <c r="X124" s="3766" t="str">
        <f>NRC!G9</f>
        <v>31 May 2026/</v>
      </c>
      <c r="Y124" s="3766" t="str">
        <f>[8]IN!$G$26</f>
        <v>30 June 2023 /</v>
      </c>
      <c r="Z124" s="3766" t="str">
        <f>[8]IN!$G$26</f>
        <v>30 June 2023 /</v>
      </c>
      <c r="AA124" s="3766" t="str">
        <f>[8]IN!$G$26</f>
        <v>30 June 2023 /</v>
      </c>
      <c r="AB124" s="3766" t="str">
        <f>[8]IN!$G$26</f>
        <v>30 June 2023 /</v>
      </c>
      <c r="AC124" s="3766" t="str">
        <f>[8]IN!$G$26</f>
        <v>30 June 2023 /</v>
      </c>
      <c r="AQ124" s="88"/>
      <c r="AS124" s="548"/>
    </row>
    <row r="125" spans="2:54" s="142" customFormat="1" ht="14" thickBot="1" x14ac:dyDescent="0.4">
      <c r="B125" s="559"/>
      <c r="D125" s="568"/>
      <c r="E125" s="553"/>
      <c r="F125" s="553"/>
      <c r="G125" s="553"/>
      <c r="H125" s="553"/>
      <c r="I125" s="553"/>
      <c r="J125" s="553"/>
      <c r="K125" s="553"/>
      <c r="L125" s="553"/>
      <c r="M125" s="553"/>
      <c r="N125" s="553"/>
      <c r="O125" s="553"/>
      <c r="P125" s="553"/>
      <c r="Q125" s="3767">
        <f>NRC!E10</f>
        <v>46203</v>
      </c>
      <c r="R125" s="3767" t="e">
        <f>[8]IN!$I$23</f>
        <v>#N/A</v>
      </c>
      <c r="S125" s="3767" t="e">
        <f>[8]IN!$I$23</f>
        <v>#N/A</v>
      </c>
      <c r="T125" s="3767" t="e">
        <f>[8]IN!$I$23</f>
        <v>#N/A</v>
      </c>
      <c r="U125" s="3767" t="e">
        <f>[8]IN!$I$23</f>
        <v>#N/A</v>
      </c>
      <c r="V125" s="3767" t="e">
        <f>[8]IN!$I$23</f>
        <v>#N/A</v>
      </c>
      <c r="W125" s="569"/>
      <c r="X125" s="3767">
        <f>NRC!G10</f>
        <v>46173</v>
      </c>
      <c r="Y125" s="3767" t="e">
        <f>[8]IN!$I$26</f>
        <v>#N/A</v>
      </c>
      <c r="Z125" s="3767" t="e">
        <f>[8]IN!$I$26</f>
        <v>#N/A</v>
      </c>
      <c r="AA125" s="3767" t="e">
        <f>[8]IN!$I$26</f>
        <v>#N/A</v>
      </c>
      <c r="AB125" s="3767" t="e">
        <f>[8]IN!$I$26</f>
        <v>#N/A</v>
      </c>
      <c r="AC125" s="3767" t="e">
        <f>[8]IN!$I$26</f>
        <v>#N/A</v>
      </c>
      <c r="AP125" s="87"/>
      <c r="AQ125" s="87"/>
      <c r="AS125" s="570"/>
    </row>
    <row r="126" spans="2:54" ht="13.5" x14ac:dyDescent="0.35">
      <c r="C126" s="130" t="s">
        <v>581</v>
      </c>
      <c r="D126" s="130"/>
      <c r="E126" s="546"/>
      <c r="F126" s="546"/>
      <c r="G126" s="546"/>
      <c r="H126" s="546"/>
      <c r="I126" s="546"/>
      <c r="J126" s="546"/>
      <c r="K126" s="546"/>
      <c r="L126" s="546"/>
      <c r="M126" s="546"/>
      <c r="N126" s="546"/>
      <c r="O126" s="546"/>
      <c r="P126" s="546"/>
      <c r="Q126" s="571"/>
      <c r="R126" s="571"/>
      <c r="S126" s="571"/>
      <c r="T126" s="571"/>
      <c r="U126" s="571"/>
      <c r="V126" s="571"/>
      <c r="W126" s="503"/>
      <c r="X126" s="571"/>
      <c r="Y126" s="571"/>
      <c r="Z126" s="571"/>
      <c r="AA126" s="571"/>
      <c r="AB126" s="571"/>
      <c r="AC126" s="571"/>
      <c r="AP126" s="557"/>
      <c r="AQ126" s="88" t="s">
        <v>582</v>
      </c>
      <c r="AS126" s="548"/>
      <c r="AT126" s="142"/>
      <c r="AU126" s="142"/>
      <c r="AV126" s="142"/>
      <c r="AW126" s="142"/>
      <c r="AX126" s="142"/>
      <c r="AY126" s="142"/>
      <c r="AZ126" s="142"/>
      <c r="BA126" s="142"/>
      <c r="BB126" s="142"/>
    </row>
    <row r="127" spans="2:54" x14ac:dyDescent="0.35">
      <c r="C127" s="86" t="s">
        <v>190</v>
      </c>
      <c r="D127" s="181" t="s">
        <v>583</v>
      </c>
      <c r="E127" s="546"/>
      <c r="F127" s="546"/>
      <c r="G127" s="546"/>
      <c r="H127" s="546"/>
      <c r="I127" s="546"/>
      <c r="J127" s="546"/>
      <c r="K127" s="546"/>
      <c r="L127" s="546"/>
      <c r="M127" s="546"/>
      <c r="N127" s="546"/>
      <c r="O127" s="546"/>
      <c r="P127" s="546"/>
      <c r="Q127" s="3768">
        <f>BS!C17</f>
        <v>919800</v>
      </c>
      <c r="R127" s="3769"/>
      <c r="S127" s="3769"/>
      <c r="T127" s="3769"/>
      <c r="U127" s="3769"/>
      <c r="V127" s="3769"/>
      <c r="W127" s="572"/>
      <c r="X127" s="3441">
        <v>1885900</v>
      </c>
      <c r="Y127" s="3441"/>
      <c r="Z127" s="3441"/>
      <c r="AA127" s="3441"/>
      <c r="AB127" s="3441"/>
      <c r="AC127" s="3441"/>
      <c r="AP127" s="87" t="s">
        <v>584</v>
      </c>
      <c r="AQ127" s="179" t="s">
        <v>190</v>
      </c>
      <c r="AS127" s="548" t="s">
        <v>585</v>
      </c>
      <c r="AT127" s="142" t="s">
        <v>586</v>
      </c>
      <c r="AU127" s="142"/>
      <c r="AV127" s="142"/>
      <c r="AW127" s="142"/>
      <c r="AX127" s="142"/>
      <c r="AY127" s="142"/>
      <c r="AZ127" s="142"/>
      <c r="BA127" s="142"/>
      <c r="BB127" s="142"/>
    </row>
    <row r="128" spans="2:54" outlineLevel="1" x14ac:dyDescent="0.35">
      <c r="C128" s="86" t="s">
        <v>190</v>
      </c>
      <c r="D128" s="2836" t="s">
        <v>7289</v>
      </c>
      <c r="E128" s="2837"/>
      <c r="F128" s="2837"/>
      <c r="G128" s="2837"/>
      <c r="H128" s="2837"/>
      <c r="I128" s="2837"/>
      <c r="J128" s="2837"/>
      <c r="K128" s="2837"/>
      <c r="L128" s="2837"/>
      <c r="M128" s="2837"/>
      <c r="N128" s="2837"/>
      <c r="O128" s="2837"/>
      <c r="P128" s="2837"/>
      <c r="Q128" s="3441">
        <f>'12'!E14+'12'!E15</f>
        <v>223061158.5</v>
      </c>
      <c r="R128" s="3441"/>
      <c r="S128" s="3441"/>
      <c r="T128" s="3441"/>
      <c r="U128" s="3441"/>
      <c r="V128" s="3441"/>
      <c r="W128" s="572"/>
      <c r="X128" s="3441">
        <v>265781922.5</v>
      </c>
      <c r="Y128" s="3441"/>
      <c r="Z128" s="3441"/>
      <c r="AA128" s="3441"/>
      <c r="AB128" s="3441"/>
      <c r="AC128" s="3441"/>
      <c r="AP128" s="87" t="s">
        <v>587</v>
      </c>
      <c r="AQ128" s="179" t="s">
        <v>190</v>
      </c>
      <c r="AS128" s="548"/>
      <c r="AT128" s="142"/>
      <c r="AU128" s="142"/>
      <c r="AV128" s="142"/>
      <c r="AW128" s="142"/>
      <c r="AX128" s="142"/>
      <c r="AY128" s="142"/>
      <c r="AZ128" s="142"/>
      <c r="BA128" s="142"/>
      <c r="BB128" s="142"/>
    </row>
    <row r="129" spans="3:54" x14ac:dyDescent="0.35">
      <c r="C129" s="86" t="s">
        <v>190</v>
      </c>
      <c r="D129" s="181" t="s">
        <v>1175</v>
      </c>
      <c r="E129" s="546"/>
      <c r="F129" s="546"/>
      <c r="G129" s="546"/>
      <c r="H129" s="546"/>
      <c r="I129" s="546"/>
      <c r="J129" s="546"/>
      <c r="K129" s="546"/>
      <c r="L129" s="546"/>
      <c r="M129" s="546"/>
      <c r="N129" s="546"/>
      <c r="O129" s="546"/>
      <c r="P129" s="546"/>
      <c r="Q129" s="3755">
        <f>BS!C18</f>
        <v>85600</v>
      </c>
      <c r="R129" s="3755"/>
      <c r="S129" s="3755"/>
      <c r="T129" s="3755"/>
      <c r="U129" s="3755"/>
      <c r="V129" s="3755"/>
      <c r="W129" s="572"/>
      <c r="X129" s="3441">
        <v>101107200</v>
      </c>
      <c r="Y129" s="3441"/>
      <c r="Z129" s="3441"/>
      <c r="AA129" s="3441"/>
      <c r="AB129" s="3441"/>
      <c r="AC129" s="3441"/>
      <c r="AP129" s="87" t="s">
        <v>1176</v>
      </c>
      <c r="AQ129" s="179" t="s">
        <v>190</v>
      </c>
      <c r="AS129" s="548" t="s">
        <v>588</v>
      </c>
      <c r="AT129" s="142" t="s">
        <v>589</v>
      </c>
      <c r="AU129" s="142"/>
      <c r="AV129" s="142"/>
      <c r="AW129" s="142"/>
      <c r="AX129" s="142"/>
      <c r="AY129" s="142"/>
      <c r="AZ129" s="142"/>
      <c r="BA129" s="142"/>
      <c r="BB129" s="142"/>
    </row>
    <row r="130" spans="3:54" ht="14" x14ac:dyDescent="0.35">
      <c r="C130" s="86" t="s">
        <v>190</v>
      </c>
      <c r="D130" s="466" t="s">
        <v>2417</v>
      </c>
      <c r="E130" s="546"/>
      <c r="F130" s="546"/>
      <c r="G130" s="546"/>
      <c r="H130" s="546"/>
      <c r="I130" s="546"/>
      <c r="J130" s="546"/>
      <c r="K130" s="546"/>
      <c r="L130" s="546"/>
      <c r="M130" s="546"/>
      <c r="N130" s="546"/>
      <c r="O130" s="546"/>
      <c r="P130" s="546"/>
      <c r="Q130" s="3755">
        <v>0</v>
      </c>
      <c r="R130" s="3755"/>
      <c r="S130" s="3755"/>
      <c r="T130" s="3755"/>
      <c r="U130" s="3755"/>
      <c r="V130" s="3755"/>
      <c r="W130" s="572"/>
      <c r="X130" s="3441">
        <v>0</v>
      </c>
      <c r="Y130" s="3441"/>
      <c r="Z130" s="3441"/>
      <c r="AA130" s="3441"/>
      <c r="AB130" s="3441"/>
      <c r="AC130" s="3441"/>
      <c r="AP130" s="87" t="s">
        <v>2420</v>
      </c>
      <c r="AQ130" s="179" t="s">
        <v>190</v>
      </c>
      <c r="AS130" s="548"/>
      <c r="AT130" s="142"/>
      <c r="AU130" s="142"/>
      <c r="AV130" s="142"/>
      <c r="AW130" s="142"/>
      <c r="AX130" s="142"/>
      <c r="AY130" s="142"/>
      <c r="AZ130" s="142"/>
      <c r="BA130" s="142"/>
      <c r="BB130" s="142"/>
    </row>
    <row r="131" spans="3:54" ht="14" x14ac:dyDescent="0.35">
      <c r="C131" s="86" t="s">
        <v>190</v>
      </c>
      <c r="D131" s="466" t="s">
        <v>2418</v>
      </c>
      <c r="E131" s="546"/>
      <c r="F131" s="546"/>
      <c r="G131" s="546"/>
      <c r="H131" s="546"/>
      <c r="I131" s="546"/>
      <c r="J131" s="546"/>
      <c r="K131" s="546"/>
      <c r="L131" s="546"/>
      <c r="M131" s="546"/>
      <c r="N131" s="546"/>
      <c r="O131" s="546"/>
      <c r="P131" s="546"/>
      <c r="Q131" s="3755">
        <f>BS!C20</f>
        <v>175654800</v>
      </c>
      <c r="R131" s="3755"/>
      <c r="S131" s="3755"/>
      <c r="T131" s="3755"/>
      <c r="U131" s="3755"/>
      <c r="V131" s="3755"/>
      <c r="W131" s="572"/>
      <c r="X131" s="3441">
        <v>183016600</v>
      </c>
      <c r="Y131" s="3441"/>
      <c r="Z131" s="3441"/>
      <c r="AA131" s="3441"/>
      <c r="AB131" s="3441"/>
      <c r="AC131" s="3441"/>
      <c r="AP131" s="87" t="s">
        <v>2421</v>
      </c>
      <c r="AQ131" s="179" t="s">
        <v>190</v>
      </c>
      <c r="AS131" s="548"/>
      <c r="AT131" s="142"/>
      <c r="AU131" s="142"/>
      <c r="AV131" s="142"/>
      <c r="AW131" s="142"/>
      <c r="AX131" s="142"/>
      <c r="AY131" s="142"/>
      <c r="AZ131" s="142"/>
      <c r="BA131" s="142"/>
      <c r="BB131" s="142"/>
    </row>
    <row r="132" spans="3:54" ht="14" x14ac:dyDescent="0.35">
      <c r="C132" s="86" t="s">
        <v>190</v>
      </c>
      <c r="D132" s="466" t="s">
        <v>2419</v>
      </c>
      <c r="E132" s="546"/>
      <c r="F132" s="546"/>
      <c r="G132" s="546"/>
      <c r="H132" s="546"/>
      <c r="I132" s="546"/>
      <c r="J132" s="546"/>
      <c r="K132" s="546"/>
      <c r="L132" s="546"/>
      <c r="M132" s="546"/>
      <c r="N132" s="546"/>
      <c r="O132" s="546"/>
      <c r="P132" s="546"/>
      <c r="Q132" s="3755">
        <f>BS!C21</f>
        <v>161988900</v>
      </c>
      <c r="R132" s="3755"/>
      <c r="S132" s="3755"/>
      <c r="T132" s="3755"/>
      <c r="U132" s="3755"/>
      <c r="V132" s="3755"/>
      <c r="W132" s="572"/>
      <c r="X132" s="3441">
        <v>168205300</v>
      </c>
      <c r="Y132" s="3441"/>
      <c r="Z132" s="3441"/>
      <c r="AA132" s="3441"/>
      <c r="AB132" s="3441"/>
      <c r="AC132" s="3441"/>
      <c r="AP132" s="87" t="s">
        <v>2422</v>
      </c>
      <c r="AQ132" s="179" t="s">
        <v>190</v>
      </c>
      <c r="AS132" s="548">
        <f>X128-Q128</f>
        <v>42720764</v>
      </c>
      <c r="AT132" s="142"/>
      <c r="AU132" s="142"/>
      <c r="AV132" s="142"/>
      <c r="AW132" s="142"/>
      <c r="AX132" s="142"/>
      <c r="AY132" s="142"/>
      <c r="AZ132" s="142"/>
      <c r="BA132" s="142"/>
      <c r="BB132" s="142"/>
    </row>
    <row r="133" spans="3:54" x14ac:dyDescent="0.35">
      <c r="C133" s="86" t="s">
        <v>190</v>
      </c>
      <c r="E133" s="546"/>
      <c r="F133" s="546"/>
      <c r="G133" s="546"/>
      <c r="H133" s="546"/>
      <c r="I133" s="546"/>
      <c r="J133" s="546"/>
      <c r="K133" s="546"/>
      <c r="L133" s="546"/>
      <c r="M133" s="546"/>
      <c r="N133" s="546"/>
      <c r="O133" s="546"/>
      <c r="P133" s="546"/>
      <c r="Q133" s="3756">
        <f>BS!C24</f>
        <v>0</v>
      </c>
      <c r="R133" s="3756"/>
      <c r="S133" s="3756"/>
      <c r="T133" s="3756"/>
      <c r="U133" s="3756"/>
      <c r="V133" s="3756"/>
      <c r="W133" s="572"/>
      <c r="X133" s="3441">
        <v>0</v>
      </c>
      <c r="Y133" s="3441"/>
      <c r="Z133" s="3441"/>
      <c r="AA133" s="3441"/>
      <c r="AB133" s="3441"/>
      <c r="AC133" s="3441"/>
      <c r="AP133" s="87"/>
      <c r="AQ133" s="179" t="s">
        <v>190</v>
      </c>
      <c r="AS133" s="548"/>
      <c r="AT133" s="142"/>
      <c r="AU133" s="142"/>
      <c r="AV133" s="142"/>
      <c r="AW133" s="142"/>
      <c r="AX133" s="142"/>
      <c r="AY133" s="142"/>
      <c r="AZ133" s="142"/>
      <c r="BA133" s="142"/>
      <c r="BB133" s="142"/>
    </row>
    <row r="134" spans="3:54" x14ac:dyDescent="0.35">
      <c r="C134" s="86" t="s">
        <v>190</v>
      </c>
      <c r="E134" s="546"/>
      <c r="F134" s="546"/>
      <c r="G134" s="546"/>
      <c r="H134" s="546"/>
      <c r="I134" s="546"/>
      <c r="J134" s="546"/>
      <c r="K134" s="546"/>
      <c r="L134" s="546"/>
      <c r="M134" s="546"/>
      <c r="N134" s="546"/>
      <c r="O134" s="546"/>
      <c r="P134" s="546"/>
      <c r="Q134" s="3757"/>
      <c r="R134" s="3757"/>
      <c r="S134" s="3757"/>
      <c r="T134" s="3757"/>
      <c r="U134" s="3757"/>
      <c r="V134" s="3757"/>
      <c r="W134" s="572"/>
      <c r="X134" s="3441">
        <v>0</v>
      </c>
      <c r="Y134" s="3441"/>
      <c r="Z134" s="3441"/>
      <c r="AA134" s="3441"/>
      <c r="AB134" s="3441"/>
      <c r="AC134" s="3441"/>
      <c r="AP134" s="87"/>
      <c r="AQ134" s="179" t="s">
        <v>190</v>
      </c>
      <c r="AS134" s="548"/>
      <c r="AT134" s="142"/>
      <c r="AU134" s="142"/>
      <c r="AV134" s="142"/>
      <c r="AW134" s="142"/>
      <c r="AX134" s="142"/>
      <c r="AY134" s="142"/>
      <c r="AZ134" s="142"/>
      <c r="BA134" s="142"/>
      <c r="BB134" s="142"/>
    </row>
    <row r="135" spans="3:54" x14ac:dyDescent="0.35">
      <c r="C135" s="86" t="s">
        <v>190</v>
      </c>
      <c r="E135" s="546"/>
      <c r="F135" s="546"/>
      <c r="G135" s="546"/>
      <c r="H135" s="546"/>
      <c r="I135" s="546"/>
      <c r="J135" s="546"/>
      <c r="K135" s="546"/>
      <c r="L135" s="546"/>
      <c r="M135" s="546"/>
      <c r="N135" s="546"/>
      <c r="O135" s="546"/>
      <c r="P135" s="546"/>
      <c r="Q135" s="3757"/>
      <c r="R135" s="3757"/>
      <c r="S135" s="3757"/>
      <c r="T135" s="3757"/>
      <c r="U135" s="3757"/>
      <c r="V135" s="3757"/>
      <c r="W135" s="572"/>
      <c r="X135" s="3441">
        <v>0</v>
      </c>
      <c r="Y135" s="3441"/>
      <c r="Z135" s="3441"/>
      <c r="AA135" s="3441"/>
      <c r="AB135" s="3441"/>
      <c r="AC135" s="3441"/>
      <c r="AP135" s="87"/>
      <c r="AQ135" s="179" t="s">
        <v>190</v>
      </c>
      <c r="AS135" s="548"/>
      <c r="AT135" s="142"/>
      <c r="AU135" s="142"/>
      <c r="AV135" s="142"/>
      <c r="AW135" s="142"/>
      <c r="AX135" s="142"/>
      <c r="AY135" s="142"/>
      <c r="AZ135" s="142"/>
      <c r="BA135" s="142"/>
      <c r="BB135" s="142"/>
    </row>
    <row r="136" spans="3:54" x14ac:dyDescent="0.35">
      <c r="C136" s="86" t="s">
        <v>190</v>
      </c>
      <c r="E136" s="546"/>
      <c r="F136" s="546"/>
      <c r="G136" s="546"/>
      <c r="H136" s="546"/>
      <c r="I136" s="546"/>
      <c r="J136" s="546"/>
      <c r="K136" s="546"/>
      <c r="L136" s="546"/>
      <c r="M136" s="546"/>
      <c r="N136" s="546"/>
      <c r="O136" s="546"/>
      <c r="P136" s="546"/>
      <c r="Q136" s="893"/>
      <c r="R136" s="893"/>
      <c r="S136" s="893"/>
      <c r="T136" s="893"/>
      <c r="U136" s="893"/>
      <c r="V136" s="893"/>
      <c r="W136" s="572"/>
      <c r="X136" s="3441">
        <v>0</v>
      </c>
      <c r="Y136" s="3441"/>
      <c r="Z136" s="3441"/>
      <c r="AA136" s="3441"/>
      <c r="AB136" s="3441"/>
      <c r="AC136" s="3441"/>
      <c r="AP136" s="87"/>
      <c r="AQ136" s="179" t="s">
        <v>190</v>
      </c>
      <c r="AS136" s="548"/>
      <c r="AT136" s="142"/>
      <c r="AU136" s="142"/>
      <c r="AV136" s="142"/>
      <c r="AW136" s="142"/>
      <c r="AX136" s="142"/>
      <c r="AY136" s="142"/>
      <c r="AZ136" s="142"/>
      <c r="BA136" s="142"/>
      <c r="BB136" s="142"/>
    </row>
    <row r="137" spans="3:54" outlineLevel="1" x14ac:dyDescent="0.35">
      <c r="C137" s="86" t="s">
        <v>190</v>
      </c>
      <c r="E137" s="546"/>
      <c r="F137" s="546"/>
      <c r="G137" s="546"/>
      <c r="H137" s="546"/>
      <c r="I137" s="546"/>
      <c r="J137" s="546"/>
      <c r="K137" s="546"/>
      <c r="L137" s="546"/>
      <c r="M137" s="546"/>
      <c r="N137" s="546"/>
      <c r="O137" s="546"/>
      <c r="P137" s="546"/>
      <c r="Q137" s="3758">
        <f>IF($AS137="",0,VLOOKUP($AS137,[9]GL!$B$11:$J$3054,9,FALSE))</f>
        <v>0</v>
      </c>
      <c r="R137" s="3758"/>
      <c r="S137" s="3758"/>
      <c r="T137" s="3758"/>
      <c r="U137" s="3758"/>
      <c r="V137" s="3758"/>
      <c r="W137" s="572"/>
      <c r="X137" s="3441">
        <v>0</v>
      </c>
      <c r="Y137" s="3441"/>
      <c r="Z137" s="3441"/>
      <c r="AA137" s="3441"/>
      <c r="AB137" s="3441"/>
      <c r="AC137" s="3441"/>
      <c r="AP137" s="87"/>
      <c r="AQ137" s="179" t="s">
        <v>190</v>
      </c>
      <c r="AS137" s="548"/>
      <c r="AT137" s="142"/>
      <c r="AU137" s="142"/>
      <c r="AV137" s="142" t="s">
        <v>590</v>
      </c>
      <c r="AW137" s="142"/>
      <c r="AX137" s="142"/>
      <c r="AY137" s="142"/>
      <c r="AZ137" s="142"/>
      <c r="BA137" s="142"/>
      <c r="BB137" s="142"/>
    </row>
    <row r="138" spans="3:54" ht="13.5" outlineLevel="1" x14ac:dyDescent="0.35">
      <c r="C138" s="86"/>
      <c r="E138" s="546"/>
      <c r="F138" s="546"/>
      <c r="G138" s="546"/>
      <c r="H138" s="546"/>
      <c r="I138" s="546"/>
      <c r="J138" s="546"/>
      <c r="K138" s="546"/>
      <c r="L138" s="546"/>
      <c r="M138" s="546"/>
      <c r="N138" s="546"/>
      <c r="O138" s="546"/>
      <c r="P138" s="546"/>
      <c r="Q138" s="3763">
        <f>SUM(Q127:V137)</f>
        <v>561710258.5</v>
      </c>
      <c r="R138" s="3763"/>
      <c r="S138" s="3763"/>
      <c r="T138" s="3763"/>
      <c r="U138" s="3763"/>
      <c r="V138" s="3763"/>
      <c r="W138" s="573"/>
      <c r="X138" s="3764">
        <f>SUM(X127:AC137)</f>
        <v>719996922.5</v>
      </c>
      <c r="Y138" s="3764"/>
      <c r="Z138" s="3764"/>
      <c r="AA138" s="3764"/>
      <c r="AB138" s="3764"/>
      <c r="AC138" s="3764"/>
      <c r="AQ138" s="88"/>
      <c r="AS138" s="548"/>
      <c r="AT138" s="142"/>
      <c r="AU138" s="142"/>
      <c r="AV138" s="142"/>
      <c r="AW138" s="142"/>
      <c r="AX138" s="142"/>
      <c r="AY138" s="142"/>
      <c r="AZ138" s="142"/>
      <c r="BA138" s="142"/>
      <c r="BB138" s="142"/>
    </row>
    <row r="139" spans="3:54" ht="13.5" outlineLevel="1" x14ac:dyDescent="0.35">
      <c r="C139" s="64" t="s">
        <v>591</v>
      </c>
      <c r="D139" s="64"/>
      <c r="E139" s="546"/>
      <c r="F139" s="546"/>
      <c r="G139" s="546"/>
      <c r="H139" s="546"/>
      <c r="I139" s="546"/>
      <c r="J139" s="546"/>
      <c r="K139" s="546"/>
      <c r="L139" s="546"/>
      <c r="M139" s="546"/>
      <c r="N139" s="546"/>
      <c r="O139" s="546"/>
      <c r="P139" s="546"/>
      <c r="Q139" s="572"/>
      <c r="R139" s="572"/>
      <c r="S139" s="572"/>
      <c r="T139" s="572"/>
      <c r="U139" s="572"/>
      <c r="V139" s="572"/>
      <c r="W139" s="572"/>
      <c r="X139" s="572"/>
      <c r="Y139" s="572"/>
      <c r="Z139" s="572"/>
      <c r="AA139" s="572"/>
      <c r="AB139" s="572"/>
      <c r="AC139" s="572"/>
      <c r="AP139" s="557"/>
      <c r="AQ139" s="88" t="s">
        <v>592</v>
      </c>
      <c r="AS139" s="548"/>
      <c r="AT139" s="142"/>
      <c r="AU139" s="142"/>
      <c r="AV139" s="142"/>
      <c r="AW139" s="142"/>
      <c r="AX139" s="142"/>
      <c r="AY139" s="142"/>
      <c r="AZ139" s="142"/>
      <c r="BA139" s="142"/>
      <c r="BB139" s="142"/>
    </row>
    <row r="140" spans="3:54" outlineLevel="1" x14ac:dyDescent="0.35">
      <c r="C140" s="86" t="s">
        <v>190</v>
      </c>
      <c r="D140" s="181" t="s">
        <v>7135</v>
      </c>
      <c r="E140" s="546"/>
      <c r="F140" s="546"/>
      <c r="G140" s="546"/>
      <c r="H140" s="546"/>
      <c r="I140" s="546"/>
      <c r="J140" s="546"/>
      <c r="K140" s="546"/>
      <c r="L140" s="546"/>
      <c r="M140" s="546"/>
      <c r="N140" s="546"/>
      <c r="O140" s="546"/>
      <c r="P140" s="546"/>
      <c r="Q140" s="3754">
        <f>BS!C27</f>
        <v>2368365264</v>
      </c>
      <c r="R140" s="3754"/>
      <c r="S140" s="3754"/>
      <c r="T140" s="3754"/>
      <c r="U140" s="3754"/>
      <c r="V140" s="3754"/>
      <c r="W140" s="572"/>
      <c r="X140" s="3441">
        <v>1998607680</v>
      </c>
      <c r="Y140" s="3441"/>
      <c r="Z140" s="3441"/>
      <c r="AA140" s="3441"/>
      <c r="AB140" s="3441"/>
      <c r="AC140" s="3441"/>
      <c r="AP140" s="87" t="s">
        <v>8127</v>
      </c>
      <c r="AQ140" s="179" t="s">
        <v>190</v>
      </c>
      <c r="AS140" s="548"/>
      <c r="AV140" s="574"/>
    </row>
    <row r="141" spans="3:54" outlineLevel="1" x14ac:dyDescent="0.35">
      <c r="C141" s="86" t="s">
        <v>190</v>
      </c>
      <c r="D141" s="181" t="s">
        <v>7136</v>
      </c>
      <c r="E141" s="546"/>
      <c r="F141" s="546"/>
      <c r="G141" s="546"/>
      <c r="H141" s="546"/>
      <c r="I141" s="546"/>
      <c r="J141" s="546"/>
      <c r="K141" s="546"/>
      <c r="L141" s="546"/>
      <c r="M141" s="546"/>
      <c r="N141" s="546"/>
      <c r="O141" s="546"/>
      <c r="P141" s="546"/>
      <c r="Q141" s="3754">
        <f>BS!C28</f>
        <v>136214910</v>
      </c>
      <c r="R141" s="3754"/>
      <c r="S141" s="3754"/>
      <c r="T141" s="3754"/>
      <c r="U141" s="3754"/>
      <c r="V141" s="3754"/>
      <c r="W141" s="572"/>
      <c r="X141" s="3441">
        <v>94823535</v>
      </c>
      <c r="Y141" s="3441"/>
      <c r="Z141" s="3441"/>
      <c r="AA141" s="3441"/>
      <c r="AB141" s="3441"/>
      <c r="AC141" s="3441"/>
      <c r="AP141" s="87" t="s">
        <v>8128</v>
      </c>
      <c r="AQ141" s="179" t="s">
        <v>190</v>
      </c>
      <c r="AS141" s="548"/>
      <c r="AV141" s="574"/>
    </row>
    <row r="142" spans="3:54" outlineLevel="1" x14ac:dyDescent="0.35">
      <c r="C142" s="86" t="s">
        <v>190</v>
      </c>
      <c r="D142" s="181" t="s">
        <v>7137</v>
      </c>
      <c r="E142" s="546"/>
      <c r="F142" s="546"/>
      <c r="G142" s="546"/>
      <c r="H142" s="546"/>
      <c r="I142" s="546"/>
      <c r="J142" s="546"/>
      <c r="K142" s="546"/>
      <c r="L142" s="546"/>
      <c r="M142" s="546"/>
      <c r="N142" s="546"/>
      <c r="O142" s="546"/>
      <c r="P142" s="546"/>
      <c r="Q142" s="3770">
        <f>BS!C29</f>
        <v>61760328</v>
      </c>
      <c r="R142" s="3770"/>
      <c r="S142" s="3770"/>
      <c r="T142" s="3770"/>
      <c r="U142" s="3770"/>
      <c r="V142" s="3770"/>
      <c r="W142" s="572"/>
      <c r="X142" s="3441">
        <v>61760328</v>
      </c>
      <c r="Y142" s="3441"/>
      <c r="Z142" s="3441"/>
      <c r="AA142" s="3441"/>
      <c r="AB142" s="3441"/>
      <c r="AC142" s="3441"/>
      <c r="AP142" s="87" t="s">
        <v>8129</v>
      </c>
      <c r="AQ142" s="179" t="s">
        <v>190</v>
      </c>
      <c r="AS142" s="548"/>
      <c r="AV142" s="574"/>
    </row>
    <row r="143" spans="3:54" outlineLevel="1" x14ac:dyDescent="0.35">
      <c r="C143" s="86" t="s">
        <v>190</v>
      </c>
      <c r="D143" s="181" t="s">
        <v>7138</v>
      </c>
      <c r="E143" s="546"/>
      <c r="F143" s="546"/>
      <c r="G143" s="546"/>
      <c r="H143" s="546"/>
      <c r="I143" s="546"/>
      <c r="J143" s="546"/>
      <c r="K143" s="546"/>
      <c r="L143" s="546"/>
      <c r="M143" s="546"/>
      <c r="N143" s="546"/>
      <c r="O143" s="546"/>
      <c r="P143" s="546"/>
      <c r="Q143" s="3754">
        <f>BS!C30</f>
        <v>375000</v>
      </c>
      <c r="R143" s="3754"/>
      <c r="S143" s="3754"/>
      <c r="T143" s="3754"/>
      <c r="U143" s="3754"/>
      <c r="V143" s="3754"/>
      <c r="W143" s="572"/>
      <c r="X143" s="3441">
        <v>129928103</v>
      </c>
      <c r="Y143" s="3441"/>
      <c r="Z143" s="3441"/>
      <c r="AA143" s="3441"/>
      <c r="AB143" s="3441"/>
      <c r="AC143" s="3441"/>
      <c r="AP143" s="87" t="s">
        <v>8126</v>
      </c>
      <c r="AQ143" s="179" t="s">
        <v>190</v>
      </c>
      <c r="AS143" s="548"/>
      <c r="AV143" s="574"/>
    </row>
    <row r="144" spans="3:54" outlineLevel="1" x14ac:dyDescent="0.35">
      <c r="C144" s="86" t="s">
        <v>190</v>
      </c>
      <c r="D144" s="2836" t="s">
        <v>7290</v>
      </c>
      <c r="E144" s="2837"/>
      <c r="F144" s="2837"/>
      <c r="G144" s="2837"/>
      <c r="H144" s="2837"/>
      <c r="I144" s="2837"/>
      <c r="J144" s="2837"/>
      <c r="K144" s="2837"/>
      <c r="L144" s="2837"/>
      <c r="M144" s="2837"/>
      <c r="N144" s="2837"/>
      <c r="O144" s="2837"/>
      <c r="P144" s="2837"/>
      <c r="Q144" s="3754">
        <f>'12'!E16</f>
        <v>7.999999972525984E-2</v>
      </c>
      <c r="R144" s="3754"/>
      <c r="S144" s="3754"/>
      <c r="T144" s="3754"/>
      <c r="U144" s="3754"/>
      <c r="V144" s="3754"/>
      <c r="W144" s="572"/>
      <c r="X144" s="3441">
        <v>7.999999972525984E-2</v>
      </c>
      <c r="Y144" s="3441"/>
      <c r="Z144" s="3441"/>
      <c r="AA144" s="3441"/>
      <c r="AB144" s="3441"/>
      <c r="AC144" s="3441"/>
      <c r="AP144" s="87" t="s">
        <v>8125</v>
      </c>
      <c r="AQ144" s="179" t="s">
        <v>190</v>
      </c>
      <c r="AS144" s="548"/>
      <c r="AV144" s="574"/>
    </row>
    <row r="145" spans="2:48" outlineLevel="1" x14ac:dyDescent="0.35">
      <c r="C145" s="86" t="s">
        <v>190</v>
      </c>
      <c r="E145" s="546"/>
      <c r="F145" s="546"/>
      <c r="G145" s="546"/>
      <c r="H145" s="546"/>
      <c r="I145" s="546"/>
      <c r="J145" s="546"/>
      <c r="K145" s="546"/>
      <c r="L145" s="546"/>
      <c r="M145" s="546"/>
      <c r="N145" s="546"/>
      <c r="O145" s="546"/>
      <c r="P145" s="546"/>
      <c r="Q145" s="3754">
        <f>BS!C32</f>
        <v>0</v>
      </c>
      <c r="R145" s="3754"/>
      <c r="S145" s="3754"/>
      <c r="T145" s="3754"/>
      <c r="U145" s="3754"/>
      <c r="V145" s="3754"/>
      <c r="W145" s="572"/>
      <c r="X145" s="3441">
        <v>0</v>
      </c>
      <c r="Y145" s="3441"/>
      <c r="Z145" s="3441"/>
      <c r="AA145" s="3441"/>
      <c r="AB145" s="3441"/>
      <c r="AC145" s="3441"/>
      <c r="AP145" s="87"/>
      <c r="AQ145" s="179" t="s">
        <v>190</v>
      </c>
      <c r="AS145" s="548"/>
      <c r="AV145" s="574"/>
    </row>
    <row r="146" spans="2:48" outlineLevel="1" x14ac:dyDescent="0.35">
      <c r="C146" s="86" t="s">
        <v>190</v>
      </c>
      <c r="E146" s="546"/>
      <c r="F146" s="546"/>
      <c r="G146" s="546"/>
      <c r="H146" s="546"/>
      <c r="I146" s="546"/>
      <c r="J146" s="546"/>
      <c r="K146" s="546"/>
      <c r="L146" s="546"/>
      <c r="M146" s="546"/>
      <c r="N146" s="546"/>
      <c r="O146" s="546"/>
      <c r="P146" s="546"/>
      <c r="Q146" s="3754">
        <f>BS!C33</f>
        <v>0</v>
      </c>
      <c r="R146" s="3754"/>
      <c r="S146" s="3754"/>
      <c r="T146" s="3754"/>
      <c r="U146" s="3754"/>
      <c r="V146" s="3754"/>
      <c r="W146" s="572"/>
      <c r="X146" s="3441">
        <v>0</v>
      </c>
      <c r="Y146" s="3441"/>
      <c r="Z146" s="3441"/>
      <c r="AA146" s="3441"/>
      <c r="AB146" s="3441"/>
      <c r="AC146" s="3441"/>
      <c r="AP146" s="87"/>
      <c r="AQ146" s="179" t="s">
        <v>190</v>
      </c>
      <c r="AS146" s="548"/>
      <c r="AV146" s="574"/>
    </row>
    <row r="147" spans="2:48" outlineLevel="1" x14ac:dyDescent="0.35">
      <c r="C147" s="86" t="s">
        <v>190</v>
      </c>
      <c r="E147" s="546"/>
      <c r="F147" s="546"/>
      <c r="G147" s="546"/>
      <c r="H147" s="546"/>
      <c r="I147" s="546"/>
      <c r="J147" s="546"/>
      <c r="K147" s="546"/>
      <c r="L147" s="546"/>
      <c r="M147" s="546"/>
      <c r="N147" s="546"/>
      <c r="O147" s="546"/>
      <c r="P147" s="546"/>
      <c r="Q147" s="3754">
        <f>BS!C25</f>
        <v>0</v>
      </c>
      <c r="R147" s="3754"/>
      <c r="S147" s="3754"/>
      <c r="T147" s="3754"/>
      <c r="U147" s="3754"/>
      <c r="V147" s="3754"/>
      <c r="W147" s="572"/>
      <c r="X147" s="3441">
        <v>0</v>
      </c>
      <c r="Y147" s="3441"/>
      <c r="Z147" s="3441"/>
      <c r="AA147" s="3441"/>
      <c r="AB147" s="3441"/>
      <c r="AC147" s="3441"/>
      <c r="AP147" s="87"/>
      <c r="AQ147" s="179" t="s">
        <v>190</v>
      </c>
      <c r="AS147" s="548"/>
      <c r="AV147" s="574"/>
    </row>
    <row r="148" spans="2:48" outlineLevel="1" x14ac:dyDescent="0.35">
      <c r="C148" s="86" t="s">
        <v>190</v>
      </c>
      <c r="E148" s="546"/>
      <c r="F148" s="546"/>
      <c r="G148" s="546"/>
      <c r="H148" s="546"/>
      <c r="I148" s="546"/>
      <c r="J148" s="546"/>
      <c r="K148" s="546"/>
      <c r="L148" s="546"/>
      <c r="M148" s="546"/>
      <c r="N148" s="546"/>
      <c r="O148" s="546"/>
      <c r="P148" s="546"/>
      <c r="Q148" s="3754">
        <f>BS!C26</f>
        <v>0</v>
      </c>
      <c r="R148" s="3754"/>
      <c r="S148" s="3754"/>
      <c r="T148" s="3754"/>
      <c r="U148" s="3754"/>
      <c r="V148" s="3754"/>
      <c r="W148" s="572"/>
      <c r="X148" s="3441">
        <v>0</v>
      </c>
      <c r="Y148" s="3441"/>
      <c r="Z148" s="3441"/>
      <c r="AA148" s="3441"/>
      <c r="AB148" s="3441"/>
      <c r="AC148" s="3441"/>
      <c r="AP148" s="87"/>
      <c r="AQ148" s="179" t="s">
        <v>190</v>
      </c>
      <c r="AS148" s="548"/>
      <c r="AV148" s="574"/>
    </row>
    <row r="149" spans="2:48" outlineLevel="1" x14ac:dyDescent="0.35">
      <c r="C149" s="86" t="s">
        <v>190</v>
      </c>
      <c r="E149" s="546"/>
      <c r="F149" s="546"/>
      <c r="G149" s="546"/>
      <c r="H149" s="546"/>
      <c r="I149" s="546"/>
      <c r="J149" s="546"/>
      <c r="K149" s="546"/>
      <c r="L149" s="546"/>
      <c r="M149" s="546"/>
      <c r="N149" s="546"/>
      <c r="O149" s="546"/>
      <c r="P149" s="546"/>
      <c r="Q149" s="3754">
        <v>0</v>
      </c>
      <c r="R149" s="3754"/>
      <c r="S149" s="3754"/>
      <c r="T149" s="3754"/>
      <c r="U149" s="3754"/>
      <c r="V149" s="3754"/>
      <c r="W149" s="572"/>
      <c r="X149" s="3765">
        <v>0</v>
      </c>
      <c r="Y149" s="3765"/>
      <c r="Z149" s="3765"/>
      <c r="AA149" s="3765"/>
      <c r="AB149" s="3765"/>
      <c r="AC149" s="3765"/>
      <c r="AP149" s="87"/>
      <c r="AQ149" s="179" t="s">
        <v>190</v>
      </c>
      <c r="AS149" s="548" t="s">
        <v>593</v>
      </c>
      <c r="AT149" s="181" t="s">
        <v>594</v>
      </c>
      <c r="AV149" s="142">
        <v>427020500</v>
      </c>
    </row>
    <row r="150" spans="2:48" outlineLevel="1" x14ac:dyDescent="0.35">
      <c r="E150" s="546"/>
      <c r="F150" s="546"/>
      <c r="G150" s="546"/>
      <c r="H150" s="546"/>
      <c r="I150" s="546"/>
      <c r="J150" s="546"/>
      <c r="K150" s="546"/>
      <c r="L150" s="546"/>
      <c r="M150" s="546"/>
      <c r="N150" s="546"/>
      <c r="O150" s="546"/>
      <c r="P150" s="546"/>
      <c r="Q150" s="3763">
        <f>SUM(Q140:V149)</f>
        <v>2566715502.0799999</v>
      </c>
      <c r="R150" s="3763"/>
      <c r="S150" s="3763"/>
      <c r="T150" s="3763"/>
      <c r="U150" s="3763"/>
      <c r="V150" s="3763"/>
      <c r="W150" s="573"/>
      <c r="X150" s="3778">
        <f>SUM(X140:AC149)</f>
        <v>2285119646.0799999</v>
      </c>
      <c r="Y150" s="3778"/>
      <c r="Z150" s="3778"/>
      <c r="AA150" s="3778"/>
      <c r="AB150" s="3778"/>
      <c r="AC150" s="3778"/>
      <c r="AS150" s="548"/>
    </row>
    <row r="151" spans="2:48" outlineLevel="1" x14ac:dyDescent="0.35">
      <c r="E151" s="546"/>
      <c r="F151" s="546"/>
      <c r="G151" s="546"/>
      <c r="H151" s="546"/>
      <c r="I151" s="546"/>
      <c r="J151" s="546"/>
      <c r="K151" s="546"/>
      <c r="L151" s="546"/>
      <c r="M151" s="546"/>
      <c r="N151" s="546"/>
      <c r="O151" s="546"/>
      <c r="P151" s="546"/>
      <c r="Q151" s="572"/>
      <c r="R151" s="572"/>
      <c r="S151" s="572"/>
      <c r="T151" s="572"/>
      <c r="U151" s="572"/>
      <c r="V151" s="572"/>
      <c r="W151" s="572"/>
      <c r="X151" s="575"/>
      <c r="Y151" s="575"/>
      <c r="Z151" s="575"/>
      <c r="AA151" s="575"/>
      <c r="AB151" s="575"/>
      <c r="AC151" s="575"/>
      <c r="AS151" s="548"/>
    </row>
    <row r="152" spans="2:48" ht="14" thickBot="1" x14ac:dyDescent="0.4">
      <c r="C152" s="64" t="s">
        <v>595</v>
      </c>
      <c r="D152" s="64"/>
      <c r="E152" s="555"/>
      <c r="F152" s="555"/>
      <c r="G152" s="555"/>
      <c r="H152" s="555"/>
      <c r="I152" s="555"/>
      <c r="J152" s="555"/>
      <c r="K152" s="555"/>
      <c r="L152" s="555"/>
      <c r="M152" s="555"/>
      <c r="N152" s="555"/>
      <c r="O152" s="555"/>
      <c r="P152" s="555"/>
      <c r="Q152" s="3779">
        <f>Q138+Q150</f>
        <v>3128425760.5799999</v>
      </c>
      <c r="R152" s="3779"/>
      <c r="S152" s="3779"/>
      <c r="T152" s="3779"/>
      <c r="U152" s="3779"/>
      <c r="V152" s="3779"/>
      <c r="W152" s="573"/>
      <c r="X152" s="3780">
        <f>X138+X150</f>
        <v>3005116568.5799999</v>
      </c>
      <c r="Y152" s="3780"/>
      <c r="Z152" s="3780"/>
      <c r="AA152" s="3780"/>
      <c r="AB152" s="3780"/>
      <c r="AC152" s="3780"/>
      <c r="AP152" s="557"/>
      <c r="AQ152" s="88" t="s">
        <v>596</v>
      </c>
      <c r="AS152" s="548"/>
      <c r="AT152" s="576"/>
    </row>
    <row r="153" spans="2:48" ht="14" thickTop="1" x14ac:dyDescent="0.35">
      <c r="C153" s="64"/>
      <c r="D153" s="64"/>
      <c r="E153" s="555"/>
      <c r="F153" s="555"/>
      <c r="G153" s="555"/>
      <c r="H153" s="555"/>
      <c r="I153" s="555"/>
      <c r="J153" s="555"/>
      <c r="K153" s="555"/>
      <c r="L153" s="555"/>
      <c r="M153" s="555"/>
      <c r="N153" s="555"/>
      <c r="O153" s="555"/>
      <c r="P153" s="555"/>
      <c r="Q153" s="3781"/>
      <c r="R153" s="3781"/>
      <c r="S153" s="3781"/>
      <c r="T153" s="3781"/>
      <c r="U153" s="3781"/>
      <c r="V153" s="3781"/>
      <c r="W153" s="577"/>
      <c r="X153" s="578"/>
      <c r="Y153" s="578"/>
      <c r="Z153" s="578"/>
      <c r="AA153" s="578"/>
      <c r="AB153" s="578"/>
      <c r="AC153" s="578"/>
      <c r="AP153" s="557"/>
      <c r="AQ153" s="88"/>
      <c r="AS153" s="548"/>
    </row>
    <row r="154" spans="2:48" ht="13.5" x14ac:dyDescent="0.35">
      <c r="C154" s="64"/>
      <c r="D154" s="64"/>
      <c r="E154" s="555"/>
      <c r="F154" s="555"/>
      <c r="G154" s="555"/>
      <c r="H154" s="555"/>
      <c r="I154" s="555"/>
      <c r="J154" s="555"/>
      <c r="K154" s="555"/>
      <c r="L154" s="555"/>
      <c r="M154" s="555"/>
      <c r="N154" s="555"/>
      <c r="O154" s="555"/>
      <c r="P154" s="555"/>
      <c r="Q154" s="578"/>
      <c r="R154" s="578"/>
      <c r="S154" s="578"/>
      <c r="T154" s="578"/>
      <c r="U154" s="578"/>
      <c r="V154" s="578"/>
      <c r="W154" s="577"/>
      <c r="X154" s="578"/>
      <c r="Y154" s="578"/>
      <c r="Z154" s="578"/>
      <c r="AA154" s="578"/>
      <c r="AB154" s="578"/>
      <c r="AC154" s="578"/>
      <c r="AP154" s="557"/>
      <c r="AQ154" s="88"/>
      <c r="AS154" s="548"/>
    </row>
    <row r="155" spans="2:48" ht="13.5" x14ac:dyDescent="0.35">
      <c r="C155" s="64"/>
      <c r="D155" s="64"/>
      <c r="E155" s="555"/>
      <c r="F155" s="555"/>
      <c r="G155" s="555"/>
      <c r="H155" s="555"/>
      <c r="I155" s="555"/>
      <c r="J155" s="555"/>
      <c r="K155" s="555"/>
      <c r="L155" s="555"/>
      <c r="M155" s="555"/>
      <c r="N155" s="555"/>
      <c r="O155" s="555"/>
      <c r="P155" s="555"/>
      <c r="Q155" s="578"/>
      <c r="R155" s="578"/>
      <c r="S155" s="578"/>
      <c r="T155" s="578"/>
      <c r="U155" s="578"/>
      <c r="V155" s="578"/>
      <c r="W155" s="577"/>
      <c r="X155" s="578"/>
      <c r="Y155" s="578"/>
      <c r="Z155" s="578"/>
      <c r="AA155" s="578"/>
      <c r="AB155" s="578"/>
      <c r="AC155" s="578"/>
      <c r="AP155" s="557"/>
      <c r="AQ155" s="88"/>
      <c r="AS155" s="548"/>
      <c r="AT155" s="576" t="e">
        <f>Q152-#REF!-Q149-Q128-#REF!</f>
        <v>#REF!</v>
      </c>
    </row>
    <row r="156" spans="2:48" s="544" customFormat="1" ht="13.5" x14ac:dyDescent="0.35">
      <c r="B156" s="535" t="s">
        <v>597</v>
      </c>
      <c r="C156" s="536" t="s">
        <v>598</v>
      </c>
      <c r="D156" s="535"/>
      <c r="E156" s="537"/>
      <c r="F156" s="537"/>
      <c r="G156" s="537"/>
      <c r="H156" s="537"/>
      <c r="I156" s="537"/>
      <c r="J156" s="537"/>
      <c r="K156" s="537"/>
      <c r="L156" s="537"/>
      <c r="M156" s="537"/>
      <c r="N156" s="537"/>
      <c r="O156" s="537"/>
      <c r="P156" s="537"/>
      <c r="Q156" s="537"/>
      <c r="R156" s="537"/>
      <c r="S156" s="537"/>
      <c r="T156" s="537"/>
      <c r="U156" s="537"/>
      <c r="V156" s="538"/>
      <c r="W156" s="537"/>
      <c r="X156" s="539" t="str">
        <f>B156</f>
        <v>3.</v>
      </c>
      <c r="Y156" s="539" t="s">
        <v>599</v>
      </c>
      <c r="Z156" s="539"/>
      <c r="AA156" s="539"/>
      <c r="AB156" s="539"/>
      <c r="AC156" s="539"/>
      <c r="AD156" s="539"/>
      <c r="AE156" s="539"/>
      <c r="AF156" s="539"/>
      <c r="AG156" s="539"/>
      <c r="AH156" s="539"/>
      <c r="AI156" s="539"/>
      <c r="AJ156" s="539"/>
      <c r="AK156" s="539"/>
      <c r="AL156" s="539"/>
      <c r="AM156" s="539"/>
      <c r="AN156" s="539"/>
      <c r="AO156" s="539"/>
      <c r="AP156" s="566"/>
      <c r="AQ156" s="567"/>
      <c r="AS156" s="545"/>
    </row>
    <row r="157" spans="2:48" ht="13.5" x14ac:dyDescent="0.35">
      <c r="C157" s="64"/>
      <c r="D157" s="84"/>
      <c r="E157" s="546"/>
      <c r="F157" s="546"/>
      <c r="G157" s="546"/>
      <c r="H157" s="546"/>
      <c r="I157" s="546"/>
      <c r="J157" s="546"/>
      <c r="K157" s="546"/>
      <c r="L157" s="546"/>
      <c r="M157" s="546"/>
      <c r="N157" s="546"/>
      <c r="O157" s="546"/>
      <c r="P157" s="546"/>
      <c r="Q157" s="546"/>
      <c r="R157" s="546"/>
      <c r="S157" s="546"/>
      <c r="T157" s="546"/>
      <c r="U157" s="546"/>
      <c r="V157" s="547"/>
      <c r="W157" s="546"/>
      <c r="X157" s="546"/>
      <c r="Y157" s="546"/>
      <c r="Z157" s="546"/>
      <c r="AA157" s="546"/>
      <c r="AB157" s="546"/>
      <c r="AC157" s="546"/>
      <c r="AQ157" s="88"/>
      <c r="AS157" s="548"/>
    </row>
    <row r="158" spans="2:48" x14ac:dyDescent="0.35">
      <c r="C158" s="181" t="s">
        <v>579</v>
      </c>
      <c r="D158" s="84"/>
      <c r="E158" s="546"/>
      <c r="F158" s="546"/>
      <c r="G158" s="546"/>
      <c r="H158" s="546"/>
      <c r="I158" s="546"/>
      <c r="J158" s="546"/>
      <c r="K158" s="546"/>
      <c r="L158" s="546"/>
      <c r="M158" s="546"/>
      <c r="N158" s="546"/>
      <c r="O158" s="546"/>
      <c r="P158" s="546"/>
      <c r="Q158" s="558"/>
      <c r="R158" s="558"/>
      <c r="S158" s="558"/>
      <c r="T158" s="558"/>
      <c r="U158" s="558"/>
      <c r="V158" s="558"/>
      <c r="W158" s="546"/>
      <c r="X158" s="558"/>
      <c r="Y158" s="558"/>
      <c r="Z158" s="558"/>
      <c r="AA158" s="558"/>
      <c r="AB158" s="558"/>
      <c r="AC158" s="558"/>
      <c r="AQ158" s="87" t="s">
        <v>580</v>
      </c>
      <c r="AS158" s="548"/>
    </row>
    <row r="159" spans="2:48" ht="13.5" x14ac:dyDescent="0.35">
      <c r="C159" s="64"/>
      <c r="D159" s="84"/>
      <c r="E159" s="546"/>
      <c r="F159" s="546"/>
      <c r="G159" s="546"/>
      <c r="H159" s="546"/>
      <c r="I159" s="546"/>
      <c r="J159" s="546"/>
      <c r="K159" s="546"/>
      <c r="L159" s="546"/>
      <c r="M159" s="546"/>
      <c r="N159" s="546"/>
      <c r="O159" s="546"/>
      <c r="P159" s="546"/>
      <c r="Q159" s="3448" t="str">
        <f>Q124</f>
        <v>30 June 2026/</v>
      </c>
      <c r="R159" s="3448" t="str">
        <f>[8]IN!$G$23</f>
        <v>31 July 2023 /</v>
      </c>
      <c r="S159" s="3448" t="str">
        <f>[8]IN!$G$23</f>
        <v>31 July 2023 /</v>
      </c>
      <c r="T159" s="3448" t="str">
        <f>[8]IN!$G$23</f>
        <v>31 July 2023 /</v>
      </c>
      <c r="U159" s="3448" t="str">
        <f>[8]IN!$G$23</f>
        <v>31 July 2023 /</v>
      </c>
      <c r="V159" s="3448" t="str">
        <f>[8]IN!$G$23</f>
        <v>31 July 2023 /</v>
      </c>
      <c r="W159" s="546"/>
      <c r="X159" s="3448" t="str">
        <f>X124</f>
        <v>31 May 2026/</v>
      </c>
      <c r="Y159" s="3448" t="str">
        <f>[8]IN!$G$26</f>
        <v>30 June 2023 /</v>
      </c>
      <c r="Z159" s="3448" t="str">
        <f>[8]IN!$G$26</f>
        <v>30 June 2023 /</v>
      </c>
      <c r="AA159" s="3448" t="str">
        <f>[8]IN!$G$26</f>
        <v>30 June 2023 /</v>
      </c>
      <c r="AB159" s="3448" t="str">
        <f>[8]IN!$G$26</f>
        <v>30 June 2023 /</v>
      </c>
      <c r="AC159" s="3448" t="str">
        <f>[8]IN!$G$26</f>
        <v>30 June 2023 /</v>
      </c>
      <c r="AQ159" s="88"/>
      <c r="AS159" s="548"/>
    </row>
    <row r="160" spans="2:48" s="142" customFormat="1" ht="15.75" customHeight="1" thickBot="1" x14ac:dyDescent="0.4">
      <c r="B160" s="559"/>
      <c r="D160" s="568"/>
      <c r="E160" s="553"/>
      <c r="F160" s="553"/>
      <c r="G160" s="553"/>
      <c r="H160" s="553"/>
      <c r="I160" s="553"/>
      <c r="J160" s="553"/>
      <c r="K160" s="553"/>
      <c r="L160" s="553"/>
      <c r="M160" s="553"/>
      <c r="N160" s="553"/>
      <c r="O160" s="553"/>
      <c r="P160" s="553"/>
      <c r="Q160" s="3449">
        <f>Q125</f>
        <v>46203</v>
      </c>
      <c r="R160" s="3449"/>
      <c r="S160" s="3449"/>
      <c r="T160" s="3449"/>
      <c r="U160" s="3449"/>
      <c r="V160" s="3449"/>
      <c r="W160" s="553"/>
      <c r="X160" s="3449">
        <f>X125</f>
        <v>46173</v>
      </c>
      <c r="Y160" s="3449" t="e">
        <f>[8]IN!$I$26</f>
        <v>#N/A</v>
      </c>
      <c r="Z160" s="3449" t="e">
        <f>[8]IN!$I$26</f>
        <v>#N/A</v>
      </c>
      <c r="AA160" s="3449" t="e">
        <f>[8]IN!$I$26</f>
        <v>#N/A</v>
      </c>
      <c r="AB160" s="3449" t="e">
        <f>[8]IN!$I$26</f>
        <v>#N/A</v>
      </c>
      <c r="AC160" s="3449" t="e">
        <f>[8]IN!$I$26</f>
        <v>#N/A</v>
      </c>
      <c r="AP160" s="87"/>
      <c r="AQ160" s="87"/>
      <c r="AS160" s="570"/>
    </row>
    <row r="161" spans="1:48" x14ac:dyDescent="0.35">
      <c r="D161" s="84"/>
      <c r="E161" s="546"/>
      <c r="F161" s="546"/>
      <c r="G161" s="546"/>
      <c r="H161" s="546"/>
      <c r="I161" s="546"/>
      <c r="J161" s="546"/>
      <c r="K161" s="546"/>
      <c r="L161" s="546"/>
      <c r="M161" s="546"/>
      <c r="N161" s="546"/>
      <c r="O161" s="546"/>
      <c r="P161" s="546"/>
      <c r="Q161" s="558"/>
      <c r="R161" s="558"/>
      <c r="S161" s="558"/>
      <c r="T161" s="558"/>
      <c r="U161" s="558"/>
      <c r="V161" s="558"/>
      <c r="W161" s="546"/>
      <c r="X161" s="558"/>
      <c r="Y161" s="558"/>
      <c r="Z161" s="558"/>
      <c r="AA161" s="558"/>
      <c r="AB161" s="558"/>
      <c r="AC161" s="558"/>
      <c r="AS161" s="548"/>
    </row>
    <row r="162" spans="1:48" ht="13.5" x14ac:dyDescent="0.35">
      <c r="C162" s="130" t="s">
        <v>600</v>
      </c>
      <c r="D162" s="130"/>
      <c r="E162" s="546"/>
      <c r="F162" s="546"/>
      <c r="G162" s="546"/>
      <c r="H162" s="546"/>
      <c r="I162" s="546"/>
      <c r="J162" s="546"/>
      <c r="K162" s="546"/>
      <c r="L162" s="546"/>
      <c r="M162" s="546"/>
      <c r="N162" s="546"/>
      <c r="O162" s="546"/>
      <c r="P162" s="546"/>
      <c r="Q162" s="558"/>
      <c r="R162" s="558"/>
      <c r="S162" s="558"/>
      <c r="T162" s="558"/>
      <c r="U162" s="558"/>
      <c r="V162" s="558"/>
      <c r="W162" s="546"/>
      <c r="X162" s="558"/>
      <c r="Y162" s="558"/>
      <c r="Z162" s="558"/>
      <c r="AA162" s="558"/>
      <c r="AB162" s="558"/>
      <c r="AC162" s="558"/>
      <c r="AP162" s="557"/>
      <c r="AQ162" s="88" t="s">
        <v>601</v>
      </c>
      <c r="AS162" s="548"/>
    </row>
    <row r="163" spans="1:48" x14ac:dyDescent="0.35">
      <c r="C163" s="86" t="s">
        <v>190</v>
      </c>
      <c r="D163" s="181" t="s">
        <v>602</v>
      </c>
      <c r="E163" s="546"/>
      <c r="F163" s="546"/>
      <c r="G163" s="546"/>
      <c r="H163" s="546"/>
      <c r="I163" s="546"/>
      <c r="J163" s="546"/>
      <c r="K163" s="546"/>
      <c r="L163" s="546"/>
      <c r="M163" s="546"/>
      <c r="N163" s="546"/>
      <c r="O163" s="546"/>
      <c r="P163" s="546"/>
      <c r="Q163" s="3738">
        <f>'1'!K173</f>
        <v>664823000</v>
      </c>
      <c r="R163" s="3738"/>
      <c r="S163" s="3738"/>
      <c r="T163" s="3738"/>
      <c r="U163" s="3738"/>
      <c r="V163" s="3738"/>
      <c r="W163" s="579"/>
      <c r="X163" s="3651">
        <v>647255000</v>
      </c>
      <c r="Y163" s="3651"/>
      <c r="Z163" s="3651"/>
      <c r="AA163" s="3651"/>
      <c r="AB163" s="3651"/>
      <c r="AC163" s="3651"/>
      <c r="AP163" s="87" t="s">
        <v>603</v>
      </c>
      <c r="AQ163" s="179" t="s">
        <v>190</v>
      </c>
      <c r="AS163" s="580"/>
      <c r="AT163" s="581">
        <f>X163-AS163</f>
        <v>647255000</v>
      </c>
      <c r="AV163" s="582">
        <v>252781830</v>
      </c>
    </row>
    <row r="164" spans="1:48" outlineLevel="1" x14ac:dyDescent="0.35">
      <c r="C164" s="86" t="s">
        <v>190</v>
      </c>
      <c r="D164" s="181" t="s">
        <v>604</v>
      </c>
      <c r="E164" s="546"/>
      <c r="F164" s="546"/>
      <c r="G164" s="546"/>
      <c r="H164" s="546"/>
      <c r="I164" s="546"/>
      <c r="J164" s="546"/>
      <c r="K164" s="546"/>
      <c r="L164" s="546"/>
      <c r="M164" s="546"/>
      <c r="N164" s="546"/>
      <c r="O164" s="546"/>
      <c r="P164" s="546"/>
      <c r="Q164" s="3651">
        <f>'1'!K192</f>
        <v>0</v>
      </c>
      <c r="R164" s="3651"/>
      <c r="S164" s="3651"/>
      <c r="T164" s="3651"/>
      <c r="U164" s="3651"/>
      <c r="V164" s="3651"/>
      <c r="W164" s="579"/>
      <c r="X164" s="3444">
        <v>0</v>
      </c>
      <c r="Y164" s="3444"/>
      <c r="Z164" s="3444"/>
      <c r="AA164" s="3444"/>
      <c r="AB164" s="3444"/>
      <c r="AC164" s="3444"/>
      <c r="AP164" s="87" t="s">
        <v>605</v>
      </c>
      <c r="AQ164" s="179" t="s">
        <v>190</v>
      </c>
      <c r="AS164" s="580"/>
      <c r="AT164" s="581">
        <f>X164-AS164</f>
        <v>0</v>
      </c>
      <c r="AV164" s="582">
        <v>85575000</v>
      </c>
    </row>
    <row r="165" spans="1:48" outlineLevel="1" x14ac:dyDescent="0.35">
      <c r="C165" s="86" t="s">
        <v>190</v>
      </c>
      <c r="D165" s="181" t="s">
        <v>606</v>
      </c>
      <c r="E165" s="546"/>
      <c r="F165" s="546"/>
      <c r="G165" s="546"/>
      <c r="H165" s="546"/>
      <c r="I165" s="546"/>
      <c r="J165" s="546"/>
      <c r="K165" s="546"/>
      <c r="L165" s="546"/>
      <c r="M165" s="546"/>
      <c r="N165" s="546"/>
      <c r="O165" s="546"/>
      <c r="P165" s="546"/>
      <c r="Q165" s="3444">
        <f>'1'!K216</f>
        <v>182951000</v>
      </c>
      <c r="R165" s="3444"/>
      <c r="S165" s="3444"/>
      <c r="T165" s="3444"/>
      <c r="U165" s="3444"/>
      <c r="V165" s="3444"/>
      <c r="W165" s="579"/>
      <c r="X165" s="3651">
        <v>182951000</v>
      </c>
      <c r="Y165" s="3651"/>
      <c r="Z165" s="3651"/>
      <c r="AA165" s="3651"/>
      <c r="AB165" s="3651"/>
      <c r="AC165" s="3651"/>
      <c r="AP165" s="87" t="s">
        <v>607</v>
      </c>
      <c r="AQ165" s="179" t="s">
        <v>190</v>
      </c>
      <c r="AS165" s="583"/>
      <c r="AT165" s="581">
        <f>X165-AS165</f>
        <v>182951000</v>
      </c>
      <c r="AV165" s="584">
        <v>228833330</v>
      </c>
    </row>
    <row r="166" spans="1:48" outlineLevel="1" x14ac:dyDescent="0.35">
      <c r="C166" s="86" t="s">
        <v>190</v>
      </c>
      <c r="D166" s="181" t="s">
        <v>608</v>
      </c>
      <c r="E166" s="546"/>
      <c r="F166" s="546"/>
      <c r="G166" s="546"/>
      <c r="H166" s="546"/>
      <c r="I166" s="546"/>
      <c r="J166" s="546"/>
      <c r="K166" s="546"/>
      <c r="L166" s="546"/>
      <c r="M166" s="546"/>
      <c r="N166" s="546"/>
      <c r="O166" s="546"/>
      <c r="P166" s="546"/>
      <c r="Q166" s="3759">
        <v>0</v>
      </c>
      <c r="R166" s="3759"/>
      <c r="S166" s="3759"/>
      <c r="T166" s="3759"/>
      <c r="U166" s="3759"/>
      <c r="V166" s="3759"/>
      <c r="W166" s="579"/>
      <c r="X166" s="3740">
        <v>0</v>
      </c>
      <c r="Y166" s="3740"/>
      <c r="Z166" s="3740"/>
      <c r="AA166" s="3740"/>
      <c r="AB166" s="3740"/>
      <c r="AC166" s="3740"/>
      <c r="AP166" s="87" t="s">
        <v>609</v>
      </c>
      <c r="AQ166" s="179" t="s">
        <v>190</v>
      </c>
      <c r="AS166" s="548"/>
      <c r="AT166" s="581">
        <f>X166-AS166</f>
        <v>0</v>
      </c>
    </row>
    <row r="167" spans="1:48" outlineLevel="1" x14ac:dyDescent="0.35">
      <c r="C167" s="86"/>
      <c r="E167" s="546"/>
      <c r="F167" s="546"/>
      <c r="G167" s="546"/>
      <c r="H167" s="546"/>
      <c r="I167" s="546"/>
      <c r="J167" s="546"/>
      <c r="K167" s="546"/>
      <c r="L167" s="546"/>
      <c r="M167" s="546"/>
      <c r="N167" s="546"/>
      <c r="O167" s="546"/>
      <c r="P167" s="546"/>
      <c r="Q167" s="3671">
        <f>SUM(Q163:V166)</f>
        <v>847774000</v>
      </c>
      <c r="R167" s="3671"/>
      <c r="S167" s="3671"/>
      <c r="T167" s="3671"/>
      <c r="U167" s="3671"/>
      <c r="V167" s="3671"/>
      <c r="W167" s="577"/>
      <c r="X167" s="3674">
        <f>SUM(X163:AC166)</f>
        <v>830206000</v>
      </c>
      <c r="Y167" s="3674"/>
      <c r="Z167" s="3674"/>
      <c r="AA167" s="3674"/>
      <c r="AB167" s="3674"/>
      <c r="AC167" s="3674"/>
      <c r="AP167" s="87"/>
      <c r="AS167" s="548"/>
    </row>
    <row r="168" spans="1:48" outlineLevel="1" x14ac:dyDescent="0.35">
      <c r="B168" s="84"/>
      <c r="C168" s="179" t="s">
        <v>190</v>
      </c>
      <c r="D168" s="181" t="s">
        <v>610</v>
      </c>
      <c r="E168" s="546"/>
      <c r="F168" s="546"/>
      <c r="G168" s="546"/>
      <c r="H168" s="546"/>
      <c r="I168" s="546"/>
      <c r="J168" s="546"/>
      <c r="K168" s="546"/>
      <c r="L168" s="546"/>
      <c r="M168" s="546"/>
      <c r="N168" s="546"/>
      <c r="O168" s="546"/>
      <c r="P168" s="546"/>
      <c r="Q168" s="3725">
        <v>0</v>
      </c>
      <c r="R168" s="3725"/>
      <c r="S168" s="3725"/>
      <c r="T168" s="3725"/>
      <c r="U168" s="3725"/>
      <c r="V168" s="3725"/>
      <c r="W168" s="546"/>
      <c r="X168" s="3438">
        <v>0</v>
      </c>
      <c r="Y168" s="3438"/>
      <c r="Z168" s="3438"/>
      <c r="AA168" s="3438"/>
      <c r="AB168" s="3438"/>
      <c r="AC168" s="3438"/>
      <c r="AP168" s="585" t="s">
        <v>611</v>
      </c>
      <c r="AQ168" s="179" t="s">
        <v>190</v>
      </c>
      <c r="AS168" s="548"/>
    </row>
    <row r="169" spans="1:48" outlineLevel="1" x14ac:dyDescent="0.35">
      <c r="C169" s="86"/>
      <c r="E169" s="546"/>
      <c r="F169" s="546"/>
      <c r="G169" s="546"/>
      <c r="H169" s="546"/>
      <c r="I169" s="546"/>
      <c r="J169" s="546"/>
      <c r="K169" s="546"/>
      <c r="L169" s="546"/>
      <c r="M169" s="546"/>
      <c r="N169" s="546"/>
      <c r="O169" s="546"/>
      <c r="P169" s="546"/>
      <c r="Q169" s="586"/>
      <c r="R169" s="586"/>
      <c r="S169" s="586"/>
      <c r="T169" s="586"/>
      <c r="U169" s="586"/>
      <c r="V169" s="586"/>
      <c r="W169" s="579"/>
      <c r="X169" s="579"/>
      <c r="Y169" s="579"/>
      <c r="Z169" s="579"/>
      <c r="AA169" s="579"/>
      <c r="AB169" s="579"/>
      <c r="AC169" s="579"/>
      <c r="AP169" s="87"/>
      <c r="AS169" s="548"/>
    </row>
    <row r="170" spans="1:48" s="64" customFormat="1" ht="13.5" outlineLevel="1" x14ac:dyDescent="0.35">
      <c r="B170" s="130"/>
      <c r="C170" s="130" t="s">
        <v>612</v>
      </c>
      <c r="E170" s="555"/>
      <c r="F170" s="555"/>
      <c r="G170" s="555"/>
      <c r="H170" s="555"/>
      <c r="I170" s="555"/>
      <c r="J170" s="555"/>
      <c r="K170" s="555"/>
      <c r="L170" s="555"/>
      <c r="M170" s="555"/>
      <c r="N170" s="555"/>
      <c r="O170" s="555"/>
      <c r="P170" s="555"/>
      <c r="Q170" s="3742">
        <f>Q167+Q168</f>
        <v>847774000</v>
      </c>
      <c r="R170" s="3742"/>
      <c r="S170" s="3742"/>
      <c r="T170" s="3742"/>
      <c r="U170" s="3742"/>
      <c r="V170" s="3742"/>
      <c r="W170" s="577"/>
      <c r="X170" s="3737">
        <f>X167+X168</f>
        <v>830206000</v>
      </c>
      <c r="Y170" s="3737"/>
      <c r="Z170" s="3737"/>
      <c r="AA170" s="3737"/>
      <c r="AB170" s="3737"/>
      <c r="AC170" s="3737"/>
      <c r="AP170" s="88"/>
      <c r="AQ170" s="88" t="s">
        <v>613</v>
      </c>
      <c r="AS170" s="523"/>
    </row>
    <row r="171" spans="1:48" s="64" customFormat="1" ht="13.5" outlineLevel="1" x14ac:dyDescent="0.35">
      <c r="B171" s="130"/>
      <c r="C171" s="130"/>
      <c r="E171" s="555"/>
      <c r="F171" s="555"/>
      <c r="G171" s="555"/>
      <c r="H171" s="555"/>
      <c r="I171" s="555"/>
      <c r="J171" s="555"/>
      <c r="K171" s="555"/>
      <c r="L171" s="555"/>
      <c r="M171" s="555"/>
      <c r="N171" s="555"/>
      <c r="O171" s="555"/>
      <c r="P171" s="555"/>
      <c r="Q171" s="578"/>
      <c r="R171" s="578"/>
      <c r="S171" s="578"/>
      <c r="T171" s="578"/>
      <c r="U171" s="578"/>
      <c r="V171" s="578"/>
      <c r="W171" s="577"/>
      <c r="X171" s="578"/>
      <c r="Y171" s="578"/>
      <c r="Z171" s="578"/>
      <c r="AA171" s="578"/>
      <c r="AB171" s="578"/>
      <c r="AC171" s="578"/>
      <c r="AP171" s="88"/>
      <c r="AQ171" s="88"/>
      <c r="AS171" s="523"/>
    </row>
    <row r="172" spans="1:48" s="544" customFormat="1" ht="13.5" outlineLevel="1" x14ac:dyDescent="0.35">
      <c r="A172" s="544" t="s">
        <v>614</v>
      </c>
      <c r="B172" s="587"/>
      <c r="C172" s="511" t="s">
        <v>615</v>
      </c>
      <c r="E172" s="588"/>
      <c r="F172" s="588"/>
      <c r="G172" s="588"/>
      <c r="H172" s="588"/>
      <c r="I172" s="588"/>
      <c r="J172" s="588"/>
      <c r="K172" s="588"/>
      <c r="L172" s="588"/>
      <c r="M172" s="588"/>
      <c r="N172" s="588"/>
      <c r="O172" s="588"/>
      <c r="P172" s="588"/>
      <c r="Q172" s="589"/>
      <c r="R172" s="589"/>
      <c r="S172" s="589"/>
      <c r="T172" s="589"/>
      <c r="U172" s="589"/>
      <c r="V172" s="589"/>
      <c r="W172" s="590"/>
      <c r="X172" s="589"/>
      <c r="Y172" s="589"/>
      <c r="Z172" s="589"/>
      <c r="AA172" s="589"/>
      <c r="AB172" s="589"/>
      <c r="AC172" s="589"/>
      <c r="AP172" s="591"/>
      <c r="AQ172" s="512" t="s">
        <v>616</v>
      </c>
      <c r="AS172" s="545"/>
    </row>
    <row r="173" spans="1:48" s="544" customFormat="1" ht="13.5" outlineLevel="1" x14ac:dyDescent="0.35">
      <c r="B173" s="587"/>
      <c r="C173" s="511"/>
      <c r="E173" s="588"/>
      <c r="F173" s="588"/>
      <c r="G173" s="588"/>
      <c r="H173" s="588"/>
      <c r="I173" s="588"/>
      <c r="J173" s="588"/>
      <c r="K173" s="588"/>
      <c r="L173" s="588"/>
      <c r="M173" s="588"/>
      <c r="N173" s="588"/>
      <c r="O173" s="588"/>
      <c r="P173" s="588"/>
      <c r="Q173" s="589"/>
      <c r="R173" s="589"/>
      <c r="S173" s="589"/>
      <c r="T173" s="589"/>
      <c r="U173" s="589"/>
      <c r="V173" s="589"/>
      <c r="W173" s="590"/>
      <c r="X173" s="589"/>
      <c r="Y173" s="589"/>
      <c r="Z173" s="589"/>
      <c r="AA173" s="589"/>
      <c r="AB173" s="589"/>
      <c r="AC173" s="589"/>
      <c r="AP173" s="591"/>
      <c r="AQ173" s="512"/>
      <c r="AS173" s="545"/>
    </row>
    <row r="174" spans="1:48" s="142" customFormat="1" ht="13.5" outlineLevel="1" x14ac:dyDescent="0.35">
      <c r="B174" s="559"/>
      <c r="C174" s="237"/>
      <c r="E174" s="553"/>
      <c r="F174" s="553"/>
      <c r="G174" s="553"/>
      <c r="H174" s="553"/>
      <c r="I174" s="553"/>
      <c r="J174" s="553"/>
      <c r="K174" s="553"/>
      <c r="L174" s="553"/>
      <c r="M174" s="553"/>
      <c r="N174" s="553"/>
      <c r="O174" s="553"/>
      <c r="P174" s="553"/>
      <c r="Q174" s="592"/>
      <c r="R174" s="592"/>
      <c r="S174" s="592"/>
      <c r="T174" s="592"/>
      <c r="U174" s="592"/>
      <c r="V174" s="592"/>
      <c r="W174" s="592"/>
      <c r="X174" s="592"/>
      <c r="Y174" s="592"/>
      <c r="Z174" s="592"/>
      <c r="AA174" s="592"/>
      <c r="AB174" s="592"/>
      <c r="AC174" s="592"/>
      <c r="AP174" s="87"/>
      <c r="AQ174" s="87"/>
      <c r="AS174" s="570"/>
    </row>
    <row r="175" spans="1:48" s="142" customFormat="1" ht="13.5" outlineLevel="1" x14ac:dyDescent="0.35">
      <c r="B175" s="559"/>
      <c r="C175" s="237"/>
      <c r="E175" s="553"/>
      <c r="F175" s="553"/>
      <c r="G175" s="553"/>
      <c r="H175" s="553"/>
      <c r="I175" s="553"/>
      <c r="J175" s="553"/>
      <c r="K175" s="553"/>
      <c r="L175" s="553"/>
      <c r="M175" s="553"/>
      <c r="N175" s="553"/>
      <c r="O175" s="553"/>
      <c r="P175" s="553"/>
      <c r="Q175" s="592"/>
      <c r="R175" s="592"/>
      <c r="S175" s="592"/>
      <c r="T175" s="592"/>
      <c r="U175" s="592"/>
      <c r="V175" s="592"/>
      <c r="W175" s="592"/>
      <c r="X175" s="592"/>
      <c r="Y175" s="592"/>
      <c r="Z175" s="592"/>
      <c r="AA175" s="592"/>
      <c r="AB175" s="592"/>
      <c r="AC175" s="592"/>
      <c r="AP175" s="87"/>
      <c r="AQ175" s="87"/>
      <c r="AS175" s="570"/>
    </row>
    <row r="176" spans="1:48" s="544" customFormat="1" ht="13.5" outlineLevel="1" x14ac:dyDescent="0.35">
      <c r="B176" s="535" t="s">
        <v>597</v>
      </c>
      <c r="C176" s="536" t="s">
        <v>617</v>
      </c>
      <c r="D176" s="535"/>
      <c r="E176" s="537"/>
      <c r="F176" s="537"/>
      <c r="G176" s="537"/>
      <c r="H176" s="537"/>
      <c r="I176" s="537"/>
      <c r="J176" s="537"/>
      <c r="K176" s="537"/>
      <c r="L176" s="537"/>
      <c r="M176" s="537"/>
      <c r="N176" s="537"/>
      <c r="O176" s="537"/>
      <c r="P176" s="537"/>
      <c r="Q176" s="588"/>
      <c r="R176" s="588"/>
      <c r="S176" s="588"/>
      <c r="T176" s="588"/>
      <c r="U176" s="588"/>
      <c r="V176" s="593"/>
      <c r="W176" s="537"/>
      <c r="X176" s="539" t="str">
        <f>B176</f>
        <v>3.</v>
      </c>
      <c r="Y176" s="539" t="s">
        <v>618</v>
      </c>
      <c r="Z176" s="539"/>
      <c r="AA176" s="539"/>
      <c r="AB176" s="539"/>
      <c r="AC176" s="539"/>
      <c r="AD176" s="539"/>
      <c r="AE176" s="539"/>
      <c r="AF176" s="539"/>
      <c r="AG176" s="539"/>
      <c r="AH176" s="539"/>
      <c r="AI176" s="539"/>
      <c r="AJ176" s="539"/>
      <c r="AK176" s="539"/>
      <c r="AL176" s="539"/>
      <c r="AM176" s="539"/>
      <c r="AN176" s="539"/>
      <c r="AO176" s="539"/>
      <c r="AP176" s="566"/>
      <c r="AQ176" s="567"/>
      <c r="AS176" s="545"/>
    </row>
    <row r="177" spans="2:45" s="142" customFormat="1" ht="13.5" outlineLevel="1" x14ac:dyDescent="0.35">
      <c r="B177" s="559"/>
      <c r="C177" s="237"/>
      <c r="E177" s="553"/>
      <c r="F177" s="553"/>
      <c r="G177" s="553"/>
      <c r="H177" s="553"/>
      <c r="I177" s="553"/>
      <c r="J177" s="553"/>
      <c r="K177" s="553"/>
      <c r="L177" s="553"/>
      <c r="M177" s="553"/>
      <c r="N177" s="553"/>
      <c r="O177" s="553"/>
      <c r="P177" s="553"/>
      <c r="Q177" s="592"/>
      <c r="R177" s="592"/>
      <c r="S177" s="592"/>
      <c r="T177" s="592"/>
      <c r="U177" s="592"/>
      <c r="V177" s="592"/>
      <c r="W177" s="592"/>
      <c r="X177" s="592"/>
      <c r="Y177" s="592"/>
      <c r="Z177" s="592"/>
      <c r="AA177" s="592"/>
      <c r="AB177" s="592"/>
      <c r="AC177" s="592"/>
      <c r="AP177" s="87"/>
      <c r="AQ177" s="87"/>
      <c r="AS177" s="570"/>
    </row>
    <row r="178" spans="2:45" s="560" customFormat="1" ht="13.5" outlineLevel="1" x14ac:dyDescent="0.35">
      <c r="B178" s="559"/>
      <c r="C178" s="559" t="s">
        <v>619</v>
      </c>
      <c r="E178" s="554"/>
      <c r="F178" s="554"/>
      <c r="G178" s="554"/>
      <c r="H178" s="554"/>
      <c r="I178" s="554"/>
      <c r="J178" s="554"/>
      <c r="K178" s="554"/>
      <c r="L178" s="554"/>
      <c r="M178" s="554"/>
      <c r="N178" s="554"/>
      <c r="O178" s="554"/>
      <c r="P178" s="554"/>
      <c r="Q178" s="594"/>
      <c r="R178" s="594"/>
      <c r="S178" s="594"/>
      <c r="T178" s="594"/>
      <c r="U178" s="594"/>
      <c r="V178" s="594"/>
      <c r="W178" s="594"/>
      <c r="X178" s="594"/>
      <c r="Y178" s="594"/>
      <c r="Z178" s="594"/>
      <c r="AA178" s="594"/>
      <c r="AB178" s="594"/>
      <c r="AC178" s="594"/>
      <c r="AP178" s="88"/>
      <c r="AQ178" s="88" t="s">
        <v>620</v>
      </c>
      <c r="AS178" s="595"/>
    </row>
    <row r="179" spans="2:45" outlineLevel="1" x14ac:dyDescent="0.35">
      <c r="C179" s="86" t="s">
        <v>190</v>
      </c>
      <c r="D179" s="181" t="s">
        <v>619</v>
      </c>
      <c r="E179" s="546"/>
      <c r="F179" s="546"/>
      <c r="G179" s="546"/>
      <c r="H179" s="546"/>
      <c r="I179" s="546"/>
      <c r="J179" s="546"/>
      <c r="K179" s="546"/>
      <c r="L179" s="546"/>
      <c r="M179" s="546"/>
      <c r="N179" s="546"/>
      <c r="O179" s="546"/>
      <c r="P179" s="546"/>
      <c r="Q179" s="579"/>
      <c r="R179" s="579"/>
      <c r="S179" s="579"/>
      <c r="T179" s="579"/>
      <c r="U179" s="579"/>
      <c r="V179" s="579"/>
      <c r="W179" s="579"/>
      <c r="X179" s="579"/>
      <c r="Y179" s="579"/>
      <c r="Z179" s="579"/>
      <c r="AA179" s="579"/>
      <c r="AB179" s="579"/>
      <c r="AC179" s="579"/>
      <c r="AP179" s="87" t="s">
        <v>455</v>
      </c>
      <c r="AQ179" s="179" t="s">
        <v>190</v>
      </c>
      <c r="AS179" s="548"/>
    </row>
    <row r="180" spans="2:45" outlineLevel="1" x14ac:dyDescent="0.35">
      <c r="C180" s="86"/>
      <c r="D180" s="181" t="s">
        <v>621</v>
      </c>
      <c r="E180" s="546"/>
      <c r="F180" s="546"/>
      <c r="G180" s="546"/>
      <c r="H180" s="546"/>
      <c r="I180" s="546"/>
      <c r="J180" s="546"/>
      <c r="K180" s="546"/>
      <c r="L180" s="546"/>
      <c r="M180" s="546"/>
      <c r="N180" s="546"/>
      <c r="O180" s="546"/>
      <c r="P180" s="546"/>
      <c r="Q180" s="3675">
        <v>0</v>
      </c>
      <c r="R180" s="3675"/>
      <c r="S180" s="3675"/>
      <c r="T180" s="3675"/>
      <c r="U180" s="3675"/>
      <c r="V180" s="3675"/>
      <c r="W180" s="579"/>
      <c r="X180" s="3740">
        <v>0</v>
      </c>
      <c r="Y180" s="3740"/>
      <c r="Z180" s="3740"/>
      <c r="AA180" s="3740"/>
      <c r="AB180" s="3740"/>
      <c r="AC180" s="3740"/>
      <c r="AP180" s="87" t="s">
        <v>622</v>
      </c>
      <c r="AS180" s="548"/>
    </row>
    <row r="181" spans="2:45" outlineLevel="1" x14ac:dyDescent="0.35">
      <c r="C181" s="86"/>
      <c r="E181" s="546"/>
      <c r="F181" s="546"/>
      <c r="G181" s="546"/>
      <c r="H181" s="546"/>
      <c r="I181" s="546"/>
      <c r="J181" s="546"/>
      <c r="K181" s="546"/>
      <c r="L181" s="546"/>
      <c r="M181" s="546"/>
      <c r="N181" s="546"/>
      <c r="O181" s="546"/>
      <c r="P181" s="546"/>
      <c r="Q181" s="3661">
        <f>SUM(Q180:V180)</f>
        <v>0</v>
      </c>
      <c r="R181" s="3661"/>
      <c r="S181" s="3661"/>
      <c r="T181" s="3661"/>
      <c r="U181" s="3661"/>
      <c r="V181" s="3661"/>
      <c r="W181" s="577"/>
      <c r="X181" s="3677">
        <f>SUM(X180:AC180)</f>
        <v>0</v>
      </c>
      <c r="Y181" s="3677"/>
      <c r="Z181" s="3677"/>
      <c r="AA181" s="3677"/>
      <c r="AB181" s="3677"/>
      <c r="AC181" s="3677"/>
      <c r="AP181" s="87"/>
      <c r="AS181" s="548"/>
    </row>
    <row r="182" spans="2:45" outlineLevel="1" x14ac:dyDescent="0.35">
      <c r="B182" s="84"/>
      <c r="C182" s="179" t="s">
        <v>190</v>
      </c>
      <c r="D182" s="181" t="s">
        <v>610</v>
      </c>
      <c r="E182" s="546"/>
      <c r="F182" s="546"/>
      <c r="G182" s="546"/>
      <c r="H182" s="546"/>
      <c r="I182" s="546"/>
      <c r="J182" s="546"/>
      <c r="K182" s="546"/>
      <c r="L182" s="546"/>
      <c r="M182" s="546"/>
      <c r="N182" s="546"/>
      <c r="O182" s="546"/>
      <c r="P182" s="546"/>
      <c r="Q182" s="3438">
        <v>0</v>
      </c>
      <c r="R182" s="3438"/>
      <c r="S182" s="3438"/>
      <c r="T182" s="3438"/>
      <c r="U182" s="3438"/>
      <c r="V182" s="3438"/>
      <c r="X182" s="3438">
        <v>0</v>
      </c>
      <c r="Y182" s="3438"/>
      <c r="Z182" s="3438"/>
      <c r="AA182" s="3438"/>
      <c r="AB182" s="3438"/>
      <c r="AC182" s="3438"/>
      <c r="AP182" s="585" t="s">
        <v>611</v>
      </c>
      <c r="AQ182" s="179" t="s">
        <v>190</v>
      </c>
      <c r="AS182" s="548"/>
    </row>
    <row r="183" spans="2:45" outlineLevel="1" x14ac:dyDescent="0.35">
      <c r="C183" s="86"/>
      <c r="E183" s="546"/>
      <c r="F183" s="546"/>
      <c r="G183" s="546"/>
      <c r="H183" s="546"/>
      <c r="I183" s="546"/>
      <c r="J183" s="546"/>
      <c r="K183" s="546"/>
      <c r="L183" s="546"/>
      <c r="M183" s="546"/>
      <c r="N183" s="546"/>
      <c r="O183" s="546"/>
      <c r="P183" s="546"/>
      <c r="Q183" s="579"/>
      <c r="R183" s="579"/>
      <c r="S183" s="579"/>
      <c r="T183" s="579"/>
      <c r="U183" s="579"/>
      <c r="V183" s="579"/>
      <c r="W183" s="579"/>
      <c r="X183" s="579"/>
      <c r="Y183" s="579"/>
      <c r="Z183" s="579"/>
      <c r="AA183" s="579"/>
      <c r="AB183" s="579"/>
      <c r="AC183" s="579"/>
      <c r="AP183" s="87"/>
      <c r="AS183" s="548"/>
    </row>
    <row r="184" spans="2:45" s="64" customFormat="1" ht="13.5" outlineLevel="1" x14ac:dyDescent="0.35">
      <c r="B184" s="130"/>
      <c r="C184" s="130" t="s">
        <v>623</v>
      </c>
      <c r="E184" s="555"/>
      <c r="F184" s="555"/>
      <c r="G184" s="555"/>
      <c r="H184" s="555"/>
      <c r="I184" s="555"/>
      <c r="J184" s="555"/>
      <c r="K184" s="555"/>
      <c r="L184" s="555"/>
      <c r="M184" s="555"/>
      <c r="N184" s="555"/>
      <c r="O184" s="555"/>
      <c r="P184" s="555"/>
      <c r="Q184" s="3737">
        <f>Q182+Q181</f>
        <v>0</v>
      </c>
      <c r="R184" s="3737"/>
      <c r="S184" s="3737"/>
      <c r="T184" s="3737"/>
      <c r="U184" s="3737"/>
      <c r="V184" s="3737"/>
      <c r="W184" s="577"/>
      <c r="X184" s="3737">
        <f>X181+X182</f>
        <v>0</v>
      </c>
      <c r="Y184" s="3737"/>
      <c r="Z184" s="3737"/>
      <c r="AA184" s="3737"/>
      <c r="AB184" s="3737"/>
      <c r="AC184" s="3737"/>
      <c r="AP184" s="88"/>
      <c r="AQ184" s="88" t="s">
        <v>624</v>
      </c>
      <c r="AS184" s="523"/>
    </row>
    <row r="185" spans="2:45" s="64" customFormat="1" ht="13.5" outlineLevel="1" x14ac:dyDescent="0.35">
      <c r="B185" s="130"/>
      <c r="C185" s="130"/>
      <c r="E185" s="555"/>
      <c r="F185" s="555"/>
      <c r="G185" s="555"/>
      <c r="H185" s="555"/>
      <c r="I185" s="555"/>
      <c r="J185" s="555"/>
      <c r="K185" s="555"/>
      <c r="L185" s="555"/>
      <c r="M185" s="555"/>
      <c r="N185" s="555"/>
      <c r="O185" s="555"/>
      <c r="P185" s="555"/>
      <c r="Q185" s="578"/>
      <c r="R185" s="578"/>
      <c r="S185" s="578"/>
      <c r="T185" s="578"/>
      <c r="U185" s="578"/>
      <c r="V185" s="578"/>
      <c r="W185" s="577"/>
      <c r="X185" s="578"/>
      <c r="Y185" s="578"/>
      <c r="Z185" s="578"/>
      <c r="AA185" s="578"/>
      <c r="AB185" s="578"/>
      <c r="AC185" s="578"/>
      <c r="AP185" s="88"/>
      <c r="AQ185" s="88"/>
      <c r="AS185" s="523"/>
    </row>
    <row r="186" spans="2:45" s="64" customFormat="1" ht="13.5" outlineLevel="1" x14ac:dyDescent="0.35">
      <c r="B186" s="130"/>
      <c r="C186" s="130"/>
      <c r="E186" s="555"/>
      <c r="F186" s="555"/>
      <c r="G186" s="555"/>
      <c r="H186" s="555"/>
      <c r="I186" s="555"/>
      <c r="J186" s="555"/>
      <c r="K186" s="555"/>
      <c r="L186" s="555"/>
      <c r="M186" s="555"/>
      <c r="N186" s="555"/>
      <c r="O186" s="555"/>
      <c r="P186" s="555"/>
      <c r="Q186" s="577"/>
      <c r="R186" s="577"/>
      <c r="S186" s="577"/>
      <c r="T186" s="577"/>
      <c r="U186" s="577"/>
      <c r="V186" s="577"/>
      <c r="W186" s="577"/>
      <c r="X186" s="577"/>
      <c r="Y186" s="577"/>
      <c r="Z186" s="577"/>
      <c r="AA186" s="577"/>
      <c r="AB186" s="577"/>
      <c r="AC186" s="577"/>
      <c r="AP186" s="88"/>
      <c r="AQ186" s="88"/>
      <c r="AS186" s="523"/>
    </row>
    <row r="187" spans="2:45" ht="13.5" outlineLevel="1" x14ac:dyDescent="0.35">
      <c r="C187" s="64"/>
      <c r="D187" s="84"/>
      <c r="E187" s="546"/>
      <c r="F187" s="546"/>
      <c r="G187" s="546"/>
      <c r="H187" s="546"/>
      <c r="I187" s="546"/>
      <c r="J187" s="546"/>
      <c r="K187" s="546"/>
      <c r="L187" s="546"/>
      <c r="M187" s="546"/>
      <c r="N187" s="546"/>
      <c r="O187" s="546"/>
      <c r="P187" s="546"/>
      <c r="Q187" s="3448" t="str">
        <f>$Q$124</f>
        <v>30 June 2026/</v>
      </c>
      <c r="R187" s="3448"/>
      <c r="S187" s="3448"/>
      <c r="T187" s="3448"/>
      <c r="U187" s="3448"/>
      <c r="V187" s="3448"/>
      <c r="W187" s="546"/>
      <c r="X187" s="3448" t="str">
        <f>$X$124</f>
        <v>31 May 2026/</v>
      </c>
      <c r="Y187" s="3448"/>
      <c r="Z187" s="3448"/>
      <c r="AA187" s="3448"/>
      <c r="AB187" s="3448"/>
      <c r="AC187" s="3448"/>
      <c r="AQ187" s="88"/>
      <c r="AS187" s="548"/>
    </row>
    <row r="188" spans="2:45" s="142" customFormat="1" ht="14" outlineLevel="1" thickBot="1" x14ac:dyDescent="0.4">
      <c r="B188" s="559"/>
      <c r="D188" s="568"/>
      <c r="E188" s="553"/>
      <c r="F188" s="553"/>
      <c r="G188" s="553"/>
      <c r="H188" s="553"/>
      <c r="I188" s="553"/>
      <c r="J188" s="553"/>
      <c r="K188" s="553"/>
      <c r="L188" s="553"/>
      <c r="M188" s="553"/>
      <c r="N188" s="553"/>
      <c r="O188" s="553"/>
      <c r="P188" s="553"/>
      <c r="Q188" s="3449">
        <f>$Q$125</f>
        <v>46203</v>
      </c>
      <c r="R188" s="3449"/>
      <c r="S188" s="3449"/>
      <c r="T188" s="3449"/>
      <c r="U188" s="3449"/>
      <c r="V188" s="3449"/>
      <c r="W188" s="553"/>
      <c r="X188" s="3449">
        <f>$X$125</f>
        <v>46173</v>
      </c>
      <c r="Y188" s="3449"/>
      <c r="Z188" s="3449"/>
      <c r="AA188" s="3449"/>
      <c r="AB188" s="3449"/>
      <c r="AC188" s="3449"/>
      <c r="AP188" s="87"/>
      <c r="AQ188" s="87"/>
      <c r="AS188" s="570"/>
    </row>
    <row r="189" spans="2:45" s="64" customFormat="1" ht="13.5" outlineLevel="1" x14ac:dyDescent="0.35">
      <c r="B189" s="130"/>
      <c r="C189" s="130" t="s">
        <v>625</v>
      </c>
      <c r="E189" s="555"/>
      <c r="F189" s="555"/>
      <c r="G189" s="555"/>
      <c r="H189" s="555"/>
      <c r="I189" s="555"/>
      <c r="J189" s="555"/>
      <c r="K189" s="555"/>
      <c r="L189" s="555"/>
      <c r="M189" s="555"/>
      <c r="N189" s="555"/>
      <c r="O189" s="555"/>
      <c r="P189" s="555"/>
      <c r="Q189" s="577"/>
      <c r="R189" s="577"/>
      <c r="S189" s="577"/>
      <c r="T189" s="577"/>
      <c r="U189" s="577"/>
      <c r="V189" s="577"/>
      <c r="W189" s="577"/>
      <c r="X189" s="577"/>
      <c r="Y189" s="577"/>
      <c r="Z189" s="577"/>
      <c r="AA189" s="577"/>
      <c r="AB189" s="577"/>
      <c r="AC189" s="577"/>
      <c r="AP189" s="88"/>
      <c r="AQ189" s="88" t="s">
        <v>626</v>
      </c>
      <c r="AS189" s="523"/>
    </row>
    <row r="190" spans="2:45" outlineLevel="1" x14ac:dyDescent="0.35">
      <c r="C190" s="86" t="s">
        <v>190</v>
      </c>
      <c r="D190" s="181" t="s">
        <v>7291</v>
      </c>
      <c r="E190" s="546"/>
      <c r="F190" s="546"/>
      <c r="G190" s="546"/>
      <c r="H190" s="546"/>
      <c r="I190" s="546"/>
      <c r="J190" s="546"/>
      <c r="K190" s="546"/>
      <c r="L190" s="546"/>
      <c r="M190" s="546"/>
      <c r="N190" s="546"/>
      <c r="O190" s="546"/>
      <c r="P190" s="546"/>
      <c r="Q190" s="3749">
        <f>'12'!E17</f>
        <v>140077350</v>
      </c>
      <c r="R190" s="3749"/>
      <c r="S190" s="3749"/>
      <c r="T190" s="3749"/>
      <c r="U190" s="3749"/>
      <c r="V190" s="3749"/>
      <c r="W190" s="2838"/>
      <c r="X190" s="3750">
        <v>73712800</v>
      </c>
      <c r="Y190" s="3750"/>
      <c r="Z190" s="3750"/>
      <c r="AA190" s="3750"/>
      <c r="AB190" s="3750"/>
      <c r="AC190" s="3750"/>
      <c r="AP190" s="87" t="s">
        <v>627</v>
      </c>
      <c r="AQ190" s="179" t="s">
        <v>190</v>
      </c>
      <c r="AS190" s="548"/>
    </row>
    <row r="191" spans="2:45" outlineLevel="1" x14ac:dyDescent="0.35">
      <c r="C191" s="86" t="s">
        <v>190</v>
      </c>
      <c r="D191" s="181" t="s">
        <v>7292</v>
      </c>
      <c r="E191" s="546"/>
      <c r="F191" s="546"/>
      <c r="G191" s="546"/>
      <c r="H191" s="546"/>
      <c r="I191" s="546"/>
      <c r="J191" s="546"/>
      <c r="K191" s="546"/>
      <c r="L191" s="546"/>
      <c r="M191" s="546"/>
      <c r="N191" s="546"/>
      <c r="O191" s="546"/>
      <c r="P191" s="546"/>
      <c r="Q191" s="3749">
        <f>'14'!C18</f>
        <v>0</v>
      </c>
      <c r="R191" s="3749"/>
      <c r="S191" s="3749"/>
      <c r="T191" s="3749"/>
      <c r="U191" s="3749"/>
      <c r="V191" s="3749"/>
      <c r="W191" s="2838"/>
      <c r="X191" s="3750">
        <f>'14'!D18</f>
        <v>0</v>
      </c>
      <c r="Y191" s="3750"/>
      <c r="Z191" s="3750"/>
      <c r="AA191" s="3750"/>
      <c r="AB191" s="3750"/>
      <c r="AC191" s="3750"/>
      <c r="AP191" s="87" t="s">
        <v>628</v>
      </c>
      <c r="AQ191" s="179" t="s">
        <v>190</v>
      </c>
      <c r="AS191" s="548"/>
    </row>
    <row r="192" spans="2:45" outlineLevel="1" x14ac:dyDescent="0.35">
      <c r="C192" s="86" t="s">
        <v>190</v>
      </c>
      <c r="D192" s="181" t="s">
        <v>7293</v>
      </c>
      <c r="E192" s="546"/>
      <c r="F192" s="546"/>
      <c r="G192" s="546"/>
      <c r="H192" s="546"/>
      <c r="I192" s="546"/>
      <c r="J192" s="546"/>
      <c r="K192" s="546"/>
      <c r="L192" s="546"/>
      <c r="M192" s="546"/>
      <c r="N192" s="546"/>
      <c r="O192" s="546"/>
      <c r="P192" s="546"/>
      <c r="Q192" s="3749">
        <f>'14'!C19</f>
        <v>0</v>
      </c>
      <c r="R192" s="3749"/>
      <c r="S192" s="3749"/>
      <c r="T192" s="3749"/>
      <c r="U192" s="3749"/>
      <c r="V192" s="3749"/>
      <c r="W192" s="2838"/>
      <c r="X192" s="3750">
        <f>'14'!D19</f>
        <v>0</v>
      </c>
      <c r="Y192" s="3750"/>
      <c r="Z192" s="3750"/>
      <c r="AA192" s="3750"/>
      <c r="AB192" s="3750"/>
      <c r="AC192" s="3750"/>
      <c r="AP192" s="87" t="s">
        <v>629</v>
      </c>
      <c r="AQ192" s="179" t="s">
        <v>190</v>
      </c>
      <c r="AS192" s="548"/>
    </row>
    <row r="193" spans="2:45" outlineLevel="1" x14ac:dyDescent="0.35">
      <c r="C193" s="86" t="s">
        <v>190</v>
      </c>
      <c r="D193" s="181" t="s">
        <v>630</v>
      </c>
      <c r="E193" s="546"/>
      <c r="F193" s="546"/>
      <c r="G193" s="546"/>
      <c r="H193" s="546"/>
      <c r="I193" s="546"/>
      <c r="J193" s="546"/>
      <c r="K193" s="546"/>
      <c r="L193" s="546"/>
      <c r="M193" s="546"/>
      <c r="N193" s="546"/>
      <c r="O193" s="546"/>
      <c r="P193" s="546"/>
      <c r="Q193" s="3751"/>
      <c r="R193" s="3751"/>
      <c r="S193" s="3751"/>
      <c r="T193" s="3751"/>
      <c r="U193" s="3751"/>
      <c r="V193" s="3751"/>
      <c r="W193" s="2839"/>
      <c r="X193" s="3752"/>
      <c r="Y193" s="3752"/>
      <c r="Z193" s="3752"/>
      <c r="AA193" s="3752"/>
      <c r="AB193" s="3752"/>
      <c r="AC193" s="3752"/>
      <c r="AP193" s="87" t="s">
        <v>631</v>
      </c>
      <c r="AQ193" s="179" t="s">
        <v>190</v>
      </c>
      <c r="AS193" s="548"/>
    </row>
    <row r="194" spans="2:45" outlineLevel="1" x14ac:dyDescent="0.35">
      <c r="E194" s="546"/>
      <c r="F194" s="546"/>
      <c r="G194" s="546"/>
      <c r="H194" s="546"/>
      <c r="I194" s="546"/>
      <c r="J194" s="546"/>
      <c r="K194" s="546"/>
      <c r="L194" s="546"/>
      <c r="M194" s="546"/>
      <c r="N194" s="546"/>
      <c r="O194" s="546"/>
      <c r="P194" s="546"/>
      <c r="Q194" s="3746">
        <f>SUM(Q190:V193)</f>
        <v>140077350</v>
      </c>
      <c r="R194" s="3746"/>
      <c r="S194" s="3746"/>
      <c r="T194" s="3746"/>
      <c r="U194" s="3746"/>
      <c r="V194" s="3746"/>
      <c r="W194" s="2840"/>
      <c r="X194" s="3747">
        <f>SUM(X190:AC193)</f>
        <v>73712800</v>
      </c>
      <c r="Y194" s="3747"/>
      <c r="Z194" s="3747"/>
      <c r="AA194" s="3747"/>
      <c r="AB194" s="3747"/>
      <c r="AC194" s="3747"/>
      <c r="AS194" s="548"/>
    </row>
    <row r="195" spans="2:45" outlineLevel="1" x14ac:dyDescent="0.35">
      <c r="C195" s="179" t="s">
        <v>190</v>
      </c>
      <c r="D195" s="181" t="s">
        <v>632</v>
      </c>
      <c r="E195" s="546"/>
      <c r="F195" s="546"/>
      <c r="G195" s="546"/>
      <c r="H195" s="546"/>
      <c r="I195" s="546"/>
      <c r="J195" s="546"/>
      <c r="K195" s="546"/>
      <c r="L195" s="546"/>
      <c r="M195" s="546"/>
      <c r="N195" s="546"/>
      <c r="O195" s="546"/>
      <c r="P195" s="546"/>
      <c r="Q195" s="597"/>
      <c r="R195" s="597"/>
      <c r="S195" s="597"/>
      <c r="T195" s="597"/>
      <c r="U195" s="597"/>
      <c r="V195" s="597"/>
      <c r="W195" s="180"/>
      <c r="AP195" s="87" t="s">
        <v>633</v>
      </c>
      <c r="AQ195" s="179" t="s">
        <v>190</v>
      </c>
      <c r="AS195" s="548"/>
    </row>
    <row r="196" spans="2:45" outlineLevel="1" x14ac:dyDescent="0.35">
      <c r="C196" s="179"/>
      <c r="D196" s="181" t="s">
        <v>634</v>
      </c>
      <c r="E196" s="546"/>
      <c r="F196" s="546"/>
      <c r="G196" s="546"/>
      <c r="H196" s="546"/>
      <c r="I196" s="546"/>
      <c r="J196" s="546"/>
      <c r="K196" s="546"/>
      <c r="L196" s="546"/>
      <c r="M196" s="546"/>
      <c r="N196" s="546"/>
      <c r="O196" s="546"/>
      <c r="P196" s="546"/>
      <c r="Q196" s="3727">
        <v>0</v>
      </c>
      <c r="R196" s="3727"/>
      <c r="S196" s="3727"/>
      <c r="T196" s="3727"/>
      <c r="U196" s="3727"/>
      <c r="V196" s="3727"/>
      <c r="W196" s="180"/>
      <c r="X196" s="3438">
        <v>0</v>
      </c>
      <c r="Y196" s="3438"/>
      <c r="Z196" s="3438"/>
      <c r="AA196" s="3438"/>
      <c r="AB196" s="3438"/>
      <c r="AC196" s="3438"/>
      <c r="AP196" s="87" t="s">
        <v>635</v>
      </c>
      <c r="AS196" s="548"/>
    </row>
    <row r="197" spans="2:45" outlineLevel="1" x14ac:dyDescent="0.35">
      <c r="C197" s="179"/>
      <c r="D197" s="181" t="s">
        <v>636</v>
      </c>
      <c r="E197" s="546"/>
      <c r="F197" s="546"/>
      <c r="G197" s="546"/>
      <c r="H197" s="546"/>
      <c r="I197" s="546"/>
      <c r="J197" s="546"/>
      <c r="K197" s="546"/>
      <c r="L197" s="546"/>
      <c r="M197" s="546"/>
      <c r="N197" s="546"/>
      <c r="O197" s="546"/>
      <c r="P197" s="546"/>
      <c r="Q197" s="3748">
        <v>0</v>
      </c>
      <c r="R197" s="3748"/>
      <c r="S197" s="3748"/>
      <c r="T197" s="3748"/>
      <c r="U197" s="3748"/>
      <c r="V197" s="3748"/>
      <c r="W197" s="180"/>
      <c r="X197" s="3728">
        <v>0</v>
      </c>
      <c r="Y197" s="3728"/>
      <c r="Z197" s="3728"/>
      <c r="AA197" s="3728"/>
      <c r="AB197" s="3728"/>
      <c r="AC197" s="3728"/>
      <c r="AP197" s="87" t="s">
        <v>637</v>
      </c>
      <c r="AS197" s="548"/>
    </row>
    <row r="198" spans="2:45" outlineLevel="1" x14ac:dyDescent="0.35">
      <c r="C198" s="179"/>
      <c r="E198" s="546"/>
      <c r="F198" s="546"/>
      <c r="G198" s="546"/>
      <c r="H198" s="546"/>
      <c r="I198" s="546"/>
      <c r="J198" s="546"/>
      <c r="K198" s="546"/>
      <c r="L198" s="546"/>
      <c r="M198" s="546"/>
      <c r="N198" s="546"/>
      <c r="O198" s="546"/>
      <c r="P198" s="546"/>
      <c r="Q198" s="3744">
        <f>SUM(Q196:V197)</f>
        <v>0</v>
      </c>
      <c r="R198" s="3744"/>
      <c r="S198" s="3744"/>
      <c r="T198" s="3744"/>
      <c r="U198" s="3744"/>
      <c r="V198" s="3744"/>
      <c r="W198" s="180"/>
      <c r="X198" s="3745">
        <f>SUM(X196:AC197)</f>
        <v>0</v>
      </c>
      <c r="Y198" s="3745"/>
      <c r="Z198" s="3745"/>
      <c r="AA198" s="3745"/>
      <c r="AB198" s="3745"/>
      <c r="AC198" s="3745"/>
      <c r="AP198" s="87"/>
      <c r="AS198" s="548"/>
    </row>
    <row r="199" spans="2:45" outlineLevel="1" x14ac:dyDescent="0.35">
      <c r="C199" s="179"/>
      <c r="E199" s="546"/>
      <c r="F199" s="546"/>
      <c r="G199" s="546"/>
      <c r="H199" s="546"/>
      <c r="I199" s="546"/>
      <c r="J199" s="546"/>
      <c r="K199" s="546"/>
      <c r="L199" s="546"/>
      <c r="M199" s="546"/>
      <c r="N199" s="546"/>
      <c r="O199" s="546"/>
      <c r="P199" s="546"/>
      <c r="Q199" s="3672"/>
      <c r="R199" s="3672"/>
      <c r="S199" s="3672"/>
      <c r="T199" s="3672"/>
      <c r="U199" s="3672"/>
      <c r="V199" s="3672"/>
      <c r="W199" s="180"/>
      <c r="AE199" s="3438"/>
      <c r="AF199" s="3438"/>
      <c r="AG199" s="3438"/>
      <c r="AH199" s="3438"/>
      <c r="AI199" s="3438"/>
      <c r="AJ199" s="3438"/>
      <c r="AP199" s="87"/>
      <c r="AS199" s="548"/>
    </row>
    <row r="200" spans="2:45" outlineLevel="1" x14ac:dyDescent="0.35">
      <c r="B200" s="84"/>
      <c r="C200" s="179" t="s">
        <v>190</v>
      </c>
      <c r="D200" s="181" t="s">
        <v>610</v>
      </c>
      <c r="E200" s="546"/>
      <c r="F200" s="546"/>
      <c r="G200" s="546"/>
      <c r="H200" s="546"/>
      <c r="I200" s="546"/>
      <c r="J200" s="546"/>
      <c r="K200" s="546"/>
      <c r="L200" s="546"/>
      <c r="M200" s="546"/>
      <c r="N200" s="546"/>
      <c r="O200" s="546"/>
      <c r="P200" s="546"/>
      <c r="Q200" s="3727">
        <v>0</v>
      </c>
      <c r="R200" s="3727"/>
      <c r="S200" s="3727"/>
      <c r="T200" s="3727"/>
      <c r="U200" s="3727"/>
      <c r="V200" s="3727"/>
      <c r="W200" s="546"/>
      <c r="X200" s="3438">
        <v>0</v>
      </c>
      <c r="Y200" s="3438"/>
      <c r="Z200" s="3438"/>
      <c r="AA200" s="3438"/>
      <c r="AB200" s="3438"/>
      <c r="AC200" s="3438"/>
      <c r="AP200" s="585" t="s">
        <v>611</v>
      </c>
      <c r="AQ200" s="179" t="s">
        <v>190</v>
      </c>
      <c r="AS200" s="548"/>
    </row>
    <row r="201" spans="2:45" outlineLevel="1" x14ac:dyDescent="0.35">
      <c r="C201" s="86"/>
      <c r="E201" s="546"/>
      <c r="F201" s="546"/>
      <c r="G201" s="546"/>
      <c r="H201" s="546"/>
      <c r="I201" s="546"/>
      <c r="J201" s="546"/>
      <c r="K201" s="546"/>
      <c r="L201" s="546"/>
      <c r="M201" s="546"/>
      <c r="N201" s="546"/>
      <c r="O201" s="546"/>
      <c r="P201" s="546"/>
      <c r="Q201" s="586"/>
      <c r="R201" s="586"/>
      <c r="S201" s="586"/>
      <c r="T201" s="586"/>
      <c r="U201" s="586"/>
      <c r="V201" s="586"/>
      <c r="W201" s="579"/>
      <c r="X201" s="579"/>
      <c r="Y201" s="579"/>
      <c r="Z201" s="579"/>
      <c r="AA201" s="579"/>
      <c r="AB201" s="579"/>
      <c r="AC201" s="579"/>
      <c r="AP201" s="87"/>
      <c r="AS201" s="548"/>
    </row>
    <row r="202" spans="2:45" s="64" customFormat="1" ht="13.5" outlineLevel="1" x14ac:dyDescent="0.35">
      <c r="B202" s="130"/>
      <c r="C202" s="130" t="s">
        <v>638</v>
      </c>
      <c r="E202" s="555"/>
      <c r="F202" s="555"/>
      <c r="G202" s="555"/>
      <c r="H202" s="555"/>
      <c r="I202" s="555"/>
      <c r="J202" s="555"/>
      <c r="K202" s="555"/>
      <c r="L202" s="555"/>
      <c r="M202" s="555"/>
      <c r="N202" s="555"/>
      <c r="O202" s="555"/>
      <c r="P202" s="555"/>
      <c r="Q202" s="3742">
        <f>Q194+Q198+Q200</f>
        <v>140077350</v>
      </c>
      <c r="R202" s="3742"/>
      <c r="S202" s="3742"/>
      <c r="T202" s="3742"/>
      <c r="U202" s="3742"/>
      <c r="V202" s="3742"/>
      <c r="W202" s="577"/>
      <c r="X202" s="3737">
        <f>X194+X198+X200</f>
        <v>73712800</v>
      </c>
      <c r="Y202" s="3737"/>
      <c r="Z202" s="3737"/>
      <c r="AA202" s="3737"/>
      <c r="AB202" s="3737"/>
      <c r="AC202" s="3737"/>
      <c r="AP202" s="88"/>
      <c r="AQ202" s="88" t="s">
        <v>639</v>
      </c>
      <c r="AS202" s="523"/>
    </row>
    <row r="203" spans="2:45" outlineLevel="1" x14ac:dyDescent="0.35">
      <c r="E203" s="546"/>
      <c r="F203" s="546"/>
      <c r="G203" s="546"/>
      <c r="H203" s="546"/>
      <c r="I203" s="546"/>
      <c r="J203" s="546"/>
      <c r="K203" s="546"/>
      <c r="L203" s="546"/>
      <c r="M203" s="546"/>
      <c r="N203" s="546"/>
      <c r="O203" s="546"/>
      <c r="P203" s="546"/>
      <c r="Q203" s="598"/>
      <c r="R203" s="598"/>
      <c r="S203" s="598"/>
      <c r="T203" s="598"/>
      <c r="U203" s="598"/>
      <c r="V203" s="598"/>
      <c r="W203" s="546"/>
      <c r="X203" s="558"/>
      <c r="Y203" s="558"/>
      <c r="Z203" s="558"/>
      <c r="AA203" s="558"/>
      <c r="AB203" s="558"/>
      <c r="AC203" s="558"/>
      <c r="AS203" s="548"/>
    </row>
    <row r="204" spans="2:45" ht="14" thickBot="1" x14ac:dyDescent="0.4">
      <c r="C204" s="64" t="s">
        <v>640</v>
      </c>
      <c r="D204" s="64"/>
      <c r="E204" s="555"/>
      <c r="F204" s="555"/>
      <c r="G204" s="555"/>
      <c r="H204" s="555"/>
      <c r="I204" s="555"/>
      <c r="J204" s="555"/>
      <c r="K204" s="555"/>
      <c r="L204" s="555"/>
      <c r="M204" s="555"/>
      <c r="N204" s="555"/>
      <c r="O204" s="555"/>
      <c r="P204" s="555"/>
      <c r="Q204" s="3743">
        <f>Q202+Q184+Q170</f>
        <v>987851350</v>
      </c>
      <c r="R204" s="3743"/>
      <c r="S204" s="3743"/>
      <c r="T204" s="3743"/>
      <c r="U204" s="3743"/>
      <c r="V204" s="3743"/>
      <c r="W204" s="577"/>
      <c r="X204" s="3442">
        <f>X202+X184+X170</f>
        <v>903918800</v>
      </c>
      <c r="Y204" s="3442"/>
      <c r="Z204" s="3442"/>
      <c r="AA204" s="3442"/>
      <c r="AB204" s="3442"/>
      <c r="AC204" s="3442"/>
      <c r="AP204" s="557"/>
      <c r="AQ204" s="88" t="s">
        <v>641</v>
      </c>
      <c r="AS204" s="548"/>
    </row>
    <row r="205" spans="2:45" ht="13.5" thickTop="1" x14ac:dyDescent="0.35">
      <c r="E205" s="546"/>
      <c r="F205" s="546"/>
      <c r="G205" s="546"/>
      <c r="H205" s="546"/>
      <c r="I205" s="546"/>
      <c r="J205" s="546"/>
      <c r="K205" s="546"/>
      <c r="L205" s="546"/>
      <c r="M205" s="546"/>
      <c r="N205" s="546"/>
      <c r="O205" s="546"/>
      <c r="P205" s="546"/>
      <c r="Q205" s="558"/>
      <c r="R205" s="558"/>
      <c r="S205" s="558"/>
      <c r="T205" s="558"/>
      <c r="U205" s="558"/>
      <c r="V205" s="558"/>
      <c r="W205" s="546"/>
      <c r="X205" s="558"/>
      <c r="Y205" s="558"/>
      <c r="Z205" s="558"/>
      <c r="AA205" s="558"/>
      <c r="AB205" s="558"/>
      <c r="AC205" s="558"/>
      <c r="AS205" s="548"/>
    </row>
    <row r="206" spans="2:45" s="544" customFormat="1" ht="13.5" x14ac:dyDescent="0.35">
      <c r="B206" s="535" t="s">
        <v>642</v>
      </c>
      <c r="C206" s="536" t="s">
        <v>643</v>
      </c>
      <c r="D206" s="535"/>
      <c r="E206" s="537"/>
      <c r="F206" s="537"/>
      <c r="G206" s="537"/>
      <c r="H206" s="537"/>
      <c r="I206" s="537"/>
      <c r="J206" s="537"/>
      <c r="K206" s="537"/>
      <c r="L206" s="537"/>
      <c r="M206" s="537"/>
      <c r="N206" s="537"/>
      <c r="O206" s="537"/>
      <c r="P206" s="537"/>
      <c r="Q206" s="537"/>
      <c r="R206" s="537"/>
      <c r="S206" s="537"/>
      <c r="T206" s="537"/>
      <c r="U206" s="537"/>
      <c r="V206" s="538"/>
      <c r="W206" s="537"/>
      <c r="X206" s="539" t="str">
        <f>B206</f>
        <v>4.</v>
      </c>
      <c r="Y206" s="539" t="s">
        <v>644</v>
      </c>
      <c r="Z206" s="539"/>
      <c r="AA206" s="539"/>
      <c r="AB206" s="539"/>
      <c r="AC206" s="539"/>
      <c r="AD206" s="539"/>
      <c r="AE206" s="539"/>
      <c r="AF206" s="539"/>
      <c r="AG206" s="539"/>
      <c r="AH206" s="539"/>
      <c r="AI206" s="539"/>
      <c r="AJ206" s="539"/>
      <c r="AK206" s="539"/>
      <c r="AL206" s="539"/>
      <c r="AM206" s="539"/>
      <c r="AN206" s="539"/>
      <c r="AO206" s="539"/>
      <c r="AP206" s="566"/>
      <c r="AQ206" s="567"/>
      <c r="AS206" s="545"/>
    </row>
    <row r="207" spans="2:45" ht="13.5" x14ac:dyDescent="0.35">
      <c r="C207" s="64"/>
      <c r="D207" s="84"/>
      <c r="E207" s="546"/>
      <c r="F207" s="546"/>
      <c r="G207" s="546"/>
      <c r="H207" s="546"/>
      <c r="I207" s="546"/>
      <c r="J207" s="546"/>
      <c r="K207" s="546"/>
      <c r="L207" s="546"/>
      <c r="M207" s="546"/>
      <c r="N207" s="546"/>
      <c r="O207" s="546"/>
      <c r="P207" s="546"/>
      <c r="Q207" s="546"/>
      <c r="R207" s="546"/>
      <c r="S207" s="546"/>
      <c r="T207" s="546"/>
      <c r="U207" s="546"/>
      <c r="V207" s="547"/>
      <c r="W207" s="546"/>
      <c r="X207" s="546"/>
      <c r="Y207" s="546"/>
      <c r="Z207" s="546"/>
      <c r="AA207" s="546"/>
      <c r="AB207" s="546"/>
      <c r="AC207" s="546"/>
      <c r="AQ207" s="88"/>
      <c r="AS207" s="548"/>
    </row>
    <row r="208" spans="2:45" x14ac:dyDescent="0.35">
      <c r="C208" s="181" t="s">
        <v>579</v>
      </c>
      <c r="D208" s="84"/>
      <c r="E208" s="546"/>
      <c r="F208" s="546"/>
      <c r="G208" s="546"/>
      <c r="H208" s="546"/>
      <c r="I208" s="546"/>
      <c r="J208" s="546"/>
      <c r="K208" s="546"/>
      <c r="L208" s="546"/>
      <c r="M208" s="546"/>
      <c r="N208" s="546"/>
      <c r="O208" s="546"/>
      <c r="P208" s="546"/>
      <c r="Q208" s="558"/>
      <c r="R208" s="558"/>
      <c r="S208" s="558"/>
      <c r="T208" s="558"/>
      <c r="U208" s="558"/>
      <c r="V208" s="558"/>
      <c r="W208" s="546"/>
      <c r="X208" s="558"/>
      <c r="Y208" s="558"/>
      <c r="Z208" s="558"/>
      <c r="AA208" s="558"/>
      <c r="AB208" s="558"/>
      <c r="AC208" s="558"/>
      <c r="AQ208" s="87" t="s">
        <v>580</v>
      </c>
      <c r="AS208" s="548"/>
    </row>
    <row r="209" spans="1:51" ht="13.5" x14ac:dyDescent="0.35">
      <c r="C209" s="64"/>
      <c r="D209" s="84"/>
      <c r="E209" s="546"/>
      <c r="F209" s="546"/>
      <c r="G209" s="546"/>
      <c r="H209" s="546"/>
      <c r="I209" s="546"/>
      <c r="J209" s="546"/>
      <c r="K209" s="546"/>
      <c r="L209" s="546"/>
      <c r="M209" s="546"/>
      <c r="N209" s="546"/>
      <c r="O209" s="546"/>
      <c r="P209" s="546"/>
      <c r="Q209" s="3448" t="str">
        <f>Q187</f>
        <v>30 June 2026/</v>
      </c>
      <c r="R209" s="3448" t="str">
        <f>[8]IN!$G$23</f>
        <v>31 July 2023 /</v>
      </c>
      <c r="S209" s="3448" t="str">
        <f>[8]IN!$G$23</f>
        <v>31 July 2023 /</v>
      </c>
      <c r="T209" s="3448" t="str">
        <f>[8]IN!$G$23</f>
        <v>31 July 2023 /</v>
      </c>
      <c r="U209" s="3448" t="str">
        <f>[8]IN!$G$23</f>
        <v>31 July 2023 /</v>
      </c>
      <c r="V209" s="3448" t="str">
        <f>[8]IN!$G$23</f>
        <v>31 July 2023 /</v>
      </c>
      <c r="X209" s="3448" t="str">
        <f>X187</f>
        <v>31 May 2026/</v>
      </c>
      <c r="Y209" s="3448" t="str">
        <f>[8]IN!$G$26</f>
        <v>30 June 2023 /</v>
      </c>
      <c r="Z209" s="3448" t="str">
        <f>[8]IN!$G$26</f>
        <v>30 June 2023 /</v>
      </c>
      <c r="AA209" s="3448" t="str">
        <f>[8]IN!$G$26</f>
        <v>30 June 2023 /</v>
      </c>
      <c r="AB209" s="3448" t="str">
        <f>[8]IN!$G$26</f>
        <v>30 June 2023 /</v>
      </c>
      <c r="AC209" s="3448" t="str">
        <f>[8]IN!$G$26</f>
        <v>30 June 2023 /</v>
      </c>
      <c r="AQ209" s="88"/>
      <c r="AS209" s="548"/>
    </row>
    <row r="210" spans="1:51" s="142" customFormat="1" ht="14" thickBot="1" x14ac:dyDescent="0.4">
      <c r="B210" s="559"/>
      <c r="D210" s="568"/>
      <c r="E210" s="553"/>
      <c r="F210" s="553"/>
      <c r="G210" s="553"/>
      <c r="H210" s="553"/>
      <c r="I210" s="553"/>
      <c r="J210" s="553"/>
      <c r="K210" s="553"/>
      <c r="L210" s="553"/>
      <c r="M210" s="553"/>
      <c r="N210" s="553"/>
      <c r="O210" s="553"/>
      <c r="P210" s="553"/>
      <c r="Q210" s="3449">
        <f>Q188</f>
        <v>46203</v>
      </c>
      <c r="R210" s="3449" t="e">
        <f>[8]IN!$I$23</f>
        <v>#N/A</v>
      </c>
      <c r="S210" s="3449" t="e">
        <f>[8]IN!$I$23</f>
        <v>#N/A</v>
      </c>
      <c r="T210" s="3449" t="e">
        <f>[8]IN!$I$23</f>
        <v>#N/A</v>
      </c>
      <c r="U210" s="3449" t="e">
        <f>[8]IN!$I$23</f>
        <v>#N/A</v>
      </c>
      <c r="V210" s="3449" t="e">
        <f>[8]IN!$I$23</f>
        <v>#N/A</v>
      </c>
      <c r="W210" s="181"/>
      <c r="X210" s="3449">
        <f>X188</f>
        <v>46173</v>
      </c>
      <c r="Y210" s="3449" t="e">
        <f>[8]IN!$I$26</f>
        <v>#N/A</v>
      </c>
      <c r="Z210" s="3449" t="e">
        <f>[8]IN!$I$26</f>
        <v>#N/A</v>
      </c>
      <c r="AA210" s="3449" t="e">
        <f>[8]IN!$I$26</f>
        <v>#N/A</v>
      </c>
      <c r="AB210" s="3449" t="e">
        <f>[8]IN!$I$26</f>
        <v>#N/A</v>
      </c>
      <c r="AC210" s="3449" t="e">
        <f>[8]IN!$I$26</f>
        <v>#N/A</v>
      </c>
      <c r="AP210" s="87"/>
      <c r="AQ210" s="87"/>
      <c r="AS210" s="570"/>
    </row>
    <row r="211" spans="1:51" ht="13.5" x14ac:dyDescent="0.35">
      <c r="C211" s="130"/>
      <c r="D211" s="130"/>
      <c r="E211" s="546"/>
      <c r="F211" s="546"/>
      <c r="G211" s="546"/>
      <c r="H211" s="546"/>
      <c r="I211" s="546"/>
      <c r="J211" s="546"/>
      <c r="K211" s="546"/>
      <c r="L211" s="546"/>
      <c r="M211" s="546"/>
      <c r="N211" s="546"/>
      <c r="O211" s="546"/>
      <c r="P211" s="546"/>
      <c r="AP211" s="557"/>
      <c r="AQ211" s="88"/>
      <c r="AS211" s="548"/>
      <c r="AW211" s="181" t="s">
        <v>645</v>
      </c>
      <c r="AX211" s="181" t="s">
        <v>646</v>
      </c>
      <c r="AY211" s="181" t="s">
        <v>647</v>
      </c>
    </row>
    <row r="212" spans="1:51" x14ac:dyDescent="0.35">
      <c r="C212" s="179" t="s">
        <v>190</v>
      </c>
      <c r="D212" s="181" t="s">
        <v>648</v>
      </c>
      <c r="E212" s="546"/>
      <c r="F212" s="546"/>
      <c r="G212" s="546"/>
      <c r="H212" s="546"/>
      <c r="I212" s="546"/>
      <c r="J212" s="546"/>
      <c r="K212" s="546"/>
      <c r="L212" s="546"/>
      <c r="M212" s="546"/>
      <c r="N212" s="546"/>
      <c r="O212" s="546"/>
      <c r="P212" s="546"/>
      <c r="Q212" s="3738">
        <f>'2'!D57</f>
        <v>76049803.5</v>
      </c>
      <c r="R212" s="3738"/>
      <c r="S212" s="3738"/>
      <c r="T212" s="3738"/>
      <c r="U212" s="3738"/>
      <c r="V212" s="3738"/>
      <c r="X212" s="3738">
        <v>69053505.329999998</v>
      </c>
      <c r="Y212" s="3738"/>
      <c r="Z212" s="3738"/>
      <c r="AA212" s="3738"/>
      <c r="AB212" s="3738"/>
      <c r="AC212" s="3738"/>
      <c r="AP212" s="87" t="s">
        <v>649</v>
      </c>
      <c r="AQ212" s="179" t="s">
        <v>190</v>
      </c>
      <c r="AS212" s="548"/>
    </row>
    <row r="213" spans="1:51" outlineLevel="1" x14ac:dyDescent="0.35">
      <c r="C213" s="179" t="s">
        <v>190</v>
      </c>
      <c r="D213" s="84" t="s">
        <v>650</v>
      </c>
      <c r="E213" s="546"/>
      <c r="F213" s="546"/>
      <c r="G213" s="546"/>
      <c r="H213" s="546"/>
      <c r="I213" s="546"/>
      <c r="J213" s="546"/>
      <c r="K213" s="546"/>
      <c r="L213" s="546"/>
      <c r="M213" s="546"/>
      <c r="N213" s="546"/>
      <c r="O213" s="546"/>
      <c r="P213" s="546"/>
      <c r="Q213" s="3738">
        <f>'2'!D64</f>
        <v>0</v>
      </c>
      <c r="R213" s="3738"/>
      <c r="S213" s="3738"/>
      <c r="T213" s="3738"/>
      <c r="U213" s="3738"/>
      <c r="V213" s="3738"/>
      <c r="X213" s="3741">
        <v>0</v>
      </c>
      <c r="Y213" s="3741"/>
      <c r="Z213" s="3741"/>
      <c r="AA213" s="3741"/>
      <c r="AB213" s="3741"/>
      <c r="AC213" s="3741"/>
      <c r="AP213" s="87" t="s">
        <v>651</v>
      </c>
      <c r="AQ213" s="179" t="s">
        <v>190</v>
      </c>
      <c r="AS213" s="548"/>
    </row>
    <row r="214" spans="1:51" x14ac:dyDescent="0.35">
      <c r="C214" s="179" t="s">
        <v>190</v>
      </c>
      <c r="D214" s="84" t="s">
        <v>652</v>
      </c>
      <c r="E214" s="546"/>
      <c r="F214" s="546"/>
      <c r="G214" s="546"/>
      <c r="H214" s="546"/>
      <c r="I214" s="546"/>
      <c r="J214" s="546"/>
      <c r="K214" s="546"/>
      <c r="L214" s="546"/>
      <c r="M214" s="546"/>
      <c r="N214" s="546"/>
      <c r="O214" s="546"/>
      <c r="P214" s="546"/>
      <c r="Q214" s="3738">
        <f>'2'!D73</f>
        <v>0</v>
      </c>
      <c r="R214" s="3738"/>
      <c r="S214" s="3738"/>
      <c r="T214" s="3738"/>
      <c r="U214" s="3738"/>
      <c r="V214" s="3738"/>
      <c r="X214" s="3741">
        <v>0</v>
      </c>
      <c r="Y214" s="3741"/>
      <c r="Z214" s="3741"/>
      <c r="AA214" s="3741"/>
      <c r="AB214" s="3741"/>
      <c r="AC214" s="3741"/>
      <c r="AP214" s="87" t="s">
        <v>653</v>
      </c>
      <c r="AQ214" s="179" t="s">
        <v>190</v>
      </c>
      <c r="AS214" s="548" t="s">
        <v>654</v>
      </c>
      <c r="AW214" s="85">
        <v>313960371</v>
      </c>
      <c r="AX214" s="85">
        <v>6825595.4900000002</v>
      </c>
      <c r="AY214" s="85">
        <f>AW214+AX214</f>
        <v>320785966.49000001</v>
      </c>
    </row>
    <row r="215" spans="1:51" ht="12.75" customHeight="1" x14ac:dyDescent="0.35">
      <c r="C215" s="179" t="s">
        <v>190</v>
      </c>
      <c r="D215" s="84" t="s">
        <v>655</v>
      </c>
      <c r="E215" s="546"/>
      <c r="F215" s="546"/>
      <c r="G215" s="546"/>
      <c r="H215" s="546"/>
      <c r="I215" s="546"/>
      <c r="J215" s="546"/>
      <c r="K215" s="546"/>
      <c r="L215" s="546"/>
      <c r="M215" s="546"/>
      <c r="N215" s="546"/>
      <c r="O215" s="546"/>
      <c r="P215" s="546"/>
      <c r="Q215" s="3738">
        <f>'2'!D80</f>
        <v>0</v>
      </c>
      <c r="R215" s="3738"/>
      <c r="S215" s="3738"/>
      <c r="T215" s="3738"/>
      <c r="U215" s="3738"/>
      <c r="V215" s="3738"/>
      <c r="X215" s="3741">
        <v>0</v>
      </c>
      <c r="Y215" s="3741"/>
      <c r="Z215" s="3741"/>
      <c r="AA215" s="3741"/>
      <c r="AB215" s="3741"/>
      <c r="AC215" s="3741"/>
      <c r="AP215" s="87" t="s">
        <v>656</v>
      </c>
      <c r="AQ215" s="179" t="s">
        <v>190</v>
      </c>
      <c r="AS215" s="548"/>
      <c r="AX215" s="85"/>
      <c r="AY215" s="85"/>
    </row>
    <row r="216" spans="1:51" ht="12.75" customHeight="1" outlineLevel="1" x14ac:dyDescent="0.35">
      <c r="C216" s="179" t="s">
        <v>190</v>
      </c>
      <c r="D216" s="84" t="s">
        <v>7148</v>
      </c>
      <c r="E216" s="546"/>
      <c r="F216" s="546"/>
      <c r="G216" s="546"/>
      <c r="H216" s="546"/>
      <c r="I216" s="546"/>
      <c r="J216" s="546"/>
      <c r="K216" s="546"/>
      <c r="L216" s="546"/>
      <c r="M216" s="546"/>
      <c r="N216" s="546"/>
      <c r="O216" s="546"/>
      <c r="P216" s="546"/>
      <c r="Q216" s="3738">
        <f>'2'!D85</f>
        <v>1974000</v>
      </c>
      <c r="R216" s="3738"/>
      <c r="S216" s="3738"/>
      <c r="T216" s="3738"/>
      <c r="U216" s="3738"/>
      <c r="V216" s="3738"/>
      <c r="X216" s="3739">
        <v>1974000</v>
      </c>
      <c r="Y216" s="3739"/>
      <c r="Z216" s="3739"/>
      <c r="AA216" s="3739"/>
      <c r="AB216" s="3739"/>
      <c r="AC216" s="3739"/>
      <c r="AP216" s="87" t="s">
        <v>657</v>
      </c>
      <c r="AQ216" s="179" t="s">
        <v>190</v>
      </c>
      <c r="AS216" s="548"/>
    </row>
    <row r="217" spans="1:51" x14ac:dyDescent="0.35">
      <c r="C217" s="179" t="s">
        <v>190</v>
      </c>
      <c r="D217" s="84" t="s">
        <v>658</v>
      </c>
      <c r="E217" s="546"/>
      <c r="F217" s="546"/>
      <c r="G217" s="546"/>
      <c r="H217" s="546"/>
      <c r="I217" s="546"/>
      <c r="J217" s="546"/>
      <c r="K217" s="546"/>
      <c r="L217" s="546"/>
      <c r="M217" s="546"/>
      <c r="N217" s="546"/>
      <c r="O217" s="546"/>
      <c r="P217" s="546"/>
      <c r="Q217" s="3738">
        <f>'2'!D141</f>
        <v>0</v>
      </c>
      <c r="R217" s="3738"/>
      <c r="S217" s="3738"/>
      <c r="T217" s="3738"/>
      <c r="U217" s="3738"/>
      <c r="V217" s="3738"/>
      <c r="X217" s="3739">
        <v>0</v>
      </c>
      <c r="Y217" s="3739"/>
      <c r="Z217" s="3739"/>
      <c r="AA217" s="3739"/>
      <c r="AB217" s="3739"/>
      <c r="AC217" s="3739"/>
      <c r="AP217" s="87" t="s">
        <v>659</v>
      </c>
      <c r="AQ217" s="179" t="s">
        <v>190</v>
      </c>
      <c r="AS217" s="548"/>
    </row>
    <row r="218" spans="1:51" outlineLevel="1" x14ac:dyDescent="0.35">
      <c r="C218" s="179" t="s">
        <v>190</v>
      </c>
      <c r="D218" s="181" t="s">
        <v>660</v>
      </c>
      <c r="E218" s="546"/>
      <c r="F218" s="546"/>
      <c r="G218" s="546"/>
      <c r="H218" s="546"/>
      <c r="I218" s="546"/>
      <c r="J218" s="546"/>
      <c r="K218" s="546"/>
      <c r="L218" s="546"/>
      <c r="M218" s="546"/>
      <c r="N218" s="546"/>
      <c r="O218" s="546"/>
      <c r="P218" s="546"/>
      <c r="Q218" s="3740">
        <v>0</v>
      </c>
      <c r="R218" s="3740"/>
      <c r="S218" s="3740"/>
      <c r="T218" s="3740"/>
      <c r="U218" s="3740"/>
      <c r="V218" s="3740"/>
      <c r="X218" s="3740">
        <v>0</v>
      </c>
      <c r="Y218" s="3740"/>
      <c r="Z218" s="3740"/>
      <c r="AA218" s="3740"/>
      <c r="AB218" s="3740"/>
      <c r="AC218" s="3740"/>
      <c r="AP218" s="87" t="s">
        <v>661</v>
      </c>
      <c r="AQ218" s="179" t="s">
        <v>190</v>
      </c>
      <c r="AS218" s="548"/>
    </row>
    <row r="219" spans="1:51" outlineLevel="1" collapsed="1" x14ac:dyDescent="0.35">
      <c r="C219" s="86"/>
      <c r="D219" s="86"/>
      <c r="E219" s="546"/>
      <c r="F219" s="546"/>
      <c r="G219" s="546"/>
      <c r="H219" s="546"/>
      <c r="I219" s="546"/>
      <c r="J219" s="546"/>
      <c r="K219" s="546"/>
      <c r="L219" s="546"/>
      <c r="M219" s="546"/>
      <c r="N219" s="546"/>
      <c r="O219" s="546"/>
      <c r="P219" s="546"/>
      <c r="Q219" s="3674">
        <f>SUM(Q212:V218)</f>
        <v>78023803.5</v>
      </c>
      <c r="R219" s="3674"/>
      <c r="S219" s="3674"/>
      <c r="T219" s="3674"/>
      <c r="U219" s="3674"/>
      <c r="V219" s="3674"/>
      <c r="W219" s="64"/>
      <c r="X219" s="3674">
        <f>SUM(X212:AC218)</f>
        <v>71027505.329999998</v>
      </c>
      <c r="Y219" s="3674"/>
      <c r="Z219" s="3674"/>
      <c r="AA219" s="3674"/>
      <c r="AB219" s="3674"/>
      <c r="AC219" s="3674"/>
      <c r="AP219" s="87"/>
      <c r="AS219" s="548"/>
    </row>
    <row r="220" spans="1:51" outlineLevel="1" x14ac:dyDescent="0.35">
      <c r="B220" s="84"/>
      <c r="C220" s="179" t="s">
        <v>190</v>
      </c>
      <c r="D220" s="181" t="s">
        <v>610</v>
      </c>
      <c r="E220" s="546"/>
      <c r="F220" s="546"/>
      <c r="G220" s="546"/>
      <c r="H220" s="546"/>
      <c r="I220" s="546"/>
      <c r="J220" s="546"/>
      <c r="K220" s="546"/>
      <c r="L220" s="546"/>
      <c r="M220" s="546"/>
      <c r="N220" s="546"/>
      <c r="O220" s="546"/>
      <c r="P220" s="546"/>
      <c r="Q220" s="3444">
        <v>0</v>
      </c>
      <c r="R220" s="3444"/>
      <c r="S220" s="3444"/>
      <c r="T220" s="3444"/>
      <c r="U220" s="3444"/>
      <c r="V220" s="3444"/>
      <c r="X220" s="3736">
        <v>0</v>
      </c>
      <c r="Y220" s="3736"/>
      <c r="Z220" s="3736"/>
      <c r="AA220" s="3736"/>
      <c r="AB220" s="3736"/>
      <c r="AC220" s="3736"/>
      <c r="AP220" s="585" t="s">
        <v>611</v>
      </c>
      <c r="AQ220" s="179" t="s">
        <v>190</v>
      </c>
      <c r="AS220" s="548"/>
    </row>
    <row r="221" spans="1:51" outlineLevel="1" x14ac:dyDescent="0.35">
      <c r="E221" s="546"/>
      <c r="F221" s="546"/>
      <c r="G221" s="546"/>
      <c r="H221" s="546"/>
      <c r="I221" s="546"/>
      <c r="J221" s="546"/>
      <c r="K221" s="546"/>
      <c r="L221" s="546"/>
      <c r="M221" s="546"/>
      <c r="N221" s="546"/>
      <c r="O221" s="546"/>
      <c r="P221" s="546"/>
      <c r="AS221" s="548"/>
    </row>
    <row r="222" spans="1:51" ht="13.5" x14ac:dyDescent="0.35">
      <c r="C222" s="64" t="s">
        <v>662</v>
      </c>
      <c r="D222" s="64"/>
      <c r="E222" s="555"/>
      <c r="F222" s="555"/>
      <c r="G222" s="555"/>
      <c r="H222" s="555"/>
      <c r="I222" s="555"/>
      <c r="J222" s="555"/>
      <c r="K222" s="555"/>
      <c r="L222" s="555"/>
      <c r="M222" s="555"/>
      <c r="N222" s="555"/>
      <c r="O222" s="555"/>
      <c r="P222" s="555"/>
      <c r="Q222" s="3737">
        <f>Q219+Q220</f>
        <v>78023803.5</v>
      </c>
      <c r="R222" s="3737"/>
      <c r="S222" s="3737"/>
      <c r="T222" s="3737"/>
      <c r="U222" s="3737"/>
      <c r="V222" s="3737"/>
      <c r="X222" s="3737">
        <f>X219+X220</f>
        <v>71027505.329999998</v>
      </c>
      <c r="Y222" s="3737"/>
      <c r="Z222" s="3737"/>
      <c r="AA222" s="3737"/>
      <c r="AB222" s="3737"/>
      <c r="AC222" s="3737"/>
      <c r="AP222" s="557"/>
      <c r="AQ222" s="88" t="s">
        <v>663</v>
      </c>
      <c r="AS222" s="548"/>
    </row>
    <row r="223" spans="1:51" x14ac:dyDescent="0.35">
      <c r="E223" s="555"/>
      <c r="F223" s="555"/>
      <c r="G223" s="555"/>
      <c r="H223" s="555"/>
      <c r="I223" s="555"/>
      <c r="J223" s="555"/>
      <c r="K223" s="555"/>
      <c r="L223" s="555"/>
      <c r="M223" s="555"/>
      <c r="N223" s="555"/>
      <c r="O223" s="555"/>
      <c r="P223" s="555"/>
      <c r="Q223" s="578"/>
      <c r="R223" s="578"/>
      <c r="S223" s="578"/>
      <c r="T223" s="578"/>
      <c r="U223" s="578"/>
      <c r="V223" s="578"/>
      <c r="W223" s="577"/>
      <c r="X223" s="578"/>
      <c r="Y223" s="578"/>
      <c r="Z223" s="578"/>
      <c r="AA223" s="578"/>
      <c r="AB223" s="578"/>
      <c r="AC223" s="578"/>
      <c r="AS223" s="548"/>
    </row>
    <row r="224" spans="1:51" s="544" customFormat="1" ht="13.5" outlineLevel="1" x14ac:dyDescent="0.35">
      <c r="A224" s="544" t="s">
        <v>614</v>
      </c>
      <c r="B224" s="587"/>
      <c r="C224" s="511" t="s">
        <v>664</v>
      </c>
      <c r="E224" s="588"/>
      <c r="F224" s="588"/>
      <c r="G224" s="588"/>
      <c r="H224" s="588"/>
      <c r="I224" s="588"/>
      <c r="J224" s="588"/>
      <c r="K224" s="588"/>
      <c r="L224" s="588"/>
      <c r="M224" s="588"/>
      <c r="N224" s="588"/>
      <c r="O224" s="588"/>
      <c r="P224" s="588"/>
      <c r="Q224" s="589"/>
      <c r="R224" s="589"/>
      <c r="S224" s="589"/>
      <c r="T224" s="589"/>
      <c r="U224" s="589"/>
      <c r="V224" s="589"/>
      <c r="W224" s="590"/>
      <c r="X224" s="589"/>
      <c r="Y224" s="589"/>
      <c r="Z224" s="589"/>
      <c r="AA224" s="589"/>
      <c r="AB224" s="589"/>
      <c r="AC224" s="589"/>
      <c r="AP224" s="591"/>
      <c r="AQ224" s="512" t="s">
        <v>665</v>
      </c>
      <c r="AS224" s="545"/>
    </row>
    <row r="225" spans="2:45" s="64" customFormat="1" ht="13.5" outlineLevel="1" x14ac:dyDescent="0.35">
      <c r="B225" s="130"/>
      <c r="C225" s="84"/>
      <c r="E225" s="555"/>
      <c r="F225" s="555"/>
      <c r="G225" s="555"/>
      <c r="H225" s="555"/>
      <c r="I225" s="555"/>
      <c r="J225" s="555"/>
      <c r="K225" s="555"/>
      <c r="L225" s="555"/>
      <c r="M225" s="555"/>
      <c r="N225" s="555"/>
      <c r="O225" s="555"/>
      <c r="P225" s="555"/>
      <c r="Q225" s="578"/>
      <c r="R225" s="578"/>
      <c r="S225" s="578"/>
      <c r="T225" s="578"/>
      <c r="U225" s="578"/>
      <c r="V225" s="578"/>
      <c r="W225" s="577"/>
      <c r="X225" s="578"/>
      <c r="Y225" s="578"/>
      <c r="Z225" s="578"/>
      <c r="AA225" s="578"/>
      <c r="AB225" s="578"/>
      <c r="AC225" s="578"/>
      <c r="AP225" s="88"/>
      <c r="AQ225" s="87"/>
      <c r="AS225" s="523"/>
    </row>
    <row r="226" spans="2:45" s="64" customFormat="1" ht="13.5" outlineLevel="1" x14ac:dyDescent="0.35">
      <c r="B226" s="130"/>
      <c r="C226" s="84"/>
      <c r="E226" s="555"/>
      <c r="F226" s="555"/>
      <c r="G226" s="555"/>
      <c r="H226" s="555"/>
      <c r="I226" s="555"/>
      <c r="J226" s="555"/>
      <c r="K226" s="555"/>
      <c r="L226" s="555"/>
      <c r="M226" s="555"/>
      <c r="N226" s="555"/>
      <c r="O226" s="555"/>
      <c r="P226" s="555"/>
      <c r="Q226" s="578"/>
      <c r="R226" s="578"/>
      <c r="S226" s="578"/>
      <c r="T226" s="578"/>
      <c r="U226" s="578"/>
      <c r="V226" s="578"/>
      <c r="W226" s="577"/>
      <c r="X226" s="578"/>
      <c r="Y226" s="578"/>
      <c r="Z226" s="578"/>
      <c r="AA226" s="578"/>
      <c r="AB226" s="578"/>
      <c r="AC226" s="578"/>
      <c r="AP226" s="88"/>
      <c r="AQ226" s="87"/>
      <c r="AS226" s="523"/>
    </row>
    <row r="227" spans="2:45" s="64" customFormat="1" ht="13.5" outlineLevel="1" x14ac:dyDescent="0.35">
      <c r="B227" s="130"/>
      <c r="C227" s="84"/>
      <c r="E227" s="555"/>
      <c r="F227" s="555"/>
      <c r="G227" s="555"/>
      <c r="H227" s="555"/>
      <c r="I227" s="555"/>
      <c r="J227" s="555"/>
      <c r="K227" s="555"/>
      <c r="L227" s="555"/>
      <c r="M227" s="555"/>
      <c r="N227" s="555"/>
      <c r="O227" s="555"/>
      <c r="P227" s="555"/>
      <c r="Q227" s="578"/>
      <c r="R227" s="578"/>
      <c r="S227" s="578"/>
      <c r="T227" s="578"/>
      <c r="U227" s="578"/>
      <c r="V227" s="578"/>
      <c r="W227" s="577"/>
      <c r="X227" s="578"/>
      <c r="Y227" s="578"/>
      <c r="Z227" s="578"/>
      <c r="AA227" s="578"/>
      <c r="AB227" s="578"/>
      <c r="AC227" s="578"/>
      <c r="AP227" s="88"/>
      <c r="AQ227" s="87"/>
      <c r="AS227" s="523"/>
    </row>
    <row r="228" spans="2:45" s="544" customFormat="1" ht="13.5" x14ac:dyDescent="0.35">
      <c r="B228" s="535" t="s">
        <v>666</v>
      </c>
      <c r="C228" s="536" t="s">
        <v>667</v>
      </c>
      <c r="D228" s="535"/>
      <c r="E228" s="537"/>
      <c r="F228" s="537"/>
      <c r="G228" s="537"/>
      <c r="H228" s="537"/>
      <c r="I228" s="537"/>
      <c r="J228" s="537"/>
      <c r="K228" s="537"/>
      <c r="L228" s="537"/>
      <c r="M228" s="537"/>
      <c r="N228" s="537"/>
      <c r="O228" s="537"/>
      <c r="P228" s="537"/>
      <c r="Q228" s="537"/>
      <c r="R228" s="537"/>
      <c r="S228" s="537"/>
      <c r="T228" s="537"/>
      <c r="U228" s="537"/>
      <c r="V228" s="538"/>
      <c r="W228" s="537"/>
      <c r="X228" s="539" t="str">
        <f>B228</f>
        <v>5.</v>
      </c>
      <c r="Y228" s="539" t="s">
        <v>668</v>
      </c>
      <c r="Z228" s="539"/>
      <c r="AA228" s="539"/>
      <c r="AB228" s="539"/>
      <c r="AC228" s="539"/>
      <c r="AD228" s="539"/>
      <c r="AE228" s="539"/>
      <c r="AF228" s="539"/>
      <c r="AG228" s="539"/>
      <c r="AH228" s="539"/>
      <c r="AI228" s="539"/>
      <c r="AJ228" s="539"/>
      <c r="AK228" s="539"/>
      <c r="AL228" s="539"/>
      <c r="AM228" s="539"/>
      <c r="AN228" s="539"/>
      <c r="AO228" s="539"/>
      <c r="AP228" s="566"/>
      <c r="AQ228" s="567"/>
      <c r="AS228" s="545"/>
    </row>
    <row r="229" spans="2:45" ht="13.5" x14ac:dyDescent="0.35">
      <c r="C229" s="64"/>
      <c r="D229" s="84"/>
      <c r="E229" s="546"/>
      <c r="F229" s="546"/>
      <c r="G229" s="546"/>
      <c r="H229" s="546"/>
      <c r="I229" s="546"/>
      <c r="J229" s="546"/>
      <c r="K229" s="546"/>
      <c r="L229" s="546"/>
      <c r="M229" s="546"/>
      <c r="N229" s="546"/>
      <c r="O229" s="546"/>
      <c r="P229" s="546"/>
      <c r="Q229" s="546"/>
      <c r="R229" s="546"/>
      <c r="S229" s="546"/>
      <c r="T229" s="546"/>
      <c r="U229" s="546"/>
      <c r="V229" s="547"/>
      <c r="W229" s="546"/>
      <c r="X229" s="546"/>
      <c r="Y229" s="546"/>
      <c r="Z229" s="546"/>
      <c r="AA229" s="546"/>
      <c r="AB229" s="546"/>
      <c r="AC229" s="546"/>
      <c r="AQ229" s="88"/>
      <c r="AS229" s="548"/>
    </row>
    <row r="230" spans="2:45" x14ac:dyDescent="0.35">
      <c r="C230" s="181" t="s">
        <v>579</v>
      </c>
      <c r="D230" s="84"/>
      <c r="E230" s="546"/>
      <c r="F230" s="546"/>
      <c r="G230" s="546"/>
      <c r="H230" s="546"/>
      <c r="I230" s="546"/>
      <c r="J230" s="546"/>
      <c r="K230" s="546"/>
      <c r="L230" s="546"/>
      <c r="M230" s="546"/>
      <c r="N230" s="546"/>
      <c r="O230" s="546"/>
      <c r="P230" s="546"/>
      <c r="Q230" s="558"/>
      <c r="R230" s="558"/>
      <c r="S230" s="558"/>
      <c r="T230" s="558"/>
      <c r="U230" s="558"/>
      <c r="V230" s="558"/>
      <c r="W230" s="546"/>
      <c r="X230" s="558"/>
      <c r="Y230" s="558"/>
      <c r="Z230" s="558"/>
      <c r="AA230" s="558"/>
      <c r="AB230" s="558"/>
      <c r="AC230" s="558"/>
      <c r="AQ230" s="87" t="s">
        <v>580</v>
      </c>
      <c r="AS230" s="548"/>
    </row>
    <row r="231" spans="2:45" ht="13.5" x14ac:dyDescent="0.35">
      <c r="C231" s="64"/>
      <c r="D231" s="152"/>
      <c r="E231" s="546"/>
      <c r="F231" s="546"/>
      <c r="G231" s="546"/>
      <c r="H231" s="546"/>
      <c r="I231" s="546"/>
      <c r="J231" s="546"/>
      <c r="K231" s="546"/>
      <c r="L231" s="546"/>
      <c r="M231" s="546"/>
      <c r="N231" s="546"/>
      <c r="O231" s="546"/>
      <c r="P231" s="546"/>
      <c r="Q231" s="3448" t="str">
        <f>NRC!E9</f>
        <v>30 June 2026/</v>
      </c>
      <c r="R231" s="3448" t="str">
        <f>[8]IN!$G$23</f>
        <v>31 July 2023 /</v>
      </c>
      <c r="S231" s="3448" t="str">
        <f>[8]IN!$G$23</f>
        <v>31 July 2023 /</v>
      </c>
      <c r="T231" s="3448" t="str">
        <f>[8]IN!$G$23</f>
        <v>31 July 2023 /</v>
      </c>
      <c r="U231" s="3448" t="str">
        <f>[8]IN!$G$23</f>
        <v>31 July 2023 /</v>
      </c>
      <c r="V231" s="3448" t="str">
        <f>[8]IN!$G$23</f>
        <v>31 July 2023 /</v>
      </c>
      <c r="W231" s="546"/>
      <c r="X231" s="3448" t="str">
        <f>NRC!G9</f>
        <v>31 May 2026/</v>
      </c>
      <c r="Y231" s="3448" t="str">
        <f>[8]IN!$G$26</f>
        <v>30 June 2023 /</v>
      </c>
      <c r="Z231" s="3448" t="str">
        <f>[8]IN!$G$26</f>
        <v>30 June 2023 /</v>
      </c>
      <c r="AA231" s="3448" t="str">
        <f>[8]IN!$G$26</f>
        <v>30 June 2023 /</v>
      </c>
      <c r="AB231" s="3448" t="str">
        <f>[8]IN!$G$26</f>
        <v>30 June 2023 /</v>
      </c>
      <c r="AC231" s="3448" t="str">
        <f>[8]IN!$G$26</f>
        <v>30 June 2023 /</v>
      </c>
      <c r="AQ231" s="88"/>
      <c r="AS231" s="548"/>
    </row>
    <row r="232" spans="2:45" s="142" customFormat="1" ht="14" thickBot="1" x14ac:dyDescent="0.4">
      <c r="B232" s="559"/>
      <c r="D232" s="568"/>
      <c r="E232" s="553"/>
      <c r="F232" s="553"/>
      <c r="G232" s="553"/>
      <c r="H232" s="553"/>
      <c r="I232" s="553"/>
      <c r="J232" s="553"/>
      <c r="K232" s="553"/>
      <c r="L232" s="553"/>
      <c r="M232" s="553"/>
      <c r="N232" s="553"/>
      <c r="O232" s="553"/>
      <c r="P232" s="553"/>
      <c r="Q232" s="3449">
        <f>NRC!E10</f>
        <v>46203</v>
      </c>
      <c r="R232" s="3449" t="e">
        <f>[8]IN!$I$23</f>
        <v>#N/A</v>
      </c>
      <c r="S232" s="3449" t="e">
        <f>[8]IN!$I$23</f>
        <v>#N/A</v>
      </c>
      <c r="T232" s="3449" t="e">
        <f>[8]IN!$I$23</f>
        <v>#N/A</v>
      </c>
      <c r="U232" s="3449" t="e">
        <f>[8]IN!$I$23</f>
        <v>#N/A</v>
      </c>
      <c r="V232" s="3449" t="e">
        <f>[8]IN!$I$23</f>
        <v>#N/A</v>
      </c>
      <c r="W232" s="553"/>
      <c r="X232" s="3449">
        <f>NRC!G10</f>
        <v>46173</v>
      </c>
      <c r="Y232" s="3449" t="e">
        <f>[8]IN!$I$26</f>
        <v>#N/A</v>
      </c>
      <c r="Z232" s="3449" t="e">
        <f>[8]IN!$I$26</f>
        <v>#N/A</v>
      </c>
      <c r="AA232" s="3449" t="e">
        <f>[8]IN!$I$26</f>
        <v>#N/A</v>
      </c>
      <c r="AB232" s="3449" t="e">
        <f>[8]IN!$I$26</f>
        <v>#N/A</v>
      </c>
      <c r="AC232" s="3449" t="e">
        <f>[8]IN!$I$26</f>
        <v>#N/A</v>
      </c>
      <c r="AP232" s="87"/>
      <c r="AQ232" s="87"/>
      <c r="AS232" s="570"/>
    </row>
    <row r="233" spans="2:45" ht="13.5" x14ac:dyDescent="0.35">
      <c r="C233" s="130"/>
      <c r="D233" s="130"/>
      <c r="E233" s="546"/>
      <c r="F233" s="546"/>
      <c r="G233" s="546"/>
      <c r="H233" s="546"/>
      <c r="I233" s="546"/>
      <c r="J233" s="546"/>
      <c r="K233" s="546"/>
      <c r="L233" s="546"/>
      <c r="M233" s="546"/>
      <c r="N233" s="546"/>
      <c r="O233" s="546"/>
      <c r="P233" s="546"/>
      <c r="Q233" s="558"/>
      <c r="R233" s="558"/>
      <c r="S233" s="558"/>
      <c r="T233" s="558"/>
      <c r="U233" s="558"/>
      <c r="V233" s="558"/>
      <c r="W233" s="546"/>
      <c r="X233" s="558"/>
      <c r="Y233" s="558"/>
      <c r="Z233" s="558"/>
      <c r="AA233" s="558"/>
      <c r="AB233" s="558"/>
      <c r="AC233" s="558"/>
      <c r="AP233" s="557"/>
      <c r="AQ233" s="88"/>
      <c r="AS233" s="548"/>
    </row>
    <row r="234" spans="2:45" x14ac:dyDescent="0.35">
      <c r="C234" s="84" t="s">
        <v>669</v>
      </c>
      <c r="D234" s="130"/>
      <c r="E234" s="546"/>
      <c r="F234" s="546"/>
      <c r="G234" s="546"/>
      <c r="H234" s="546"/>
      <c r="I234" s="546"/>
      <c r="J234" s="546"/>
      <c r="K234" s="546"/>
      <c r="L234" s="546"/>
      <c r="M234" s="546"/>
      <c r="N234" s="546"/>
      <c r="O234" s="546"/>
      <c r="P234" s="546"/>
      <c r="Q234" s="3648">
        <f>'3'!F21</f>
        <v>131418181</v>
      </c>
      <c r="R234" s="3648"/>
      <c r="S234" s="3648"/>
      <c r="T234" s="3648"/>
      <c r="U234" s="3648"/>
      <c r="V234" s="3648"/>
      <c r="W234" s="1552"/>
      <c r="X234" s="3735">
        <v>131418181</v>
      </c>
      <c r="Y234" s="3735"/>
      <c r="Z234" s="3735"/>
      <c r="AA234" s="3735"/>
      <c r="AB234" s="3735"/>
      <c r="AC234" s="3735"/>
      <c r="AP234" s="87"/>
      <c r="AQ234" s="87" t="s">
        <v>670</v>
      </c>
      <c r="AS234" s="548"/>
    </row>
    <row r="235" spans="2:45" outlineLevel="1" x14ac:dyDescent="0.35">
      <c r="C235" s="181" t="s">
        <v>671</v>
      </c>
      <c r="E235" s="546"/>
      <c r="F235" s="546"/>
      <c r="G235" s="546"/>
      <c r="H235" s="546"/>
      <c r="I235" s="546"/>
      <c r="J235" s="546"/>
      <c r="K235" s="546"/>
      <c r="L235" s="546"/>
      <c r="M235" s="546"/>
      <c r="N235" s="546"/>
      <c r="O235" s="546"/>
      <c r="P235" s="546"/>
      <c r="Q235" s="3725">
        <f>'3'!F34</f>
        <v>0</v>
      </c>
      <c r="R235" s="3725"/>
      <c r="S235" s="3725"/>
      <c r="T235" s="3725"/>
      <c r="U235" s="3725"/>
      <c r="V235" s="3725"/>
      <c r="W235" s="579"/>
      <c r="X235" s="3725">
        <f>'3'!I34</f>
        <v>0</v>
      </c>
      <c r="Y235" s="3725"/>
      <c r="Z235" s="3725"/>
      <c r="AA235" s="3725"/>
      <c r="AB235" s="3725"/>
      <c r="AC235" s="3725"/>
      <c r="AP235" s="87"/>
      <c r="AQ235" s="87" t="s">
        <v>672</v>
      </c>
      <c r="AS235" s="548"/>
    </row>
    <row r="236" spans="2:45" outlineLevel="1" x14ac:dyDescent="0.35">
      <c r="C236" s="181" t="s">
        <v>673</v>
      </c>
      <c r="E236" s="546"/>
      <c r="F236" s="546"/>
      <c r="G236" s="546"/>
      <c r="H236" s="546"/>
      <c r="I236" s="546"/>
      <c r="J236" s="546"/>
      <c r="K236" s="546"/>
      <c r="L236" s="546"/>
      <c r="M236" s="546"/>
      <c r="N236" s="546"/>
      <c r="O236" s="546"/>
      <c r="P236" s="546"/>
      <c r="Q236" s="3725">
        <f>'3'!F184</f>
        <v>0</v>
      </c>
      <c r="R236" s="3725"/>
      <c r="S236" s="3725"/>
      <c r="T236" s="3725"/>
      <c r="U236" s="3725"/>
      <c r="V236" s="3725"/>
      <c r="W236" s="579"/>
      <c r="X236" s="3725">
        <f>'3'!I184</f>
        <v>0</v>
      </c>
      <c r="Y236" s="3725"/>
      <c r="Z236" s="3725"/>
      <c r="AA236" s="3725"/>
      <c r="AB236" s="3725"/>
      <c r="AC236" s="3725"/>
      <c r="AP236" s="87"/>
      <c r="AQ236" s="87" t="s">
        <v>674</v>
      </c>
      <c r="AS236" s="548"/>
    </row>
    <row r="237" spans="2:45" outlineLevel="1" x14ac:dyDescent="0.35">
      <c r="C237" s="181" t="s">
        <v>3082</v>
      </c>
      <c r="E237" s="546"/>
      <c r="F237" s="546"/>
      <c r="G237" s="546"/>
      <c r="H237" s="546"/>
      <c r="I237" s="546"/>
      <c r="J237" s="546"/>
      <c r="K237" s="546"/>
      <c r="L237" s="546"/>
      <c r="M237" s="546"/>
      <c r="N237" s="546"/>
      <c r="O237" s="546"/>
      <c r="P237" s="546"/>
      <c r="Q237" s="3725">
        <f>'3'!F197</f>
        <v>0</v>
      </c>
      <c r="R237" s="3725"/>
      <c r="S237" s="3725"/>
      <c r="T237" s="3725"/>
      <c r="U237" s="3725"/>
      <c r="V237" s="3725"/>
      <c r="W237" s="579"/>
      <c r="X237" s="3725">
        <f>'3'!I197</f>
        <v>0</v>
      </c>
      <c r="Y237" s="3725"/>
      <c r="Z237" s="3725"/>
      <c r="AA237" s="3725"/>
      <c r="AB237" s="3725"/>
      <c r="AC237" s="3725"/>
      <c r="AP237" s="87"/>
      <c r="AQ237" s="87" t="s">
        <v>3083</v>
      </c>
      <c r="AS237" s="548"/>
    </row>
    <row r="238" spans="2:45" outlineLevel="1" x14ac:dyDescent="0.35">
      <c r="C238" s="181" t="s">
        <v>3084</v>
      </c>
      <c r="E238" s="546"/>
      <c r="F238" s="546"/>
      <c r="G238" s="546"/>
      <c r="H238" s="546"/>
      <c r="I238" s="546"/>
      <c r="J238" s="546"/>
      <c r="K238" s="546"/>
      <c r="L238" s="546"/>
      <c r="M238" s="546"/>
      <c r="N238" s="546"/>
      <c r="O238" s="546"/>
      <c r="P238" s="546"/>
      <c r="Q238" s="3725">
        <f>'3'!F204</f>
        <v>0</v>
      </c>
      <c r="R238" s="3725"/>
      <c r="S238" s="3725"/>
      <c r="T238" s="3725"/>
      <c r="U238" s="3725"/>
      <c r="V238" s="3725"/>
      <c r="W238" s="579"/>
      <c r="X238" s="3725">
        <f>'3'!I204</f>
        <v>0</v>
      </c>
      <c r="Y238" s="3725"/>
      <c r="Z238" s="3725"/>
      <c r="AA238" s="3725"/>
      <c r="AB238" s="3725"/>
      <c r="AC238" s="3725"/>
      <c r="AP238" s="87"/>
      <c r="AQ238" s="87" t="s">
        <v>3085</v>
      </c>
      <c r="AS238" s="548"/>
    </row>
    <row r="239" spans="2:45" outlineLevel="1" x14ac:dyDescent="0.35">
      <c r="C239" s="84" t="s">
        <v>675</v>
      </c>
      <c r="E239" s="546"/>
      <c r="F239" s="546"/>
      <c r="G239" s="546"/>
      <c r="H239" s="546"/>
      <c r="I239" s="546"/>
      <c r="J239" s="546"/>
      <c r="K239" s="546"/>
      <c r="L239" s="546"/>
      <c r="M239" s="546"/>
      <c r="N239" s="546"/>
      <c r="O239" s="546"/>
      <c r="P239" s="546"/>
      <c r="Q239" s="3725">
        <f>'3'!F290</f>
        <v>0</v>
      </c>
      <c r="R239" s="3725"/>
      <c r="S239" s="3725"/>
      <c r="T239" s="3725"/>
      <c r="U239" s="3725"/>
      <c r="V239" s="3725"/>
      <c r="W239" s="579"/>
      <c r="X239" s="3725">
        <f>'3'!I290</f>
        <v>0</v>
      </c>
      <c r="Y239" s="3725"/>
      <c r="Z239" s="3725"/>
      <c r="AA239" s="3725"/>
      <c r="AB239" s="3725"/>
      <c r="AC239" s="3725"/>
      <c r="AP239" s="87"/>
      <c r="AQ239" s="87" t="s">
        <v>676</v>
      </c>
      <c r="AS239" s="548"/>
    </row>
    <row r="240" spans="2:45" outlineLevel="1" x14ac:dyDescent="0.35">
      <c r="C240" s="84" t="s">
        <v>3086</v>
      </c>
      <c r="E240" s="546"/>
      <c r="F240" s="546"/>
      <c r="G240" s="546"/>
      <c r="H240" s="546"/>
      <c r="I240" s="546"/>
      <c r="J240" s="546"/>
      <c r="K240" s="546"/>
      <c r="L240" s="546"/>
      <c r="M240" s="546"/>
      <c r="N240" s="546"/>
      <c r="O240" s="546"/>
      <c r="P240" s="546"/>
      <c r="Q240" s="3725">
        <f>'3'!F295+'3'!F300</f>
        <v>0</v>
      </c>
      <c r="R240" s="3725"/>
      <c r="S240" s="3725"/>
      <c r="T240" s="3725"/>
      <c r="U240" s="3725"/>
      <c r="V240" s="3725"/>
      <c r="W240" s="579"/>
      <c r="X240" s="3725">
        <f>'3'!I295+'3'!I300</f>
        <v>0</v>
      </c>
      <c r="Y240" s="3725"/>
      <c r="Z240" s="3725"/>
      <c r="AA240" s="3725"/>
      <c r="AB240" s="3725"/>
      <c r="AC240" s="3725"/>
      <c r="AP240" s="87"/>
      <c r="AQ240" s="87" t="s">
        <v>1337</v>
      </c>
      <c r="AS240" s="548"/>
    </row>
    <row r="241" spans="1:45" outlineLevel="1" x14ac:dyDescent="0.35">
      <c r="C241" s="2841" t="s">
        <v>273</v>
      </c>
      <c r="D241" s="2836"/>
      <c r="E241" s="2837"/>
      <c r="F241" s="2837"/>
      <c r="G241" s="2837"/>
      <c r="H241" s="2837"/>
      <c r="I241" s="2837"/>
      <c r="J241" s="2837"/>
      <c r="K241" s="2837"/>
      <c r="L241" s="2837"/>
      <c r="M241" s="2837"/>
      <c r="N241" s="2837"/>
      <c r="O241" s="2837"/>
      <c r="P241" s="2837"/>
      <c r="Q241" s="3731">
        <v>0</v>
      </c>
      <c r="R241" s="3731"/>
      <c r="S241" s="3731"/>
      <c r="T241" s="3731"/>
      <c r="U241" s="3731"/>
      <c r="V241" s="3731"/>
      <c r="W241" s="2838"/>
      <c r="X241" s="3731">
        <v>0</v>
      </c>
      <c r="Y241" s="3731"/>
      <c r="Z241" s="3731"/>
      <c r="AA241" s="3731"/>
      <c r="AB241" s="3731"/>
      <c r="AC241" s="3731"/>
      <c r="AP241" s="87"/>
      <c r="AQ241" s="87" t="s">
        <v>677</v>
      </c>
      <c r="AS241" s="548"/>
    </row>
    <row r="242" spans="1:45" outlineLevel="1" x14ac:dyDescent="0.35">
      <c r="C242" s="179" t="s">
        <v>190</v>
      </c>
      <c r="D242" s="181" t="s">
        <v>7294</v>
      </c>
      <c r="E242" s="546"/>
      <c r="F242" s="546"/>
      <c r="G242" s="546"/>
      <c r="H242" s="546"/>
      <c r="I242" s="546"/>
      <c r="J242" s="546"/>
      <c r="K242" s="546"/>
      <c r="L242" s="546"/>
      <c r="M242" s="546"/>
      <c r="N242" s="546"/>
      <c r="O242" s="546"/>
      <c r="P242" s="546"/>
      <c r="Q242" s="3731">
        <f>'12'!E19</f>
        <v>75534081</v>
      </c>
      <c r="R242" s="3731"/>
      <c r="S242" s="3731"/>
      <c r="T242" s="3731"/>
      <c r="U242" s="3731"/>
      <c r="V242" s="3731"/>
      <c r="W242" s="2838"/>
      <c r="X242" s="3731">
        <v>92869889</v>
      </c>
      <c r="Y242" s="3731"/>
      <c r="Z242" s="3731"/>
      <c r="AA242" s="3731"/>
      <c r="AB242" s="3731"/>
      <c r="AC242" s="3731"/>
      <c r="AP242" s="87" t="s">
        <v>637</v>
      </c>
      <c r="AQ242" s="179" t="s">
        <v>190</v>
      </c>
      <c r="AS242" s="548"/>
    </row>
    <row r="243" spans="1:45" outlineLevel="1" x14ac:dyDescent="0.35">
      <c r="C243" s="179" t="s">
        <v>190</v>
      </c>
      <c r="D243" s="181" t="s">
        <v>680</v>
      </c>
      <c r="E243" s="546"/>
      <c r="F243" s="546"/>
      <c r="G243" s="546"/>
      <c r="H243" s="546"/>
      <c r="I243" s="546"/>
      <c r="J243" s="546"/>
      <c r="K243" s="546"/>
      <c r="L243" s="546"/>
      <c r="M243" s="546"/>
      <c r="N243" s="546"/>
      <c r="O243" s="546"/>
      <c r="P243" s="546"/>
      <c r="Q243" s="3731">
        <f>'3'!F305</f>
        <v>0</v>
      </c>
      <c r="R243" s="3731"/>
      <c r="S243" s="3731"/>
      <c r="T243" s="3731"/>
      <c r="U243" s="3731"/>
      <c r="V243" s="3731"/>
      <c r="W243" s="2838"/>
      <c r="X243" s="3732">
        <f>'3'!I305</f>
        <v>0</v>
      </c>
      <c r="Y243" s="3732"/>
      <c r="Z243" s="3732"/>
      <c r="AA243" s="3732"/>
      <c r="AB243" s="3732"/>
      <c r="AC243" s="3732"/>
      <c r="AP243" s="87" t="s">
        <v>679</v>
      </c>
      <c r="AQ243" s="179" t="s">
        <v>190</v>
      </c>
      <c r="AS243" s="548"/>
    </row>
    <row r="244" spans="1:45" outlineLevel="1" x14ac:dyDescent="0.35">
      <c r="C244" s="179" t="s">
        <v>190</v>
      </c>
      <c r="D244" s="181" t="s">
        <v>682</v>
      </c>
      <c r="E244" s="546"/>
      <c r="F244" s="546"/>
      <c r="G244" s="546"/>
      <c r="H244" s="546"/>
      <c r="I244" s="546"/>
      <c r="J244" s="546"/>
      <c r="K244" s="546"/>
      <c r="L244" s="546"/>
      <c r="M244" s="546"/>
      <c r="N244" s="546"/>
      <c r="O244" s="546"/>
      <c r="P244" s="546"/>
      <c r="Q244" s="3731">
        <f>'3'!F306</f>
        <v>0</v>
      </c>
      <c r="R244" s="3731"/>
      <c r="S244" s="3731"/>
      <c r="T244" s="3731"/>
      <c r="U244" s="3731"/>
      <c r="V244" s="3731"/>
      <c r="W244" s="2838"/>
      <c r="X244" s="3732">
        <f>'3'!I306</f>
        <v>0</v>
      </c>
      <c r="Y244" s="3732"/>
      <c r="Z244" s="3732"/>
      <c r="AA244" s="3732"/>
      <c r="AB244" s="3732"/>
      <c r="AC244" s="3732"/>
      <c r="AP244" s="87" t="s">
        <v>681</v>
      </c>
      <c r="AQ244" s="179" t="s">
        <v>190</v>
      </c>
      <c r="AS244" s="548"/>
    </row>
    <row r="245" spans="1:45" outlineLevel="1" x14ac:dyDescent="0.35">
      <c r="C245" s="179" t="s">
        <v>190</v>
      </c>
      <c r="D245" s="181" t="s">
        <v>3078</v>
      </c>
      <c r="E245" s="546"/>
      <c r="F245" s="546"/>
      <c r="G245" s="546"/>
      <c r="H245" s="546"/>
      <c r="I245" s="546"/>
      <c r="J245" s="546"/>
      <c r="K245" s="546"/>
      <c r="L245" s="546"/>
      <c r="M245" s="546"/>
      <c r="N245" s="546"/>
      <c r="O245" s="546"/>
      <c r="P245" s="546"/>
      <c r="Q245" s="3731">
        <f>'3'!F307</f>
        <v>0</v>
      </c>
      <c r="R245" s="3731"/>
      <c r="S245" s="3731"/>
      <c r="T245" s="3731"/>
      <c r="U245" s="3731"/>
      <c r="V245" s="3731"/>
      <c r="W245" s="2838"/>
      <c r="X245" s="3732">
        <f>'3'!I307</f>
        <v>0</v>
      </c>
      <c r="Y245" s="3732"/>
      <c r="Z245" s="3732"/>
      <c r="AA245" s="3732"/>
      <c r="AB245" s="3732"/>
      <c r="AC245" s="3732"/>
      <c r="AP245" s="87" t="s">
        <v>683</v>
      </c>
      <c r="AQ245" s="179" t="s">
        <v>190</v>
      </c>
      <c r="AS245" s="548"/>
    </row>
    <row r="246" spans="1:45" outlineLevel="1" x14ac:dyDescent="0.35">
      <c r="C246" s="179" t="s">
        <v>190</v>
      </c>
      <c r="D246" s="181" t="s">
        <v>684</v>
      </c>
      <c r="E246" s="546"/>
      <c r="F246" s="546"/>
      <c r="G246" s="546"/>
      <c r="H246" s="546"/>
      <c r="I246" s="546"/>
      <c r="J246" s="546"/>
      <c r="K246" s="546"/>
      <c r="L246" s="546"/>
      <c r="M246" s="546"/>
      <c r="N246" s="546"/>
      <c r="O246" s="546"/>
      <c r="P246" s="546"/>
      <c r="Q246" s="3733">
        <f>'3'!F308</f>
        <v>0</v>
      </c>
      <c r="R246" s="3733"/>
      <c r="S246" s="3733"/>
      <c r="T246" s="3733"/>
      <c r="U246" s="3733"/>
      <c r="V246" s="3733"/>
      <c r="W246" s="2838"/>
      <c r="X246" s="3734">
        <f>'3'!I308</f>
        <v>0</v>
      </c>
      <c r="Y246" s="3734"/>
      <c r="Z246" s="3734"/>
      <c r="AA246" s="3734"/>
      <c r="AB246" s="3734"/>
      <c r="AC246" s="3734"/>
      <c r="AP246" s="87" t="s">
        <v>685</v>
      </c>
      <c r="AQ246" s="179" t="s">
        <v>190</v>
      </c>
      <c r="AS246" s="548"/>
    </row>
    <row r="247" spans="1:45" outlineLevel="1" x14ac:dyDescent="0.35">
      <c r="C247" s="179"/>
      <c r="E247" s="546"/>
      <c r="F247" s="546"/>
      <c r="G247" s="546"/>
      <c r="H247" s="546"/>
      <c r="I247" s="546"/>
      <c r="J247" s="546"/>
      <c r="K247" s="546"/>
      <c r="L247" s="546"/>
      <c r="M247" s="546"/>
      <c r="N247" s="546"/>
      <c r="O247" s="546"/>
      <c r="P247" s="546"/>
      <c r="Q247" s="3676">
        <f>SUM(Q243:V246)</f>
        <v>0</v>
      </c>
      <c r="R247" s="3676"/>
      <c r="S247" s="3676"/>
      <c r="T247" s="3676"/>
      <c r="U247" s="3676"/>
      <c r="V247" s="3676"/>
      <c r="W247" s="579"/>
      <c r="X247" s="3661"/>
      <c r="Y247" s="3661"/>
      <c r="Z247" s="3661"/>
      <c r="AA247" s="3661"/>
      <c r="AB247" s="3661"/>
      <c r="AC247" s="3661"/>
      <c r="AP247" s="87"/>
      <c r="AS247" s="548"/>
    </row>
    <row r="248" spans="1:45" outlineLevel="1" x14ac:dyDescent="0.35">
      <c r="E248" s="546"/>
      <c r="F248" s="546"/>
      <c r="G248" s="546"/>
      <c r="H248" s="546"/>
      <c r="I248" s="546"/>
      <c r="J248" s="546"/>
      <c r="K248" s="546"/>
      <c r="L248" s="546"/>
      <c r="M248" s="546"/>
      <c r="N248" s="546"/>
      <c r="O248" s="546"/>
      <c r="P248" s="546"/>
      <c r="Q248" s="599"/>
      <c r="R248" s="599"/>
      <c r="S248" s="599"/>
      <c r="T248" s="599"/>
      <c r="U248" s="599"/>
      <c r="V248" s="599"/>
      <c r="W248" s="546"/>
      <c r="X248" s="558"/>
      <c r="Y248" s="558"/>
      <c r="Z248" s="558"/>
      <c r="AA248" s="558"/>
      <c r="AB248" s="558"/>
      <c r="AC248" s="558"/>
      <c r="AS248" s="548"/>
    </row>
    <row r="249" spans="1:45" ht="14" thickBot="1" x14ac:dyDescent="0.4">
      <c r="C249" s="64" t="s">
        <v>686</v>
      </c>
      <c r="D249" s="64"/>
      <c r="E249" s="555"/>
      <c r="F249" s="555"/>
      <c r="G249" s="555"/>
      <c r="H249" s="555"/>
      <c r="I249" s="555"/>
      <c r="J249" s="555"/>
      <c r="K249" s="555"/>
      <c r="L249" s="555"/>
      <c r="M249" s="555"/>
      <c r="N249" s="555"/>
      <c r="O249" s="555"/>
      <c r="P249" s="555"/>
      <c r="Q249" s="3442">
        <f>SUM(Q234:V246)</f>
        <v>206952262</v>
      </c>
      <c r="R249" s="3442"/>
      <c r="S249" s="3442"/>
      <c r="T249" s="3442"/>
      <c r="U249" s="3442"/>
      <c r="V249" s="3442"/>
      <c r="W249" s="577"/>
      <c r="X249" s="3442">
        <f>SUM(X234:AC246)</f>
        <v>224288070</v>
      </c>
      <c r="Y249" s="3442"/>
      <c r="Z249" s="3442"/>
      <c r="AA249" s="3442"/>
      <c r="AB249" s="3442"/>
      <c r="AC249" s="3442"/>
      <c r="AP249" s="557"/>
      <c r="AQ249" s="88" t="s">
        <v>687</v>
      </c>
      <c r="AS249" s="548"/>
    </row>
    <row r="250" spans="1:45" ht="13.5" thickTop="1" x14ac:dyDescent="0.35">
      <c r="E250" s="555"/>
      <c r="F250" s="555"/>
      <c r="G250" s="555"/>
      <c r="H250" s="555"/>
      <c r="I250" s="555"/>
      <c r="J250" s="555"/>
      <c r="K250" s="555"/>
      <c r="L250" s="555"/>
      <c r="M250" s="555"/>
      <c r="N250" s="555"/>
      <c r="O250" s="555"/>
      <c r="P250" s="555"/>
      <c r="Q250" s="578"/>
      <c r="R250" s="578"/>
      <c r="S250" s="578"/>
      <c r="T250" s="578"/>
      <c r="U250" s="578"/>
      <c r="V250" s="578"/>
      <c r="W250" s="577"/>
      <c r="X250" s="578"/>
      <c r="Y250" s="578"/>
      <c r="Z250" s="578"/>
      <c r="AA250" s="578"/>
      <c r="AB250" s="578"/>
      <c r="AC250" s="578"/>
      <c r="AS250" s="548"/>
    </row>
    <row r="251" spans="1:45" s="544" customFormat="1" ht="13.5" outlineLevel="1" x14ac:dyDescent="0.35">
      <c r="A251" s="544" t="s">
        <v>614</v>
      </c>
      <c r="B251" s="587"/>
      <c r="C251" s="511" t="s">
        <v>688</v>
      </c>
      <c r="E251" s="588"/>
      <c r="F251" s="588"/>
      <c r="G251" s="588"/>
      <c r="H251" s="588"/>
      <c r="I251" s="588"/>
      <c r="J251" s="588"/>
      <c r="K251" s="588"/>
      <c r="L251" s="588"/>
      <c r="M251" s="588"/>
      <c r="N251" s="588"/>
      <c r="O251" s="588"/>
      <c r="P251" s="588"/>
      <c r="Q251" s="590"/>
      <c r="R251" s="590"/>
      <c r="S251" s="590"/>
      <c r="T251" s="590"/>
      <c r="U251" s="590"/>
      <c r="V251" s="590"/>
      <c r="W251" s="590"/>
      <c r="X251" s="589"/>
      <c r="Y251" s="589"/>
      <c r="Z251" s="589"/>
      <c r="AA251" s="589"/>
      <c r="AB251" s="589"/>
      <c r="AC251" s="589"/>
      <c r="AP251" s="591"/>
      <c r="AQ251" s="512" t="s">
        <v>689</v>
      </c>
      <c r="AS251" s="545"/>
    </row>
    <row r="252" spans="1:45" s="64" customFormat="1" ht="13.5" outlineLevel="1" x14ac:dyDescent="0.35">
      <c r="B252" s="130"/>
      <c r="C252" s="84"/>
      <c r="E252" s="555"/>
      <c r="F252" s="555"/>
      <c r="G252" s="555"/>
      <c r="H252" s="555"/>
      <c r="I252" s="555"/>
      <c r="J252" s="555"/>
      <c r="K252" s="555"/>
      <c r="L252" s="555"/>
      <c r="M252" s="555"/>
      <c r="N252" s="555"/>
      <c r="O252" s="555"/>
      <c r="P252" s="555"/>
      <c r="Q252" s="577"/>
      <c r="R252" s="577"/>
      <c r="S252" s="577"/>
      <c r="T252" s="577"/>
      <c r="U252" s="577"/>
      <c r="V252" s="577"/>
      <c r="W252" s="577"/>
      <c r="X252" s="578"/>
      <c r="Y252" s="578"/>
      <c r="Z252" s="578"/>
      <c r="AA252" s="578"/>
      <c r="AB252" s="578"/>
      <c r="AC252" s="578"/>
      <c r="AP252" s="88"/>
      <c r="AQ252" s="87"/>
      <c r="AS252" s="523"/>
    </row>
    <row r="253" spans="1:45" s="64" customFormat="1" ht="13.5" outlineLevel="1" x14ac:dyDescent="0.35">
      <c r="B253" s="130"/>
      <c r="C253" s="84"/>
      <c r="E253" s="555"/>
      <c r="F253" s="555"/>
      <c r="G253" s="555"/>
      <c r="H253" s="555"/>
      <c r="I253" s="555"/>
      <c r="J253" s="555"/>
      <c r="K253" s="555"/>
      <c r="L253" s="555"/>
      <c r="M253" s="555"/>
      <c r="N253" s="555"/>
      <c r="O253" s="555"/>
      <c r="P253" s="555"/>
      <c r="Q253" s="578"/>
      <c r="R253" s="578"/>
      <c r="S253" s="578"/>
      <c r="T253" s="578"/>
      <c r="U253" s="578"/>
      <c r="V253" s="578"/>
      <c r="W253" s="577"/>
      <c r="X253" s="578"/>
      <c r="Y253" s="578"/>
      <c r="Z253" s="578"/>
      <c r="AA253" s="578"/>
      <c r="AB253" s="578"/>
      <c r="AC253" s="578"/>
      <c r="AP253" s="88"/>
      <c r="AQ253" s="87"/>
      <c r="AS253" s="523"/>
    </row>
    <row r="254" spans="1:45" s="600" customFormat="1" ht="15" outlineLevel="1" x14ac:dyDescent="0.35">
      <c r="B254" s="601" t="s">
        <v>690</v>
      </c>
      <c r="C254" s="602" t="s">
        <v>691</v>
      </c>
      <c r="D254" s="601"/>
      <c r="E254" s="603"/>
      <c r="F254" s="603"/>
      <c r="G254" s="603"/>
      <c r="H254" s="603"/>
      <c r="I254" s="603"/>
      <c r="J254" s="603"/>
      <c r="K254" s="603"/>
      <c r="L254" s="603"/>
      <c r="M254" s="603"/>
      <c r="N254" s="603"/>
      <c r="O254" s="603"/>
      <c r="P254" s="603"/>
      <c r="Q254" s="603"/>
      <c r="R254" s="603"/>
      <c r="S254" s="603"/>
      <c r="T254" s="603"/>
      <c r="U254" s="603"/>
      <c r="V254" s="604"/>
      <c r="W254" s="603"/>
      <c r="X254" s="605" t="str">
        <f>B254</f>
        <v xml:space="preserve"> </v>
      </c>
      <c r="Y254" s="605" t="s">
        <v>692</v>
      </c>
      <c r="Z254" s="605"/>
      <c r="AA254" s="605"/>
      <c r="AB254" s="605"/>
      <c r="AC254" s="605"/>
      <c r="AD254" s="605"/>
      <c r="AE254" s="605"/>
      <c r="AF254" s="605"/>
      <c r="AG254" s="605"/>
      <c r="AH254" s="605"/>
      <c r="AI254" s="605"/>
      <c r="AJ254" s="605"/>
      <c r="AK254" s="605"/>
      <c r="AL254" s="605"/>
      <c r="AM254" s="605"/>
      <c r="AN254" s="605"/>
      <c r="AO254" s="605"/>
      <c r="AP254" s="606"/>
      <c r="AQ254" s="607"/>
      <c r="AS254" s="608"/>
    </row>
    <row r="255" spans="1:45" outlineLevel="1" x14ac:dyDescent="0.35">
      <c r="D255" s="609"/>
      <c r="E255" s="555"/>
      <c r="F255" s="555"/>
      <c r="G255" s="555"/>
      <c r="H255" s="555"/>
      <c r="I255" s="555"/>
      <c r="J255" s="555"/>
      <c r="K255" s="555"/>
      <c r="L255" s="555"/>
      <c r="M255" s="555"/>
      <c r="N255" s="555"/>
      <c r="O255" s="555"/>
      <c r="P255" s="555"/>
      <c r="Q255" s="578"/>
      <c r="R255" s="578"/>
      <c r="S255" s="578"/>
      <c r="T255" s="578"/>
      <c r="U255" s="578"/>
      <c r="V255" s="578"/>
      <c r="W255" s="577"/>
      <c r="X255" s="578"/>
      <c r="Y255" s="578"/>
      <c r="Z255" s="578"/>
      <c r="AA255" s="578"/>
      <c r="AB255" s="578"/>
      <c r="AC255" s="578"/>
      <c r="AS255" s="548"/>
    </row>
    <row r="256" spans="1:45" outlineLevel="1" x14ac:dyDescent="0.35">
      <c r="C256" s="181" t="s">
        <v>579</v>
      </c>
      <c r="D256" s="84"/>
      <c r="E256" s="546"/>
      <c r="F256" s="546"/>
      <c r="G256" s="546"/>
      <c r="H256" s="546"/>
      <c r="I256" s="546"/>
      <c r="J256" s="546"/>
      <c r="K256" s="546"/>
      <c r="L256" s="546"/>
      <c r="M256" s="546"/>
      <c r="N256" s="546"/>
      <c r="O256" s="546"/>
      <c r="P256" s="546"/>
      <c r="Q256" s="558"/>
      <c r="R256" s="558"/>
      <c r="S256" s="558"/>
      <c r="T256" s="558"/>
      <c r="U256" s="558"/>
      <c r="V256" s="558"/>
      <c r="W256" s="546"/>
      <c r="X256" s="558"/>
      <c r="Y256" s="558"/>
      <c r="Z256" s="558"/>
      <c r="AA256" s="558"/>
      <c r="AB256" s="558"/>
      <c r="AC256" s="558"/>
      <c r="AQ256" s="87" t="s">
        <v>580</v>
      </c>
      <c r="AS256" s="548"/>
    </row>
    <row r="257" spans="3:45" ht="13.5" outlineLevel="1" x14ac:dyDescent="0.35">
      <c r="C257" s="64"/>
      <c r="D257" s="152"/>
      <c r="E257" s="546"/>
      <c r="F257" s="546"/>
      <c r="G257" s="546"/>
      <c r="H257" s="546"/>
      <c r="I257" s="546"/>
      <c r="J257" s="546"/>
      <c r="K257" s="546"/>
      <c r="L257" s="546"/>
      <c r="M257" s="546"/>
      <c r="N257" s="546"/>
      <c r="O257" s="546"/>
      <c r="P257" s="546"/>
      <c r="Q257" s="3448" t="str">
        <f>Q231</f>
        <v>30 June 2026/</v>
      </c>
      <c r="R257" s="3448"/>
      <c r="S257" s="3448"/>
      <c r="T257" s="3448"/>
      <c r="U257" s="3448"/>
      <c r="V257" s="3448"/>
      <c r="W257" s="546"/>
      <c r="X257" s="3448" t="str">
        <f>X231</f>
        <v>31 May 2026/</v>
      </c>
      <c r="Y257" s="3448"/>
      <c r="Z257" s="3448"/>
      <c r="AA257" s="3448"/>
      <c r="AB257" s="3448"/>
      <c r="AC257" s="3448"/>
      <c r="AQ257" s="88"/>
      <c r="AS257" s="548"/>
    </row>
    <row r="258" spans="3:45" ht="13.5" outlineLevel="1" thickBot="1" x14ac:dyDescent="0.4">
      <c r="C258" s="142"/>
      <c r="D258" s="568"/>
      <c r="E258" s="553"/>
      <c r="F258" s="553"/>
      <c r="G258" s="553"/>
      <c r="H258" s="553"/>
      <c r="I258" s="553"/>
      <c r="J258" s="553"/>
      <c r="K258" s="553"/>
      <c r="L258" s="553"/>
      <c r="M258" s="553"/>
      <c r="N258" s="553"/>
      <c r="O258" s="553"/>
      <c r="P258" s="553"/>
      <c r="Q258" s="3449">
        <f>Q232</f>
        <v>46203</v>
      </c>
      <c r="R258" s="3449"/>
      <c r="S258" s="3449"/>
      <c r="T258" s="3449"/>
      <c r="U258" s="3449"/>
      <c r="V258" s="3449"/>
      <c r="W258" s="553"/>
      <c r="X258" s="3449">
        <f>X232</f>
        <v>46173</v>
      </c>
      <c r="Y258" s="3449"/>
      <c r="Z258" s="3449"/>
      <c r="AA258" s="3449"/>
      <c r="AB258" s="3449"/>
      <c r="AC258" s="3449"/>
      <c r="AD258" s="142"/>
      <c r="AE258" s="142"/>
      <c r="AF258" s="142"/>
      <c r="AG258" s="142"/>
      <c r="AH258" s="142"/>
      <c r="AI258" s="142"/>
      <c r="AJ258" s="142"/>
      <c r="AK258" s="142"/>
      <c r="AL258" s="142"/>
      <c r="AM258" s="142"/>
      <c r="AN258" s="142"/>
      <c r="AO258" s="142"/>
      <c r="AP258" s="87"/>
      <c r="AQ258" s="87"/>
      <c r="AS258" s="548"/>
    </row>
    <row r="259" spans="3:45" ht="13.5" outlineLevel="1" x14ac:dyDescent="0.35">
      <c r="C259" s="130"/>
      <c r="D259" s="130"/>
      <c r="E259" s="546"/>
      <c r="F259" s="546"/>
      <c r="G259" s="546"/>
      <c r="H259" s="546"/>
      <c r="I259" s="546"/>
      <c r="J259" s="546"/>
      <c r="K259" s="546"/>
      <c r="L259" s="546"/>
      <c r="M259" s="546"/>
      <c r="N259" s="546"/>
      <c r="O259" s="546"/>
      <c r="P259" s="546"/>
      <c r="Q259" s="558"/>
      <c r="R259" s="558"/>
      <c r="S259" s="558"/>
      <c r="T259" s="558"/>
      <c r="U259" s="558"/>
      <c r="V259" s="558"/>
      <c r="W259" s="546"/>
      <c r="X259" s="558"/>
      <c r="Y259" s="558"/>
      <c r="Z259" s="558"/>
      <c r="AA259" s="558"/>
      <c r="AB259" s="558"/>
      <c r="AC259" s="558"/>
      <c r="AP259" s="557"/>
      <c r="AQ259" s="88"/>
      <c r="AS259" s="548"/>
    </row>
    <row r="260" spans="3:45" outlineLevel="1" x14ac:dyDescent="0.35">
      <c r="C260" s="84" t="s">
        <v>693</v>
      </c>
      <c r="D260" s="130"/>
      <c r="E260" s="546"/>
      <c r="F260" s="546"/>
      <c r="G260" s="546"/>
      <c r="H260" s="546"/>
      <c r="I260" s="546"/>
      <c r="J260" s="546"/>
      <c r="K260" s="546"/>
      <c r="L260" s="546"/>
      <c r="M260" s="546"/>
      <c r="N260" s="546"/>
      <c r="O260" s="546"/>
      <c r="P260" s="546"/>
      <c r="Q260" s="3729">
        <f>'[9]14'!I183+'[9]14'!I185</f>
        <v>0</v>
      </c>
      <c r="R260" s="3730"/>
      <c r="S260" s="3730"/>
      <c r="T260" s="3730"/>
      <c r="U260" s="3730"/>
      <c r="V260" s="3730"/>
      <c r="W260" s="546"/>
      <c r="X260" s="3438">
        <v>0</v>
      </c>
      <c r="Y260" s="3438"/>
      <c r="Z260" s="3438"/>
      <c r="AA260" s="3438"/>
      <c r="AB260" s="3438"/>
      <c r="AC260" s="3438"/>
      <c r="AP260" s="87"/>
      <c r="AQ260" s="87" t="s">
        <v>694</v>
      </c>
      <c r="AS260" s="548"/>
    </row>
    <row r="261" spans="3:45" outlineLevel="1" x14ac:dyDescent="0.35">
      <c r="C261" s="181" t="s">
        <v>695</v>
      </c>
      <c r="E261" s="546"/>
      <c r="F261" s="546"/>
      <c r="G261" s="546"/>
      <c r="H261" s="546"/>
      <c r="I261" s="546"/>
      <c r="J261" s="546"/>
      <c r="K261" s="546"/>
      <c r="L261" s="546"/>
      <c r="M261" s="546"/>
      <c r="N261" s="546"/>
      <c r="O261" s="546"/>
      <c r="P261" s="546"/>
      <c r="Q261" s="3438">
        <f>'[9]14'!I186</f>
        <v>0</v>
      </c>
      <c r="R261" s="3438"/>
      <c r="S261" s="3438"/>
      <c r="T261" s="3438"/>
      <c r="U261" s="3438"/>
      <c r="V261" s="3438"/>
      <c r="W261" s="579"/>
      <c r="X261" s="3438">
        <v>0</v>
      </c>
      <c r="Y261" s="3438"/>
      <c r="Z261" s="3438"/>
      <c r="AA261" s="3438"/>
      <c r="AB261" s="3438"/>
      <c r="AC261" s="3438"/>
      <c r="AP261" s="87"/>
      <c r="AQ261" s="87" t="s">
        <v>696</v>
      </c>
      <c r="AS261" s="548"/>
    </row>
    <row r="262" spans="3:45" outlineLevel="1" x14ac:dyDescent="0.35">
      <c r="C262" s="181" t="s">
        <v>697</v>
      </c>
      <c r="E262" s="546"/>
      <c r="F262" s="546"/>
      <c r="G262" s="546"/>
      <c r="H262" s="546"/>
      <c r="I262" s="546"/>
      <c r="J262" s="546"/>
      <c r="K262" s="546"/>
      <c r="L262" s="546"/>
      <c r="M262" s="546"/>
      <c r="N262" s="546"/>
      <c r="O262" s="546"/>
      <c r="P262" s="546"/>
      <c r="Q262" s="3438">
        <f>'[9]14'!I187</f>
        <v>0</v>
      </c>
      <c r="R262" s="3438"/>
      <c r="S262" s="3438"/>
      <c r="T262" s="3438"/>
      <c r="U262" s="3438"/>
      <c r="V262" s="3438"/>
      <c r="W262" s="579"/>
      <c r="X262" s="3438">
        <v>0</v>
      </c>
      <c r="Y262" s="3438"/>
      <c r="Z262" s="3438"/>
      <c r="AA262" s="3438"/>
      <c r="AB262" s="3438"/>
      <c r="AC262" s="3438"/>
      <c r="AP262" s="87"/>
      <c r="AQ262" s="87" t="s">
        <v>698</v>
      </c>
      <c r="AS262" s="548"/>
    </row>
    <row r="263" spans="3:45" outlineLevel="1" x14ac:dyDescent="0.35">
      <c r="D263" s="609"/>
      <c r="E263" s="555"/>
      <c r="F263" s="555"/>
      <c r="G263" s="555"/>
      <c r="H263" s="555"/>
      <c r="I263" s="555"/>
      <c r="J263" s="555"/>
      <c r="K263" s="555"/>
      <c r="L263" s="555"/>
      <c r="M263" s="555"/>
      <c r="N263" s="555"/>
      <c r="O263" s="555"/>
      <c r="P263" s="555"/>
      <c r="Q263" s="578"/>
      <c r="R263" s="578"/>
      <c r="S263" s="578"/>
      <c r="T263" s="578"/>
      <c r="U263" s="578"/>
      <c r="V263" s="578"/>
      <c r="W263" s="577"/>
      <c r="X263" s="578"/>
      <c r="Y263" s="578"/>
      <c r="Z263" s="578"/>
      <c r="AA263" s="578"/>
      <c r="AB263" s="578"/>
      <c r="AC263" s="578"/>
      <c r="AS263" s="548"/>
    </row>
    <row r="264" spans="3:45" ht="14" outlineLevel="1" thickBot="1" x14ac:dyDescent="0.4">
      <c r="C264" s="64" t="s">
        <v>699</v>
      </c>
      <c r="D264" s="64"/>
      <c r="E264" s="555"/>
      <c r="F264" s="555"/>
      <c r="G264" s="555"/>
      <c r="H264" s="555"/>
      <c r="I264" s="555"/>
      <c r="J264" s="555"/>
      <c r="K264" s="555"/>
      <c r="L264" s="555"/>
      <c r="M264" s="555"/>
      <c r="N264" s="555"/>
      <c r="O264" s="555"/>
      <c r="P264" s="555"/>
      <c r="Q264" s="3442">
        <f>SUM(Q260:V263)</f>
        <v>0</v>
      </c>
      <c r="R264" s="3442"/>
      <c r="S264" s="3442"/>
      <c r="T264" s="3442"/>
      <c r="U264" s="3442"/>
      <c r="V264" s="3442"/>
      <c r="W264" s="577"/>
      <c r="X264" s="3442">
        <f>SUM(X260:AC263)</f>
        <v>0</v>
      </c>
      <c r="Y264" s="3442"/>
      <c r="Z264" s="3442"/>
      <c r="AA264" s="3442"/>
      <c r="AB264" s="3442"/>
      <c r="AC264" s="3442"/>
      <c r="AP264" s="557"/>
      <c r="AQ264" s="88" t="s">
        <v>700</v>
      </c>
      <c r="AS264" s="548"/>
    </row>
    <row r="265" spans="3:45" ht="13.5" outlineLevel="1" thickTop="1" x14ac:dyDescent="0.35">
      <c r="E265" s="555"/>
      <c r="F265" s="555"/>
      <c r="G265" s="555"/>
      <c r="H265" s="555"/>
      <c r="I265" s="555"/>
      <c r="J265" s="555"/>
      <c r="K265" s="555"/>
      <c r="L265" s="555"/>
      <c r="M265" s="555"/>
      <c r="N265" s="555"/>
      <c r="O265" s="555"/>
      <c r="P265" s="555"/>
      <c r="Q265" s="578"/>
      <c r="R265" s="578"/>
      <c r="S265" s="578"/>
      <c r="T265" s="578"/>
      <c r="U265" s="578"/>
      <c r="V265" s="578"/>
      <c r="W265" s="577"/>
      <c r="X265" s="578"/>
      <c r="Y265" s="578"/>
      <c r="Z265" s="578"/>
      <c r="AA265" s="578"/>
      <c r="AB265" s="578"/>
      <c r="AC265" s="578"/>
      <c r="AS265" s="548"/>
    </row>
    <row r="266" spans="3:45" outlineLevel="1" x14ac:dyDescent="0.35">
      <c r="E266" s="555"/>
      <c r="F266" s="555"/>
      <c r="G266" s="555"/>
      <c r="H266" s="555"/>
      <c r="I266" s="555"/>
      <c r="J266" s="555"/>
      <c r="K266" s="555"/>
      <c r="L266" s="555"/>
      <c r="M266" s="555"/>
      <c r="N266" s="555"/>
      <c r="O266" s="555"/>
      <c r="P266" s="555"/>
      <c r="Q266" s="578"/>
      <c r="R266" s="578"/>
      <c r="S266" s="578"/>
      <c r="T266" s="578"/>
      <c r="U266" s="578"/>
      <c r="V266" s="578"/>
      <c r="W266" s="577"/>
      <c r="X266" s="578"/>
      <c r="Y266" s="578"/>
      <c r="Z266" s="578"/>
      <c r="AA266" s="578"/>
      <c r="AB266" s="578"/>
      <c r="AC266" s="578"/>
      <c r="AS266" s="548"/>
    </row>
    <row r="267" spans="3:45" outlineLevel="1" x14ac:dyDescent="0.35">
      <c r="E267" s="555"/>
      <c r="F267" s="555"/>
      <c r="G267" s="555"/>
      <c r="H267" s="555"/>
      <c r="I267" s="555"/>
      <c r="J267" s="555"/>
      <c r="K267" s="555"/>
      <c r="L267" s="555"/>
      <c r="M267" s="555"/>
      <c r="N267" s="555"/>
      <c r="O267" s="555"/>
      <c r="P267" s="555"/>
      <c r="Q267" s="578"/>
      <c r="R267" s="578"/>
      <c r="S267" s="578"/>
      <c r="T267" s="578"/>
      <c r="U267" s="578"/>
      <c r="V267" s="578"/>
      <c r="W267" s="577"/>
      <c r="X267" s="578"/>
      <c r="Y267" s="578"/>
      <c r="Z267" s="578"/>
      <c r="AA267" s="578"/>
      <c r="AB267" s="578"/>
      <c r="AC267" s="578"/>
      <c r="AS267" s="548"/>
    </row>
    <row r="268" spans="3:45" outlineLevel="1" x14ac:dyDescent="0.35">
      <c r="E268" s="555"/>
      <c r="F268" s="555"/>
      <c r="G268" s="555"/>
      <c r="H268" s="555"/>
      <c r="I268" s="555"/>
      <c r="J268" s="555"/>
      <c r="K268" s="555"/>
      <c r="L268" s="555"/>
      <c r="M268" s="555"/>
      <c r="N268" s="555"/>
      <c r="O268" s="555"/>
      <c r="P268" s="555"/>
      <c r="Q268" s="578"/>
      <c r="R268" s="578"/>
      <c r="S268" s="578"/>
      <c r="T268" s="578"/>
      <c r="U268" s="578"/>
      <c r="V268" s="578"/>
      <c r="W268" s="577"/>
      <c r="X268" s="578"/>
      <c r="Y268" s="578"/>
      <c r="Z268" s="578"/>
      <c r="AA268" s="578"/>
      <c r="AB268" s="578"/>
      <c r="AC268" s="578"/>
      <c r="AS268" s="548"/>
    </row>
    <row r="269" spans="3:45" outlineLevel="1" x14ac:dyDescent="0.35">
      <c r="E269" s="555"/>
      <c r="F269" s="555"/>
      <c r="G269" s="555"/>
      <c r="H269" s="555"/>
      <c r="I269" s="555"/>
      <c r="J269" s="555"/>
      <c r="K269" s="555"/>
      <c r="L269" s="555"/>
      <c r="M269" s="555"/>
      <c r="N269" s="555"/>
      <c r="O269" s="555"/>
      <c r="P269" s="555"/>
      <c r="Q269" s="578"/>
      <c r="R269" s="578"/>
      <c r="S269" s="578"/>
      <c r="T269" s="578"/>
      <c r="U269" s="578"/>
      <c r="V269" s="578"/>
      <c r="W269" s="577"/>
      <c r="X269" s="578"/>
      <c r="Y269" s="578"/>
      <c r="Z269" s="578"/>
      <c r="AA269" s="578"/>
      <c r="AB269" s="578"/>
      <c r="AC269" s="578"/>
      <c r="AS269" s="548"/>
    </row>
    <row r="270" spans="3:45" outlineLevel="1" x14ac:dyDescent="0.35">
      <c r="E270" s="555"/>
      <c r="F270" s="555"/>
      <c r="G270" s="555"/>
      <c r="H270" s="555"/>
      <c r="I270" s="555"/>
      <c r="J270" s="555"/>
      <c r="K270" s="555"/>
      <c r="L270" s="555"/>
      <c r="M270" s="555"/>
      <c r="N270" s="555"/>
      <c r="O270" s="555"/>
      <c r="P270" s="555"/>
      <c r="Q270" s="578"/>
      <c r="R270" s="578"/>
      <c r="S270" s="578"/>
      <c r="T270" s="578"/>
      <c r="U270" s="578"/>
      <c r="V270" s="578"/>
      <c r="W270" s="577"/>
      <c r="X270" s="578"/>
      <c r="Y270" s="578"/>
      <c r="Z270" s="578"/>
      <c r="AA270" s="578"/>
      <c r="AB270" s="578"/>
      <c r="AC270" s="578"/>
      <c r="AS270" s="548"/>
    </row>
    <row r="271" spans="3:45" outlineLevel="1" x14ac:dyDescent="0.35">
      <c r="E271" s="555"/>
      <c r="F271" s="555"/>
      <c r="G271" s="555"/>
      <c r="H271" s="555"/>
      <c r="I271" s="555"/>
      <c r="J271" s="555"/>
      <c r="K271" s="555"/>
      <c r="L271" s="555"/>
      <c r="M271" s="555"/>
      <c r="N271" s="555"/>
      <c r="O271" s="555"/>
      <c r="P271" s="555"/>
      <c r="Q271" s="578"/>
      <c r="R271" s="578"/>
      <c r="S271" s="578"/>
      <c r="T271" s="578"/>
      <c r="U271" s="578"/>
      <c r="V271" s="578"/>
      <c r="W271" s="577"/>
      <c r="X271" s="578"/>
      <c r="Y271" s="578"/>
      <c r="Z271" s="578"/>
      <c r="AA271" s="578"/>
      <c r="AB271" s="578"/>
      <c r="AC271" s="578"/>
      <c r="AS271" s="548"/>
    </row>
    <row r="272" spans="3:45" outlineLevel="1" x14ac:dyDescent="0.35">
      <c r="E272" s="555"/>
      <c r="F272" s="555"/>
      <c r="G272" s="555"/>
      <c r="H272" s="555"/>
      <c r="I272" s="555"/>
      <c r="J272" s="555"/>
      <c r="K272" s="555"/>
      <c r="L272" s="555"/>
      <c r="M272" s="555"/>
      <c r="N272" s="555"/>
      <c r="O272" s="555"/>
      <c r="P272" s="555"/>
      <c r="Q272" s="578"/>
      <c r="R272" s="578"/>
      <c r="S272" s="578"/>
      <c r="T272" s="578"/>
      <c r="U272" s="578"/>
      <c r="V272" s="578"/>
      <c r="W272" s="577"/>
      <c r="X272" s="578"/>
      <c r="Y272" s="578"/>
      <c r="Z272" s="578"/>
      <c r="AA272" s="578"/>
      <c r="AB272" s="578"/>
      <c r="AC272" s="578"/>
      <c r="AS272" s="548"/>
    </row>
    <row r="273" spans="2:46" outlineLevel="1" x14ac:dyDescent="0.35">
      <c r="B273" s="457" t="s">
        <v>409</v>
      </c>
      <c r="C273" s="84"/>
      <c r="D273" s="84"/>
      <c r="E273" s="363"/>
      <c r="F273" s="63"/>
      <c r="G273" s="363"/>
      <c r="H273" s="87"/>
      <c r="I273" s="87"/>
      <c r="J273" s="365"/>
      <c r="L273" s="365"/>
      <c r="N273" s="365"/>
      <c r="AP273" s="181"/>
      <c r="AQ273" s="365" t="s">
        <v>410</v>
      </c>
      <c r="AS273" s="548"/>
    </row>
    <row r="274" spans="2:46" outlineLevel="1" x14ac:dyDescent="0.35">
      <c r="B274" s="86"/>
      <c r="C274" s="84"/>
      <c r="D274" s="84"/>
      <c r="E274" s="363"/>
      <c r="F274" s="86"/>
      <c r="G274" s="363"/>
      <c r="H274" s="87"/>
      <c r="I274" s="87"/>
      <c r="J274" s="142"/>
      <c r="AP274" s="181"/>
      <c r="AQ274" s="181"/>
      <c r="AS274" s="548"/>
    </row>
    <row r="275" spans="2:46" s="564" customFormat="1" ht="16.5" outlineLevel="1" x14ac:dyDescent="0.35">
      <c r="B275" s="561" t="str">
        <f>IN!C4</f>
        <v>Laporan Keuangan June 2026</v>
      </c>
      <c r="C275" s="561"/>
      <c r="D275" s="561"/>
      <c r="E275" s="561"/>
      <c r="F275" s="561"/>
      <c r="G275" s="561"/>
      <c r="H275" s="561"/>
      <c r="I275" s="561"/>
      <c r="J275" s="561"/>
      <c r="K275" s="561"/>
      <c r="L275" s="561"/>
      <c r="M275" s="561"/>
      <c r="N275" s="561"/>
      <c r="O275" s="561"/>
      <c r="P275" s="561"/>
      <c r="Q275" s="561"/>
      <c r="R275" s="561"/>
      <c r="S275" s="561"/>
      <c r="T275" s="561"/>
      <c r="U275" s="561"/>
      <c r="V275" s="562"/>
      <c r="W275" s="610" t="s">
        <v>701</v>
      </c>
      <c r="X275" s="561"/>
      <c r="Y275" s="561"/>
      <c r="Z275" s="561"/>
      <c r="AA275" s="561"/>
      <c r="AB275" s="561"/>
      <c r="AC275" s="561"/>
      <c r="AD275" s="561"/>
      <c r="AE275" s="561"/>
      <c r="AF275" s="561"/>
      <c r="AG275" s="561"/>
      <c r="AH275" s="561"/>
      <c r="AI275" s="561"/>
      <c r="AJ275" s="561"/>
      <c r="AK275" s="561"/>
      <c r="AL275" s="561"/>
      <c r="AM275" s="561"/>
      <c r="AN275" s="561"/>
      <c r="AO275" s="561"/>
      <c r="AP275" s="561"/>
      <c r="AQ275" s="563" t="str">
        <f>IN!D4</f>
        <v>Financial Statement Jun 2026</v>
      </c>
      <c r="AS275" s="565"/>
      <c r="AT275" s="611">
        <f>I260-AT260</f>
        <v>0</v>
      </c>
    </row>
    <row r="276" spans="2:46" s="612" customFormat="1" ht="15" outlineLevel="1" collapsed="1" x14ac:dyDescent="0.35">
      <c r="B276" s="535" t="s">
        <v>702</v>
      </c>
      <c r="C276" s="536" t="s">
        <v>703</v>
      </c>
      <c r="D276" s="535"/>
      <c r="E276" s="537"/>
      <c r="F276" s="537"/>
      <c r="G276" s="537"/>
      <c r="H276" s="537"/>
      <c r="I276" s="537"/>
      <c r="J276" s="537"/>
      <c r="K276" s="537"/>
      <c r="L276" s="537"/>
      <c r="M276" s="537"/>
      <c r="N276" s="537"/>
      <c r="O276" s="537"/>
      <c r="P276" s="537"/>
      <c r="Q276" s="537"/>
      <c r="R276" s="537"/>
      <c r="S276" s="537"/>
      <c r="T276" s="537"/>
      <c r="U276" s="537"/>
      <c r="V276" s="538"/>
      <c r="W276" s="537"/>
      <c r="X276" s="539" t="str">
        <f>B276</f>
        <v>6.</v>
      </c>
      <c r="Y276" s="539" t="s">
        <v>704</v>
      </c>
      <c r="Z276" s="539"/>
      <c r="AA276" s="539"/>
      <c r="AB276" s="539"/>
      <c r="AC276" s="539"/>
      <c r="AD276" s="539"/>
      <c r="AE276" s="539"/>
      <c r="AF276" s="539"/>
      <c r="AG276" s="539"/>
      <c r="AH276" s="539"/>
      <c r="AI276" s="539"/>
      <c r="AJ276" s="539"/>
      <c r="AK276" s="539"/>
      <c r="AL276" s="539"/>
      <c r="AM276" s="539"/>
      <c r="AN276" s="539"/>
      <c r="AO276" s="539"/>
      <c r="AP276" s="566"/>
      <c r="AQ276" s="567"/>
      <c r="AS276" s="613"/>
    </row>
    <row r="277" spans="2:46" ht="13.5" outlineLevel="1" x14ac:dyDescent="0.35">
      <c r="C277" s="64"/>
      <c r="D277" s="84"/>
      <c r="E277" s="546"/>
      <c r="F277" s="546"/>
      <c r="G277" s="546"/>
      <c r="H277" s="546"/>
      <c r="I277" s="546"/>
      <c r="J277" s="546"/>
      <c r="K277" s="546"/>
      <c r="L277" s="546"/>
      <c r="M277" s="546"/>
      <c r="N277" s="546"/>
      <c r="O277" s="546"/>
      <c r="P277" s="546"/>
      <c r="Q277" s="546"/>
      <c r="R277" s="546"/>
      <c r="S277" s="546"/>
      <c r="T277" s="546"/>
      <c r="U277" s="546"/>
      <c r="V277" s="547"/>
      <c r="W277" s="546"/>
      <c r="X277" s="546"/>
      <c r="Y277" s="546"/>
      <c r="Z277" s="546"/>
      <c r="AA277" s="546"/>
      <c r="AB277" s="546"/>
      <c r="AC277" s="546"/>
      <c r="AQ277" s="88"/>
      <c r="AS277" s="548"/>
    </row>
    <row r="278" spans="2:46" outlineLevel="1" x14ac:dyDescent="0.35">
      <c r="C278" s="181" t="s">
        <v>705</v>
      </c>
      <c r="D278" s="84"/>
      <c r="E278" s="546"/>
      <c r="F278" s="546"/>
      <c r="G278" s="546"/>
      <c r="H278" s="546"/>
      <c r="I278" s="546"/>
      <c r="J278" s="546"/>
      <c r="K278" s="546"/>
      <c r="L278" s="546"/>
      <c r="M278" s="546"/>
      <c r="N278" s="546"/>
      <c r="O278" s="546"/>
      <c r="P278" s="546"/>
      <c r="Q278" s="558"/>
      <c r="R278" s="558"/>
      <c r="S278" s="558"/>
      <c r="T278" s="558"/>
      <c r="U278" s="558"/>
      <c r="V278" s="558"/>
      <c r="W278" s="546"/>
      <c r="X278" s="558"/>
      <c r="Y278" s="558"/>
      <c r="Z278" s="558"/>
      <c r="AA278" s="558"/>
      <c r="AB278" s="558"/>
      <c r="AC278" s="558"/>
      <c r="AQ278" s="87" t="s">
        <v>706</v>
      </c>
      <c r="AS278" s="548"/>
    </row>
    <row r="279" spans="2:46" ht="13.5" outlineLevel="1" x14ac:dyDescent="0.35">
      <c r="C279" s="64"/>
      <c r="D279" s="84"/>
      <c r="E279" s="546"/>
      <c r="F279" s="546"/>
      <c r="G279" s="546"/>
      <c r="H279" s="546"/>
      <c r="I279" s="546"/>
      <c r="J279" s="546"/>
      <c r="K279" s="546"/>
      <c r="L279" s="546"/>
      <c r="M279" s="546"/>
      <c r="N279" s="546"/>
      <c r="O279" s="546"/>
      <c r="P279" s="546"/>
      <c r="Q279" s="3448" t="str">
        <f>NRC!E9</f>
        <v>30 June 2026/</v>
      </c>
      <c r="R279" s="3448" t="str">
        <f>[8]IN!$G$23</f>
        <v>31 July 2023 /</v>
      </c>
      <c r="S279" s="3448" t="str">
        <f>[8]IN!$G$23</f>
        <v>31 July 2023 /</v>
      </c>
      <c r="T279" s="3448" t="str">
        <f>[8]IN!$G$23</f>
        <v>31 July 2023 /</v>
      </c>
      <c r="U279" s="3448" t="str">
        <f>[8]IN!$G$23</f>
        <v>31 July 2023 /</v>
      </c>
      <c r="V279" s="3448" t="str">
        <f>[8]IN!$G$23</f>
        <v>31 July 2023 /</v>
      </c>
      <c r="W279" s="546"/>
      <c r="X279" s="3448" t="str">
        <f>NRC!G9</f>
        <v>31 May 2026/</v>
      </c>
      <c r="Y279" s="3448" t="str">
        <f>[8]IN!$G$26</f>
        <v>30 June 2023 /</v>
      </c>
      <c r="Z279" s="3448" t="str">
        <f>[8]IN!$G$26</f>
        <v>30 June 2023 /</v>
      </c>
      <c r="AA279" s="3448" t="str">
        <f>[8]IN!$G$26</f>
        <v>30 June 2023 /</v>
      </c>
      <c r="AB279" s="3448" t="str">
        <f>[8]IN!$G$26</f>
        <v>30 June 2023 /</v>
      </c>
      <c r="AC279" s="3448" t="str">
        <f>[8]IN!$G$26</f>
        <v>30 June 2023 /</v>
      </c>
      <c r="AQ279" s="88"/>
      <c r="AS279" s="548"/>
    </row>
    <row r="280" spans="2:46" s="142" customFormat="1" ht="14" outlineLevel="1" thickBot="1" x14ac:dyDescent="0.4">
      <c r="B280" s="559"/>
      <c r="D280" s="568"/>
      <c r="E280" s="553"/>
      <c r="F280" s="553"/>
      <c r="G280" s="553"/>
      <c r="H280" s="553"/>
      <c r="I280" s="553"/>
      <c r="J280" s="553"/>
      <c r="K280" s="553"/>
      <c r="L280" s="553"/>
      <c r="M280" s="553"/>
      <c r="N280" s="553"/>
      <c r="O280" s="553"/>
      <c r="P280" s="553"/>
      <c r="Q280" s="3449">
        <f>NRC!E10</f>
        <v>46203</v>
      </c>
      <c r="R280" s="3449" t="e">
        <f>[8]IN!$I$23</f>
        <v>#N/A</v>
      </c>
      <c r="S280" s="3449" t="e">
        <f>[8]IN!$I$23</f>
        <v>#N/A</v>
      </c>
      <c r="T280" s="3449" t="e">
        <f>[8]IN!$I$23</f>
        <v>#N/A</v>
      </c>
      <c r="U280" s="3449" t="e">
        <f>[8]IN!$I$23</f>
        <v>#N/A</v>
      </c>
      <c r="V280" s="3449" t="e">
        <f>[8]IN!$I$23</f>
        <v>#N/A</v>
      </c>
      <c r="W280" s="553"/>
      <c r="X280" s="3449">
        <f>NRC!G10</f>
        <v>46173</v>
      </c>
      <c r="Y280" s="3449" t="e">
        <f>[8]IN!$I$26</f>
        <v>#N/A</v>
      </c>
      <c r="Z280" s="3449" t="e">
        <f>[8]IN!$I$26</f>
        <v>#N/A</v>
      </c>
      <c r="AA280" s="3449" t="e">
        <f>[8]IN!$I$26</f>
        <v>#N/A</v>
      </c>
      <c r="AB280" s="3449" t="e">
        <f>[8]IN!$I$26</f>
        <v>#N/A</v>
      </c>
      <c r="AC280" s="3449" t="e">
        <f>[8]IN!$I$26</f>
        <v>#N/A</v>
      </c>
      <c r="AP280" s="87"/>
      <c r="AQ280" s="87"/>
      <c r="AS280" s="570"/>
    </row>
    <row r="281" spans="2:46" ht="13.5" outlineLevel="1" x14ac:dyDescent="0.35">
      <c r="C281" s="130"/>
      <c r="D281" s="130"/>
      <c r="E281" s="546"/>
      <c r="F281" s="546"/>
      <c r="G281" s="546"/>
      <c r="H281" s="546"/>
      <c r="I281" s="546"/>
      <c r="J281" s="546"/>
      <c r="K281" s="546"/>
      <c r="L281" s="546"/>
      <c r="M281" s="546"/>
      <c r="N281" s="546"/>
      <c r="O281" s="546"/>
      <c r="P281" s="546"/>
      <c r="Q281" s="558"/>
      <c r="R281" s="558"/>
      <c r="S281" s="558"/>
      <c r="T281" s="558"/>
      <c r="U281" s="558"/>
      <c r="V281" s="558"/>
      <c r="W281" s="546"/>
      <c r="X281" s="558"/>
      <c r="Y281" s="558"/>
      <c r="Z281" s="558"/>
      <c r="AA281" s="558"/>
      <c r="AB281" s="558"/>
      <c r="AC281" s="558"/>
      <c r="AP281" s="557"/>
      <c r="AQ281" s="88"/>
      <c r="AS281" s="548"/>
    </row>
    <row r="282" spans="2:46" s="64" customFormat="1" ht="13.5" outlineLevel="1" x14ac:dyDescent="0.35">
      <c r="B282" s="130"/>
      <c r="C282" s="130" t="s">
        <v>669</v>
      </c>
      <c r="D282" s="130"/>
      <c r="E282" s="555"/>
      <c r="F282" s="555"/>
      <c r="G282" s="555"/>
      <c r="H282" s="555"/>
      <c r="I282" s="555"/>
      <c r="J282" s="555"/>
      <c r="K282" s="555"/>
      <c r="L282" s="555"/>
      <c r="M282" s="555"/>
      <c r="N282" s="555"/>
      <c r="O282" s="555"/>
      <c r="P282" s="555"/>
      <c r="Q282" s="614"/>
      <c r="R282" s="614"/>
      <c r="S282" s="614"/>
      <c r="T282" s="614"/>
      <c r="U282" s="614"/>
      <c r="V282" s="614"/>
      <c r="W282" s="555"/>
      <c r="X282" s="614"/>
      <c r="Y282" s="614"/>
      <c r="Z282" s="614"/>
      <c r="AA282" s="614"/>
      <c r="AB282" s="614"/>
      <c r="AC282" s="614"/>
      <c r="AP282" s="88"/>
      <c r="AQ282" s="88" t="s">
        <v>670</v>
      </c>
      <c r="AS282" s="615" t="s">
        <v>707</v>
      </c>
      <c r="AT282" s="63" t="s">
        <v>708</v>
      </c>
    </row>
    <row r="283" spans="2:46" outlineLevel="1" x14ac:dyDescent="0.35">
      <c r="B283" s="84"/>
      <c r="C283" s="179" t="s">
        <v>190</v>
      </c>
      <c r="D283" s="84" t="s">
        <v>7672</v>
      </c>
      <c r="E283" s="546"/>
      <c r="F283" s="546"/>
      <c r="G283" s="546"/>
      <c r="H283" s="546"/>
      <c r="I283" s="546"/>
      <c r="J283" s="546"/>
      <c r="K283" s="546"/>
      <c r="L283" s="546"/>
      <c r="M283" s="546"/>
      <c r="N283" s="546"/>
      <c r="O283" s="546"/>
      <c r="P283" s="546"/>
      <c r="Q283" s="3727">
        <f>47687512-47687512</f>
        <v>0</v>
      </c>
      <c r="R283" s="3727"/>
      <c r="S283" s="3727"/>
      <c r="T283" s="3727"/>
      <c r="U283" s="3727"/>
      <c r="V283" s="3727"/>
      <c r="W283" s="85"/>
      <c r="X283" s="3438">
        <v>0</v>
      </c>
      <c r="Y283" s="3438"/>
      <c r="Z283" s="3438"/>
      <c r="AA283" s="3438"/>
      <c r="AB283" s="3438"/>
      <c r="AC283" s="3438"/>
      <c r="AP283" s="87" t="s">
        <v>709</v>
      </c>
      <c r="AQ283" s="179" t="s">
        <v>190</v>
      </c>
      <c r="AS283" s="616"/>
      <c r="AT283" s="224"/>
    </row>
    <row r="284" spans="2:46" outlineLevel="1" x14ac:dyDescent="0.35">
      <c r="B284" s="84"/>
      <c r="C284" s="179" t="s">
        <v>190</v>
      </c>
      <c r="D284" s="84" t="s">
        <v>7672</v>
      </c>
      <c r="E284" s="546"/>
      <c r="F284" s="546"/>
      <c r="G284" s="546"/>
      <c r="H284" s="546"/>
      <c r="I284" s="546"/>
      <c r="J284" s="546"/>
      <c r="K284" s="546"/>
      <c r="L284" s="546"/>
      <c r="M284" s="546"/>
      <c r="N284" s="546"/>
      <c r="O284" s="546"/>
      <c r="P284" s="546"/>
      <c r="Q284" s="3128"/>
      <c r="R284" s="3128"/>
      <c r="S284" s="3128"/>
      <c r="T284" s="3128"/>
      <c r="U284" s="3128"/>
      <c r="V284" s="3128"/>
      <c r="W284" s="85"/>
      <c r="X284" s="617"/>
      <c r="Y284" s="617"/>
      <c r="Z284" s="617"/>
      <c r="AA284" s="617"/>
      <c r="AB284" s="617"/>
      <c r="AC284" s="617"/>
      <c r="AP284" s="87"/>
      <c r="AS284" s="616"/>
      <c r="AT284" s="224"/>
    </row>
    <row r="285" spans="2:46" outlineLevel="1" x14ac:dyDescent="0.35">
      <c r="B285" s="84"/>
      <c r="C285" s="179" t="s">
        <v>190</v>
      </c>
      <c r="D285" s="84" t="s">
        <v>7956</v>
      </c>
      <c r="E285" s="546"/>
      <c r="F285" s="546"/>
      <c r="G285" s="546"/>
      <c r="H285" s="546"/>
      <c r="I285" s="546"/>
      <c r="J285" s="546"/>
      <c r="K285" s="546"/>
      <c r="L285" s="546"/>
      <c r="M285" s="546"/>
      <c r="N285" s="546"/>
      <c r="O285" s="546"/>
      <c r="P285" s="546"/>
      <c r="Q285" s="3727">
        <f>33250000+40850000-74100000</f>
        <v>0</v>
      </c>
      <c r="R285" s="3727"/>
      <c r="S285" s="3727"/>
      <c r="T285" s="3727"/>
      <c r="U285" s="3727"/>
      <c r="V285" s="3727"/>
      <c r="W285" s="85"/>
      <c r="X285" s="3438">
        <v>0</v>
      </c>
      <c r="Y285" s="3438"/>
      <c r="Z285" s="3438"/>
      <c r="AA285" s="3438"/>
      <c r="AB285" s="3438"/>
      <c r="AC285" s="3438"/>
      <c r="AP285" s="87" t="s">
        <v>710</v>
      </c>
      <c r="AQ285" s="179" t="s">
        <v>190</v>
      </c>
      <c r="AS285" s="616"/>
      <c r="AT285" s="224"/>
    </row>
    <row r="286" spans="2:46" outlineLevel="1" x14ac:dyDescent="0.35">
      <c r="C286" s="84"/>
      <c r="D286" s="130"/>
      <c r="E286" s="546"/>
      <c r="F286" s="546"/>
      <c r="G286" s="546"/>
      <c r="H286" s="546"/>
      <c r="I286" s="546"/>
      <c r="J286" s="546"/>
      <c r="K286" s="546"/>
      <c r="L286" s="546"/>
      <c r="M286" s="546"/>
      <c r="N286" s="546"/>
      <c r="O286" s="546"/>
      <c r="P286" s="546"/>
      <c r="Q286" s="3724">
        <f>SUM(Q283:V285)</f>
        <v>0</v>
      </c>
      <c r="R286" s="3724"/>
      <c r="S286" s="3724"/>
      <c r="T286" s="3724"/>
      <c r="U286" s="3724"/>
      <c r="V286" s="3724"/>
      <c r="W286" s="85"/>
      <c r="X286" s="3724">
        <f>SUM(X283:AC285)</f>
        <v>0</v>
      </c>
      <c r="Y286" s="3724"/>
      <c r="Z286" s="3724"/>
      <c r="AA286" s="3724"/>
      <c r="AB286" s="3724"/>
      <c r="AC286" s="3724"/>
      <c r="AP286" s="87"/>
      <c r="AS286" s="616"/>
      <c r="AT286" s="224"/>
    </row>
    <row r="287" spans="2:46" s="64" customFormat="1" ht="13.5" outlineLevel="1" x14ac:dyDescent="0.35">
      <c r="B287" s="130"/>
      <c r="C287" s="64" t="s">
        <v>711</v>
      </c>
      <c r="E287" s="555"/>
      <c r="F287" s="555"/>
      <c r="G287" s="555"/>
      <c r="H287" s="555"/>
      <c r="I287" s="555"/>
      <c r="J287" s="555"/>
      <c r="K287" s="555"/>
      <c r="L287" s="555"/>
      <c r="M287" s="555"/>
      <c r="N287" s="555"/>
      <c r="O287" s="555"/>
      <c r="P287" s="555"/>
      <c r="Q287" s="180"/>
      <c r="R287" s="180"/>
      <c r="S287" s="180"/>
      <c r="T287" s="180"/>
      <c r="U287" s="180"/>
      <c r="V287" s="180"/>
      <c r="W287" s="180"/>
      <c r="X287" s="180"/>
      <c r="Y287" s="180"/>
      <c r="Z287" s="180"/>
      <c r="AA287" s="180"/>
      <c r="AB287" s="180"/>
      <c r="AC287" s="180"/>
      <c r="AP287" s="88"/>
      <c r="AQ287" s="88" t="s">
        <v>712</v>
      </c>
      <c r="AS287" s="523"/>
    </row>
    <row r="288" spans="2:46" s="64" customFormat="1" outlineLevel="1" x14ac:dyDescent="0.35">
      <c r="B288" s="130"/>
      <c r="C288" s="179" t="s">
        <v>190</v>
      </c>
      <c r="D288" s="181" t="s">
        <v>713</v>
      </c>
      <c r="E288" s="555"/>
      <c r="F288" s="555"/>
      <c r="G288" s="555"/>
      <c r="H288" s="555"/>
      <c r="I288" s="555"/>
      <c r="J288" s="555"/>
      <c r="K288" s="555"/>
      <c r="L288" s="555"/>
      <c r="M288" s="555"/>
      <c r="N288" s="555"/>
      <c r="O288" s="555"/>
      <c r="P288" s="555"/>
      <c r="Q288" s="3728">
        <v>0</v>
      </c>
      <c r="R288" s="3728"/>
      <c r="S288" s="3728"/>
      <c r="T288" s="3728"/>
      <c r="U288" s="3728"/>
      <c r="V288" s="3728"/>
      <c r="W288" s="180"/>
      <c r="X288" s="3728">
        <v>0</v>
      </c>
      <c r="Y288" s="3728"/>
      <c r="Z288" s="3728"/>
      <c r="AA288" s="3728"/>
      <c r="AB288" s="3728"/>
      <c r="AC288" s="3728"/>
      <c r="AP288" s="87" t="s">
        <v>714</v>
      </c>
      <c r="AQ288" s="179" t="s">
        <v>190</v>
      </c>
      <c r="AS288" s="523"/>
    </row>
    <row r="289" spans="2:46" s="64" customFormat="1" outlineLevel="1" x14ac:dyDescent="0.35">
      <c r="B289" s="130"/>
      <c r="C289" s="179"/>
      <c r="D289" s="181"/>
      <c r="E289" s="555"/>
      <c r="F289" s="555"/>
      <c r="G289" s="555"/>
      <c r="H289" s="555"/>
      <c r="I289" s="555"/>
      <c r="J289" s="555"/>
      <c r="K289" s="555"/>
      <c r="L289" s="555"/>
      <c r="M289" s="555"/>
      <c r="N289" s="555"/>
      <c r="O289" s="555"/>
      <c r="P289" s="555"/>
      <c r="Q289" s="3726">
        <f>SUM(Q288:V288)</f>
        <v>0</v>
      </c>
      <c r="R289" s="3726"/>
      <c r="S289" s="3726"/>
      <c r="T289" s="3726"/>
      <c r="U289" s="3726"/>
      <c r="V289" s="3726"/>
      <c r="W289" s="180"/>
      <c r="X289" s="3726">
        <f>SUM(X288:AC288)</f>
        <v>0</v>
      </c>
      <c r="Y289" s="3726"/>
      <c r="Z289" s="3726"/>
      <c r="AA289" s="3726"/>
      <c r="AB289" s="3726"/>
      <c r="AC289" s="3726"/>
      <c r="AP289" s="87"/>
      <c r="AQ289" s="179"/>
      <c r="AS289" s="523"/>
    </row>
    <row r="290" spans="2:46" s="64" customFormat="1" ht="13.5" outlineLevel="1" x14ac:dyDescent="0.35">
      <c r="B290" s="130"/>
      <c r="C290" s="64" t="s">
        <v>490</v>
      </c>
      <c r="D290" s="181"/>
      <c r="E290" s="555"/>
      <c r="F290" s="555"/>
      <c r="G290" s="555"/>
      <c r="H290" s="555"/>
      <c r="I290" s="555"/>
      <c r="J290" s="555"/>
      <c r="K290" s="555"/>
      <c r="L290" s="555"/>
      <c r="M290" s="555"/>
      <c r="N290" s="555"/>
      <c r="O290" s="555"/>
      <c r="P290" s="555"/>
      <c r="Q290" s="617"/>
      <c r="R290" s="617"/>
      <c r="S290" s="617"/>
      <c r="T290" s="617"/>
      <c r="U290" s="617"/>
      <c r="V290" s="617"/>
      <c r="W290" s="180"/>
      <c r="X290" s="617"/>
      <c r="Y290" s="617"/>
      <c r="Z290" s="617"/>
      <c r="AA290" s="617"/>
      <c r="AB290" s="617"/>
      <c r="AC290" s="617"/>
      <c r="AP290" s="87"/>
      <c r="AQ290" s="88" t="s">
        <v>715</v>
      </c>
      <c r="AS290" s="523"/>
    </row>
    <row r="291" spans="2:46" outlineLevel="1" x14ac:dyDescent="0.35">
      <c r="C291" s="179" t="s">
        <v>190</v>
      </c>
      <c r="D291" s="181" t="s">
        <v>7630</v>
      </c>
      <c r="E291" s="546"/>
      <c r="F291" s="546"/>
      <c r="G291" s="546"/>
      <c r="H291" s="546"/>
      <c r="I291" s="546"/>
      <c r="J291" s="546"/>
      <c r="K291" s="546"/>
      <c r="L291" s="546"/>
      <c r="M291" s="546"/>
      <c r="N291" s="546"/>
      <c r="O291" s="546"/>
      <c r="P291" s="546"/>
      <c r="Q291" s="3438">
        <f>20000000+6090500-26090500</f>
        <v>0</v>
      </c>
      <c r="R291" s="3438"/>
      <c r="S291" s="3438"/>
      <c r="T291" s="3438"/>
      <c r="U291" s="3438"/>
      <c r="V291" s="3438"/>
      <c r="W291" s="85"/>
      <c r="X291" s="3438">
        <v>0</v>
      </c>
      <c r="Y291" s="3438"/>
      <c r="Z291" s="3438"/>
      <c r="AA291" s="3438"/>
      <c r="AB291" s="3438"/>
      <c r="AC291" s="3438"/>
      <c r="AP291" s="87" t="s">
        <v>716</v>
      </c>
      <c r="AQ291" s="179" t="s">
        <v>190</v>
      </c>
      <c r="AS291" s="548"/>
    </row>
    <row r="292" spans="2:46" ht="15" customHeight="1" outlineLevel="1" x14ac:dyDescent="0.35">
      <c r="C292" s="179" t="s">
        <v>190</v>
      </c>
      <c r="D292" s="181" t="s">
        <v>8233</v>
      </c>
      <c r="E292" s="546"/>
      <c r="F292" s="546"/>
      <c r="G292" s="546"/>
      <c r="H292" s="546"/>
      <c r="I292" s="546"/>
      <c r="J292" s="546"/>
      <c r="K292" s="546"/>
      <c r="L292" s="546"/>
      <c r="M292" s="546"/>
      <c r="N292" s="546"/>
      <c r="O292" s="546"/>
      <c r="P292" s="546"/>
      <c r="Q292" s="3438">
        <f>500000+700000+1200000+1500000</f>
        <v>3900000</v>
      </c>
      <c r="R292" s="3438"/>
      <c r="S292" s="3438"/>
      <c r="T292" s="3438"/>
      <c r="U292" s="3438"/>
      <c r="V292" s="3438"/>
      <c r="W292" s="85"/>
      <c r="X292" s="3438">
        <v>3900000</v>
      </c>
      <c r="Y292" s="3438"/>
      <c r="Z292" s="3438"/>
      <c r="AA292" s="3438"/>
      <c r="AB292" s="3438"/>
      <c r="AC292" s="3438"/>
      <c r="AP292" s="87"/>
      <c r="AS292" s="548"/>
    </row>
    <row r="293" spans="2:46" outlineLevel="1" x14ac:dyDescent="0.35">
      <c r="C293" s="179" t="s">
        <v>190</v>
      </c>
      <c r="D293" s="181" t="s">
        <v>7694</v>
      </c>
      <c r="E293" s="546"/>
      <c r="F293" s="546"/>
      <c r="G293" s="546"/>
      <c r="H293" s="546"/>
      <c r="I293" s="546"/>
      <c r="J293" s="546"/>
      <c r="K293" s="546"/>
      <c r="L293" s="546"/>
      <c r="M293" s="546"/>
      <c r="N293" s="546"/>
      <c r="O293" s="546"/>
      <c r="P293" s="546"/>
      <c r="Q293" s="3438">
        <f>57000000+10000000+15000000+5500000-87500000</f>
        <v>0</v>
      </c>
      <c r="R293" s="3438"/>
      <c r="S293" s="3438"/>
      <c r="T293" s="3438"/>
      <c r="U293" s="3438"/>
      <c r="V293" s="3438"/>
      <c r="W293" s="85"/>
      <c r="X293" s="3438">
        <v>0</v>
      </c>
      <c r="Y293" s="3438"/>
      <c r="Z293" s="3438"/>
      <c r="AA293" s="3438"/>
      <c r="AB293" s="3438"/>
      <c r="AC293" s="3438"/>
      <c r="AP293" s="87"/>
      <c r="AS293" s="548"/>
    </row>
    <row r="294" spans="2:46" outlineLevel="1" x14ac:dyDescent="0.35">
      <c r="C294" s="179" t="s">
        <v>190</v>
      </c>
      <c r="D294" s="181" t="s">
        <v>8095</v>
      </c>
      <c r="E294" s="546"/>
      <c r="F294" s="546"/>
      <c r="G294" s="546"/>
      <c r="H294" s="546"/>
      <c r="I294" s="546"/>
      <c r="J294" s="546"/>
      <c r="K294" s="546"/>
      <c r="L294" s="546"/>
      <c r="M294" s="546"/>
      <c r="N294" s="546"/>
      <c r="O294" s="546"/>
      <c r="P294" s="546"/>
      <c r="Q294" s="3438">
        <f>5000000+7000000-12000000</f>
        <v>0</v>
      </c>
      <c r="R294" s="3438"/>
      <c r="S294" s="3438"/>
      <c r="T294" s="3438"/>
      <c r="U294" s="3438"/>
      <c r="V294" s="3438"/>
      <c r="W294" s="85"/>
      <c r="X294" s="3438">
        <v>0</v>
      </c>
      <c r="Y294" s="3438"/>
      <c r="Z294" s="3438"/>
      <c r="AA294" s="3438"/>
      <c r="AB294" s="3438"/>
      <c r="AC294" s="3438"/>
      <c r="AP294" s="87"/>
      <c r="AS294" s="2961"/>
    </row>
    <row r="295" spans="2:46" outlineLevel="1" x14ac:dyDescent="0.35">
      <c r="C295" s="179" t="s">
        <v>190</v>
      </c>
      <c r="D295" s="181" t="s">
        <v>8119</v>
      </c>
      <c r="E295" s="546"/>
      <c r="F295" s="546"/>
      <c r="G295" s="546"/>
      <c r="H295" s="546"/>
      <c r="I295" s="546"/>
      <c r="J295" s="546"/>
      <c r="K295" s="546"/>
      <c r="L295" s="546"/>
      <c r="M295" s="546"/>
      <c r="N295" s="546"/>
      <c r="O295" s="546"/>
      <c r="P295" s="546"/>
      <c r="Q295" s="3438">
        <f>2181000+2000000-4181000</f>
        <v>0</v>
      </c>
      <c r="R295" s="3438"/>
      <c r="S295" s="3438"/>
      <c r="T295" s="3438"/>
      <c r="U295" s="3438"/>
      <c r="V295" s="3438"/>
      <c r="W295" s="85"/>
      <c r="X295" s="3438">
        <v>0</v>
      </c>
      <c r="Y295" s="3438"/>
      <c r="Z295" s="3438"/>
      <c r="AA295" s="3438"/>
      <c r="AB295" s="3438"/>
      <c r="AC295" s="3438"/>
      <c r="AP295" s="87"/>
      <c r="AS295" s="548"/>
    </row>
    <row r="296" spans="2:46" outlineLevel="1" x14ac:dyDescent="0.35">
      <c r="C296" s="179" t="s">
        <v>190</v>
      </c>
      <c r="D296" s="181" t="s">
        <v>8120</v>
      </c>
      <c r="E296" s="546"/>
      <c r="F296" s="546"/>
      <c r="G296" s="546"/>
      <c r="H296" s="546"/>
      <c r="I296" s="546"/>
      <c r="J296" s="546"/>
      <c r="K296" s="546"/>
      <c r="L296" s="546"/>
      <c r="M296" s="546"/>
      <c r="N296" s="546"/>
      <c r="O296" s="546"/>
      <c r="P296" s="546"/>
      <c r="Q296" s="3438">
        <f>5850000+5850000-11700000</f>
        <v>0</v>
      </c>
      <c r="R296" s="3438"/>
      <c r="S296" s="3438"/>
      <c r="T296" s="3438"/>
      <c r="U296" s="3438"/>
      <c r="V296" s="3438"/>
      <c r="W296" s="85"/>
      <c r="X296" s="3438">
        <v>0</v>
      </c>
      <c r="Y296" s="3438"/>
      <c r="Z296" s="3438"/>
      <c r="AA296" s="3438"/>
      <c r="AB296" s="3438"/>
      <c r="AC296" s="3438"/>
      <c r="AP296" s="87"/>
      <c r="AS296" s="548"/>
    </row>
    <row r="297" spans="2:46" outlineLevel="1" x14ac:dyDescent="0.35">
      <c r="C297" s="179" t="s">
        <v>190</v>
      </c>
      <c r="D297" s="181" t="s">
        <v>7791</v>
      </c>
      <c r="E297" s="546"/>
      <c r="F297" s="546"/>
      <c r="G297" s="546"/>
      <c r="H297" s="546"/>
      <c r="I297" s="546"/>
      <c r="J297" s="546"/>
      <c r="K297" s="546"/>
      <c r="L297" s="546"/>
      <c r="M297" s="546"/>
      <c r="N297" s="546"/>
      <c r="O297" s="546"/>
      <c r="P297" s="546"/>
      <c r="Q297" s="3438">
        <f>3500000+25000000</f>
        <v>28500000</v>
      </c>
      <c r="R297" s="3438"/>
      <c r="S297" s="3438"/>
      <c r="T297" s="3438"/>
      <c r="U297" s="3438"/>
      <c r="V297" s="3438"/>
      <c r="W297" s="85"/>
      <c r="X297" s="3438">
        <v>28500000</v>
      </c>
      <c r="Y297" s="3438"/>
      <c r="Z297" s="3438"/>
      <c r="AA297" s="3438"/>
      <c r="AB297" s="3438"/>
      <c r="AC297" s="3438"/>
      <c r="AP297" s="87"/>
      <c r="AS297" s="548"/>
    </row>
    <row r="298" spans="2:46" outlineLevel="1" x14ac:dyDescent="0.35">
      <c r="C298" s="179"/>
      <c r="E298" s="546"/>
      <c r="F298" s="546"/>
      <c r="G298" s="546"/>
      <c r="H298" s="546"/>
      <c r="I298" s="546"/>
      <c r="J298" s="546"/>
      <c r="K298" s="546"/>
      <c r="L298" s="546"/>
      <c r="M298" s="546"/>
      <c r="N298" s="546"/>
      <c r="O298" s="546"/>
      <c r="P298" s="546"/>
      <c r="Q298" s="3438"/>
      <c r="R298" s="3438"/>
      <c r="S298" s="3438"/>
      <c r="T298" s="3438"/>
      <c r="U298" s="3438"/>
      <c r="V298" s="3438"/>
      <c r="W298" s="85"/>
      <c r="X298" s="3439"/>
      <c r="Y298" s="3439"/>
      <c r="Z298" s="3439"/>
      <c r="AA298" s="3439"/>
      <c r="AB298" s="3439"/>
      <c r="AC298" s="3439"/>
      <c r="AP298" s="87"/>
      <c r="AS298" s="548"/>
    </row>
    <row r="299" spans="2:46" outlineLevel="1" x14ac:dyDescent="0.35">
      <c r="E299" s="546"/>
      <c r="F299" s="546"/>
      <c r="G299" s="546"/>
      <c r="H299" s="546"/>
      <c r="I299" s="546"/>
      <c r="J299" s="546"/>
      <c r="K299" s="546"/>
      <c r="L299" s="546"/>
      <c r="M299" s="546"/>
      <c r="N299" s="546"/>
      <c r="O299" s="546"/>
      <c r="P299" s="546"/>
      <c r="Q299" s="3724">
        <f>SUM(Q291:V298)</f>
        <v>32400000</v>
      </c>
      <c r="R299" s="3724"/>
      <c r="S299" s="3724"/>
      <c r="T299" s="3724"/>
      <c r="U299" s="3724"/>
      <c r="V299" s="3724"/>
      <c r="W299" s="85"/>
      <c r="X299" s="3724">
        <f>SUM(X291:AC298)</f>
        <v>32400000</v>
      </c>
      <c r="Y299" s="3724"/>
      <c r="Z299" s="3724"/>
      <c r="AA299" s="3724"/>
      <c r="AB299" s="3724"/>
      <c r="AC299" s="3724"/>
      <c r="AP299" s="87"/>
      <c r="AQ299" s="87"/>
      <c r="AS299" s="618"/>
    </row>
    <row r="300" spans="2:46" ht="13.5" outlineLevel="1" x14ac:dyDescent="0.35">
      <c r="C300" s="64" t="s">
        <v>717</v>
      </c>
      <c r="D300" s="2720"/>
      <c r="E300" s="555"/>
      <c r="F300" s="555"/>
      <c r="G300" s="555"/>
      <c r="H300" s="555"/>
      <c r="I300" s="555"/>
      <c r="J300" s="555"/>
      <c r="K300" s="555"/>
      <c r="L300" s="555"/>
      <c r="M300" s="555"/>
      <c r="N300" s="555"/>
      <c r="O300" s="555"/>
      <c r="P300" s="555"/>
      <c r="Q300" s="180"/>
      <c r="R300" s="180"/>
      <c r="S300" s="180"/>
      <c r="T300" s="180"/>
      <c r="U300" s="180"/>
      <c r="V300" s="180"/>
      <c r="W300" s="180"/>
      <c r="X300" s="180"/>
      <c r="Y300" s="180"/>
      <c r="Z300" s="180"/>
      <c r="AA300" s="180"/>
      <c r="AB300" s="180"/>
      <c r="AC300" s="180"/>
      <c r="AD300" s="64"/>
      <c r="AE300" s="64"/>
      <c r="AF300" s="64"/>
      <c r="AG300" s="64"/>
      <c r="AH300" s="64"/>
      <c r="AI300" s="64"/>
      <c r="AJ300" s="64"/>
      <c r="AK300" s="64"/>
      <c r="AL300" s="64"/>
      <c r="AM300" s="64"/>
      <c r="AN300" s="64"/>
      <c r="AO300" s="64"/>
      <c r="AP300" s="88"/>
      <c r="AQ300" s="88" t="s">
        <v>350</v>
      </c>
      <c r="AS300" s="548"/>
      <c r="AT300" s="367">
        <f>Q299-AT299</f>
        <v>32400000</v>
      </c>
    </row>
    <row r="301" spans="2:46" outlineLevel="1" x14ac:dyDescent="0.35">
      <c r="C301" s="179" t="s">
        <v>190</v>
      </c>
      <c r="D301" s="2721" t="s">
        <v>7152</v>
      </c>
      <c r="E301" s="546"/>
      <c r="F301" s="546"/>
      <c r="G301" s="546"/>
      <c r="H301" s="546"/>
      <c r="I301" s="546"/>
      <c r="J301" s="546"/>
      <c r="K301" s="546"/>
      <c r="L301" s="546"/>
      <c r="M301" s="546"/>
      <c r="N301" s="546"/>
      <c r="O301" s="546"/>
      <c r="P301" s="546"/>
      <c r="Q301" s="3438">
        <f>500-500</f>
        <v>0</v>
      </c>
      <c r="R301" s="3438"/>
      <c r="S301" s="3438"/>
      <c r="T301" s="3438"/>
      <c r="U301" s="3438"/>
      <c r="V301" s="3438"/>
      <c r="W301" s="85"/>
      <c r="X301" s="3725">
        <v>0</v>
      </c>
      <c r="Y301" s="3725"/>
      <c r="Z301" s="3725"/>
      <c r="AA301" s="3725"/>
      <c r="AB301" s="3725"/>
      <c r="AC301" s="3725"/>
      <c r="AP301" s="87" t="s">
        <v>718</v>
      </c>
      <c r="AQ301" s="179" t="s">
        <v>190</v>
      </c>
      <c r="AS301" s="548"/>
    </row>
    <row r="302" spans="2:46" outlineLevel="1" x14ac:dyDescent="0.35">
      <c r="C302" s="179"/>
      <c r="E302" s="546"/>
      <c r="F302" s="546"/>
      <c r="G302" s="546"/>
      <c r="H302" s="546"/>
      <c r="I302" s="546"/>
      <c r="J302" s="546"/>
      <c r="K302" s="546"/>
      <c r="L302" s="546"/>
      <c r="M302" s="546"/>
      <c r="N302" s="546"/>
      <c r="O302" s="546"/>
      <c r="P302" s="546"/>
      <c r="Q302" s="3724">
        <f>SUM(Q301:V301)</f>
        <v>0</v>
      </c>
      <c r="R302" s="3724"/>
      <c r="S302" s="3724"/>
      <c r="T302" s="3724"/>
      <c r="U302" s="3724"/>
      <c r="V302" s="3724"/>
      <c r="W302" s="85"/>
      <c r="X302" s="3724">
        <f>SUM(X301:AC301)</f>
        <v>0</v>
      </c>
      <c r="Y302" s="3724"/>
      <c r="Z302" s="3724"/>
      <c r="AA302" s="3724"/>
      <c r="AB302" s="3724"/>
      <c r="AC302" s="3724"/>
      <c r="AP302" s="87"/>
      <c r="AS302" s="548"/>
    </row>
    <row r="303" spans="2:46" s="64" customFormat="1" ht="13.5" outlineLevel="1" x14ac:dyDescent="0.35">
      <c r="B303" s="130"/>
      <c r="C303" s="130" t="s">
        <v>719</v>
      </c>
      <c r="E303" s="555"/>
      <c r="F303" s="555"/>
      <c r="G303" s="555"/>
      <c r="H303" s="555"/>
      <c r="I303" s="555"/>
      <c r="J303" s="555"/>
      <c r="K303" s="555"/>
      <c r="L303" s="555"/>
      <c r="M303" s="555"/>
      <c r="N303" s="555"/>
      <c r="O303" s="555"/>
      <c r="P303" s="555"/>
      <c r="Q303" s="180"/>
      <c r="R303" s="180"/>
      <c r="S303" s="180"/>
      <c r="T303" s="180"/>
      <c r="U303" s="180"/>
      <c r="V303" s="180"/>
      <c r="W303" s="180"/>
      <c r="X303" s="180"/>
      <c r="Y303" s="180"/>
      <c r="Z303" s="180"/>
      <c r="AA303" s="180"/>
      <c r="AB303" s="180"/>
      <c r="AC303" s="180"/>
      <c r="AP303" s="88"/>
      <c r="AQ303" s="88" t="s">
        <v>720</v>
      </c>
      <c r="AS303" s="523"/>
    </row>
    <row r="304" spans="2:46" outlineLevel="1" x14ac:dyDescent="0.35">
      <c r="C304" s="179" t="s">
        <v>190</v>
      </c>
      <c r="D304" s="181" t="s">
        <v>721</v>
      </c>
      <c r="E304" s="546"/>
      <c r="F304" s="546"/>
      <c r="G304" s="546"/>
      <c r="H304" s="546"/>
      <c r="I304" s="546"/>
      <c r="J304" s="546"/>
      <c r="K304" s="546"/>
      <c r="L304" s="546"/>
      <c r="M304" s="546"/>
      <c r="N304" s="546"/>
      <c r="O304" s="546"/>
      <c r="P304" s="546"/>
      <c r="Q304" s="3438">
        <f>'[9]30'!P25</f>
        <v>0</v>
      </c>
      <c r="R304" s="3438"/>
      <c r="S304" s="3438"/>
      <c r="T304" s="3438"/>
      <c r="U304" s="3438"/>
      <c r="V304" s="3438"/>
      <c r="W304" s="85"/>
      <c r="X304" s="3438">
        <v>0</v>
      </c>
      <c r="Y304" s="3438"/>
      <c r="Z304" s="3438"/>
      <c r="AA304" s="3438"/>
      <c r="AB304" s="3438"/>
      <c r="AC304" s="3438"/>
      <c r="AP304" s="87" t="s">
        <v>332</v>
      </c>
      <c r="AQ304" s="179" t="s">
        <v>190</v>
      </c>
      <c r="AS304" s="548"/>
    </row>
    <row r="305" spans="1:46" outlineLevel="1" x14ac:dyDescent="0.35">
      <c r="C305" s="179" t="s">
        <v>190</v>
      </c>
      <c r="D305" s="181" t="s">
        <v>684</v>
      </c>
      <c r="E305" s="546"/>
      <c r="F305" s="546"/>
      <c r="G305" s="546"/>
      <c r="H305" s="546"/>
      <c r="I305" s="546"/>
      <c r="J305" s="546"/>
      <c r="K305" s="546"/>
      <c r="L305" s="546"/>
      <c r="M305" s="546"/>
      <c r="N305" s="546"/>
      <c r="O305" s="546"/>
      <c r="P305" s="546"/>
      <c r="Q305" s="3493">
        <v>0</v>
      </c>
      <c r="R305" s="3493"/>
      <c r="S305" s="3493"/>
      <c r="T305" s="3493"/>
      <c r="U305" s="3493"/>
      <c r="V305" s="3493"/>
      <c r="W305" s="85"/>
      <c r="X305" s="3493">
        <v>0</v>
      </c>
      <c r="Y305" s="3493"/>
      <c r="Z305" s="3493"/>
      <c r="AA305" s="3493"/>
      <c r="AB305" s="3493"/>
      <c r="AC305" s="3493"/>
      <c r="AP305" s="87" t="s">
        <v>722</v>
      </c>
      <c r="AQ305" s="179" t="s">
        <v>190</v>
      </c>
      <c r="AS305" s="548"/>
    </row>
    <row r="306" spans="1:46" outlineLevel="1" x14ac:dyDescent="0.35">
      <c r="E306" s="555"/>
      <c r="F306" s="555"/>
      <c r="G306" s="555"/>
      <c r="H306" s="555"/>
      <c r="I306" s="555"/>
      <c r="J306" s="555"/>
      <c r="K306" s="555"/>
      <c r="L306" s="555"/>
      <c r="M306" s="555"/>
      <c r="N306" s="555"/>
      <c r="O306" s="555"/>
      <c r="P306" s="555"/>
      <c r="Q306" s="3724">
        <f>SUM(Q304:V305)</f>
        <v>0</v>
      </c>
      <c r="R306" s="3724"/>
      <c r="S306" s="3724"/>
      <c r="T306" s="3724"/>
      <c r="U306" s="3724"/>
      <c r="V306" s="3724"/>
      <c r="W306" s="180"/>
      <c r="X306" s="3724">
        <f>SUM(X304:AC305)</f>
        <v>0</v>
      </c>
      <c r="Y306" s="3724"/>
      <c r="Z306" s="3724"/>
      <c r="AA306" s="3724"/>
      <c r="AB306" s="3724"/>
      <c r="AC306" s="3724"/>
      <c r="AS306" s="548"/>
    </row>
    <row r="307" spans="1:46" outlineLevel="1" x14ac:dyDescent="0.35">
      <c r="E307" s="555"/>
      <c r="F307" s="555"/>
      <c r="G307" s="555"/>
      <c r="H307" s="555"/>
      <c r="I307" s="555"/>
      <c r="J307" s="555"/>
      <c r="K307" s="555"/>
      <c r="L307" s="555"/>
      <c r="M307" s="555"/>
      <c r="N307" s="555"/>
      <c r="O307" s="555"/>
      <c r="P307" s="555"/>
      <c r="Q307" s="619"/>
      <c r="R307" s="619"/>
      <c r="S307" s="619"/>
      <c r="T307" s="619"/>
      <c r="U307" s="619"/>
      <c r="V307" s="619"/>
      <c r="W307" s="180"/>
      <c r="X307" s="619"/>
      <c r="Y307" s="619"/>
      <c r="Z307" s="619"/>
      <c r="AA307" s="619"/>
      <c r="AB307" s="619"/>
      <c r="AC307" s="619"/>
      <c r="AS307" s="548"/>
    </row>
    <row r="308" spans="1:46" ht="14" outlineLevel="1" thickBot="1" x14ac:dyDescent="0.4">
      <c r="C308" s="64" t="s">
        <v>723</v>
      </c>
      <c r="D308" s="64"/>
      <c r="E308" s="555"/>
      <c r="F308" s="555"/>
      <c r="G308" s="555"/>
      <c r="H308" s="555"/>
      <c r="I308" s="555"/>
      <c r="J308" s="555"/>
      <c r="K308" s="555"/>
      <c r="L308" s="555"/>
      <c r="M308" s="555"/>
      <c r="N308" s="555"/>
      <c r="O308" s="555"/>
      <c r="P308" s="555"/>
      <c r="Q308" s="3715">
        <f>Q306+Q302+Q299+Q286+Q289</f>
        <v>32400000</v>
      </c>
      <c r="R308" s="3715"/>
      <c r="S308" s="3715"/>
      <c r="T308" s="3715"/>
      <c r="U308" s="3715"/>
      <c r="V308" s="3715"/>
      <c r="W308" s="180"/>
      <c r="X308" s="3715">
        <f>X306+X302+X299+X286+X289</f>
        <v>32400000</v>
      </c>
      <c r="Y308" s="3715"/>
      <c r="Z308" s="3715"/>
      <c r="AA308" s="3715"/>
      <c r="AB308" s="3715"/>
      <c r="AC308" s="3715"/>
      <c r="AP308" s="557"/>
      <c r="AQ308" s="620" t="s">
        <v>724</v>
      </c>
      <c r="AS308" s="548"/>
    </row>
    <row r="309" spans="1:46" ht="14" outlineLevel="1" thickTop="1" x14ac:dyDescent="0.35">
      <c r="C309" s="64"/>
      <c r="D309" s="64"/>
      <c r="E309" s="555"/>
      <c r="F309" s="555"/>
      <c r="G309" s="555"/>
      <c r="H309" s="555"/>
      <c r="I309" s="555"/>
      <c r="J309" s="555"/>
      <c r="K309" s="555"/>
      <c r="L309" s="555"/>
      <c r="M309" s="555"/>
      <c r="N309" s="555"/>
      <c r="O309" s="555"/>
      <c r="P309" s="555"/>
      <c r="Q309" s="619"/>
      <c r="R309" s="619"/>
      <c r="S309" s="619"/>
      <c r="T309" s="619"/>
      <c r="U309" s="619"/>
      <c r="V309" s="619"/>
      <c r="W309" s="180"/>
      <c r="X309" s="619"/>
      <c r="Y309" s="619"/>
      <c r="Z309" s="619"/>
      <c r="AA309" s="619"/>
      <c r="AB309" s="619"/>
      <c r="AC309" s="619"/>
      <c r="AP309" s="557"/>
      <c r="AQ309" s="620"/>
      <c r="AS309" s="548"/>
    </row>
    <row r="310" spans="1:46" ht="13.5" outlineLevel="1" x14ac:dyDescent="0.35">
      <c r="C310" s="64"/>
      <c r="D310" s="64"/>
      <c r="E310" s="555"/>
      <c r="F310" s="555"/>
      <c r="G310" s="555"/>
      <c r="H310" s="555"/>
      <c r="I310" s="555"/>
      <c r="J310" s="555"/>
      <c r="K310" s="555"/>
      <c r="L310" s="555"/>
      <c r="M310" s="555"/>
      <c r="N310" s="555"/>
      <c r="O310" s="555"/>
      <c r="P310" s="555"/>
      <c r="Q310" s="619"/>
      <c r="R310" s="619"/>
      <c r="S310" s="619"/>
      <c r="T310" s="619"/>
      <c r="U310" s="619"/>
      <c r="V310" s="619"/>
      <c r="W310" s="180"/>
      <c r="X310" s="619"/>
      <c r="Y310" s="619"/>
      <c r="Z310" s="619"/>
      <c r="AA310" s="619"/>
      <c r="AB310" s="619"/>
      <c r="AC310" s="619"/>
      <c r="AP310" s="557"/>
      <c r="AQ310" s="620"/>
      <c r="AS310" s="548"/>
    </row>
    <row r="311" spans="1:46" ht="13.5" outlineLevel="1" x14ac:dyDescent="0.35">
      <c r="C311" s="64"/>
      <c r="D311" s="64"/>
      <c r="E311" s="555"/>
      <c r="F311" s="555"/>
      <c r="G311" s="555"/>
      <c r="H311" s="555"/>
      <c r="I311" s="555"/>
      <c r="J311" s="555"/>
      <c r="K311" s="555"/>
      <c r="L311" s="555"/>
      <c r="M311" s="555"/>
      <c r="N311" s="555"/>
      <c r="O311" s="555"/>
      <c r="P311" s="555"/>
      <c r="Q311" s="619"/>
      <c r="R311" s="619"/>
      <c r="S311" s="619"/>
      <c r="T311" s="619"/>
      <c r="U311" s="619"/>
      <c r="V311" s="619"/>
      <c r="W311" s="180"/>
      <c r="X311" s="619"/>
      <c r="Y311" s="619"/>
      <c r="Z311" s="619"/>
      <c r="AA311" s="619"/>
      <c r="AB311" s="619"/>
      <c r="AC311" s="619"/>
      <c r="AP311" s="557"/>
      <c r="AQ311" s="620"/>
      <c r="AS311" s="548"/>
    </row>
    <row r="312" spans="1:46" ht="13.5" outlineLevel="1" x14ac:dyDescent="0.35">
      <c r="C312" s="64"/>
      <c r="D312" s="64"/>
      <c r="E312" s="555"/>
      <c r="F312" s="555"/>
      <c r="G312" s="555"/>
      <c r="H312" s="555"/>
      <c r="I312" s="555"/>
      <c r="J312" s="555"/>
      <c r="K312" s="555"/>
      <c r="L312" s="555"/>
      <c r="M312" s="555"/>
      <c r="N312" s="555"/>
      <c r="O312" s="555"/>
      <c r="P312" s="555"/>
      <c r="Q312" s="619"/>
      <c r="R312" s="619"/>
      <c r="S312" s="619"/>
      <c r="T312" s="619"/>
      <c r="U312" s="619"/>
      <c r="V312" s="619"/>
      <c r="W312" s="180"/>
      <c r="X312" s="619"/>
      <c r="Y312" s="619"/>
      <c r="Z312" s="619"/>
      <c r="AA312" s="619"/>
      <c r="AB312" s="619"/>
      <c r="AC312" s="619"/>
      <c r="AP312" s="557"/>
      <c r="AQ312" s="620"/>
      <c r="AS312" s="548"/>
    </row>
    <row r="313" spans="1:46" outlineLevel="1" x14ac:dyDescent="0.35">
      <c r="E313" s="555"/>
      <c r="F313" s="555"/>
      <c r="G313" s="555"/>
      <c r="H313" s="555"/>
      <c r="I313" s="555"/>
      <c r="J313" s="555"/>
      <c r="K313" s="555"/>
      <c r="L313" s="555"/>
      <c r="M313" s="555"/>
      <c r="N313" s="555"/>
      <c r="O313" s="555"/>
      <c r="P313" s="555"/>
      <c r="Q313" s="619"/>
      <c r="R313" s="619"/>
      <c r="S313" s="619"/>
      <c r="T313" s="619"/>
      <c r="U313" s="619"/>
      <c r="V313" s="619"/>
      <c r="W313" s="180"/>
      <c r="X313" s="619"/>
      <c r="Y313" s="619"/>
      <c r="Z313" s="619"/>
      <c r="AA313" s="619"/>
      <c r="AB313" s="619"/>
      <c r="AC313" s="619"/>
      <c r="AS313" s="548"/>
    </row>
    <row r="314" spans="1:46" s="612" customFormat="1" ht="15.5" outlineLevel="1" x14ac:dyDescent="0.35">
      <c r="A314" s="621"/>
      <c r="B314" s="622" t="s">
        <v>725</v>
      </c>
      <c r="C314" s="623" t="s">
        <v>726</v>
      </c>
      <c r="D314" s="622"/>
      <c r="E314" s="624"/>
      <c r="F314" s="624"/>
      <c r="G314" s="624"/>
      <c r="H314" s="624"/>
      <c r="I314" s="624"/>
      <c r="J314" s="624"/>
      <c r="K314" s="624"/>
      <c r="L314" s="624"/>
      <c r="M314" s="624"/>
      <c r="N314" s="624"/>
      <c r="O314" s="624"/>
      <c r="P314" s="624"/>
      <c r="Q314" s="625"/>
      <c r="R314" s="625"/>
      <c r="S314" s="625"/>
      <c r="T314" s="625"/>
      <c r="U314" s="625"/>
      <c r="V314" s="626"/>
      <c r="W314" s="625"/>
      <c r="X314" s="539" t="str">
        <f>B314</f>
        <v>7.</v>
      </c>
      <c r="Y314" s="627" t="s">
        <v>727</v>
      </c>
      <c r="Z314" s="627"/>
      <c r="AA314" s="627"/>
      <c r="AB314" s="627"/>
      <c r="AC314" s="627"/>
      <c r="AD314" s="627"/>
      <c r="AE314" s="540"/>
      <c r="AF314" s="540"/>
      <c r="AG314" s="540"/>
      <c r="AH314" s="540"/>
      <c r="AI314" s="540"/>
      <c r="AJ314" s="540"/>
      <c r="AK314" s="540"/>
      <c r="AL314" s="540"/>
      <c r="AM314" s="540"/>
      <c r="AN314" s="540"/>
      <c r="AO314" s="540"/>
      <c r="AP314" s="541"/>
      <c r="AQ314" s="628"/>
      <c r="AR314" s="621"/>
      <c r="AS314" s="613"/>
    </row>
    <row r="315" spans="1:46" outlineLevel="1" x14ac:dyDescent="0.35">
      <c r="E315" s="555"/>
      <c r="F315" s="555"/>
      <c r="G315" s="555"/>
      <c r="H315" s="555"/>
      <c r="I315" s="555"/>
      <c r="J315" s="555"/>
      <c r="K315" s="555"/>
      <c r="L315" s="555"/>
      <c r="M315" s="555"/>
      <c r="N315" s="555"/>
      <c r="O315" s="555"/>
      <c r="P315" s="555"/>
      <c r="Q315" s="578"/>
      <c r="R315" s="578"/>
      <c r="S315" s="578"/>
      <c r="T315" s="578"/>
      <c r="U315" s="578"/>
      <c r="V315" s="578"/>
      <c r="W315" s="577"/>
      <c r="X315" s="578"/>
      <c r="Y315" s="578"/>
      <c r="Z315" s="578"/>
      <c r="AA315" s="578"/>
      <c r="AB315" s="578"/>
      <c r="AC315" s="578"/>
      <c r="AS315" s="548"/>
      <c r="AT315" s="181">
        <v>3330600</v>
      </c>
    </row>
    <row r="316" spans="1:46" outlineLevel="1" x14ac:dyDescent="0.35">
      <c r="C316" s="181" t="s">
        <v>728</v>
      </c>
      <c r="D316" s="84"/>
      <c r="E316" s="546"/>
      <c r="F316" s="546"/>
      <c r="G316" s="546"/>
      <c r="H316" s="546"/>
      <c r="I316" s="546"/>
      <c r="J316" s="546"/>
      <c r="K316" s="546"/>
      <c r="L316" s="546"/>
      <c r="M316" s="546"/>
      <c r="N316" s="546"/>
      <c r="O316" s="546"/>
      <c r="P316" s="546"/>
      <c r="Q316" s="558"/>
      <c r="R316" s="558"/>
      <c r="S316" s="558"/>
      <c r="T316" s="558"/>
      <c r="U316" s="558"/>
      <c r="V316" s="558"/>
      <c r="W316" s="546"/>
      <c r="X316" s="558"/>
      <c r="Y316" s="558"/>
      <c r="Z316" s="558"/>
      <c r="AA316" s="558"/>
      <c r="AB316" s="558"/>
      <c r="AC316" s="558"/>
      <c r="AQ316" s="87" t="s">
        <v>729</v>
      </c>
      <c r="AS316" s="548"/>
    </row>
    <row r="317" spans="1:46" ht="13.5" outlineLevel="1" x14ac:dyDescent="0.35">
      <c r="C317" s="64"/>
      <c r="D317" s="84"/>
      <c r="E317" s="546"/>
      <c r="F317" s="546"/>
      <c r="G317" s="546"/>
      <c r="H317" s="546"/>
      <c r="I317" s="546"/>
      <c r="J317" s="546"/>
      <c r="K317" s="546"/>
      <c r="L317" s="546"/>
      <c r="M317" s="546"/>
      <c r="N317" s="546"/>
      <c r="O317" s="546"/>
      <c r="P317" s="546"/>
      <c r="Q317" s="3448" t="str">
        <f>NRC!E9</f>
        <v>30 June 2026/</v>
      </c>
      <c r="R317" s="3448" t="str">
        <f>[8]IN!$G$23</f>
        <v>31 July 2023 /</v>
      </c>
      <c r="S317" s="3448" t="str">
        <f>[8]IN!$G$23</f>
        <v>31 July 2023 /</v>
      </c>
      <c r="T317" s="3448" t="str">
        <f>[8]IN!$G$23</f>
        <v>31 July 2023 /</v>
      </c>
      <c r="U317" s="3448" t="str">
        <f>[8]IN!$G$23</f>
        <v>31 July 2023 /</v>
      </c>
      <c r="V317" s="3448" t="str">
        <f>[8]IN!$G$23</f>
        <v>31 July 2023 /</v>
      </c>
      <c r="W317" s="546"/>
      <c r="X317" s="3448" t="str">
        <f>NRC!G9</f>
        <v>31 May 2026/</v>
      </c>
      <c r="Y317" s="3448" t="str">
        <f>[8]IN!$G$26</f>
        <v>30 June 2023 /</v>
      </c>
      <c r="Z317" s="3448" t="str">
        <f>[8]IN!$G$26</f>
        <v>30 June 2023 /</v>
      </c>
      <c r="AA317" s="3448" t="str">
        <f>[8]IN!$G$26</f>
        <v>30 June 2023 /</v>
      </c>
      <c r="AB317" s="3448" t="str">
        <f>[8]IN!$G$26</f>
        <v>30 June 2023 /</v>
      </c>
      <c r="AC317" s="3448" t="str">
        <f>[8]IN!$G$26</f>
        <v>30 June 2023 /</v>
      </c>
      <c r="AQ317" s="88"/>
      <c r="AS317" s="548"/>
    </row>
    <row r="318" spans="1:46" s="142" customFormat="1" ht="14" outlineLevel="1" thickBot="1" x14ac:dyDescent="0.4">
      <c r="B318" s="559"/>
      <c r="D318" s="568"/>
      <c r="E318" s="553"/>
      <c r="F318" s="553"/>
      <c r="G318" s="553"/>
      <c r="H318" s="553"/>
      <c r="I318" s="553"/>
      <c r="J318" s="553"/>
      <c r="K318" s="553"/>
      <c r="L318" s="553"/>
      <c r="M318" s="553"/>
      <c r="N318" s="553"/>
      <c r="O318" s="553"/>
      <c r="P318" s="553"/>
      <c r="Q318" s="3449">
        <f>NRC!E10</f>
        <v>46203</v>
      </c>
      <c r="R318" s="3449" t="e">
        <f>[8]IN!$I$23</f>
        <v>#N/A</v>
      </c>
      <c r="S318" s="3449" t="e">
        <f>[8]IN!$I$23</f>
        <v>#N/A</v>
      </c>
      <c r="T318" s="3449" t="e">
        <f>[8]IN!$I$23</f>
        <v>#N/A</v>
      </c>
      <c r="U318" s="3449" t="e">
        <f>[8]IN!$I$23</f>
        <v>#N/A</v>
      </c>
      <c r="V318" s="3449" t="e">
        <f>[8]IN!$I$23</f>
        <v>#N/A</v>
      </c>
      <c r="W318" s="553"/>
      <c r="X318" s="3449">
        <f>NRC!G10</f>
        <v>46173</v>
      </c>
      <c r="Y318" s="3449" t="e">
        <f>[8]IN!$I$26</f>
        <v>#N/A</v>
      </c>
      <c r="Z318" s="3449" t="e">
        <f>[8]IN!$I$26</f>
        <v>#N/A</v>
      </c>
      <c r="AA318" s="3449" t="e">
        <f>[8]IN!$I$26</f>
        <v>#N/A</v>
      </c>
      <c r="AB318" s="3449" t="e">
        <f>[8]IN!$I$26</f>
        <v>#N/A</v>
      </c>
      <c r="AC318" s="3449" t="e">
        <f>[8]IN!$I$26</f>
        <v>#N/A</v>
      </c>
      <c r="AP318" s="87"/>
      <c r="AQ318" s="87"/>
      <c r="AS318" s="570"/>
    </row>
    <row r="319" spans="1:46" s="142" customFormat="1" ht="13.5" outlineLevel="1" x14ac:dyDescent="0.35">
      <c r="B319" s="559"/>
      <c r="D319" s="568"/>
      <c r="E319" s="553"/>
      <c r="F319" s="553"/>
      <c r="G319" s="553"/>
      <c r="H319" s="553"/>
      <c r="I319" s="553"/>
      <c r="J319" s="553"/>
      <c r="K319" s="553"/>
      <c r="L319" s="553"/>
      <c r="M319" s="553"/>
      <c r="N319" s="553"/>
      <c r="O319" s="553"/>
      <c r="P319" s="553"/>
      <c r="Q319" s="629"/>
      <c r="R319" s="629"/>
      <c r="S319" s="629"/>
      <c r="T319" s="629"/>
      <c r="U319" s="629"/>
      <c r="V319" s="629"/>
      <c r="W319" s="553"/>
      <c r="X319" s="629"/>
      <c r="Y319" s="629"/>
      <c r="Z319" s="629"/>
      <c r="AA319" s="629"/>
      <c r="AB319" s="629"/>
      <c r="AC319" s="629"/>
      <c r="AP319" s="87"/>
      <c r="AQ319" s="87"/>
      <c r="AS319" s="570"/>
    </row>
    <row r="320" spans="1:46" ht="14" outlineLevel="1" x14ac:dyDescent="0.35">
      <c r="B320" s="64"/>
      <c r="C320" s="630" t="s">
        <v>7153</v>
      </c>
      <c r="D320" s="555"/>
      <c r="E320" s="555"/>
      <c r="F320" s="555"/>
      <c r="G320" s="555"/>
      <c r="H320" s="555"/>
      <c r="I320" s="555"/>
      <c r="J320" s="555"/>
      <c r="K320" s="555"/>
      <c r="L320" s="555"/>
      <c r="M320" s="555"/>
      <c r="N320" s="555"/>
      <c r="O320" s="578"/>
      <c r="P320" s="578"/>
      <c r="Q320" s="3723">
        <f>BS!C200</f>
        <v>9166665.6600000001</v>
      </c>
      <c r="R320" s="3723"/>
      <c r="S320" s="3723"/>
      <c r="T320" s="3723"/>
      <c r="U320" s="3723"/>
      <c r="V320" s="3723"/>
      <c r="W320" s="64"/>
      <c r="X320" s="3723">
        <v>10833332.33</v>
      </c>
      <c r="Y320" s="3723"/>
      <c r="Z320" s="3723"/>
      <c r="AA320" s="3723"/>
      <c r="AB320" s="3723"/>
      <c r="AC320" s="3723"/>
      <c r="AD320" s="555"/>
      <c r="AE320" s="555"/>
      <c r="AF320" s="555"/>
      <c r="AG320" s="555"/>
      <c r="AH320" s="555"/>
      <c r="AI320" s="555"/>
      <c r="AJ320" s="578"/>
      <c r="AK320" s="578"/>
      <c r="AL320" s="578"/>
      <c r="AM320" s="578"/>
      <c r="AN320" s="578"/>
      <c r="AO320" s="578"/>
      <c r="AP320" s="631"/>
      <c r="AQ320" s="554"/>
      <c r="AS320" s="548"/>
    </row>
    <row r="321" spans="1:46" ht="14" outlineLevel="1" x14ac:dyDescent="0.35">
      <c r="B321" s="64"/>
      <c r="C321" s="630" t="s">
        <v>8121</v>
      </c>
      <c r="D321" s="555"/>
      <c r="E321" s="555"/>
      <c r="F321" s="555"/>
      <c r="G321" s="555"/>
      <c r="H321" s="555"/>
      <c r="I321" s="555"/>
      <c r="J321" s="555"/>
      <c r="K321" s="555"/>
      <c r="L321" s="555"/>
      <c r="M321" s="555"/>
      <c r="N321" s="555"/>
      <c r="O321" s="578"/>
      <c r="P321" s="578"/>
      <c r="Q321" s="3777">
        <f>BS!C202</f>
        <v>0</v>
      </c>
      <c r="R321" s="3777"/>
      <c r="S321" s="3777"/>
      <c r="T321" s="3777"/>
      <c r="U321" s="3777"/>
      <c r="V321" s="3777"/>
      <c r="W321" s="64"/>
      <c r="X321" s="3777">
        <v>0</v>
      </c>
      <c r="Y321" s="3777"/>
      <c r="Z321" s="3777"/>
      <c r="AA321" s="3777"/>
      <c r="AB321" s="3777"/>
      <c r="AC321" s="3777"/>
      <c r="AD321" s="555"/>
      <c r="AE321" s="555"/>
      <c r="AF321" s="555"/>
      <c r="AG321" s="555"/>
      <c r="AH321" s="555"/>
      <c r="AI321" s="555"/>
      <c r="AJ321" s="578"/>
      <c r="AK321" s="578"/>
      <c r="AL321" s="578"/>
      <c r="AM321" s="578"/>
      <c r="AN321" s="578"/>
      <c r="AO321" s="578"/>
      <c r="AP321" s="631"/>
      <c r="AQ321" s="554"/>
      <c r="AS321" s="548"/>
    </row>
    <row r="322" spans="1:46" ht="14" outlineLevel="1" thickBot="1" x14ac:dyDescent="0.4">
      <c r="B322" s="64"/>
      <c r="C322" s="64" t="s">
        <v>730</v>
      </c>
      <c r="D322" s="64"/>
      <c r="E322" s="555"/>
      <c r="F322" s="555"/>
      <c r="G322" s="555"/>
      <c r="H322" s="555"/>
      <c r="I322" s="555"/>
      <c r="J322" s="555"/>
      <c r="K322" s="555"/>
      <c r="L322" s="555"/>
      <c r="M322" s="555"/>
      <c r="N322" s="555"/>
      <c r="O322" s="555"/>
      <c r="P322" s="555"/>
      <c r="Q322" s="3715">
        <f>SUM(Q320:V321)</f>
        <v>9166665.6600000001</v>
      </c>
      <c r="R322" s="3715"/>
      <c r="S322" s="3715"/>
      <c r="T322" s="3715"/>
      <c r="U322" s="3715"/>
      <c r="V322" s="3715"/>
      <c r="W322" s="180"/>
      <c r="X322" s="3715">
        <f>SUM(X320:AC321)</f>
        <v>10833332.33</v>
      </c>
      <c r="Y322" s="3715"/>
      <c r="Z322" s="3715"/>
      <c r="AA322" s="3715"/>
      <c r="AB322" s="3715"/>
      <c r="AC322" s="3715"/>
      <c r="AP322" s="557"/>
      <c r="AQ322" s="620" t="s">
        <v>731</v>
      </c>
      <c r="AS322" s="548"/>
    </row>
    <row r="323" spans="1:46" s="632" customFormat="1" ht="14" outlineLevel="1" thickTop="1" x14ac:dyDescent="0.35">
      <c r="B323" s="64"/>
      <c r="C323" s="555"/>
      <c r="D323" s="555"/>
      <c r="E323" s="555"/>
      <c r="F323" s="555"/>
      <c r="G323" s="555"/>
      <c r="H323" s="555"/>
      <c r="I323" s="555"/>
      <c r="J323" s="555"/>
      <c r="K323" s="555"/>
      <c r="L323" s="555"/>
      <c r="M323" s="555"/>
      <c r="N323" s="555"/>
      <c r="O323" s="578"/>
      <c r="P323" s="578"/>
      <c r="Q323" s="578"/>
      <c r="R323" s="578"/>
      <c r="S323" s="578"/>
      <c r="T323" s="578"/>
      <c r="U323" s="577"/>
      <c r="V323" s="554"/>
      <c r="W323" s="64"/>
      <c r="X323" s="555"/>
      <c r="Y323" s="555"/>
      <c r="Z323" s="555"/>
      <c r="AA323" s="555"/>
      <c r="AB323" s="555"/>
      <c r="AC323" s="555"/>
      <c r="AD323" s="555"/>
      <c r="AE323" s="555"/>
      <c r="AF323" s="555"/>
      <c r="AG323" s="555"/>
      <c r="AH323" s="555"/>
      <c r="AI323" s="555"/>
      <c r="AJ323" s="578"/>
      <c r="AK323" s="578"/>
      <c r="AL323" s="578"/>
      <c r="AM323" s="578"/>
      <c r="AN323" s="578"/>
      <c r="AO323" s="578"/>
      <c r="AP323" s="577"/>
      <c r="AQ323" s="554"/>
      <c r="AS323" s="633"/>
    </row>
    <row r="324" spans="1:46" s="634" customFormat="1" ht="15.5" x14ac:dyDescent="0.35">
      <c r="B324" s="535" t="s">
        <v>732</v>
      </c>
      <c r="C324" s="536" t="s">
        <v>733</v>
      </c>
      <c r="D324" s="536"/>
      <c r="E324" s="537"/>
      <c r="F324" s="537"/>
      <c r="G324" s="537"/>
      <c r="H324" s="537"/>
      <c r="I324" s="537"/>
      <c r="J324" s="537"/>
      <c r="K324" s="537"/>
      <c r="L324" s="537"/>
      <c r="M324" s="537"/>
      <c r="N324" s="537"/>
      <c r="O324" s="537"/>
      <c r="P324" s="537"/>
      <c r="Q324" s="635"/>
      <c r="R324" s="635"/>
      <c r="S324" s="635"/>
      <c r="T324" s="635"/>
      <c r="U324" s="635"/>
      <c r="V324" s="635"/>
      <c r="W324" s="636"/>
      <c r="X324" s="539" t="str">
        <f>B324</f>
        <v>8.</v>
      </c>
      <c r="Y324" s="539" t="s">
        <v>734</v>
      </c>
      <c r="Z324" s="635"/>
      <c r="AA324" s="635"/>
      <c r="AB324" s="635"/>
      <c r="AC324" s="635"/>
      <c r="AD324" s="637"/>
      <c r="AE324" s="637"/>
      <c r="AF324" s="637"/>
      <c r="AG324" s="637"/>
      <c r="AH324" s="637"/>
      <c r="AI324" s="637"/>
      <c r="AJ324" s="637"/>
      <c r="AK324" s="637"/>
      <c r="AL324" s="637"/>
      <c r="AM324" s="637"/>
      <c r="AN324" s="637"/>
      <c r="AO324" s="637"/>
      <c r="AP324" s="638"/>
      <c r="AQ324" s="638"/>
      <c r="AS324" s="639"/>
    </row>
    <row r="325" spans="1:46" s="527" customFormat="1" ht="15.5" x14ac:dyDescent="0.35">
      <c r="B325" s="130"/>
      <c r="C325" s="64"/>
      <c r="D325" s="64"/>
      <c r="E325" s="555"/>
      <c r="F325" s="555"/>
      <c r="G325" s="555"/>
      <c r="H325" s="555"/>
      <c r="I325" s="555"/>
      <c r="J325" s="555"/>
      <c r="K325" s="555"/>
      <c r="L325" s="555"/>
      <c r="M325" s="555"/>
      <c r="N325" s="555"/>
      <c r="O325" s="555"/>
      <c r="P325" s="555"/>
      <c r="Q325" s="578"/>
      <c r="R325" s="578"/>
      <c r="S325" s="578"/>
      <c r="T325" s="578"/>
      <c r="U325" s="578"/>
      <c r="V325" s="578"/>
      <c r="W325" s="577"/>
      <c r="X325" s="554"/>
      <c r="Y325" s="554"/>
      <c r="Z325" s="578"/>
      <c r="AA325" s="578"/>
      <c r="AB325" s="578"/>
      <c r="AC325" s="578"/>
      <c r="AD325" s="181"/>
      <c r="AE325" s="181"/>
      <c r="AF325" s="181"/>
      <c r="AG325" s="181"/>
      <c r="AH325" s="181"/>
      <c r="AI325" s="181"/>
      <c r="AJ325" s="181"/>
      <c r="AK325" s="181"/>
      <c r="AL325" s="181"/>
      <c r="AM325" s="181"/>
      <c r="AN325" s="181"/>
      <c r="AO325" s="181"/>
      <c r="AP325" s="640"/>
      <c r="AQ325" s="557"/>
      <c r="AS325" s="641"/>
    </row>
    <row r="326" spans="1:46" s="527" customFormat="1" ht="15.5" x14ac:dyDescent="0.35">
      <c r="B326" s="130"/>
      <c r="C326" s="552" t="str">
        <f>"Saldo dan mutasi Aset tetap selama bulan "&amp;""&amp;IN!$C$5</f>
        <v>Saldo dan mutasi Aset tetap selama bulan 30 June 2026</v>
      </c>
      <c r="D326" s="64"/>
      <c r="E326" s="555"/>
      <c r="F326" s="555"/>
      <c r="G326" s="555"/>
      <c r="H326" s="555"/>
      <c r="I326" s="555"/>
      <c r="J326" s="555"/>
      <c r="K326" s="555"/>
      <c r="L326" s="555"/>
      <c r="M326" s="555"/>
      <c r="N326" s="555"/>
      <c r="O326" s="555"/>
      <c r="P326" s="555"/>
      <c r="Q326" s="578"/>
      <c r="R326" s="578"/>
      <c r="S326" s="578"/>
      <c r="T326" s="578"/>
      <c r="U326" s="578"/>
      <c r="V326" s="578"/>
      <c r="W326" s="577"/>
      <c r="X326" s="554"/>
      <c r="Y326" s="554"/>
      <c r="Z326" s="578"/>
      <c r="AA326" s="578"/>
      <c r="AB326" s="578"/>
      <c r="AC326" s="578"/>
      <c r="AD326" s="181"/>
      <c r="AE326" s="181"/>
      <c r="AF326" s="181"/>
      <c r="AG326" s="181"/>
      <c r="AH326" s="181"/>
      <c r="AI326" s="181"/>
      <c r="AJ326" s="181"/>
      <c r="AK326" s="181"/>
      <c r="AL326" s="181"/>
      <c r="AM326" s="181"/>
      <c r="AN326" s="181"/>
      <c r="AO326" s="181"/>
      <c r="AP326" s="557"/>
      <c r="AQ326" s="2971" t="str">
        <f>"The balance and changes of fixed assets during month of "&amp;""&amp; IN!$C$5</f>
        <v>The balance and changes of fixed assets during month of 30 June 2026</v>
      </c>
      <c r="AS326" s="641"/>
    </row>
    <row r="327" spans="1:46" ht="15.5" x14ac:dyDescent="0.35">
      <c r="A327" s="527"/>
      <c r="C327" s="181" t="str">
        <f>IN!$C$8&amp;" "&amp;"adalah sebagai berikut :"</f>
        <v>31 May 2026 adalah sebagai berikut :</v>
      </c>
      <c r="D327" s="64"/>
      <c r="E327" s="555"/>
      <c r="F327" s="555"/>
      <c r="G327" s="555"/>
      <c r="H327" s="555"/>
      <c r="I327" s="555"/>
      <c r="J327" s="555"/>
      <c r="K327" s="555"/>
      <c r="L327" s="555"/>
      <c r="M327" s="555"/>
      <c r="N327" s="555"/>
      <c r="O327" s="555"/>
      <c r="P327" s="555"/>
      <c r="Q327" s="578"/>
      <c r="R327" s="578"/>
      <c r="S327" s="578"/>
      <c r="T327" s="578"/>
      <c r="U327" s="578"/>
      <c r="V327" s="578"/>
      <c r="W327" s="577"/>
      <c r="X327" s="554"/>
      <c r="Y327" s="554"/>
      <c r="Z327" s="578"/>
      <c r="AA327" s="578"/>
      <c r="AB327" s="578"/>
      <c r="AC327" s="578"/>
      <c r="AP327" s="557"/>
      <c r="AQ327" s="87" t="str">
        <f>IN!$C$8&amp;" "&amp;" are as follows :"</f>
        <v>31 May 2026  are as follows :</v>
      </c>
      <c r="AR327" s="527"/>
      <c r="AS327" s="548"/>
    </row>
    <row r="328" spans="1:46" ht="15.75" customHeight="1" thickBot="1" x14ac:dyDescent="0.4">
      <c r="C328" s="3595" t="str">
        <f>NRC!B5</f>
        <v>30 June 2026</v>
      </c>
      <c r="D328" s="3595"/>
      <c r="E328" s="3595"/>
      <c r="F328" s="3595"/>
      <c r="G328" s="3595"/>
      <c r="H328" s="3595"/>
      <c r="I328" s="3595"/>
      <c r="J328" s="3595"/>
      <c r="K328" s="3595"/>
      <c r="L328" s="3595"/>
      <c r="M328" s="3595"/>
      <c r="N328" s="3595"/>
      <c r="O328" s="3595"/>
      <c r="P328" s="3595"/>
      <c r="Q328" s="3595"/>
      <c r="R328" s="3595"/>
      <c r="S328" s="3595"/>
      <c r="T328" s="3595"/>
      <c r="U328" s="3595"/>
      <c r="V328" s="3595"/>
      <c r="W328" s="3595"/>
      <c r="X328" s="3595"/>
      <c r="Y328" s="3595"/>
      <c r="Z328" s="3595"/>
      <c r="AA328" s="3595"/>
      <c r="AB328" s="3595"/>
      <c r="AC328" s="3595"/>
      <c r="AD328" s="3595"/>
      <c r="AE328" s="3595"/>
      <c r="AF328" s="3595"/>
      <c r="AG328" s="3595"/>
      <c r="AH328" s="3595"/>
      <c r="AI328" s="3595"/>
      <c r="AJ328" s="3595"/>
      <c r="AK328" s="3595"/>
      <c r="AL328" s="3595"/>
      <c r="AM328" s="3595"/>
      <c r="AN328" s="3595"/>
      <c r="AO328" s="3595"/>
      <c r="AP328" s="3595"/>
      <c r="AQ328" s="3595"/>
      <c r="AS328" s="548"/>
    </row>
    <row r="329" spans="1:46" ht="13.5" thickBot="1" x14ac:dyDescent="0.4">
      <c r="C329" s="3716" t="s">
        <v>446</v>
      </c>
      <c r="D329" s="3717"/>
      <c r="E329" s="3717"/>
      <c r="F329" s="3717"/>
      <c r="G329" s="3717"/>
      <c r="H329" s="3717"/>
      <c r="I329" s="3719" t="str">
        <f>NRC!G9</f>
        <v>31 May 2026/</v>
      </c>
      <c r="J329" s="3719" t="str">
        <f>[8]IN!$G$26</f>
        <v>30 June 2023 /</v>
      </c>
      <c r="K329" s="3719" t="str">
        <f>[8]IN!$G$26</f>
        <v>30 June 2023 /</v>
      </c>
      <c r="L329" s="3719" t="str">
        <f>[8]IN!$G$26</f>
        <v>30 June 2023 /</v>
      </c>
      <c r="M329" s="3719" t="str">
        <f>[8]IN!$G$26</f>
        <v>30 June 2023 /</v>
      </c>
      <c r="N329" s="3719" t="str">
        <f>[8]IN!$G$26</f>
        <v>30 June 2023 /</v>
      </c>
      <c r="O329" s="3719" t="s">
        <v>735</v>
      </c>
      <c r="P329" s="3719"/>
      <c r="Q329" s="3719"/>
      <c r="R329" s="3719"/>
      <c r="S329" s="3719"/>
      <c r="T329" s="3719"/>
      <c r="U329" s="3719" t="s">
        <v>736</v>
      </c>
      <c r="V329" s="3719"/>
      <c r="W329" s="3719"/>
      <c r="X329" s="3719"/>
      <c r="Y329" s="3719"/>
      <c r="Z329" s="3719" t="s">
        <v>737</v>
      </c>
      <c r="AA329" s="3719"/>
      <c r="AB329" s="3719"/>
      <c r="AC329" s="3719"/>
      <c r="AD329" s="3719"/>
      <c r="AE329" s="3719"/>
      <c r="AF329" s="3719" t="str">
        <f>NRC!E9</f>
        <v>30 June 2026/</v>
      </c>
      <c r="AG329" s="3719" t="str">
        <f>[8]IN!$G$23</f>
        <v>31 July 2023 /</v>
      </c>
      <c r="AH329" s="3719" t="str">
        <f>[8]IN!$G$23</f>
        <v>31 July 2023 /</v>
      </c>
      <c r="AI329" s="3719" t="str">
        <f>[8]IN!$G$23</f>
        <v>31 July 2023 /</v>
      </c>
      <c r="AJ329" s="3719" t="str">
        <f>[8]IN!$G$23</f>
        <v>31 July 2023 /</v>
      </c>
      <c r="AK329" s="3719" t="str">
        <f>[8]IN!$G$23</f>
        <v>31 July 2023 /</v>
      </c>
      <c r="AL329" s="3720" t="s">
        <v>738</v>
      </c>
      <c r="AM329" s="3720"/>
      <c r="AN329" s="3720"/>
      <c r="AO329" s="3720"/>
      <c r="AP329" s="3720"/>
      <c r="AQ329" s="3721"/>
      <c r="AS329" s="548"/>
    </row>
    <row r="330" spans="1:46" ht="13.5" thickBot="1" x14ac:dyDescent="0.4">
      <c r="C330" s="3718"/>
      <c r="D330" s="3513"/>
      <c r="E330" s="3513"/>
      <c r="F330" s="3513"/>
      <c r="G330" s="3513"/>
      <c r="H330" s="3513"/>
      <c r="I330" s="3635">
        <f>NRC!G10</f>
        <v>46173</v>
      </c>
      <c r="J330" s="3635" t="e">
        <f>[8]IN!$I$26</f>
        <v>#N/A</v>
      </c>
      <c r="K330" s="3635" t="e">
        <f>[8]IN!$I$26</f>
        <v>#N/A</v>
      </c>
      <c r="L330" s="3635" t="e">
        <f>[8]IN!$I$26</f>
        <v>#N/A</v>
      </c>
      <c r="M330" s="3635" t="e">
        <f>[8]IN!$I$26</f>
        <v>#N/A</v>
      </c>
      <c r="N330" s="3635" t="e">
        <f>[8]IN!$I$26</f>
        <v>#N/A</v>
      </c>
      <c r="O330" s="3702" t="s">
        <v>739</v>
      </c>
      <c r="P330" s="3702"/>
      <c r="Q330" s="3702"/>
      <c r="R330" s="3702"/>
      <c r="S330" s="3702"/>
      <c r="T330" s="3702"/>
      <c r="U330" s="3702" t="s">
        <v>740</v>
      </c>
      <c r="V330" s="3702"/>
      <c r="W330" s="3702"/>
      <c r="X330" s="3702"/>
      <c r="Y330" s="3702"/>
      <c r="Z330" s="3702" t="s">
        <v>741</v>
      </c>
      <c r="AA330" s="3702"/>
      <c r="AB330" s="3702"/>
      <c r="AC330" s="3702"/>
      <c r="AD330" s="3702"/>
      <c r="AE330" s="3702"/>
      <c r="AF330" s="3635">
        <f>NRC!E10</f>
        <v>46203</v>
      </c>
      <c r="AG330" s="3635" t="e">
        <f>[8]IN!$I$23</f>
        <v>#N/A</v>
      </c>
      <c r="AH330" s="3635" t="e">
        <f>[8]IN!$I$23</f>
        <v>#N/A</v>
      </c>
      <c r="AI330" s="3635" t="e">
        <f>[8]IN!$I$23</f>
        <v>#N/A</v>
      </c>
      <c r="AJ330" s="3635" t="e">
        <f>[8]IN!$I$23</f>
        <v>#N/A</v>
      </c>
      <c r="AK330" s="3635" t="e">
        <f>[8]IN!$I$23</f>
        <v>#N/A</v>
      </c>
      <c r="AL330" s="3707"/>
      <c r="AM330" s="3707"/>
      <c r="AN330" s="3707"/>
      <c r="AO330" s="3707"/>
      <c r="AP330" s="3707"/>
      <c r="AQ330" s="3722"/>
      <c r="AS330" s="548"/>
    </row>
    <row r="331" spans="1:46" x14ac:dyDescent="0.35">
      <c r="C331" s="642" t="s">
        <v>742</v>
      </c>
      <c r="D331" s="643"/>
      <c r="E331" s="644"/>
      <c r="F331" s="644"/>
      <c r="G331" s="644"/>
      <c r="H331" s="644"/>
      <c r="I331" s="3704"/>
      <c r="J331" s="3704"/>
      <c r="K331" s="3704"/>
      <c r="L331" s="3704"/>
      <c r="M331" s="3704"/>
      <c r="N331" s="3704"/>
      <c r="O331" s="3704"/>
      <c r="P331" s="3704"/>
      <c r="Q331" s="3704"/>
      <c r="R331" s="3704"/>
      <c r="S331" s="3704"/>
      <c r="T331" s="3704"/>
      <c r="U331" s="3704"/>
      <c r="V331" s="3704"/>
      <c r="W331" s="3704"/>
      <c r="X331" s="3704"/>
      <c r="Y331" s="3704"/>
      <c r="Z331" s="3704"/>
      <c r="AA331" s="3704"/>
      <c r="AB331" s="3704"/>
      <c r="AC331" s="3704"/>
      <c r="AD331" s="3704"/>
      <c r="AE331" s="3704"/>
      <c r="AF331" s="3704"/>
      <c r="AG331" s="3704"/>
      <c r="AH331" s="3704"/>
      <c r="AI331" s="3704"/>
      <c r="AJ331" s="3704"/>
      <c r="AK331" s="3704"/>
      <c r="AL331" s="645"/>
      <c r="AM331" s="644"/>
      <c r="AN331" s="644"/>
      <c r="AO331" s="644"/>
      <c r="AP331" s="644"/>
      <c r="AQ331" s="646" t="s">
        <v>216</v>
      </c>
      <c r="AS331" s="548"/>
    </row>
    <row r="332" spans="1:46" outlineLevel="1" x14ac:dyDescent="0.35">
      <c r="C332" s="647" t="s">
        <v>190</v>
      </c>
      <c r="D332" s="648" t="s">
        <v>743</v>
      </c>
      <c r="E332" s="649"/>
      <c r="F332" s="649"/>
      <c r="G332" s="649"/>
      <c r="H332" s="649"/>
      <c r="I332" s="3714">
        <f t="shared" ref="I332:I339" si="0">AF367</f>
        <v>3883970000</v>
      </c>
      <c r="J332" s="3714"/>
      <c r="K332" s="3714"/>
      <c r="L332" s="3714"/>
      <c r="M332" s="3714"/>
      <c r="N332" s="3714"/>
      <c r="O332" s="3437">
        <f>'4'!M25</f>
        <v>0</v>
      </c>
      <c r="P332" s="3437"/>
      <c r="Q332" s="3437"/>
      <c r="R332" s="3437"/>
      <c r="S332" s="3437"/>
      <c r="T332" s="3437"/>
      <c r="U332" s="3437">
        <v>0</v>
      </c>
      <c r="V332" s="3437"/>
      <c r="W332" s="3437"/>
      <c r="X332" s="3437"/>
      <c r="Y332" s="3437"/>
      <c r="Z332" s="3437"/>
      <c r="AA332" s="3437"/>
      <c r="AB332" s="3437"/>
      <c r="AC332" s="3437"/>
      <c r="AD332" s="3437"/>
      <c r="AE332" s="3437"/>
      <c r="AF332" s="3452">
        <f>I332+O332-U332+Z332</f>
        <v>3883970000</v>
      </c>
      <c r="AG332" s="3452"/>
      <c r="AH332" s="3452"/>
      <c r="AI332" s="3452"/>
      <c r="AJ332" s="3452"/>
      <c r="AK332" s="3452"/>
      <c r="AL332" s="650"/>
      <c r="AM332" s="649"/>
      <c r="AN332" s="649"/>
      <c r="AO332" s="649"/>
      <c r="AP332" s="640" t="s">
        <v>744</v>
      </c>
      <c r="AQ332" s="651" t="s">
        <v>190</v>
      </c>
      <c r="AS332" s="548"/>
      <c r="AT332" s="497"/>
    </row>
    <row r="333" spans="1:46" x14ac:dyDescent="0.35">
      <c r="C333" s="647" t="s">
        <v>190</v>
      </c>
      <c r="D333" s="648" t="s">
        <v>557</v>
      </c>
      <c r="E333" s="649"/>
      <c r="F333" s="649"/>
      <c r="G333" s="649"/>
      <c r="H333" s="649"/>
      <c r="I333" s="3714">
        <f t="shared" si="0"/>
        <v>12347364307</v>
      </c>
      <c r="J333" s="3714"/>
      <c r="K333" s="3714"/>
      <c r="L333" s="3714"/>
      <c r="M333" s="3714"/>
      <c r="N333" s="3714"/>
      <c r="O333" s="3437">
        <f>'4'!M71</f>
        <v>0</v>
      </c>
      <c r="P333" s="3437"/>
      <c r="Q333" s="3437"/>
      <c r="R333" s="3437"/>
      <c r="S333" s="3437"/>
      <c r="T333" s="3437"/>
      <c r="U333" s="3437">
        <v>0</v>
      </c>
      <c r="V333" s="3437"/>
      <c r="W333" s="3437"/>
      <c r="X333" s="3437"/>
      <c r="Y333" s="3437"/>
      <c r="Z333" s="3437"/>
      <c r="AA333" s="3437"/>
      <c r="AB333" s="3437"/>
      <c r="AC333" s="3437"/>
      <c r="AD333" s="3437"/>
      <c r="AE333" s="3437"/>
      <c r="AF333" s="3452">
        <f t="shared" ref="AF333:AF339" si="1">I333+O333-U333+Z333</f>
        <v>12347364307</v>
      </c>
      <c r="AG333" s="3452"/>
      <c r="AH333" s="3452"/>
      <c r="AI333" s="3452"/>
      <c r="AJ333" s="3452"/>
      <c r="AK333" s="3452"/>
      <c r="AL333" s="650"/>
      <c r="AM333" s="649"/>
      <c r="AN333" s="649"/>
      <c r="AO333" s="649"/>
      <c r="AP333" s="640" t="s">
        <v>558</v>
      </c>
      <c r="AQ333" s="651" t="s">
        <v>190</v>
      </c>
      <c r="AS333" s="548"/>
      <c r="AT333" s="497"/>
    </row>
    <row r="334" spans="1:46" x14ac:dyDescent="0.35">
      <c r="C334" s="647" t="s">
        <v>190</v>
      </c>
      <c r="D334" s="648" t="s">
        <v>559</v>
      </c>
      <c r="E334" s="649"/>
      <c r="F334" s="649"/>
      <c r="G334" s="649"/>
      <c r="H334" s="649"/>
      <c r="I334" s="3437">
        <f t="shared" si="0"/>
        <v>1082168133</v>
      </c>
      <c r="J334" s="3437"/>
      <c r="K334" s="3437"/>
      <c r="L334" s="3437"/>
      <c r="M334" s="3437"/>
      <c r="N334" s="3437"/>
      <c r="O334" s="3437">
        <f>'4'!M136</f>
        <v>0</v>
      </c>
      <c r="P334" s="3437"/>
      <c r="Q334" s="3437"/>
      <c r="R334" s="3437"/>
      <c r="S334" s="3437"/>
      <c r="T334" s="3437"/>
      <c r="U334" s="3437">
        <v>0</v>
      </c>
      <c r="V334" s="3437"/>
      <c r="W334" s="3437"/>
      <c r="X334" s="3437"/>
      <c r="Y334" s="3437"/>
      <c r="Z334" s="3437"/>
      <c r="AA334" s="3437"/>
      <c r="AB334" s="3437"/>
      <c r="AC334" s="3437"/>
      <c r="AD334" s="3437"/>
      <c r="AE334" s="3437"/>
      <c r="AF334" s="3452">
        <f t="shared" si="1"/>
        <v>1082168133</v>
      </c>
      <c r="AG334" s="3452"/>
      <c r="AH334" s="3452"/>
      <c r="AI334" s="3452"/>
      <c r="AJ334" s="3452"/>
      <c r="AK334" s="3452"/>
      <c r="AL334" s="650"/>
      <c r="AM334" s="649"/>
      <c r="AN334" s="649"/>
      <c r="AO334" s="649"/>
      <c r="AP334" s="640" t="s">
        <v>561</v>
      </c>
      <c r="AQ334" s="651" t="s">
        <v>190</v>
      </c>
      <c r="AS334" s="548"/>
      <c r="AT334" s="497"/>
    </row>
    <row r="335" spans="1:46" x14ac:dyDescent="0.35">
      <c r="C335" s="647" t="s">
        <v>190</v>
      </c>
      <c r="D335" s="648" t="s">
        <v>562</v>
      </c>
      <c r="E335" s="649"/>
      <c r="F335" s="649"/>
      <c r="G335" s="649"/>
      <c r="H335" s="649"/>
      <c r="I335" s="3437">
        <f t="shared" si="0"/>
        <v>860933610</v>
      </c>
      <c r="J335" s="3437"/>
      <c r="K335" s="3437"/>
      <c r="L335" s="3437"/>
      <c r="M335" s="3437"/>
      <c r="N335" s="3437"/>
      <c r="O335" s="3437">
        <f>'4'!M329</f>
        <v>5999000</v>
      </c>
      <c r="P335" s="3437"/>
      <c r="Q335" s="3437"/>
      <c r="R335" s="3437"/>
      <c r="S335" s="3437"/>
      <c r="T335" s="3437"/>
      <c r="U335" s="3437">
        <v>0</v>
      </c>
      <c r="V335" s="3437"/>
      <c r="W335" s="3437"/>
      <c r="X335" s="3437"/>
      <c r="Y335" s="3437"/>
      <c r="Z335" s="3437"/>
      <c r="AA335" s="3437"/>
      <c r="AB335" s="3437"/>
      <c r="AC335" s="3437"/>
      <c r="AD335" s="3437"/>
      <c r="AE335" s="3437"/>
      <c r="AF335" s="3452">
        <f t="shared" si="1"/>
        <v>866932610</v>
      </c>
      <c r="AG335" s="3452"/>
      <c r="AH335" s="3452"/>
      <c r="AI335" s="3452"/>
      <c r="AJ335" s="3452"/>
      <c r="AK335" s="3452"/>
      <c r="AL335" s="650"/>
      <c r="AM335" s="649"/>
      <c r="AN335" s="649"/>
      <c r="AO335" s="649"/>
      <c r="AP335" s="640" t="s">
        <v>563</v>
      </c>
      <c r="AQ335" s="651" t="s">
        <v>190</v>
      </c>
      <c r="AS335" s="548"/>
      <c r="AT335" s="497"/>
    </row>
    <row r="336" spans="1:46" x14ac:dyDescent="0.35">
      <c r="C336" s="647" t="s">
        <v>190</v>
      </c>
      <c r="D336" s="648" t="s">
        <v>564</v>
      </c>
      <c r="E336" s="649"/>
      <c r="F336" s="649"/>
      <c r="G336" s="649"/>
      <c r="H336" s="649"/>
      <c r="I336" s="3437">
        <f t="shared" si="0"/>
        <v>1464478553.0020001</v>
      </c>
      <c r="J336" s="3437"/>
      <c r="K336" s="3437"/>
      <c r="L336" s="3437"/>
      <c r="M336" s="3437"/>
      <c r="N336" s="3437"/>
      <c r="O336" s="3437">
        <f>'4'!M480</f>
        <v>1500000</v>
      </c>
      <c r="P336" s="3437"/>
      <c r="Q336" s="3437"/>
      <c r="R336" s="3437"/>
      <c r="S336" s="3437"/>
      <c r="T336" s="3437"/>
      <c r="U336" s="3437">
        <v>0</v>
      </c>
      <c r="V336" s="3437"/>
      <c r="W336" s="3437"/>
      <c r="X336" s="3437"/>
      <c r="Y336" s="3437"/>
      <c r="Z336" s="3437"/>
      <c r="AA336" s="3437"/>
      <c r="AB336" s="3437"/>
      <c r="AC336" s="3437"/>
      <c r="AD336" s="3437"/>
      <c r="AE336" s="3437"/>
      <c r="AF336" s="3452">
        <f t="shared" si="1"/>
        <v>1465978553.0020001</v>
      </c>
      <c r="AG336" s="3452"/>
      <c r="AH336" s="3452"/>
      <c r="AI336" s="3452"/>
      <c r="AJ336" s="3452"/>
      <c r="AK336" s="3452"/>
      <c r="AL336" s="650"/>
      <c r="AM336" s="649"/>
      <c r="AN336" s="649"/>
      <c r="AO336" s="649"/>
      <c r="AP336" s="640" t="s">
        <v>565</v>
      </c>
      <c r="AQ336" s="651" t="s">
        <v>190</v>
      </c>
      <c r="AS336" s="548"/>
      <c r="AT336" s="497"/>
    </row>
    <row r="337" spans="3:47" outlineLevel="1" x14ac:dyDescent="0.35">
      <c r="C337" s="647" t="s">
        <v>190</v>
      </c>
      <c r="D337" s="648" t="s">
        <v>566</v>
      </c>
      <c r="E337" s="649"/>
      <c r="F337" s="649"/>
      <c r="G337" s="649"/>
      <c r="H337" s="649"/>
      <c r="I337" s="3437">
        <f t="shared" si="0"/>
        <v>298000000</v>
      </c>
      <c r="J337" s="3437"/>
      <c r="K337" s="3437"/>
      <c r="L337" s="3437"/>
      <c r="M337" s="3437"/>
      <c r="N337" s="3437"/>
      <c r="O337" s="3437">
        <f>'4'!M496</f>
        <v>0</v>
      </c>
      <c r="P337" s="3437"/>
      <c r="Q337" s="3437"/>
      <c r="R337" s="3437"/>
      <c r="S337" s="3437"/>
      <c r="T337" s="3437"/>
      <c r="U337" s="3437">
        <v>0</v>
      </c>
      <c r="V337" s="3437"/>
      <c r="W337" s="3437"/>
      <c r="X337" s="3437"/>
      <c r="Y337" s="3437"/>
      <c r="Z337" s="3437"/>
      <c r="AA337" s="3437"/>
      <c r="AB337" s="3437"/>
      <c r="AC337" s="3437"/>
      <c r="AD337" s="3437"/>
      <c r="AE337" s="3437"/>
      <c r="AF337" s="3452">
        <f t="shared" si="1"/>
        <v>298000000</v>
      </c>
      <c r="AG337" s="3452"/>
      <c r="AH337" s="3452"/>
      <c r="AI337" s="3452"/>
      <c r="AJ337" s="3452"/>
      <c r="AK337" s="3452"/>
      <c r="AL337" s="650"/>
      <c r="AM337" s="649"/>
      <c r="AN337" s="649"/>
      <c r="AO337" s="649"/>
      <c r="AP337" s="640" t="s">
        <v>567</v>
      </c>
      <c r="AQ337" s="651" t="s">
        <v>190</v>
      </c>
      <c r="AS337" s="548"/>
      <c r="AT337" s="497"/>
    </row>
    <row r="338" spans="3:47" outlineLevel="1" x14ac:dyDescent="0.35">
      <c r="C338" s="647" t="s">
        <v>190</v>
      </c>
      <c r="D338" s="648" t="s">
        <v>568</v>
      </c>
      <c r="E338" s="649"/>
      <c r="F338" s="649"/>
      <c r="G338" s="649"/>
      <c r="H338" s="649"/>
      <c r="I338" s="3437">
        <f t="shared" si="0"/>
        <v>0</v>
      </c>
      <c r="J338" s="3437"/>
      <c r="K338" s="3437"/>
      <c r="L338" s="3437"/>
      <c r="M338" s="3437"/>
      <c r="N338" s="3437"/>
      <c r="O338" s="3437">
        <v>0</v>
      </c>
      <c r="P338" s="3437"/>
      <c r="Q338" s="3437"/>
      <c r="R338" s="3437"/>
      <c r="S338" s="3437"/>
      <c r="T338" s="3437"/>
      <c r="U338" s="3437">
        <v>0</v>
      </c>
      <c r="V338" s="3437"/>
      <c r="W338" s="3437"/>
      <c r="X338" s="3437"/>
      <c r="Y338" s="3437"/>
      <c r="Z338" s="3437"/>
      <c r="AA338" s="3437"/>
      <c r="AB338" s="3437"/>
      <c r="AC338" s="3437"/>
      <c r="AD338" s="3437"/>
      <c r="AE338" s="3437"/>
      <c r="AF338" s="3452">
        <f t="shared" si="1"/>
        <v>0</v>
      </c>
      <c r="AG338" s="3452"/>
      <c r="AH338" s="3452"/>
      <c r="AI338" s="3452"/>
      <c r="AJ338" s="3452"/>
      <c r="AK338" s="3452"/>
      <c r="AL338" s="650"/>
      <c r="AM338" s="649"/>
      <c r="AN338" s="649"/>
      <c r="AO338" s="649"/>
      <c r="AP338" s="640" t="s">
        <v>569</v>
      </c>
      <c r="AQ338" s="651" t="s">
        <v>190</v>
      </c>
      <c r="AS338" s="548"/>
      <c r="AT338" s="497"/>
    </row>
    <row r="339" spans="3:47" x14ac:dyDescent="0.35">
      <c r="C339" s="647" t="s">
        <v>190</v>
      </c>
      <c r="D339" s="648" t="s">
        <v>570</v>
      </c>
      <c r="E339" s="649"/>
      <c r="F339" s="649"/>
      <c r="G339" s="649"/>
      <c r="H339" s="649"/>
      <c r="I339" s="3437">
        <f t="shared" si="0"/>
        <v>0</v>
      </c>
      <c r="J339" s="3437"/>
      <c r="K339" s="3437"/>
      <c r="L339" s="3437"/>
      <c r="M339" s="3437"/>
      <c r="N339" s="3437"/>
      <c r="O339" s="3615">
        <v>0</v>
      </c>
      <c r="P339" s="3615"/>
      <c r="Q339" s="3615"/>
      <c r="R339" s="3615"/>
      <c r="S339" s="3615"/>
      <c r="T339" s="3615"/>
      <c r="U339" s="3437">
        <v>0</v>
      </c>
      <c r="V339" s="3437"/>
      <c r="W339" s="3437"/>
      <c r="X339" s="3437"/>
      <c r="Y339" s="3437"/>
      <c r="Z339" s="3490"/>
      <c r="AA339" s="3490"/>
      <c r="AB339" s="3490"/>
      <c r="AC339" s="3490"/>
      <c r="AD339" s="3490"/>
      <c r="AE339" s="3490"/>
      <c r="AF339" s="3452">
        <f t="shared" si="1"/>
        <v>0</v>
      </c>
      <c r="AG339" s="3452"/>
      <c r="AH339" s="3452"/>
      <c r="AI339" s="3452"/>
      <c r="AJ339" s="3452"/>
      <c r="AK339" s="3452"/>
      <c r="AL339" s="650"/>
      <c r="AM339" s="649"/>
      <c r="AN339" s="649"/>
      <c r="AO339" s="649"/>
      <c r="AP339" s="640" t="s">
        <v>571</v>
      </c>
      <c r="AQ339" s="651" t="s">
        <v>190</v>
      </c>
      <c r="AS339" s="548"/>
      <c r="AT339" s="497"/>
    </row>
    <row r="340" spans="3:47" x14ac:dyDescent="0.35">
      <c r="C340" s="647"/>
      <c r="D340" s="648"/>
      <c r="E340" s="649"/>
      <c r="F340" s="649"/>
      <c r="G340" s="649"/>
      <c r="H340" s="649"/>
      <c r="I340" s="3459">
        <f>SUM(I332:N339)</f>
        <v>19936914603.001999</v>
      </c>
      <c r="J340" s="3459"/>
      <c r="K340" s="3459"/>
      <c r="L340" s="3459"/>
      <c r="M340" s="3459"/>
      <c r="N340" s="3459"/>
      <c r="O340" s="3437">
        <f>SUM(O332:T339)</f>
        <v>7499000</v>
      </c>
      <c r="P340" s="3437"/>
      <c r="Q340" s="3437"/>
      <c r="R340" s="3437"/>
      <c r="S340" s="3437"/>
      <c r="T340" s="3437"/>
      <c r="U340" s="3459">
        <f>SUM(U332:Y339)</f>
        <v>0</v>
      </c>
      <c r="V340" s="3459"/>
      <c r="W340" s="3459"/>
      <c r="X340" s="3459"/>
      <c r="Y340" s="3459"/>
      <c r="Z340" s="3459">
        <f>SUM(Z332:AE339)</f>
        <v>0</v>
      </c>
      <c r="AA340" s="3459"/>
      <c r="AB340" s="3459"/>
      <c r="AC340" s="3459"/>
      <c r="AD340" s="3459"/>
      <c r="AE340" s="3459"/>
      <c r="AF340" s="3696">
        <f>SUM(AF332:AK339)</f>
        <v>19944413603.001999</v>
      </c>
      <c r="AG340" s="3696"/>
      <c r="AH340" s="3696"/>
      <c r="AI340" s="3696"/>
      <c r="AJ340" s="3696"/>
      <c r="AK340" s="3696"/>
      <c r="AL340" s="650"/>
      <c r="AM340" s="649"/>
      <c r="AN340" s="649"/>
      <c r="AO340" s="649"/>
      <c r="AP340" s="640"/>
      <c r="AQ340" s="651"/>
      <c r="AS340" s="548"/>
      <c r="AT340" s="497"/>
    </row>
    <row r="341" spans="3:47" outlineLevel="1" x14ac:dyDescent="0.35">
      <c r="C341" s="647" t="s">
        <v>190</v>
      </c>
      <c r="D341" s="2842" t="s">
        <v>273</v>
      </c>
      <c r="E341" s="2843"/>
      <c r="F341" s="2843"/>
      <c r="G341" s="2843"/>
      <c r="H341" s="2843"/>
      <c r="I341" s="3626">
        <f>AF376</f>
        <v>126185383</v>
      </c>
      <c r="J341" s="3626"/>
      <c r="K341" s="3626"/>
      <c r="L341" s="3626"/>
      <c r="M341" s="3626"/>
      <c r="N341" s="3626"/>
      <c r="O341" s="3626">
        <f>'4'!M499</f>
        <v>0</v>
      </c>
      <c r="P341" s="3626"/>
      <c r="Q341" s="3626"/>
      <c r="R341" s="3626"/>
      <c r="S341" s="3626"/>
      <c r="T341" s="3626"/>
      <c r="U341" s="3437"/>
      <c r="V341" s="3437"/>
      <c r="W341" s="3437"/>
      <c r="X341" s="3437"/>
      <c r="Y341" s="3437"/>
      <c r="Z341" s="3437"/>
      <c r="AA341" s="3437"/>
      <c r="AB341" s="3437"/>
      <c r="AC341" s="3437"/>
      <c r="AD341" s="3437"/>
      <c r="AE341" s="3437"/>
      <c r="AF341" s="3452">
        <f>I341+O341-U341+Z341</f>
        <v>126185383</v>
      </c>
      <c r="AG341" s="3452"/>
      <c r="AH341" s="3452"/>
      <c r="AI341" s="3452"/>
      <c r="AJ341" s="3452"/>
      <c r="AK341" s="3452"/>
      <c r="AL341" s="650"/>
      <c r="AM341" s="649"/>
      <c r="AN341" s="649"/>
      <c r="AO341" s="649"/>
      <c r="AP341" s="640" t="s">
        <v>274</v>
      </c>
      <c r="AQ341" s="651" t="s">
        <v>190</v>
      </c>
      <c r="AS341" s="548"/>
    </row>
    <row r="342" spans="3:47" outlineLevel="1" x14ac:dyDescent="0.35">
      <c r="C342" s="647" t="s">
        <v>190</v>
      </c>
      <c r="D342" s="648" t="s">
        <v>745</v>
      </c>
      <c r="E342" s="649"/>
      <c r="F342" s="649"/>
      <c r="G342" s="649"/>
      <c r="H342" s="649"/>
      <c r="I342" s="3437"/>
      <c r="J342" s="3437"/>
      <c r="K342" s="3437"/>
      <c r="L342" s="3437"/>
      <c r="M342" s="3437"/>
      <c r="N342" s="3437"/>
      <c r="O342" s="3437"/>
      <c r="P342" s="3437"/>
      <c r="Q342" s="3437"/>
      <c r="R342" s="3437"/>
      <c r="S342" s="3437"/>
      <c r="T342" s="3437"/>
      <c r="U342" s="3437"/>
      <c r="V342" s="3437"/>
      <c r="W342" s="3437"/>
      <c r="X342" s="3437"/>
      <c r="Y342" s="3437"/>
      <c r="Z342" s="3437"/>
      <c r="AA342" s="3437"/>
      <c r="AB342" s="3437"/>
      <c r="AC342" s="3437"/>
      <c r="AD342" s="3437"/>
      <c r="AE342" s="3437"/>
      <c r="AF342" s="3452"/>
      <c r="AG342" s="3452"/>
      <c r="AH342" s="3452"/>
      <c r="AI342" s="3452"/>
      <c r="AJ342" s="3452"/>
      <c r="AK342" s="3452"/>
      <c r="AL342" s="650"/>
      <c r="AM342" s="649"/>
      <c r="AN342" s="649"/>
      <c r="AO342" s="649"/>
      <c r="AP342" s="640" t="s">
        <v>746</v>
      </c>
      <c r="AQ342" s="651" t="s">
        <v>190</v>
      </c>
      <c r="AS342" s="548"/>
    </row>
    <row r="343" spans="3:47" outlineLevel="1" x14ac:dyDescent="0.35">
      <c r="C343" s="647"/>
      <c r="D343" s="648" t="s">
        <v>747</v>
      </c>
      <c r="E343" s="649"/>
      <c r="F343" s="649"/>
      <c r="G343" s="649"/>
      <c r="H343" s="649"/>
      <c r="I343" s="3437">
        <f>AF378</f>
        <v>2925854386</v>
      </c>
      <c r="J343" s="3437"/>
      <c r="K343" s="3437"/>
      <c r="L343" s="3437"/>
      <c r="M343" s="3437"/>
      <c r="N343" s="3437"/>
      <c r="O343" s="3437">
        <f>'4'!M515</f>
        <v>0</v>
      </c>
      <c r="P343" s="3437"/>
      <c r="Q343" s="3437"/>
      <c r="R343" s="3437"/>
      <c r="S343" s="3437"/>
      <c r="T343" s="3437"/>
      <c r="U343" s="3437"/>
      <c r="V343" s="3437"/>
      <c r="W343" s="3437"/>
      <c r="X343" s="3437"/>
      <c r="Y343" s="3437"/>
      <c r="Z343" s="3437"/>
      <c r="AA343" s="3437"/>
      <c r="AB343" s="3437"/>
      <c r="AC343" s="3437"/>
      <c r="AD343" s="3437"/>
      <c r="AE343" s="3437"/>
      <c r="AF343" s="3452">
        <f>I343+O343-U343+Z343</f>
        <v>2925854386</v>
      </c>
      <c r="AG343" s="3452"/>
      <c r="AH343" s="3452"/>
      <c r="AI343" s="3452"/>
      <c r="AJ343" s="3452"/>
      <c r="AK343" s="3452"/>
      <c r="AL343" s="650"/>
      <c r="AM343" s="649"/>
      <c r="AN343" s="649"/>
      <c r="AO343" s="649"/>
      <c r="AP343" s="640" t="s">
        <v>558</v>
      </c>
      <c r="AQ343" s="651"/>
      <c r="AS343" s="548"/>
      <c r="AT343" s="367"/>
    </row>
    <row r="344" spans="3:47" outlineLevel="1" x14ac:dyDescent="0.35">
      <c r="C344" s="647"/>
      <c r="D344" s="648" t="s">
        <v>748</v>
      </c>
      <c r="E344" s="649"/>
      <c r="F344" s="649"/>
      <c r="G344" s="649"/>
      <c r="H344" s="649"/>
      <c r="I344" s="3615">
        <f>AF379</f>
        <v>0</v>
      </c>
      <c r="J344" s="3615"/>
      <c r="K344" s="3615"/>
      <c r="L344" s="3615"/>
      <c r="M344" s="3615"/>
      <c r="N344" s="3615"/>
      <c r="O344" s="3615">
        <v>0</v>
      </c>
      <c r="P344" s="3615"/>
      <c r="Q344" s="3615"/>
      <c r="R344" s="3615"/>
      <c r="S344" s="3615"/>
      <c r="T344" s="3615"/>
      <c r="U344" s="3490">
        <v>0</v>
      </c>
      <c r="V344" s="3490"/>
      <c r="W344" s="3490"/>
      <c r="X344" s="3490"/>
      <c r="Y344" s="3490"/>
      <c r="Z344" s="3490">
        <v>0</v>
      </c>
      <c r="AA344" s="3490"/>
      <c r="AB344" s="3490"/>
      <c r="AC344" s="3490"/>
      <c r="AD344" s="3490"/>
      <c r="AE344" s="3490"/>
      <c r="AF344" s="3460">
        <f>I344+O344-U344+Z344</f>
        <v>0</v>
      </c>
      <c r="AG344" s="3460"/>
      <c r="AH344" s="3460"/>
      <c r="AI344" s="3460"/>
      <c r="AJ344" s="3460"/>
      <c r="AK344" s="3460"/>
      <c r="AL344" s="650"/>
      <c r="AM344" s="649"/>
      <c r="AN344" s="649"/>
      <c r="AO344" s="649"/>
      <c r="AP344" s="640" t="s">
        <v>749</v>
      </c>
      <c r="AQ344" s="651"/>
      <c r="AS344" s="548"/>
    </row>
    <row r="345" spans="3:47" outlineLevel="1" x14ac:dyDescent="0.35">
      <c r="C345" s="647"/>
      <c r="D345" s="648"/>
      <c r="E345" s="649"/>
      <c r="F345" s="649"/>
      <c r="G345" s="649"/>
      <c r="H345" s="649"/>
      <c r="I345" s="3437">
        <f>SUM(I343:N344)</f>
        <v>2925854386</v>
      </c>
      <c r="J345" s="3437"/>
      <c r="K345" s="3437"/>
      <c r="L345" s="3437"/>
      <c r="M345" s="3437"/>
      <c r="N345" s="3437"/>
      <c r="O345" s="3437">
        <f>SUM(O343:T344)</f>
        <v>0</v>
      </c>
      <c r="P345" s="3437"/>
      <c r="Q345" s="3437"/>
      <c r="R345" s="3437"/>
      <c r="S345" s="3437"/>
      <c r="T345" s="3437"/>
      <c r="U345" s="3437">
        <f>SUM(U343:Y344)</f>
        <v>0</v>
      </c>
      <c r="V345" s="3437"/>
      <c r="W345" s="3437"/>
      <c r="X345" s="3437"/>
      <c r="Y345" s="3437"/>
      <c r="Z345" s="3437">
        <f>SUM(Z343:AE344)</f>
        <v>0</v>
      </c>
      <c r="AA345" s="3437"/>
      <c r="AB345" s="3437"/>
      <c r="AC345" s="3437"/>
      <c r="AD345" s="3437"/>
      <c r="AE345" s="3437"/>
      <c r="AF345" s="3452">
        <f>SUM(AF343:AK344)</f>
        <v>2925854386</v>
      </c>
      <c r="AG345" s="3452"/>
      <c r="AH345" s="3452"/>
      <c r="AI345" s="3452"/>
      <c r="AJ345" s="3452"/>
      <c r="AK345" s="3452"/>
      <c r="AL345" s="650"/>
      <c r="AM345" s="649"/>
      <c r="AN345" s="649"/>
      <c r="AO345" s="649"/>
      <c r="AP345" s="640"/>
      <c r="AQ345" s="651"/>
      <c r="AS345" s="548"/>
      <c r="AT345" s="367"/>
    </row>
    <row r="346" spans="3:47" ht="13.5" outlineLevel="1" thickBot="1" x14ac:dyDescent="0.4">
      <c r="C346" s="652"/>
      <c r="D346" s="653"/>
      <c r="E346" s="654"/>
      <c r="F346" s="654"/>
      <c r="G346" s="654"/>
      <c r="H346" s="654"/>
      <c r="I346" s="3685"/>
      <c r="J346" s="3685"/>
      <c r="K346" s="3685"/>
      <c r="L346" s="3685"/>
      <c r="M346" s="3685"/>
      <c r="N346" s="3685"/>
      <c r="O346" s="3685"/>
      <c r="P346" s="3685"/>
      <c r="Q346" s="3685"/>
      <c r="R346" s="3685"/>
      <c r="S346" s="3685"/>
      <c r="T346" s="3685"/>
      <c r="U346" s="3685"/>
      <c r="V346" s="3685"/>
      <c r="W346" s="3685"/>
      <c r="X346" s="3685"/>
      <c r="Y346" s="3685"/>
      <c r="Z346" s="3685"/>
      <c r="AA346" s="3685"/>
      <c r="AB346" s="3685"/>
      <c r="AC346" s="3685"/>
      <c r="AD346" s="3685"/>
      <c r="AE346" s="3685"/>
      <c r="AF346" s="3685"/>
      <c r="AG346" s="3685"/>
      <c r="AH346" s="3685"/>
      <c r="AI346" s="3685"/>
      <c r="AJ346" s="3685"/>
      <c r="AK346" s="3685"/>
      <c r="AL346" s="655"/>
      <c r="AM346" s="654"/>
      <c r="AN346" s="654"/>
      <c r="AO346" s="654"/>
      <c r="AP346" s="656"/>
      <c r="AQ346" s="657"/>
      <c r="AS346" s="548"/>
    </row>
    <row r="347" spans="3:47" x14ac:dyDescent="0.35">
      <c r="C347" s="658" t="s">
        <v>750</v>
      </c>
      <c r="D347" s="659"/>
      <c r="E347" s="660"/>
      <c r="F347" s="660"/>
      <c r="G347" s="660"/>
      <c r="H347" s="660"/>
      <c r="I347" s="3713">
        <f>I345+I340+I341</f>
        <v>22988954372.001999</v>
      </c>
      <c r="J347" s="3713"/>
      <c r="K347" s="3713"/>
      <c r="L347" s="3713"/>
      <c r="M347" s="3713"/>
      <c r="N347" s="3713"/>
      <c r="O347" s="3713">
        <f>O345+O341+O340</f>
        <v>7499000</v>
      </c>
      <c r="P347" s="3713"/>
      <c r="Q347" s="3713"/>
      <c r="R347" s="3713"/>
      <c r="S347" s="3713"/>
      <c r="T347" s="3713"/>
      <c r="U347" s="3713">
        <f>U345+U341+U340</f>
        <v>0</v>
      </c>
      <c r="V347" s="3713"/>
      <c r="W347" s="3713"/>
      <c r="X347" s="3713"/>
      <c r="Y347" s="3713"/>
      <c r="Z347" s="3713">
        <f>Z345+Z340</f>
        <v>0</v>
      </c>
      <c r="AA347" s="3713"/>
      <c r="AB347" s="3713"/>
      <c r="AC347" s="3713"/>
      <c r="AD347" s="3713"/>
      <c r="AE347" s="3713"/>
      <c r="AF347" s="3713">
        <f>AF345+AF341+AF340</f>
        <v>22996453372.001999</v>
      </c>
      <c r="AG347" s="3713"/>
      <c r="AH347" s="3713"/>
      <c r="AI347" s="3713"/>
      <c r="AJ347" s="3713"/>
      <c r="AK347" s="3713"/>
      <c r="AL347" s="661"/>
      <c r="AM347" s="660"/>
      <c r="AN347" s="660"/>
      <c r="AO347" s="660"/>
      <c r="AP347" s="660"/>
      <c r="AQ347" s="662" t="s">
        <v>751</v>
      </c>
      <c r="AS347" s="548"/>
      <c r="AT347" s="85"/>
    </row>
    <row r="348" spans="3:47" x14ac:dyDescent="0.35">
      <c r="C348" s="663" t="s">
        <v>752</v>
      </c>
      <c r="D348" s="648"/>
      <c r="E348" s="649"/>
      <c r="F348" s="649"/>
      <c r="G348" s="649"/>
      <c r="H348" s="649"/>
      <c r="I348" s="3457"/>
      <c r="J348" s="3457"/>
      <c r="K348" s="3457"/>
      <c r="L348" s="3457"/>
      <c r="M348" s="3457"/>
      <c r="N348" s="3457"/>
      <c r="O348" s="3457"/>
      <c r="P348" s="3457"/>
      <c r="Q348" s="3457"/>
      <c r="R348" s="3457"/>
      <c r="S348" s="3457"/>
      <c r="T348" s="3457"/>
      <c r="U348" s="3437"/>
      <c r="V348" s="3437"/>
      <c r="W348" s="3437"/>
      <c r="X348" s="3437"/>
      <c r="Y348" s="3437"/>
      <c r="Z348" s="3457"/>
      <c r="AA348" s="3457"/>
      <c r="AB348" s="3457"/>
      <c r="AC348" s="3457"/>
      <c r="AD348" s="3457"/>
      <c r="AE348" s="3457"/>
      <c r="AF348" s="3457"/>
      <c r="AG348" s="3457"/>
      <c r="AH348" s="3457"/>
      <c r="AI348" s="3457"/>
      <c r="AJ348" s="3457"/>
      <c r="AK348" s="3457"/>
      <c r="AL348" s="650"/>
      <c r="AM348" s="649"/>
      <c r="AN348" s="649"/>
      <c r="AO348" s="649"/>
      <c r="AP348" s="649"/>
      <c r="AQ348" s="664" t="s">
        <v>218</v>
      </c>
      <c r="AS348" s="548"/>
      <c r="AT348" s="367"/>
    </row>
    <row r="349" spans="3:47" x14ac:dyDescent="0.35">
      <c r="C349" s="647" t="s">
        <v>190</v>
      </c>
      <c r="D349" s="648" t="s">
        <v>557</v>
      </c>
      <c r="E349" s="649"/>
      <c r="F349" s="649"/>
      <c r="G349" s="649"/>
      <c r="H349" s="649"/>
      <c r="I349" s="3437">
        <f t="shared" ref="I349:I355" si="2">AF385</f>
        <v>1926020627.6708338</v>
      </c>
      <c r="J349" s="3437"/>
      <c r="K349" s="3437"/>
      <c r="L349" s="3437"/>
      <c r="M349" s="3437"/>
      <c r="N349" s="3437"/>
      <c r="O349" s="3434">
        <f>'4'!Q71</f>
        <v>51343184.612499997</v>
      </c>
      <c r="P349" s="3435"/>
      <c r="Q349" s="3435"/>
      <c r="R349" s="3435"/>
      <c r="S349" s="3435"/>
      <c r="T349" s="3456"/>
      <c r="U349" s="3437">
        <f>'[9]4'!R104</f>
        <v>0</v>
      </c>
      <c r="V349" s="3437"/>
      <c r="W349" s="3437"/>
      <c r="X349" s="3437"/>
      <c r="Y349" s="3437"/>
      <c r="Z349" s="3437"/>
      <c r="AA349" s="3437"/>
      <c r="AB349" s="3437"/>
      <c r="AC349" s="3437"/>
      <c r="AD349" s="3437"/>
      <c r="AE349" s="3437"/>
      <c r="AF349" s="3437">
        <f t="shared" ref="AF349:AF355" si="3">I349+O349-U349</f>
        <v>1977363812.2833338</v>
      </c>
      <c r="AG349" s="3437"/>
      <c r="AH349" s="3437"/>
      <c r="AI349" s="3437"/>
      <c r="AJ349" s="3437"/>
      <c r="AK349" s="3437"/>
      <c r="AL349" s="650"/>
      <c r="AM349" s="649"/>
      <c r="AN349" s="649"/>
      <c r="AO349" s="649"/>
      <c r="AP349" s="640" t="s">
        <v>558</v>
      </c>
      <c r="AQ349" s="651" t="s">
        <v>190</v>
      </c>
      <c r="AS349" s="548"/>
      <c r="AT349" s="367"/>
      <c r="AU349" s="367"/>
    </row>
    <row r="350" spans="3:47" x14ac:dyDescent="0.35">
      <c r="C350" s="647" t="s">
        <v>190</v>
      </c>
      <c r="D350" s="648" t="s">
        <v>559</v>
      </c>
      <c r="E350" s="649"/>
      <c r="F350" s="649"/>
      <c r="G350" s="649"/>
      <c r="H350" s="649"/>
      <c r="I350" s="3437">
        <f t="shared" si="2"/>
        <v>185237744.42375001</v>
      </c>
      <c r="J350" s="3437"/>
      <c r="K350" s="3437"/>
      <c r="L350" s="3437"/>
      <c r="M350" s="3437"/>
      <c r="N350" s="3437"/>
      <c r="O350" s="3434">
        <f>'4'!Q136</f>
        <v>6247597.427083333</v>
      </c>
      <c r="P350" s="3435"/>
      <c r="Q350" s="3435"/>
      <c r="R350" s="3435"/>
      <c r="S350" s="3435"/>
      <c r="T350" s="3456"/>
      <c r="U350" s="3437">
        <f>'[9]4'!R189</f>
        <v>0</v>
      </c>
      <c r="V350" s="3437"/>
      <c r="W350" s="3437"/>
      <c r="X350" s="3437"/>
      <c r="Y350" s="3437"/>
      <c r="Z350" s="3437"/>
      <c r="AA350" s="3437"/>
      <c r="AB350" s="3437"/>
      <c r="AC350" s="3437"/>
      <c r="AD350" s="3437"/>
      <c r="AE350" s="3437"/>
      <c r="AF350" s="3437">
        <f t="shared" si="3"/>
        <v>191485341.85083336</v>
      </c>
      <c r="AG350" s="3437"/>
      <c r="AH350" s="3437"/>
      <c r="AI350" s="3437"/>
      <c r="AJ350" s="3437"/>
      <c r="AK350" s="3437"/>
      <c r="AL350" s="650"/>
      <c r="AM350" s="649"/>
      <c r="AN350" s="649"/>
      <c r="AO350" s="649"/>
      <c r="AP350" s="640" t="s">
        <v>561</v>
      </c>
      <c r="AQ350" s="651" t="s">
        <v>190</v>
      </c>
      <c r="AS350" s="548"/>
      <c r="AT350" s="367"/>
      <c r="AU350" s="367"/>
    </row>
    <row r="351" spans="3:47" x14ac:dyDescent="0.35">
      <c r="C351" s="647" t="s">
        <v>190</v>
      </c>
      <c r="D351" s="648" t="s">
        <v>562</v>
      </c>
      <c r="E351" s="649"/>
      <c r="F351" s="649"/>
      <c r="G351" s="649"/>
      <c r="H351" s="649"/>
      <c r="I351" s="3437">
        <f t="shared" si="2"/>
        <v>472301761.13960004</v>
      </c>
      <c r="J351" s="3437"/>
      <c r="K351" s="3437"/>
      <c r="L351" s="3437"/>
      <c r="M351" s="3437"/>
      <c r="N351" s="3437"/>
      <c r="O351" s="3434">
        <f>'4'!Q329</f>
        <v>12982655.41666667</v>
      </c>
      <c r="P351" s="3435"/>
      <c r="Q351" s="3435"/>
      <c r="R351" s="3435"/>
      <c r="S351" s="3435"/>
      <c r="T351" s="3456"/>
      <c r="U351" s="3437">
        <f>'[8]4'!T409</f>
        <v>0</v>
      </c>
      <c r="V351" s="3437"/>
      <c r="W351" s="3437"/>
      <c r="X351" s="3437"/>
      <c r="Y351" s="3437"/>
      <c r="Z351" s="3437"/>
      <c r="AA351" s="3437"/>
      <c r="AB351" s="3437"/>
      <c r="AC351" s="3437"/>
      <c r="AD351" s="3437"/>
      <c r="AE351" s="3437"/>
      <c r="AF351" s="3437">
        <f t="shared" si="3"/>
        <v>485284416.55626673</v>
      </c>
      <c r="AG351" s="3437"/>
      <c r="AH351" s="3437"/>
      <c r="AI351" s="3437"/>
      <c r="AJ351" s="3437"/>
      <c r="AK351" s="3437"/>
      <c r="AL351" s="650"/>
      <c r="AM351" s="649"/>
      <c r="AN351" s="649"/>
      <c r="AO351" s="649"/>
      <c r="AP351" s="640" t="s">
        <v>563</v>
      </c>
      <c r="AQ351" s="651" t="s">
        <v>190</v>
      </c>
      <c r="AS351" s="548"/>
      <c r="AT351" s="367"/>
      <c r="AU351" s="367"/>
    </row>
    <row r="352" spans="3:47" x14ac:dyDescent="0.35">
      <c r="C352" s="647" t="s">
        <v>190</v>
      </c>
      <c r="D352" s="648" t="s">
        <v>564</v>
      </c>
      <c r="E352" s="649"/>
      <c r="F352" s="649"/>
      <c r="G352" s="649"/>
      <c r="H352" s="649"/>
      <c r="I352" s="3437">
        <f t="shared" si="2"/>
        <v>912188919.68801129</v>
      </c>
      <c r="J352" s="3437"/>
      <c r="K352" s="3437"/>
      <c r="L352" s="3437"/>
      <c r="M352" s="3437"/>
      <c r="N352" s="3437"/>
      <c r="O352" s="3434">
        <f>'4'!Q480</f>
        <v>18917086.216700003</v>
      </c>
      <c r="P352" s="3435"/>
      <c r="Q352" s="3435"/>
      <c r="R352" s="3435"/>
      <c r="S352" s="3435"/>
      <c r="T352" s="3456"/>
      <c r="U352" s="3437">
        <f>'[8]4'!T592</f>
        <v>0</v>
      </c>
      <c r="V352" s="3437"/>
      <c r="W352" s="3437"/>
      <c r="X352" s="3437"/>
      <c r="Y352" s="3437"/>
      <c r="Z352" s="3437"/>
      <c r="AA352" s="3437"/>
      <c r="AB352" s="3437"/>
      <c r="AC352" s="3437"/>
      <c r="AD352" s="3437"/>
      <c r="AE352" s="3437"/>
      <c r="AF352" s="3437">
        <f t="shared" si="3"/>
        <v>931106005.90471125</v>
      </c>
      <c r="AG352" s="3437"/>
      <c r="AH352" s="3437"/>
      <c r="AI352" s="3437"/>
      <c r="AJ352" s="3437"/>
      <c r="AK352" s="3437"/>
      <c r="AL352" s="650"/>
      <c r="AM352" s="649"/>
      <c r="AN352" s="649"/>
      <c r="AO352" s="649"/>
      <c r="AP352" s="640" t="s">
        <v>565</v>
      </c>
      <c r="AQ352" s="651" t="s">
        <v>190</v>
      </c>
      <c r="AS352" s="548"/>
      <c r="AT352" s="367"/>
      <c r="AU352" s="367"/>
    </row>
    <row r="353" spans="2:47" ht="12.75" customHeight="1" outlineLevel="1" x14ac:dyDescent="0.35">
      <c r="C353" s="647" t="s">
        <v>190</v>
      </c>
      <c r="D353" s="648" t="s">
        <v>566</v>
      </c>
      <c r="E353" s="649"/>
      <c r="F353" s="649"/>
      <c r="G353" s="649"/>
      <c r="H353" s="649"/>
      <c r="I353" s="3437">
        <f t="shared" si="2"/>
        <v>97350818.663000017</v>
      </c>
      <c r="J353" s="3437"/>
      <c r="K353" s="3437"/>
      <c r="L353" s="3437"/>
      <c r="M353" s="3437"/>
      <c r="N353" s="3437"/>
      <c r="O353" s="3434">
        <f>'4'!Q496</f>
        <v>2330208.3333333335</v>
      </c>
      <c r="P353" s="3435"/>
      <c r="Q353" s="3435"/>
      <c r="R353" s="3435"/>
      <c r="S353" s="3435"/>
      <c r="T353" s="3456"/>
      <c r="U353" s="3437">
        <f>'[9]4'!R1957</f>
        <v>0</v>
      </c>
      <c r="V353" s="3437"/>
      <c r="W353" s="3437"/>
      <c r="X353" s="3437"/>
      <c r="Y353" s="3437"/>
      <c r="Z353" s="3437"/>
      <c r="AA353" s="3437"/>
      <c r="AB353" s="3437"/>
      <c r="AC353" s="3437"/>
      <c r="AD353" s="3437"/>
      <c r="AE353" s="3437"/>
      <c r="AF353" s="3437">
        <f t="shared" si="3"/>
        <v>99681026.996333346</v>
      </c>
      <c r="AG353" s="3437"/>
      <c r="AH353" s="3437"/>
      <c r="AI353" s="3437"/>
      <c r="AJ353" s="3437"/>
      <c r="AK353" s="3437"/>
      <c r="AL353" s="650"/>
      <c r="AM353" s="649"/>
      <c r="AN353" s="649"/>
      <c r="AO353" s="649"/>
      <c r="AP353" s="640" t="s">
        <v>567</v>
      </c>
      <c r="AQ353" s="651" t="s">
        <v>190</v>
      </c>
      <c r="AS353" s="548"/>
      <c r="AT353" s="367"/>
      <c r="AU353" s="367"/>
    </row>
    <row r="354" spans="2:47" ht="12.75" customHeight="1" outlineLevel="1" x14ac:dyDescent="0.35">
      <c r="C354" s="647" t="s">
        <v>190</v>
      </c>
      <c r="D354" s="648" t="s">
        <v>568</v>
      </c>
      <c r="E354" s="649"/>
      <c r="F354" s="649"/>
      <c r="G354" s="649"/>
      <c r="H354" s="649"/>
      <c r="I354" s="3437">
        <f t="shared" si="2"/>
        <v>0</v>
      </c>
      <c r="J354" s="3437"/>
      <c r="K354" s="3437"/>
      <c r="L354" s="3437"/>
      <c r="M354" s="3437"/>
      <c r="N354" s="3437"/>
      <c r="O354" s="3434">
        <v>0</v>
      </c>
      <c r="P354" s="3435"/>
      <c r="Q354" s="3435"/>
      <c r="R354" s="3435"/>
      <c r="S354" s="3435"/>
      <c r="T354" s="3456"/>
      <c r="U354" s="3437">
        <f>'[9]4'!R2420</f>
        <v>0</v>
      </c>
      <c r="V354" s="3437"/>
      <c r="W354" s="3437"/>
      <c r="X354" s="3437"/>
      <c r="Y354" s="3437"/>
      <c r="Z354" s="3437"/>
      <c r="AA354" s="3437"/>
      <c r="AB354" s="3437"/>
      <c r="AC354" s="3437"/>
      <c r="AD354" s="3437"/>
      <c r="AE354" s="3437"/>
      <c r="AF354" s="3437">
        <f t="shared" si="3"/>
        <v>0</v>
      </c>
      <c r="AG354" s="3437"/>
      <c r="AH354" s="3437"/>
      <c r="AI354" s="3437"/>
      <c r="AJ354" s="3437"/>
      <c r="AK354" s="3437"/>
      <c r="AL354" s="650"/>
      <c r="AM354" s="649"/>
      <c r="AN354" s="649"/>
      <c r="AO354" s="649"/>
      <c r="AP354" s="640" t="s">
        <v>569</v>
      </c>
      <c r="AQ354" s="651" t="s">
        <v>190</v>
      </c>
      <c r="AS354" s="548"/>
      <c r="AT354" s="367"/>
      <c r="AU354" s="367"/>
    </row>
    <row r="355" spans="2:47" x14ac:dyDescent="0.35">
      <c r="C355" s="647" t="s">
        <v>190</v>
      </c>
      <c r="D355" s="648" t="s">
        <v>570</v>
      </c>
      <c r="E355" s="649"/>
      <c r="F355" s="649"/>
      <c r="G355" s="649"/>
      <c r="H355" s="665"/>
      <c r="I355" s="3615">
        <f t="shared" si="2"/>
        <v>0</v>
      </c>
      <c r="J355" s="3615"/>
      <c r="K355" s="3615"/>
      <c r="L355" s="3615"/>
      <c r="M355" s="3615"/>
      <c r="N355" s="3615"/>
      <c r="O355" s="3623">
        <v>0</v>
      </c>
      <c r="P355" s="3624"/>
      <c r="Q355" s="3624"/>
      <c r="R355" s="3624"/>
      <c r="S355" s="3624"/>
      <c r="T355" s="3625"/>
      <c r="U355" s="3490">
        <f>'[9]4'!R2464</f>
        <v>0</v>
      </c>
      <c r="V355" s="3490"/>
      <c r="W355" s="3490"/>
      <c r="X355" s="3490"/>
      <c r="Y355" s="3490"/>
      <c r="Z355" s="3490"/>
      <c r="AA355" s="3490"/>
      <c r="AB355" s="3490"/>
      <c r="AC355" s="3490"/>
      <c r="AD355" s="3490"/>
      <c r="AE355" s="3490"/>
      <c r="AF355" s="3490">
        <f t="shared" si="3"/>
        <v>0</v>
      </c>
      <c r="AG355" s="3490"/>
      <c r="AH355" s="3490"/>
      <c r="AI355" s="3490"/>
      <c r="AJ355" s="3490"/>
      <c r="AK355" s="3490"/>
      <c r="AL355" s="650"/>
      <c r="AM355" s="649"/>
      <c r="AN355" s="649"/>
      <c r="AO355" s="649"/>
      <c r="AP355" s="640" t="s">
        <v>571</v>
      </c>
      <c r="AQ355" s="651" t="s">
        <v>190</v>
      </c>
      <c r="AS355" s="548"/>
      <c r="AT355" s="367"/>
      <c r="AU355" s="367"/>
    </row>
    <row r="356" spans="2:47" x14ac:dyDescent="0.35">
      <c r="C356" s="647"/>
      <c r="D356" s="648"/>
      <c r="E356" s="649"/>
      <c r="F356" s="649"/>
      <c r="G356" s="649"/>
      <c r="H356" s="649"/>
      <c r="I356" s="3457">
        <f>SUM(I349:N355)</f>
        <v>3593099871.5851951</v>
      </c>
      <c r="J356" s="3457"/>
      <c r="K356" s="3457"/>
      <c r="L356" s="3457"/>
      <c r="M356" s="3457"/>
      <c r="N356" s="3457"/>
      <c r="O356" s="3457">
        <f>SUM(O349:T355)</f>
        <v>91820732.006283328</v>
      </c>
      <c r="P356" s="3457"/>
      <c r="Q356" s="3457"/>
      <c r="R356" s="3457"/>
      <c r="S356" s="3457"/>
      <c r="T356" s="3457"/>
      <c r="U356" s="3457">
        <f>SUM(U349:Y355)</f>
        <v>0</v>
      </c>
      <c r="V356" s="3457"/>
      <c r="W356" s="3457"/>
      <c r="X356" s="3457"/>
      <c r="Y356" s="3457"/>
      <c r="Z356" s="3457">
        <f>SUM(Z349:AE355)</f>
        <v>0</v>
      </c>
      <c r="AA356" s="3457"/>
      <c r="AB356" s="3457"/>
      <c r="AC356" s="3457"/>
      <c r="AD356" s="3457"/>
      <c r="AE356" s="3457"/>
      <c r="AF356" s="3457">
        <f>SUM(AF349:AK355)</f>
        <v>3684920603.5914783</v>
      </c>
      <c r="AG356" s="3457"/>
      <c r="AH356" s="3457"/>
      <c r="AI356" s="3457"/>
      <c r="AJ356" s="3457"/>
      <c r="AK356" s="3457"/>
      <c r="AL356" s="650"/>
      <c r="AM356" s="649"/>
      <c r="AN356" s="649"/>
      <c r="AO356" s="649"/>
      <c r="AP356" s="649"/>
      <c r="AQ356" s="666"/>
      <c r="AS356" s="548"/>
      <c r="AT356" s="367"/>
      <c r="AU356" s="367"/>
    </row>
    <row r="357" spans="2:47" ht="13.5" outlineLevel="1" thickBot="1" x14ac:dyDescent="0.4">
      <c r="C357" s="652" t="s">
        <v>190</v>
      </c>
      <c r="D357" s="2844" t="s">
        <v>273</v>
      </c>
      <c r="E357" s="2845"/>
      <c r="F357" s="2845"/>
      <c r="G357" s="2845"/>
      <c r="H357" s="2845"/>
      <c r="I357" s="3712">
        <f>AF393</f>
        <v>54280103.183333367</v>
      </c>
      <c r="J357" s="3712"/>
      <c r="K357" s="3712"/>
      <c r="L357" s="3712"/>
      <c r="M357" s="3712"/>
      <c r="N357" s="3712"/>
      <c r="O357" s="3712">
        <f>'4'!Q499</f>
        <v>1428089.7166666666</v>
      </c>
      <c r="P357" s="3712"/>
      <c r="Q357" s="3712"/>
      <c r="R357" s="3712"/>
      <c r="S357" s="3712"/>
      <c r="T357" s="3712"/>
      <c r="U357" s="3685"/>
      <c r="V357" s="3685"/>
      <c r="W357" s="3685"/>
      <c r="X357" s="3685"/>
      <c r="Y357" s="3685"/>
      <c r="Z357" s="3685"/>
      <c r="AA357" s="3685"/>
      <c r="AB357" s="3685"/>
      <c r="AC357" s="3685"/>
      <c r="AD357" s="3685"/>
      <c r="AE357" s="3685"/>
      <c r="AF357" s="3687">
        <f>I357+O357-U357+Z357</f>
        <v>55708192.900000036</v>
      </c>
      <c r="AG357" s="3687"/>
      <c r="AH357" s="3687"/>
      <c r="AI357" s="3687"/>
      <c r="AJ357" s="3687"/>
      <c r="AK357" s="3687"/>
      <c r="AL357" s="655"/>
      <c r="AM357" s="654"/>
      <c r="AN357" s="654"/>
      <c r="AO357" s="654"/>
      <c r="AP357" s="656" t="s">
        <v>274</v>
      </c>
      <c r="AQ357" s="657" t="s">
        <v>190</v>
      </c>
      <c r="AS357" s="548"/>
      <c r="AT357" s="367"/>
      <c r="AU357" s="367"/>
    </row>
    <row r="358" spans="2:47" x14ac:dyDescent="0.35">
      <c r="C358" s="663" t="s">
        <v>753</v>
      </c>
      <c r="D358" s="648"/>
      <c r="E358" s="649"/>
      <c r="F358" s="649"/>
      <c r="G358" s="649"/>
      <c r="H358" s="649"/>
      <c r="I358" s="3496">
        <f>I356+I357</f>
        <v>3647379974.7685285</v>
      </c>
      <c r="J358" s="3496"/>
      <c r="K358" s="3496"/>
      <c r="L358" s="3496"/>
      <c r="M358" s="3496"/>
      <c r="N358" s="3496"/>
      <c r="O358" s="3496">
        <f>O356+O357</f>
        <v>93248821.722949997</v>
      </c>
      <c r="P358" s="3496"/>
      <c r="Q358" s="3496"/>
      <c r="R358" s="3496"/>
      <c r="S358" s="3496"/>
      <c r="T358" s="3496"/>
      <c r="U358" s="3496">
        <f>U357+U356</f>
        <v>0</v>
      </c>
      <c r="V358" s="3496"/>
      <c r="W358" s="3496"/>
      <c r="X358" s="3496"/>
      <c r="Y358" s="3496"/>
      <c r="Z358" s="3496">
        <f>Z357+Z356</f>
        <v>0</v>
      </c>
      <c r="AA358" s="3496"/>
      <c r="AB358" s="3496"/>
      <c r="AC358" s="3496"/>
      <c r="AD358" s="3496"/>
      <c r="AE358" s="3496"/>
      <c r="AF358" s="3496">
        <f>AF357+AF356</f>
        <v>3740628796.4914784</v>
      </c>
      <c r="AG358" s="3496"/>
      <c r="AH358" s="3496"/>
      <c r="AI358" s="3496"/>
      <c r="AJ358" s="3496"/>
      <c r="AK358" s="3496"/>
      <c r="AL358" s="650"/>
      <c r="AM358" s="649"/>
      <c r="AN358" s="649"/>
      <c r="AO358" s="649"/>
      <c r="AP358" s="640"/>
      <c r="AQ358" s="664" t="s">
        <v>754</v>
      </c>
      <c r="AS358" s="548"/>
      <c r="AT358" s="367"/>
      <c r="AU358" s="367"/>
    </row>
    <row r="359" spans="2:47" ht="13.5" thickBot="1" x14ac:dyDescent="0.4">
      <c r="C359" s="647"/>
      <c r="D359" s="648"/>
      <c r="E359" s="649"/>
      <c r="F359" s="649"/>
      <c r="G359" s="649"/>
      <c r="H359" s="649"/>
      <c r="I359" s="3457"/>
      <c r="J359" s="3457"/>
      <c r="K359" s="3457"/>
      <c r="L359" s="3457"/>
      <c r="M359" s="3457"/>
      <c r="N359" s="3457"/>
      <c r="O359" s="3457"/>
      <c r="P359" s="3457"/>
      <c r="Q359" s="3457"/>
      <c r="R359" s="3457"/>
      <c r="S359" s="3457"/>
      <c r="T359" s="3457"/>
      <c r="U359" s="3437"/>
      <c r="V359" s="3437"/>
      <c r="W359" s="3437"/>
      <c r="X359" s="3437"/>
      <c r="Y359" s="3437"/>
      <c r="Z359" s="3457"/>
      <c r="AA359" s="3457"/>
      <c r="AB359" s="3457"/>
      <c r="AC359" s="3457"/>
      <c r="AD359" s="3457"/>
      <c r="AE359" s="3457"/>
      <c r="AF359" s="3457"/>
      <c r="AG359" s="3457"/>
      <c r="AH359" s="3457"/>
      <c r="AI359" s="3457"/>
      <c r="AJ359" s="3457"/>
      <c r="AK359" s="3457"/>
      <c r="AL359" s="650"/>
      <c r="AM359" s="649"/>
      <c r="AN359" s="649"/>
      <c r="AO359" s="649"/>
      <c r="AP359" s="649"/>
      <c r="AQ359" s="666"/>
      <c r="AS359" s="548"/>
      <c r="AU359" s="367"/>
    </row>
    <row r="360" spans="2:47" ht="13.5" thickBot="1" x14ac:dyDescent="0.4">
      <c r="C360" s="3709" t="s">
        <v>755</v>
      </c>
      <c r="D360" s="3710"/>
      <c r="E360" s="3710"/>
      <c r="F360" s="3710"/>
      <c r="G360" s="3710"/>
      <c r="H360" s="3710"/>
      <c r="I360" s="3711">
        <f>I347-I358</f>
        <v>19341574397.233471</v>
      </c>
      <c r="J360" s="3711"/>
      <c r="K360" s="3711"/>
      <c r="L360" s="3711"/>
      <c r="M360" s="3711"/>
      <c r="N360" s="3711"/>
      <c r="O360" s="3711">
        <f>O347-O358</f>
        <v>-85749821.722949997</v>
      </c>
      <c r="P360" s="3711"/>
      <c r="Q360" s="3711"/>
      <c r="R360" s="3711"/>
      <c r="S360" s="3711"/>
      <c r="T360" s="3711"/>
      <c r="U360" s="3711">
        <f>U358+U347</f>
        <v>0</v>
      </c>
      <c r="V360" s="3711"/>
      <c r="W360" s="3711"/>
      <c r="X360" s="3711"/>
      <c r="Y360" s="3711"/>
      <c r="Z360" s="3711">
        <f>Z358+Z347</f>
        <v>0</v>
      </c>
      <c r="AA360" s="3711"/>
      <c r="AB360" s="3711"/>
      <c r="AC360" s="3711"/>
      <c r="AD360" s="3711"/>
      <c r="AE360" s="3711"/>
      <c r="AF360" s="3711">
        <f>AF347-AF358</f>
        <v>19255824575.510521</v>
      </c>
      <c r="AG360" s="3711"/>
      <c r="AH360" s="3711"/>
      <c r="AI360" s="3711"/>
      <c r="AJ360" s="3711"/>
      <c r="AK360" s="3711"/>
      <c r="AL360" s="667"/>
      <c r="AM360" s="668"/>
      <c r="AN360" s="668"/>
      <c r="AO360" s="668"/>
      <c r="AP360" s="669"/>
      <c r="AQ360" s="670" t="s">
        <v>756</v>
      </c>
      <c r="AS360" s="548"/>
      <c r="AT360" s="367"/>
      <c r="AU360" s="367"/>
    </row>
    <row r="361" spans="2:47" ht="15" customHeight="1" x14ac:dyDescent="0.35">
      <c r="C361" s="671"/>
      <c r="D361" s="671"/>
      <c r="E361" s="671"/>
      <c r="F361" s="671"/>
      <c r="G361" s="671"/>
      <c r="H361" s="671"/>
      <c r="I361" s="672"/>
      <c r="J361" s="672"/>
      <c r="K361" s="672"/>
      <c r="L361" s="672"/>
      <c r="M361" s="672"/>
      <c r="N361" s="672"/>
      <c r="O361" s="672"/>
      <c r="P361" s="672"/>
      <c r="Q361" s="672"/>
      <c r="R361" s="672"/>
      <c r="S361" s="672"/>
      <c r="T361" s="672"/>
      <c r="U361" s="672"/>
      <c r="V361" s="672"/>
      <c r="W361" s="672"/>
      <c r="X361" s="672"/>
      <c r="Y361" s="672"/>
      <c r="Z361" s="672"/>
      <c r="AA361" s="672"/>
      <c r="AB361" s="672"/>
      <c r="AC361" s="672"/>
      <c r="AD361" s="672"/>
      <c r="AE361" s="672"/>
      <c r="AF361" s="672"/>
      <c r="AG361" s="672"/>
      <c r="AH361" s="672"/>
      <c r="AI361" s="672"/>
      <c r="AJ361" s="672"/>
      <c r="AK361" s="672"/>
      <c r="AL361" s="673"/>
      <c r="AM361" s="673"/>
      <c r="AN361" s="673"/>
      <c r="AO361" s="673"/>
      <c r="AP361" s="649"/>
      <c r="AQ361" s="674"/>
      <c r="AS361" s="548"/>
    </row>
    <row r="362" spans="2:47" s="634" customFormat="1" ht="15.5" x14ac:dyDescent="0.35">
      <c r="B362" s="535" t="s">
        <v>732</v>
      </c>
      <c r="C362" s="536" t="s">
        <v>757</v>
      </c>
      <c r="D362" s="536"/>
      <c r="E362" s="537"/>
      <c r="F362" s="537"/>
      <c r="G362" s="537"/>
      <c r="H362" s="537"/>
      <c r="I362" s="537"/>
      <c r="J362" s="537"/>
      <c r="K362" s="537"/>
      <c r="L362" s="537"/>
      <c r="M362" s="537"/>
      <c r="N362" s="537"/>
      <c r="O362" s="537"/>
      <c r="P362" s="537"/>
      <c r="Q362" s="635"/>
      <c r="R362" s="635"/>
      <c r="S362" s="635"/>
      <c r="T362" s="635"/>
      <c r="U362" s="635"/>
      <c r="V362" s="635"/>
      <c r="W362" s="636"/>
      <c r="X362" s="539" t="str">
        <f>B362</f>
        <v>8.</v>
      </c>
      <c r="Y362" s="539" t="s">
        <v>758</v>
      </c>
      <c r="Z362" s="635"/>
      <c r="AA362" s="635"/>
      <c r="AB362" s="635"/>
      <c r="AC362" s="635"/>
      <c r="AD362" s="637"/>
      <c r="AE362" s="637"/>
      <c r="AF362" s="637"/>
      <c r="AG362" s="637"/>
      <c r="AH362" s="637"/>
      <c r="AI362" s="637"/>
      <c r="AJ362" s="637"/>
      <c r="AK362" s="637"/>
      <c r="AL362" s="637"/>
      <c r="AM362" s="637"/>
      <c r="AN362" s="637"/>
      <c r="AO362" s="637"/>
      <c r="AP362" s="638"/>
      <c r="AQ362" s="638"/>
      <c r="AS362" s="639"/>
    </row>
    <row r="363" spans="2:47" ht="15.75" customHeight="1" thickBot="1" x14ac:dyDescent="0.4">
      <c r="C363" s="3482">
        <f>IN!D8</f>
        <v>46173</v>
      </c>
      <c r="D363" s="3482"/>
      <c r="E363" s="3482"/>
      <c r="F363" s="3482"/>
      <c r="G363" s="3482"/>
      <c r="H363" s="3482"/>
      <c r="I363" s="3482"/>
      <c r="J363" s="3482"/>
      <c r="K363" s="3482"/>
      <c r="L363" s="3482"/>
      <c r="M363" s="3482"/>
      <c r="N363" s="3482"/>
      <c r="O363" s="3482"/>
      <c r="P363" s="3482"/>
      <c r="Q363" s="3482"/>
      <c r="R363" s="3482"/>
      <c r="S363" s="3482"/>
      <c r="T363" s="3482"/>
      <c r="U363" s="3482"/>
      <c r="V363" s="3482"/>
      <c r="W363" s="3482"/>
      <c r="X363" s="3482"/>
      <c r="Y363" s="3482"/>
      <c r="Z363" s="3482"/>
      <c r="AA363" s="3482"/>
      <c r="AB363" s="3482"/>
      <c r="AC363" s="3482"/>
      <c r="AD363" s="3482"/>
      <c r="AE363" s="3482"/>
      <c r="AF363" s="3482"/>
      <c r="AG363" s="3482"/>
      <c r="AH363" s="3482"/>
      <c r="AI363" s="3482"/>
      <c r="AJ363" s="3482"/>
      <c r="AK363" s="3482"/>
      <c r="AL363" s="3482"/>
      <c r="AM363" s="3482"/>
      <c r="AN363" s="3482"/>
      <c r="AO363" s="3482"/>
      <c r="AP363" s="3482"/>
      <c r="AQ363" s="3482"/>
      <c r="AS363" s="548"/>
    </row>
    <row r="364" spans="2:47" ht="13.5" thickBot="1" x14ac:dyDescent="0.4">
      <c r="C364" s="3513" t="s">
        <v>446</v>
      </c>
      <c r="D364" s="3513"/>
      <c r="E364" s="3513"/>
      <c r="F364" s="3513"/>
      <c r="G364" s="3513"/>
      <c r="H364" s="3513"/>
      <c r="I364" s="3705">
        <f>C363</f>
        <v>46173</v>
      </c>
      <c r="J364" s="3705"/>
      <c r="K364" s="3705"/>
      <c r="L364" s="3705"/>
      <c r="M364" s="3705"/>
      <c r="N364" s="3705"/>
      <c r="O364" s="3514" t="s">
        <v>735</v>
      </c>
      <c r="P364" s="3514"/>
      <c r="Q364" s="3514"/>
      <c r="R364" s="3514"/>
      <c r="S364" s="3514"/>
      <c r="T364" s="3514"/>
      <c r="U364" s="3514" t="s">
        <v>736</v>
      </c>
      <c r="V364" s="3514"/>
      <c r="W364" s="3514"/>
      <c r="X364" s="3514"/>
      <c r="Y364" s="3514"/>
      <c r="Z364" s="3514" t="s">
        <v>737</v>
      </c>
      <c r="AA364" s="3514"/>
      <c r="AB364" s="3514"/>
      <c r="AC364" s="3514"/>
      <c r="AD364" s="3514"/>
      <c r="AE364" s="3514"/>
      <c r="AF364" s="3706" t="str">
        <f>NRC!G9</f>
        <v>31 May 2026/</v>
      </c>
      <c r="AG364" s="3514" t="str">
        <f>[8]IN!$G$26</f>
        <v>30 June 2023 /</v>
      </c>
      <c r="AH364" s="3514" t="str">
        <f>[8]IN!$G$26</f>
        <v>30 June 2023 /</v>
      </c>
      <c r="AI364" s="3514" t="str">
        <f>[8]IN!$G$26</f>
        <v>30 June 2023 /</v>
      </c>
      <c r="AJ364" s="3514" t="str">
        <f>[8]IN!$G$26</f>
        <v>30 June 2023 /</v>
      </c>
      <c r="AK364" s="3514" t="str">
        <f>[8]IN!$G$26</f>
        <v>30 June 2023 /</v>
      </c>
      <c r="AL364" s="3707" t="s">
        <v>738</v>
      </c>
      <c r="AM364" s="3707"/>
      <c r="AN364" s="3707"/>
      <c r="AO364" s="3707"/>
      <c r="AP364" s="3707"/>
      <c r="AQ364" s="3707"/>
      <c r="AS364" s="548"/>
    </row>
    <row r="365" spans="2:47" ht="13.5" thickBot="1" x14ac:dyDescent="0.4">
      <c r="C365" s="3513"/>
      <c r="D365" s="3513"/>
      <c r="E365" s="3513"/>
      <c r="F365" s="3513"/>
      <c r="G365" s="3513"/>
      <c r="H365" s="3513"/>
      <c r="I365" s="3708">
        <f>C363</f>
        <v>46173</v>
      </c>
      <c r="J365" s="3708"/>
      <c r="K365" s="3708"/>
      <c r="L365" s="3708"/>
      <c r="M365" s="3708"/>
      <c r="N365" s="3708"/>
      <c r="O365" s="3702" t="s">
        <v>739</v>
      </c>
      <c r="P365" s="3702"/>
      <c r="Q365" s="3702"/>
      <c r="R365" s="3702"/>
      <c r="S365" s="3702"/>
      <c r="T365" s="3702"/>
      <c r="U365" s="3702" t="s">
        <v>740</v>
      </c>
      <c r="V365" s="3702"/>
      <c r="W365" s="3702"/>
      <c r="X365" s="3702"/>
      <c r="Y365" s="3702"/>
      <c r="Z365" s="3702" t="s">
        <v>741</v>
      </c>
      <c r="AA365" s="3702"/>
      <c r="AB365" s="3702"/>
      <c r="AC365" s="3702"/>
      <c r="AD365" s="3702"/>
      <c r="AE365" s="3702"/>
      <c r="AF365" s="3703">
        <f>NRC!G10</f>
        <v>46173</v>
      </c>
      <c r="AG365" s="3702" t="e">
        <f>[8]IN!$I$26</f>
        <v>#N/A</v>
      </c>
      <c r="AH365" s="3702" t="e">
        <f>[8]IN!$I$26</f>
        <v>#N/A</v>
      </c>
      <c r="AI365" s="3702" t="e">
        <f>[8]IN!$I$26</f>
        <v>#N/A</v>
      </c>
      <c r="AJ365" s="3702" t="e">
        <f>[8]IN!$I$26</f>
        <v>#N/A</v>
      </c>
      <c r="AK365" s="3702" t="e">
        <f>[8]IN!$I$26</f>
        <v>#N/A</v>
      </c>
      <c r="AL365" s="3707"/>
      <c r="AM365" s="3707"/>
      <c r="AN365" s="3707"/>
      <c r="AO365" s="3707"/>
      <c r="AP365" s="3707"/>
      <c r="AQ365" s="3707"/>
      <c r="AS365" s="548"/>
    </row>
    <row r="366" spans="2:47" x14ac:dyDescent="0.35">
      <c r="C366" s="675" t="s">
        <v>742</v>
      </c>
      <c r="D366" s="643"/>
      <c r="E366" s="644"/>
      <c r="F366" s="644"/>
      <c r="G366" s="644"/>
      <c r="H366" s="644"/>
      <c r="I366" s="3704"/>
      <c r="J366" s="3704"/>
      <c r="K366" s="3704"/>
      <c r="L366" s="3704"/>
      <c r="M366" s="3704"/>
      <c r="N366" s="3704"/>
      <c r="O366" s="3704"/>
      <c r="P366" s="3704"/>
      <c r="Q366" s="3704"/>
      <c r="R366" s="3704"/>
      <c r="S366" s="3704"/>
      <c r="T366" s="3704"/>
      <c r="U366" s="3704"/>
      <c r="V366" s="3704"/>
      <c r="W366" s="3704"/>
      <c r="X366" s="3704"/>
      <c r="Y366" s="3704"/>
      <c r="Z366" s="3704"/>
      <c r="AA366" s="3704"/>
      <c r="AB366" s="3704"/>
      <c r="AC366" s="3704"/>
      <c r="AD366" s="3704"/>
      <c r="AE366" s="3704"/>
      <c r="AF366" s="3704"/>
      <c r="AG366" s="3704"/>
      <c r="AH366" s="3704"/>
      <c r="AI366" s="3704"/>
      <c r="AJ366" s="3704"/>
      <c r="AK366" s="3704"/>
      <c r="AL366" s="645"/>
      <c r="AM366" s="644"/>
      <c r="AN366" s="644"/>
      <c r="AO366" s="644"/>
      <c r="AP366" s="644"/>
      <c r="AQ366" s="676" t="s">
        <v>216</v>
      </c>
      <c r="AS366" s="548"/>
    </row>
    <row r="367" spans="2:47" outlineLevel="1" x14ac:dyDescent="0.35">
      <c r="C367" s="677" t="s">
        <v>190</v>
      </c>
      <c r="D367" s="648" t="s">
        <v>743</v>
      </c>
      <c r="E367" s="649"/>
      <c r="F367" s="649"/>
      <c r="G367" s="649"/>
      <c r="H367" s="649"/>
      <c r="I367" s="3434">
        <v>3883970000</v>
      </c>
      <c r="J367" s="3435"/>
      <c r="K367" s="3435"/>
      <c r="L367" s="3435"/>
      <c r="M367" s="3435"/>
      <c r="N367" s="3456"/>
      <c r="O367" s="3434">
        <v>0</v>
      </c>
      <c r="P367" s="3435"/>
      <c r="Q367" s="3435"/>
      <c r="R367" s="3435"/>
      <c r="S367" s="3435"/>
      <c r="T367" s="3456"/>
      <c r="U367" s="3434">
        <v>0</v>
      </c>
      <c r="V367" s="3435"/>
      <c r="W367" s="3435"/>
      <c r="X367" s="3435"/>
      <c r="Y367" s="3456"/>
      <c r="Z367" s="3437">
        <v>0</v>
      </c>
      <c r="AA367" s="3437"/>
      <c r="AB367" s="3437"/>
      <c r="AC367" s="3437"/>
      <c r="AD367" s="3437"/>
      <c r="AE367" s="3437"/>
      <c r="AF367" s="3452">
        <f>I367+O367-U367+Z367</f>
        <v>3883970000</v>
      </c>
      <c r="AG367" s="3452"/>
      <c r="AH367" s="3452"/>
      <c r="AI367" s="3452"/>
      <c r="AJ367" s="3452"/>
      <c r="AK367" s="3452"/>
      <c r="AL367" s="650"/>
      <c r="AM367" s="649"/>
      <c r="AN367" s="649"/>
      <c r="AO367" s="649"/>
      <c r="AP367" s="640" t="s">
        <v>744</v>
      </c>
      <c r="AQ367" s="678" t="s">
        <v>190</v>
      </c>
      <c r="AS367" s="548"/>
    </row>
    <row r="368" spans="2:47" x14ac:dyDescent="0.35">
      <c r="C368" s="677" t="s">
        <v>190</v>
      </c>
      <c r="D368" s="648" t="s">
        <v>557</v>
      </c>
      <c r="E368" s="649"/>
      <c r="F368" s="649"/>
      <c r="G368" s="649"/>
      <c r="H368" s="649"/>
      <c r="I368" s="3434">
        <v>12347364307</v>
      </c>
      <c r="J368" s="3435"/>
      <c r="K368" s="3435"/>
      <c r="L368" s="3435"/>
      <c r="M368" s="3435"/>
      <c r="N368" s="3456"/>
      <c r="O368" s="3434">
        <v>0</v>
      </c>
      <c r="P368" s="3435"/>
      <c r="Q368" s="3435"/>
      <c r="R368" s="3435"/>
      <c r="S368" s="3435"/>
      <c r="T368" s="3456"/>
      <c r="U368" s="3434">
        <v>0</v>
      </c>
      <c r="V368" s="3435"/>
      <c r="W368" s="3435"/>
      <c r="X368" s="3435"/>
      <c r="Y368" s="3456"/>
      <c r="Z368" s="3434"/>
      <c r="AA368" s="3435"/>
      <c r="AB368" s="3435"/>
      <c r="AC368" s="3435"/>
      <c r="AD368" s="3435"/>
      <c r="AE368" s="3456"/>
      <c r="AF368" s="3452">
        <f>I368+O368-U368+Z368</f>
        <v>12347364307</v>
      </c>
      <c r="AG368" s="3452"/>
      <c r="AH368" s="3452"/>
      <c r="AI368" s="3452"/>
      <c r="AJ368" s="3452"/>
      <c r="AK368" s="3452"/>
      <c r="AL368" s="650"/>
      <c r="AM368" s="649"/>
      <c r="AN368" s="649"/>
      <c r="AO368" s="649"/>
      <c r="AP368" s="640" t="s">
        <v>558</v>
      </c>
      <c r="AQ368" s="678" t="s">
        <v>190</v>
      </c>
      <c r="AS368" s="548"/>
    </row>
    <row r="369" spans="3:45" x14ac:dyDescent="0.35">
      <c r="C369" s="677" t="s">
        <v>190</v>
      </c>
      <c r="D369" s="648" t="s">
        <v>559</v>
      </c>
      <c r="E369" s="649"/>
      <c r="F369" s="649"/>
      <c r="G369" s="649"/>
      <c r="H369" s="649"/>
      <c r="I369" s="3434">
        <v>1082168133</v>
      </c>
      <c r="J369" s="3435"/>
      <c r="K369" s="3435"/>
      <c r="L369" s="3435"/>
      <c r="M369" s="3435"/>
      <c r="N369" s="3456"/>
      <c r="O369" s="3434">
        <v>0</v>
      </c>
      <c r="P369" s="3435"/>
      <c r="Q369" s="3435"/>
      <c r="R369" s="3435"/>
      <c r="S369" s="3435"/>
      <c r="T369" s="3456"/>
      <c r="U369" s="3434">
        <v>0</v>
      </c>
      <c r="V369" s="3435"/>
      <c r="W369" s="3435"/>
      <c r="X369" s="3435"/>
      <c r="Y369" s="3456"/>
      <c r="Z369" s="3434"/>
      <c r="AA369" s="3435"/>
      <c r="AB369" s="3435"/>
      <c r="AC369" s="3435"/>
      <c r="AD369" s="3435"/>
      <c r="AE369" s="3456"/>
      <c r="AF369" s="3452">
        <f t="shared" ref="AF369:AF374" si="4">I369+O369-U369+Z369</f>
        <v>1082168133</v>
      </c>
      <c r="AG369" s="3452"/>
      <c r="AH369" s="3452"/>
      <c r="AI369" s="3452"/>
      <c r="AJ369" s="3452"/>
      <c r="AK369" s="3452"/>
      <c r="AL369" s="650"/>
      <c r="AM369" s="649"/>
      <c r="AN369" s="649"/>
      <c r="AO369" s="649"/>
      <c r="AP369" s="640" t="s">
        <v>561</v>
      </c>
      <c r="AQ369" s="678" t="s">
        <v>190</v>
      </c>
      <c r="AS369" s="548"/>
    </row>
    <row r="370" spans="3:45" x14ac:dyDescent="0.35">
      <c r="C370" s="677" t="s">
        <v>190</v>
      </c>
      <c r="D370" s="648" t="s">
        <v>562</v>
      </c>
      <c r="E370" s="649"/>
      <c r="F370" s="649"/>
      <c r="G370" s="649"/>
      <c r="H370" s="649"/>
      <c r="I370" s="3434">
        <v>855833610</v>
      </c>
      <c r="J370" s="3435"/>
      <c r="K370" s="3435"/>
      <c r="L370" s="3435"/>
      <c r="M370" s="3435"/>
      <c r="N370" s="3456"/>
      <c r="O370" s="3434">
        <v>5100000</v>
      </c>
      <c r="P370" s="3435"/>
      <c r="Q370" s="3435"/>
      <c r="R370" s="3435"/>
      <c r="S370" s="3435"/>
      <c r="T370" s="3456"/>
      <c r="U370" s="3434">
        <v>0</v>
      </c>
      <c r="V370" s="3435"/>
      <c r="W370" s="3435"/>
      <c r="X370" s="3435"/>
      <c r="Y370" s="3456"/>
      <c r="Z370" s="3434"/>
      <c r="AA370" s="3435"/>
      <c r="AB370" s="3435"/>
      <c r="AC370" s="3435"/>
      <c r="AD370" s="3435"/>
      <c r="AE370" s="3456"/>
      <c r="AF370" s="3452">
        <f t="shared" si="4"/>
        <v>860933610</v>
      </c>
      <c r="AG370" s="3452"/>
      <c r="AH370" s="3452"/>
      <c r="AI370" s="3452"/>
      <c r="AJ370" s="3452"/>
      <c r="AK370" s="3452"/>
      <c r="AL370" s="650"/>
      <c r="AM370" s="649"/>
      <c r="AN370" s="649"/>
      <c r="AO370" s="649"/>
      <c r="AP370" s="640" t="s">
        <v>563</v>
      </c>
      <c r="AQ370" s="678" t="s">
        <v>190</v>
      </c>
      <c r="AS370" s="548"/>
    </row>
    <row r="371" spans="3:45" x14ac:dyDescent="0.35">
      <c r="C371" s="677" t="s">
        <v>190</v>
      </c>
      <c r="D371" s="648" t="s">
        <v>564</v>
      </c>
      <c r="E371" s="649"/>
      <c r="F371" s="649"/>
      <c r="G371" s="649"/>
      <c r="H371" s="649"/>
      <c r="I371" s="3434">
        <v>1452778553.0020001</v>
      </c>
      <c r="J371" s="3435"/>
      <c r="K371" s="3435"/>
      <c r="L371" s="3435"/>
      <c r="M371" s="3435"/>
      <c r="N371" s="3456"/>
      <c r="O371" s="3434">
        <v>11700000</v>
      </c>
      <c r="P371" s="3435"/>
      <c r="Q371" s="3435"/>
      <c r="R371" s="3435"/>
      <c r="S371" s="3435"/>
      <c r="T371" s="3456"/>
      <c r="U371" s="3434">
        <v>0</v>
      </c>
      <c r="V371" s="3435"/>
      <c r="W371" s="3435"/>
      <c r="X371" s="3435"/>
      <c r="Y371" s="3456"/>
      <c r="Z371" s="3434"/>
      <c r="AA371" s="3435"/>
      <c r="AB371" s="3435"/>
      <c r="AC371" s="3435"/>
      <c r="AD371" s="3435"/>
      <c r="AE371" s="3456"/>
      <c r="AF371" s="3452">
        <f t="shared" si="4"/>
        <v>1464478553.0020001</v>
      </c>
      <c r="AG371" s="3452"/>
      <c r="AH371" s="3452"/>
      <c r="AI371" s="3452"/>
      <c r="AJ371" s="3452"/>
      <c r="AK371" s="3452"/>
      <c r="AL371" s="650"/>
      <c r="AM371" s="649"/>
      <c r="AN371" s="649"/>
      <c r="AO371" s="649"/>
      <c r="AP371" s="640" t="s">
        <v>565</v>
      </c>
      <c r="AQ371" s="678" t="s">
        <v>190</v>
      </c>
      <c r="AS371" s="548"/>
    </row>
    <row r="372" spans="3:45" outlineLevel="1" x14ac:dyDescent="0.35">
      <c r="C372" s="677" t="s">
        <v>190</v>
      </c>
      <c r="D372" s="648" t="s">
        <v>566</v>
      </c>
      <c r="E372" s="649"/>
      <c r="F372" s="649"/>
      <c r="G372" s="649"/>
      <c r="H372" s="649"/>
      <c r="I372" s="3434">
        <v>298000000</v>
      </c>
      <c r="J372" s="3435"/>
      <c r="K372" s="3435"/>
      <c r="L372" s="3435"/>
      <c r="M372" s="3435"/>
      <c r="N372" s="3456"/>
      <c r="O372" s="3434">
        <v>0</v>
      </c>
      <c r="P372" s="3435"/>
      <c r="Q372" s="3435"/>
      <c r="R372" s="3435"/>
      <c r="S372" s="3435"/>
      <c r="T372" s="3456"/>
      <c r="U372" s="3434">
        <v>0</v>
      </c>
      <c r="V372" s="3435"/>
      <c r="W372" s="3435"/>
      <c r="X372" s="3435"/>
      <c r="Y372" s="3456"/>
      <c r="Z372" s="3434"/>
      <c r="AA372" s="3435"/>
      <c r="AB372" s="3435"/>
      <c r="AC372" s="3435"/>
      <c r="AD372" s="3435"/>
      <c r="AE372" s="3456"/>
      <c r="AF372" s="3452">
        <f t="shared" si="4"/>
        <v>298000000</v>
      </c>
      <c r="AG372" s="3452"/>
      <c r="AH372" s="3452"/>
      <c r="AI372" s="3452"/>
      <c r="AJ372" s="3452"/>
      <c r="AK372" s="3452"/>
      <c r="AL372" s="650"/>
      <c r="AM372" s="649"/>
      <c r="AN372" s="649"/>
      <c r="AO372" s="649"/>
      <c r="AP372" s="640" t="s">
        <v>567</v>
      </c>
      <c r="AQ372" s="678" t="s">
        <v>190</v>
      </c>
      <c r="AS372" s="548"/>
    </row>
    <row r="373" spans="3:45" outlineLevel="1" x14ac:dyDescent="0.35">
      <c r="C373" s="677" t="s">
        <v>190</v>
      </c>
      <c r="D373" s="648" t="s">
        <v>568</v>
      </c>
      <c r="E373" s="649"/>
      <c r="F373" s="649"/>
      <c r="G373" s="649"/>
      <c r="H373" s="649"/>
      <c r="I373" s="3434">
        <v>0</v>
      </c>
      <c r="J373" s="3435"/>
      <c r="K373" s="3435"/>
      <c r="L373" s="3435"/>
      <c r="M373" s="3435"/>
      <c r="N373" s="3456"/>
      <c r="O373" s="3434">
        <v>0</v>
      </c>
      <c r="P373" s="3435"/>
      <c r="Q373" s="3435"/>
      <c r="R373" s="3435"/>
      <c r="S373" s="3435"/>
      <c r="T373" s="3456"/>
      <c r="U373" s="3434">
        <v>0</v>
      </c>
      <c r="V373" s="3435"/>
      <c r="W373" s="3435"/>
      <c r="X373" s="3435"/>
      <c r="Y373" s="3456"/>
      <c r="Z373" s="3434"/>
      <c r="AA373" s="3435"/>
      <c r="AB373" s="3435"/>
      <c r="AC373" s="3435"/>
      <c r="AD373" s="3435"/>
      <c r="AE373" s="3456"/>
      <c r="AF373" s="3452">
        <f t="shared" si="4"/>
        <v>0</v>
      </c>
      <c r="AG373" s="3452"/>
      <c r="AH373" s="3452"/>
      <c r="AI373" s="3452"/>
      <c r="AJ373" s="3452"/>
      <c r="AK373" s="3452"/>
      <c r="AL373" s="650"/>
      <c r="AM373" s="649"/>
      <c r="AN373" s="649"/>
      <c r="AO373" s="649"/>
      <c r="AP373" s="640" t="s">
        <v>569</v>
      </c>
      <c r="AQ373" s="678" t="s">
        <v>190</v>
      </c>
      <c r="AS373" s="548"/>
    </row>
    <row r="374" spans="3:45" x14ac:dyDescent="0.35">
      <c r="C374" s="677" t="s">
        <v>190</v>
      </c>
      <c r="D374" s="648" t="s">
        <v>570</v>
      </c>
      <c r="E374" s="649"/>
      <c r="F374" s="649"/>
      <c r="G374" s="649"/>
      <c r="H374" s="649"/>
      <c r="I374" s="3623">
        <v>0</v>
      </c>
      <c r="J374" s="3624"/>
      <c r="K374" s="3624"/>
      <c r="L374" s="3624"/>
      <c r="M374" s="3624"/>
      <c r="N374" s="3625"/>
      <c r="O374" s="3700">
        <v>0</v>
      </c>
      <c r="P374" s="3616"/>
      <c r="Q374" s="3616"/>
      <c r="R374" s="3616"/>
      <c r="S374" s="3616"/>
      <c r="T374" s="3701"/>
      <c r="U374" s="3700">
        <v>0</v>
      </c>
      <c r="V374" s="3616"/>
      <c r="W374" s="3616"/>
      <c r="X374" s="3616"/>
      <c r="Y374" s="3701"/>
      <c r="Z374" s="3490"/>
      <c r="AA374" s="3490"/>
      <c r="AB374" s="3490"/>
      <c r="AC374" s="3490"/>
      <c r="AD374" s="3490"/>
      <c r="AE374" s="3490"/>
      <c r="AF374" s="3452">
        <f t="shared" si="4"/>
        <v>0</v>
      </c>
      <c r="AG374" s="3452"/>
      <c r="AH374" s="3452"/>
      <c r="AI374" s="3452"/>
      <c r="AJ374" s="3452"/>
      <c r="AK374" s="3452"/>
      <c r="AL374" s="650"/>
      <c r="AM374" s="649"/>
      <c r="AN374" s="649"/>
      <c r="AO374" s="649"/>
      <c r="AP374" s="640" t="s">
        <v>571</v>
      </c>
      <c r="AQ374" s="678" t="s">
        <v>190</v>
      </c>
      <c r="AS374" s="548"/>
    </row>
    <row r="375" spans="3:45" x14ac:dyDescent="0.35">
      <c r="C375" s="677"/>
      <c r="D375" s="648"/>
      <c r="E375" s="649"/>
      <c r="F375" s="649"/>
      <c r="G375" s="649"/>
      <c r="H375" s="665"/>
      <c r="I375" s="3437">
        <f>SUM(I367:N374)</f>
        <v>19920114603.001999</v>
      </c>
      <c r="J375" s="3437"/>
      <c r="K375" s="3437"/>
      <c r="L375" s="3437"/>
      <c r="M375" s="3437"/>
      <c r="N375" s="3437"/>
      <c r="O375" s="3459">
        <f>SUM(O367:T374)</f>
        <v>16800000</v>
      </c>
      <c r="P375" s="3459"/>
      <c r="Q375" s="3459"/>
      <c r="R375" s="3459"/>
      <c r="S375" s="3459"/>
      <c r="T375" s="3459"/>
      <c r="U375" s="3459">
        <f>SUM(U367:Y374)</f>
        <v>0</v>
      </c>
      <c r="V375" s="3459"/>
      <c r="W375" s="3459"/>
      <c r="X375" s="3459"/>
      <c r="Y375" s="3459"/>
      <c r="Z375" s="3459">
        <f>SUM(Z367:AE374)</f>
        <v>0</v>
      </c>
      <c r="AA375" s="3459"/>
      <c r="AB375" s="3459"/>
      <c r="AC375" s="3459"/>
      <c r="AD375" s="3459"/>
      <c r="AE375" s="3459"/>
      <c r="AF375" s="3696">
        <f>SUM(AF367:AK374)</f>
        <v>19936914603.001999</v>
      </c>
      <c r="AG375" s="3696"/>
      <c r="AH375" s="3696"/>
      <c r="AI375" s="3696"/>
      <c r="AJ375" s="3696"/>
      <c r="AK375" s="3696"/>
      <c r="AL375" s="650"/>
      <c r="AM375" s="649"/>
      <c r="AN375" s="649"/>
      <c r="AO375" s="649"/>
      <c r="AP375" s="640"/>
      <c r="AQ375" s="678"/>
      <c r="AS375" s="548"/>
    </row>
    <row r="376" spans="3:45" outlineLevel="1" x14ac:dyDescent="0.35">
      <c r="C376" s="677" t="s">
        <v>190</v>
      </c>
      <c r="D376" s="648" t="s">
        <v>273</v>
      </c>
      <c r="E376" s="649"/>
      <c r="F376" s="649"/>
      <c r="G376" s="649"/>
      <c r="H376" s="649"/>
      <c r="I376" s="3697">
        <v>126185383</v>
      </c>
      <c r="J376" s="3698"/>
      <c r="K376" s="3698"/>
      <c r="L376" s="3698"/>
      <c r="M376" s="3698"/>
      <c r="N376" s="3699"/>
      <c r="O376" s="3434">
        <v>0</v>
      </c>
      <c r="P376" s="3435"/>
      <c r="Q376" s="3435"/>
      <c r="R376" s="3435"/>
      <c r="S376" s="3435"/>
      <c r="T376" s="3456"/>
      <c r="U376" s="3437">
        <v>0</v>
      </c>
      <c r="V376" s="3437"/>
      <c r="W376" s="3437"/>
      <c r="X376" s="3437"/>
      <c r="Y376" s="3437"/>
      <c r="Z376" s="3437"/>
      <c r="AA376" s="3437"/>
      <c r="AB376" s="3437"/>
      <c r="AC376" s="3437"/>
      <c r="AD376" s="3437"/>
      <c r="AE376" s="3437"/>
      <c r="AF376" s="3452">
        <f>I376+O376-U376+Z376</f>
        <v>126185383</v>
      </c>
      <c r="AG376" s="3452"/>
      <c r="AH376" s="3452"/>
      <c r="AI376" s="3452"/>
      <c r="AJ376" s="3452"/>
      <c r="AK376" s="3452"/>
      <c r="AL376" s="650"/>
      <c r="AM376" s="649"/>
      <c r="AN376" s="649"/>
      <c r="AO376" s="649"/>
      <c r="AP376" s="640" t="s">
        <v>274</v>
      </c>
      <c r="AQ376" s="678" t="s">
        <v>190</v>
      </c>
      <c r="AS376" s="548"/>
    </row>
    <row r="377" spans="3:45" outlineLevel="1" x14ac:dyDescent="0.35">
      <c r="C377" s="677" t="s">
        <v>190</v>
      </c>
      <c r="D377" s="648" t="s">
        <v>745</v>
      </c>
      <c r="E377" s="649"/>
      <c r="F377" s="649"/>
      <c r="G377" s="649"/>
      <c r="H377" s="649"/>
      <c r="I377" s="3434"/>
      <c r="J377" s="3435"/>
      <c r="K377" s="3435"/>
      <c r="L377" s="3435"/>
      <c r="M377" s="3435"/>
      <c r="N377" s="3456"/>
      <c r="O377" s="3437"/>
      <c r="P377" s="3437"/>
      <c r="Q377" s="3437"/>
      <c r="R377" s="3437"/>
      <c r="S377" s="3437"/>
      <c r="T377" s="3437"/>
      <c r="U377" s="3437"/>
      <c r="V377" s="3437"/>
      <c r="W377" s="3437"/>
      <c r="X377" s="3437"/>
      <c r="Y377" s="3437"/>
      <c r="Z377" s="3437"/>
      <c r="AA377" s="3437"/>
      <c r="AB377" s="3437"/>
      <c r="AC377" s="3437"/>
      <c r="AD377" s="3437"/>
      <c r="AE377" s="3437"/>
      <c r="AF377" s="3452"/>
      <c r="AG377" s="3452"/>
      <c r="AH377" s="3452"/>
      <c r="AI377" s="3452"/>
      <c r="AJ377" s="3452"/>
      <c r="AK377" s="3452"/>
      <c r="AL377" s="650"/>
      <c r="AM377" s="649"/>
      <c r="AN377" s="649"/>
      <c r="AO377" s="649"/>
      <c r="AP377" s="640" t="s">
        <v>746</v>
      </c>
      <c r="AQ377" s="678" t="s">
        <v>190</v>
      </c>
      <c r="AS377" s="548"/>
    </row>
    <row r="378" spans="3:45" outlineLevel="1" x14ac:dyDescent="0.35">
      <c r="C378" s="677"/>
      <c r="D378" s="648" t="s">
        <v>747</v>
      </c>
      <c r="E378" s="649"/>
      <c r="F378" s="649"/>
      <c r="G378" s="649"/>
      <c r="H378" s="649"/>
      <c r="I378" s="3437">
        <v>2914854386</v>
      </c>
      <c r="J378" s="3437"/>
      <c r="K378" s="3437"/>
      <c r="L378" s="3437"/>
      <c r="M378" s="3437"/>
      <c r="N378" s="3437"/>
      <c r="O378" s="3437">
        <v>11000000</v>
      </c>
      <c r="P378" s="3437"/>
      <c r="Q378" s="3437"/>
      <c r="R378" s="3437"/>
      <c r="S378" s="3437"/>
      <c r="T378" s="3437"/>
      <c r="U378" s="3437">
        <v>0</v>
      </c>
      <c r="V378" s="3437"/>
      <c r="W378" s="3437"/>
      <c r="X378" s="3437"/>
      <c r="Y378" s="3437"/>
      <c r="Z378" s="3437"/>
      <c r="AA378" s="3437"/>
      <c r="AB378" s="3437"/>
      <c r="AC378" s="3437"/>
      <c r="AD378" s="3437"/>
      <c r="AE378" s="3437"/>
      <c r="AF378" s="3452">
        <f>I378+O378-U378+Z378</f>
        <v>2925854386</v>
      </c>
      <c r="AG378" s="3452"/>
      <c r="AH378" s="3452"/>
      <c r="AI378" s="3452"/>
      <c r="AJ378" s="3452"/>
      <c r="AK378" s="3452"/>
      <c r="AL378" s="650"/>
      <c r="AM378" s="649"/>
      <c r="AN378" s="649"/>
      <c r="AO378" s="649"/>
      <c r="AP378" s="640" t="s">
        <v>558</v>
      </c>
      <c r="AQ378" s="678"/>
      <c r="AS378" s="548"/>
    </row>
    <row r="379" spans="3:45" outlineLevel="1" x14ac:dyDescent="0.35">
      <c r="C379" s="677"/>
      <c r="D379" s="648" t="s">
        <v>748</v>
      </c>
      <c r="E379" s="649"/>
      <c r="F379" s="649"/>
      <c r="G379" s="649"/>
      <c r="H379" s="649"/>
      <c r="I379" s="3437">
        <v>0</v>
      </c>
      <c r="J379" s="3437"/>
      <c r="K379" s="3437"/>
      <c r="L379" s="3437"/>
      <c r="M379" s="3437"/>
      <c r="N379" s="3437"/>
      <c r="O379" s="3437">
        <v>0</v>
      </c>
      <c r="P379" s="3437"/>
      <c r="Q379" s="3437"/>
      <c r="R379" s="3437"/>
      <c r="S379" s="3437"/>
      <c r="T379" s="3437"/>
      <c r="U379" s="3490">
        <v>0</v>
      </c>
      <c r="V379" s="3490"/>
      <c r="W379" s="3490"/>
      <c r="X379" s="3490"/>
      <c r="Y379" s="3490"/>
      <c r="Z379" s="3490">
        <v>0</v>
      </c>
      <c r="AA379" s="3490"/>
      <c r="AB379" s="3490"/>
      <c r="AC379" s="3490"/>
      <c r="AD379" s="3490"/>
      <c r="AE379" s="3490"/>
      <c r="AF379" s="3491">
        <f>I379+O379-U379+Z379</f>
        <v>0</v>
      </c>
      <c r="AG379" s="3491"/>
      <c r="AH379" s="3491"/>
      <c r="AI379" s="3491"/>
      <c r="AJ379" s="3491"/>
      <c r="AK379" s="3491"/>
      <c r="AL379" s="650"/>
      <c r="AM379" s="649"/>
      <c r="AN379" s="649"/>
      <c r="AO379" s="649"/>
      <c r="AP379" s="640" t="s">
        <v>749</v>
      </c>
      <c r="AQ379" s="678"/>
      <c r="AS379" s="548"/>
    </row>
    <row r="380" spans="3:45" outlineLevel="1" x14ac:dyDescent="0.35">
      <c r="C380" s="677"/>
      <c r="D380" s="648"/>
      <c r="E380" s="649"/>
      <c r="F380" s="649"/>
      <c r="G380" s="649"/>
      <c r="H380" s="649"/>
      <c r="I380" s="3693">
        <f>SUM(I378:N379)</f>
        <v>2914854386</v>
      </c>
      <c r="J380" s="3694"/>
      <c r="K380" s="3694"/>
      <c r="L380" s="3694"/>
      <c r="M380" s="3694"/>
      <c r="N380" s="3695"/>
      <c r="O380" s="3459">
        <f>SUM(O378:T379)</f>
        <v>11000000</v>
      </c>
      <c r="P380" s="3459"/>
      <c r="Q380" s="3459"/>
      <c r="R380" s="3459"/>
      <c r="S380" s="3459"/>
      <c r="T380" s="3459"/>
      <c r="U380" s="3459">
        <f>SUM(U378:Y379)</f>
        <v>0</v>
      </c>
      <c r="V380" s="3459"/>
      <c r="W380" s="3459"/>
      <c r="X380" s="3459"/>
      <c r="Y380" s="3459"/>
      <c r="Z380" s="3459">
        <f>SUM(Z378:AE379)</f>
        <v>0</v>
      </c>
      <c r="AA380" s="3459"/>
      <c r="AB380" s="3459"/>
      <c r="AC380" s="3459"/>
      <c r="AD380" s="3459"/>
      <c r="AE380" s="3459"/>
      <c r="AF380" s="3696">
        <f>SUM(AF378:AK379)</f>
        <v>2925854386</v>
      </c>
      <c r="AG380" s="3696"/>
      <c r="AH380" s="3696"/>
      <c r="AI380" s="3696"/>
      <c r="AJ380" s="3696"/>
      <c r="AK380" s="3696"/>
      <c r="AL380" s="650"/>
      <c r="AM380" s="649"/>
      <c r="AN380" s="649"/>
      <c r="AO380" s="649"/>
      <c r="AP380" s="640"/>
      <c r="AQ380" s="678"/>
      <c r="AS380" s="548"/>
    </row>
    <row r="381" spans="3:45" ht="13.5" outlineLevel="1" thickBot="1" x14ac:dyDescent="0.4">
      <c r="C381" s="679"/>
      <c r="D381" s="653"/>
      <c r="E381" s="654"/>
      <c r="F381" s="654"/>
      <c r="G381" s="654"/>
      <c r="H381" s="654"/>
      <c r="I381" s="3688"/>
      <c r="J381" s="3689"/>
      <c r="K381" s="3689"/>
      <c r="L381" s="3689"/>
      <c r="M381" s="3689"/>
      <c r="N381" s="3690"/>
      <c r="O381" s="3685"/>
      <c r="P381" s="3685"/>
      <c r="Q381" s="3685"/>
      <c r="R381" s="3685"/>
      <c r="S381" s="3685"/>
      <c r="T381" s="3685"/>
      <c r="U381" s="3685"/>
      <c r="V381" s="3685"/>
      <c r="W381" s="3685"/>
      <c r="X381" s="3685"/>
      <c r="Y381" s="3685"/>
      <c r="Z381" s="3685"/>
      <c r="AA381" s="3685"/>
      <c r="AB381" s="3685"/>
      <c r="AC381" s="3685"/>
      <c r="AD381" s="3685"/>
      <c r="AE381" s="3685"/>
      <c r="AF381" s="3685"/>
      <c r="AG381" s="3685"/>
      <c r="AH381" s="3685"/>
      <c r="AI381" s="3685"/>
      <c r="AJ381" s="3685"/>
      <c r="AK381" s="3685"/>
      <c r="AL381" s="655"/>
      <c r="AM381" s="654"/>
      <c r="AN381" s="654"/>
      <c r="AO381" s="654"/>
      <c r="AP381" s="656"/>
      <c r="AQ381" s="680"/>
      <c r="AS381" s="548"/>
    </row>
    <row r="382" spans="3:45" x14ac:dyDescent="0.35">
      <c r="C382" s="675" t="s">
        <v>750</v>
      </c>
      <c r="D382" s="643"/>
      <c r="E382" s="644"/>
      <c r="F382" s="644"/>
      <c r="G382" s="644"/>
      <c r="H382" s="681"/>
      <c r="I382" s="3691">
        <f>I380+I376+I375</f>
        <v>22961154372.001999</v>
      </c>
      <c r="J382" s="3447"/>
      <c r="K382" s="3447"/>
      <c r="L382" s="3447"/>
      <c r="M382" s="3447"/>
      <c r="N382" s="3692"/>
      <c r="O382" s="3496">
        <f>O380+O376+O375</f>
        <v>27800000</v>
      </c>
      <c r="P382" s="3496"/>
      <c r="Q382" s="3496"/>
      <c r="R382" s="3496"/>
      <c r="S382" s="3496"/>
      <c r="T382" s="3496"/>
      <c r="U382" s="3496">
        <f>U380+U376+U375</f>
        <v>0</v>
      </c>
      <c r="V382" s="3496"/>
      <c r="W382" s="3496"/>
      <c r="X382" s="3496"/>
      <c r="Y382" s="3496"/>
      <c r="Z382" s="3496">
        <f>Z380+Z375</f>
        <v>0</v>
      </c>
      <c r="AA382" s="3496"/>
      <c r="AB382" s="3496"/>
      <c r="AC382" s="3496"/>
      <c r="AD382" s="3496"/>
      <c r="AE382" s="3496"/>
      <c r="AF382" s="3496">
        <f>AF380+AF376+AF375</f>
        <v>22988954372.001999</v>
      </c>
      <c r="AG382" s="3496"/>
      <c r="AH382" s="3496"/>
      <c r="AI382" s="3496"/>
      <c r="AJ382" s="3496"/>
      <c r="AK382" s="3496"/>
      <c r="AL382" s="650"/>
      <c r="AM382" s="649"/>
      <c r="AN382" s="649"/>
      <c r="AO382" s="649"/>
      <c r="AP382" s="649"/>
      <c r="AQ382" s="676" t="s">
        <v>751</v>
      </c>
      <c r="AS382" s="548"/>
    </row>
    <row r="383" spans="3:45" x14ac:dyDescent="0.35">
      <c r="C383" s="677"/>
      <c r="D383" s="648"/>
      <c r="E383" s="649"/>
      <c r="F383" s="649"/>
      <c r="G383" s="649"/>
      <c r="H383" s="649"/>
      <c r="I383" s="682"/>
      <c r="J383" s="672"/>
      <c r="K383" s="672"/>
      <c r="L383" s="672"/>
      <c r="M383" s="672"/>
      <c r="N383" s="683"/>
      <c r="O383" s="682"/>
      <c r="P383" s="672"/>
      <c r="Q383" s="672"/>
      <c r="R383" s="672"/>
      <c r="S383" s="672"/>
      <c r="T383" s="683"/>
      <c r="U383" s="682"/>
      <c r="V383" s="672"/>
      <c r="W383" s="672"/>
      <c r="X383" s="672"/>
      <c r="Y383" s="683"/>
      <c r="Z383" s="682"/>
      <c r="AA383" s="672"/>
      <c r="AB383" s="672"/>
      <c r="AC383" s="672"/>
      <c r="AD383" s="672"/>
      <c r="AE383" s="683"/>
      <c r="AF383" s="682"/>
      <c r="AG383" s="672"/>
      <c r="AH383" s="672"/>
      <c r="AI383" s="672"/>
      <c r="AJ383" s="672"/>
      <c r="AK383" s="683"/>
      <c r="AL383" s="650"/>
      <c r="AM383" s="649"/>
      <c r="AN383" s="649"/>
      <c r="AO383" s="649"/>
      <c r="AP383" s="649"/>
      <c r="AQ383" s="684"/>
      <c r="AS383" s="548"/>
    </row>
    <row r="384" spans="3:45" x14ac:dyDescent="0.35">
      <c r="C384" s="685" t="s">
        <v>752</v>
      </c>
      <c r="D384" s="648"/>
      <c r="E384" s="649"/>
      <c r="F384" s="649"/>
      <c r="G384" s="649"/>
      <c r="H384" s="649"/>
      <c r="I384" s="3457"/>
      <c r="J384" s="3457"/>
      <c r="K384" s="3457"/>
      <c r="L384" s="3457"/>
      <c r="M384" s="3457"/>
      <c r="N384" s="3457"/>
      <c r="O384" s="3457"/>
      <c r="P384" s="3457"/>
      <c r="Q384" s="3457"/>
      <c r="R384" s="3457"/>
      <c r="S384" s="3457"/>
      <c r="T384" s="3457"/>
      <c r="U384" s="3437"/>
      <c r="V384" s="3437"/>
      <c r="W384" s="3437"/>
      <c r="X384" s="3437"/>
      <c r="Y384" s="3437"/>
      <c r="Z384" s="3457"/>
      <c r="AA384" s="3457"/>
      <c r="AB384" s="3457"/>
      <c r="AC384" s="3457"/>
      <c r="AD384" s="3457"/>
      <c r="AE384" s="3457"/>
      <c r="AF384" s="3457"/>
      <c r="AG384" s="3457"/>
      <c r="AH384" s="3457"/>
      <c r="AI384" s="3457"/>
      <c r="AJ384" s="3457"/>
      <c r="AK384" s="3457"/>
      <c r="AL384" s="650"/>
      <c r="AM384" s="649"/>
      <c r="AN384" s="649"/>
      <c r="AO384" s="649"/>
      <c r="AP384" s="649"/>
      <c r="AQ384" s="686" t="s">
        <v>218</v>
      </c>
      <c r="AS384" s="548"/>
    </row>
    <row r="385" spans="2:47" x14ac:dyDescent="0.35">
      <c r="C385" s="677" t="s">
        <v>190</v>
      </c>
      <c r="D385" s="648" t="s">
        <v>557</v>
      </c>
      <c r="E385" s="649"/>
      <c r="F385" s="649"/>
      <c r="G385" s="649"/>
      <c r="H385" s="649"/>
      <c r="I385" s="3434">
        <v>1874677443.0583339</v>
      </c>
      <c r="J385" s="3435"/>
      <c r="K385" s="3435"/>
      <c r="L385" s="3435"/>
      <c r="M385" s="3435"/>
      <c r="N385" s="3456"/>
      <c r="O385" s="3434">
        <v>51343184.612499997</v>
      </c>
      <c r="P385" s="3435"/>
      <c r="Q385" s="3435"/>
      <c r="R385" s="3435"/>
      <c r="S385" s="3435"/>
      <c r="T385" s="3456"/>
      <c r="U385" s="3437">
        <v>0</v>
      </c>
      <c r="V385" s="3437"/>
      <c r="W385" s="3437"/>
      <c r="X385" s="3437"/>
      <c r="Y385" s="3437"/>
      <c r="Z385" s="3437"/>
      <c r="AA385" s="3437"/>
      <c r="AB385" s="3437"/>
      <c r="AC385" s="3437"/>
      <c r="AD385" s="3437"/>
      <c r="AE385" s="3437"/>
      <c r="AF385" s="3437">
        <f>I385+O385-U385</f>
        <v>1926020627.6708338</v>
      </c>
      <c r="AG385" s="3437"/>
      <c r="AH385" s="3437"/>
      <c r="AI385" s="3437"/>
      <c r="AJ385" s="3437"/>
      <c r="AK385" s="3437"/>
      <c r="AL385" s="650"/>
      <c r="AM385" s="649"/>
      <c r="AN385" s="649"/>
      <c r="AO385" s="649"/>
      <c r="AP385" s="640" t="s">
        <v>558</v>
      </c>
      <c r="AQ385" s="678" t="s">
        <v>190</v>
      </c>
      <c r="AS385" s="548">
        <f t="shared" ref="AS385:AS392" si="5">AF385-I349</f>
        <v>0</v>
      </c>
    </row>
    <row r="386" spans="2:47" x14ac:dyDescent="0.35">
      <c r="C386" s="677" t="s">
        <v>190</v>
      </c>
      <c r="D386" s="648" t="s">
        <v>559</v>
      </c>
      <c r="E386" s="649"/>
      <c r="F386" s="649"/>
      <c r="G386" s="649"/>
      <c r="H386" s="649"/>
      <c r="I386" s="3434">
        <v>178990154.49666667</v>
      </c>
      <c r="J386" s="3435"/>
      <c r="K386" s="3435"/>
      <c r="L386" s="3435"/>
      <c r="M386" s="3435"/>
      <c r="N386" s="3456"/>
      <c r="O386" s="3434">
        <v>6247589.927083333</v>
      </c>
      <c r="P386" s="3435"/>
      <c r="Q386" s="3435"/>
      <c r="R386" s="3435"/>
      <c r="S386" s="3435"/>
      <c r="T386" s="3456"/>
      <c r="U386" s="3437">
        <v>0</v>
      </c>
      <c r="V386" s="3437"/>
      <c r="W386" s="3437"/>
      <c r="X386" s="3437"/>
      <c r="Y386" s="3437"/>
      <c r="Z386" s="3437"/>
      <c r="AA386" s="3437"/>
      <c r="AB386" s="3437"/>
      <c r="AC386" s="3437"/>
      <c r="AD386" s="3437"/>
      <c r="AE386" s="3437"/>
      <c r="AF386" s="3437">
        <f>I386+O386-U386</f>
        <v>185237744.42375001</v>
      </c>
      <c r="AG386" s="3437"/>
      <c r="AH386" s="3437"/>
      <c r="AI386" s="3437"/>
      <c r="AJ386" s="3437"/>
      <c r="AK386" s="3437"/>
      <c r="AL386" s="650"/>
      <c r="AM386" s="649"/>
      <c r="AN386" s="649"/>
      <c r="AO386" s="649"/>
      <c r="AP386" s="640" t="s">
        <v>561</v>
      </c>
      <c r="AQ386" s="678" t="s">
        <v>190</v>
      </c>
      <c r="AS386" s="548">
        <f t="shared" si="5"/>
        <v>0</v>
      </c>
    </row>
    <row r="387" spans="2:47" x14ac:dyDescent="0.35">
      <c r="C387" s="677" t="s">
        <v>190</v>
      </c>
      <c r="D387" s="648" t="s">
        <v>562</v>
      </c>
      <c r="E387" s="649"/>
      <c r="F387" s="649"/>
      <c r="G387" s="649"/>
      <c r="H387" s="649"/>
      <c r="I387" s="3434">
        <v>459295454.97293335</v>
      </c>
      <c r="J387" s="3435"/>
      <c r="K387" s="3435"/>
      <c r="L387" s="3435"/>
      <c r="M387" s="3435"/>
      <c r="N387" s="3456"/>
      <c r="O387" s="3434">
        <v>13006306.16666667</v>
      </c>
      <c r="P387" s="3435"/>
      <c r="Q387" s="3435"/>
      <c r="R387" s="3435"/>
      <c r="S387" s="3435"/>
      <c r="T387" s="3456"/>
      <c r="U387" s="3437">
        <v>0</v>
      </c>
      <c r="V387" s="3437"/>
      <c r="W387" s="3437"/>
      <c r="X387" s="3437"/>
      <c r="Y387" s="3437"/>
      <c r="Z387" s="3437"/>
      <c r="AA387" s="3437"/>
      <c r="AB387" s="3437"/>
      <c r="AC387" s="3437"/>
      <c r="AD387" s="3437"/>
      <c r="AE387" s="3437"/>
      <c r="AF387" s="3437">
        <f>I387+O387-U387-0</f>
        <v>472301761.13960004</v>
      </c>
      <c r="AG387" s="3437"/>
      <c r="AH387" s="3437"/>
      <c r="AI387" s="3437"/>
      <c r="AJ387" s="3437"/>
      <c r="AK387" s="3437"/>
      <c r="AL387" s="650"/>
      <c r="AM387" s="649"/>
      <c r="AN387" s="649"/>
      <c r="AO387" s="649"/>
      <c r="AP387" s="640" t="s">
        <v>563</v>
      </c>
      <c r="AQ387" s="678" t="s">
        <v>190</v>
      </c>
      <c r="AS387" s="548">
        <f t="shared" si="5"/>
        <v>0</v>
      </c>
    </row>
    <row r="388" spans="2:47" x14ac:dyDescent="0.35">
      <c r="C388" s="677" t="s">
        <v>190</v>
      </c>
      <c r="D388" s="648" t="s">
        <v>564</v>
      </c>
      <c r="E388" s="649"/>
      <c r="F388" s="649"/>
      <c r="G388" s="649"/>
      <c r="H388" s="649"/>
      <c r="I388" s="3434">
        <v>891679019.80464458</v>
      </c>
      <c r="J388" s="3435"/>
      <c r="K388" s="3435"/>
      <c r="L388" s="3435"/>
      <c r="M388" s="3435"/>
      <c r="N388" s="3456"/>
      <c r="O388" s="3434">
        <v>20509899.883366667</v>
      </c>
      <c r="P388" s="3435"/>
      <c r="Q388" s="3435"/>
      <c r="R388" s="3435"/>
      <c r="S388" s="3435"/>
      <c r="T388" s="3456"/>
      <c r="U388" s="3437">
        <v>0</v>
      </c>
      <c r="V388" s="3437"/>
      <c r="W388" s="3437"/>
      <c r="X388" s="3437"/>
      <c r="Y388" s="3437"/>
      <c r="Z388" s="3437"/>
      <c r="AA388" s="3437"/>
      <c r="AB388" s="3437"/>
      <c r="AC388" s="3437"/>
      <c r="AD388" s="3437"/>
      <c r="AE388" s="3437"/>
      <c r="AF388" s="3437">
        <f>I388+O388-U388-0</f>
        <v>912188919.68801129</v>
      </c>
      <c r="AG388" s="3437"/>
      <c r="AH388" s="3437"/>
      <c r="AI388" s="3437"/>
      <c r="AJ388" s="3437"/>
      <c r="AK388" s="3437"/>
      <c r="AL388" s="650"/>
      <c r="AM388" s="649"/>
      <c r="AN388" s="649"/>
      <c r="AO388" s="649"/>
      <c r="AP388" s="640" t="s">
        <v>565</v>
      </c>
      <c r="AQ388" s="678" t="s">
        <v>190</v>
      </c>
      <c r="AS388" s="548">
        <f t="shared" si="5"/>
        <v>0</v>
      </c>
    </row>
    <row r="389" spans="2:47" outlineLevel="1" x14ac:dyDescent="0.35">
      <c r="C389" s="677" t="s">
        <v>190</v>
      </c>
      <c r="D389" s="648" t="s">
        <v>566</v>
      </c>
      <c r="E389" s="649"/>
      <c r="F389" s="649"/>
      <c r="G389" s="649"/>
      <c r="H389" s="649"/>
      <c r="I389" s="3434">
        <v>95020610.329666689</v>
      </c>
      <c r="J389" s="3435"/>
      <c r="K389" s="3435"/>
      <c r="L389" s="3435"/>
      <c r="M389" s="3435"/>
      <c r="N389" s="3456"/>
      <c r="O389" s="3434">
        <v>2330208.3333333335</v>
      </c>
      <c r="P389" s="3435"/>
      <c r="Q389" s="3435"/>
      <c r="R389" s="3435"/>
      <c r="S389" s="3435"/>
      <c r="T389" s="3456"/>
      <c r="U389" s="3437">
        <v>0</v>
      </c>
      <c r="V389" s="3437"/>
      <c r="W389" s="3437"/>
      <c r="X389" s="3437"/>
      <c r="Y389" s="3437"/>
      <c r="Z389" s="3437"/>
      <c r="AA389" s="3437"/>
      <c r="AB389" s="3437"/>
      <c r="AC389" s="3437"/>
      <c r="AD389" s="3437"/>
      <c r="AE389" s="3437"/>
      <c r="AF389" s="3437">
        <f>I389+O389-U389</f>
        <v>97350818.663000017</v>
      </c>
      <c r="AG389" s="3437"/>
      <c r="AH389" s="3437"/>
      <c r="AI389" s="3437"/>
      <c r="AJ389" s="3437"/>
      <c r="AK389" s="3437"/>
      <c r="AL389" s="650"/>
      <c r="AM389" s="649"/>
      <c r="AN389" s="649"/>
      <c r="AO389" s="649"/>
      <c r="AP389" s="640" t="s">
        <v>567</v>
      </c>
      <c r="AQ389" s="678" t="s">
        <v>190</v>
      </c>
      <c r="AS389" s="548">
        <f t="shared" si="5"/>
        <v>0</v>
      </c>
    </row>
    <row r="390" spans="2:47" outlineLevel="1" x14ac:dyDescent="0.35">
      <c r="C390" s="677" t="s">
        <v>190</v>
      </c>
      <c r="D390" s="648" t="s">
        <v>568</v>
      </c>
      <c r="E390" s="649"/>
      <c r="F390" s="649"/>
      <c r="G390" s="649"/>
      <c r="H390" s="649"/>
      <c r="I390" s="3434">
        <v>0</v>
      </c>
      <c r="J390" s="3435"/>
      <c r="K390" s="3435"/>
      <c r="L390" s="3435"/>
      <c r="M390" s="3435"/>
      <c r="N390" s="3456"/>
      <c r="O390" s="3434">
        <v>0</v>
      </c>
      <c r="P390" s="3435"/>
      <c r="Q390" s="3435"/>
      <c r="R390" s="3435"/>
      <c r="S390" s="3435"/>
      <c r="T390" s="3456"/>
      <c r="U390" s="3437">
        <v>0</v>
      </c>
      <c r="V390" s="3437"/>
      <c r="W390" s="3437"/>
      <c r="X390" s="3437"/>
      <c r="Y390" s="3437"/>
      <c r="Z390" s="3437"/>
      <c r="AA390" s="3437"/>
      <c r="AB390" s="3437"/>
      <c r="AC390" s="3437"/>
      <c r="AD390" s="3437"/>
      <c r="AE390" s="3437"/>
      <c r="AF390" s="3437">
        <f>I390+O390-U390</f>
        <v>0</v>
      </c>
      <c r="AG390" s="3437"/>
      <c r="AH390" s="3437"/>
      <c r="AI390" s="3437"/>
      <c r="AJ390" s="3437"/>
      <c r="AK390" s="3437"/>
      <c r="AL390" s="650"/>
      <c r="AM390" s="649"/>
      <c r="AN390" s="649"/>
      <c r="AO390" s="649"/>
      <c r="AP390" s="640" t="s">
        <v>569</v>
      </c>
      <c r="AQ390" s="678" t="s">
        <v>190</v>
      </c>
      <c r="AS390" s="548">
        <f t="shared" si="5"/>
        <v>0</v>
      </c>
    </row>
    <row r="391" spans="2:47" x14ac:dyDescent="0.35">
      <c r="C391" s="677" t="s">
        <v>190</v>
      </c>
      <c r="D391" s="648" t="s">
        <v>570</v>
      </c>
      <c r="E391" s="649"/>
      <c r="F391" s="649"/>
      <c r="G391" s="649"/>
      <c r="H391" s="665"/>
      <c r="I391" s="3434">
        <v>0</v>
      </c>
      <c r="J391" s="3435"/>
      <c r="K391" s="3435"/>
      <c r="L391" s="3435"/>
      <c r="M391" s="3435"/>
      <c r="N391" s="3456"/>
      <c r="O391" s="3434">
        <v>0</v>
      </c>
      <c r="P391" s="3435"/>
      <c r="Q391" s="3435"/>
      <c r="R391" s="3435"/>
      <c r="S391" s="3435"/>
      <c r="T391" s="3456"/>
      <c r="U391" s="3437">
        <v>0</v>
      </c>
      <c r="V391" s="3437"/>
      <c r="W391" s="3437"/>
      <c r="X391" s="3437"/>
      <c r="Y391" s="3437"/>
      <c r="Z391" s="3490"/>
      <c r="AA391" s="3490"/>
      <c r="AB391" s="3490"/>
      <c r="AC391" s="3490"/>
      <c r="AD391" s="3490"/>
      <c r="AE391" s="3490"/>
      <c r="AF391" s="3490">
        <f>I391+O391-U391</f>
        <v>0</v>
      </c>
      <c r="AG391" s="3490"/>
      <c r="AH391" s="3490"/>
      <c r="AI391" s="3490"/>
      <c r="AJ391" s="3490"/>
      <c r="AK391" s="3490"/>
      <c r="AL391" s="650"/>
      <c r="AM391" s="649"/>
      <c r="AN391" s="649"/>
      <c r="AO391" s="649"/>
      <c r="AP391" s="640" t="s">
        <v>571</v>
      </c>
      <c r="AQ391" s="678" t="s">
        <v>190</v>
      </c>
      <c r="AS391" s="548">
        <f t="shared" si="5"/>
        <v>0</v>
      </c>
    </row>
    <row r="392" spans="2:47" x14ac:dyDescent="0.35">
      <c r="C392" s="677"/>
      <c r="D392" s="648"/>
      <c r="E392" s="649"/>
      <c r="F392" s="649"/>
      <c r="G392" s="649"/>
      <c r="H392" s="649"/>
      <c r="I392" s="3458">
        <f>SUM(I385:N391)</f>
        <v>3499662682.6622453</v>
      </c>
      <c r="J392" s="3458"/>
      <c r="K392" s="3458"/>
      <c r="L392" s="3458"/>
      <c r="M392" s="3458"/>
      <c r="N392" s="3458"/>
      <c r="O392" s="3458">
        <f>SUM(O385:T391)</f>
        <v>93437188.922949985</v>
      </c>
      <c r="P392" s="3458"/>
      <c r="Q392" s="3458"/>
      <c r="R392" s="3458"/>
      <c r="S392" s="3458"/>
      <c r="T392" s="3458"/>
      <c r="U392" s="3458">
        <f>SUM(U385:Y391)</f>
        <v>0</v>
      </c>
      <c r="V392" s="3458"/>
      <c r="W392" s="3458"/>
      <c r="X392" s="3458"/>
      <c r="Y392" s="3458"/>
      <c r="Z392" s="3458">
        <f>SUM(Z385:AE391)</f>
        <v>0</v>
      </c>
      <c r="AA392" s="3458"/>
      <c r="AB392" s="3458"/>
      <c r="AC392" s="3458"/>
      <c r="AD392" s="3458"/>
      <c r="AE392" s="3458"/>
      <c r="AF392" s="3458">
        <f>SUM(AF385:AK391)</f>
        <v>3593099871.5851951</v>
      </c>
      <c r="AG392" s="3458"/>
      <c r="AH392" s="3458"/>
      <c r="AI392" s="3458"/>
      <c r="AJ392" s="3458"/>
      <c r="AK392" s="3458"/>
      <c r="AL392" s="650"/>
      <c r="AM392" s="649"/>
      <c r="AN392" s="649"/>
      <c r="AO392" s="649"/>
      <c r="AP392" s="649"/>
      <c r="AQ392" s="684"/>
      <c r="AS392" s="548">
        <f t="shared" si="5"/>
        <v>0</v>
      </c>
    </row>
    <row r="393" spans="2:47" ht="13.5" outlineLevel="1" thickBot="1" x14ac:dyDescent="0.4">
      <c r="C393" s="679" t="s">
        <v>190</v>
      </c>
      <c r="D393" s="653" t="s">
        <v>273</v>
      </c>
      <c r="E393" s="654"/>
      <c r="F393" s="654"/>
      <c r="G393" s="654"/>
      <c r="H393" s="654"/>
      <c r="I393" s="3626">
        <v>52852013.466666698</v>
      </c>
      <c r="J393" s="3626"/>
      <c r="K393" s="3626"/>
      <c r="L393" s="3626"/>
      <c r="M393" s="3626"/>
      <c r="N393" s="3626"/>
      <c r="O393" s="3686">
        <v>1428089.7166666666</v>
      </c>
      <c r="P393" s="3686"/>
      <c r="Q393" s="3686"/>
      <c r="R393" s="3686"/>
      <c r="S393" s="3686"/>
      <c r="T393" s="3686"/>
      <c r="U393" s="3685">
        <v>0</v>
      </c>
      <c r="V393" s="3685"/>
      <c r="W393" s="3685"/>
      <c r="X393" s="3685"/>
      <c r="Y393" s="3685"/>
      <c r="Z393" s="3685"/>
      <c r="AA393" s="3685"/>
      <c r="AB393" s="3685"/>
      <c r="AC393" s="3685"/>
      <c r="AD393" s="3685"/>
      <c r="AE393" s="3685"/>
      <c r="AF393" s="3687">
        <f>I393+O393-U393+Z393</f>
        <v>54280103.183333367</v>
      </c>
      <c r="AG393" s="3687"/>
      <c r="AH393" s="3687"/>
      <c r="AI393" s="3687"/>
      <c r="AJ393" s="3687"/>
      <c r="AK393" s="3687"/>
      <c r="AL393" s="655"/>
      <c r="AM393" s="654"/>
      <c r="AN393" s="654"/>
      <c r="AO393" s="654"/>
      <c r="AP393" s="656" t="s">
        <v>274</v>
      </c>
      <c r="AQ393" s="680" t="s">
        <v>190</v>
      </c>
      <c r="AS393" s="548"/>
    </row>
    <row r="394" spans="2:47" x14ac:dyDescent="0.35">
      <c r="C394" s="685" t="s">
        <v>753</v>
      </c>
      <c r="D394" s="648"/>
      <c r="E394" s="649"/>
      <c r="F394" s="649"/>
      <c r="G394" s="649"/>
      <c r="H394" s="649"/>
      <c r="I394" s="3496">
        <f>I392+I393</f>
        <v>3552514696.128912</v>
      </c>
      <c r="J394" s="3496"/>
      <c r="K394" s="3496"/>
      <c r="L394" s="3496"/>
      <c r="M394" s="3496"/>
      <c r="N394" s="3496"/>
      <c r="O394" s="3496">
        <f>O392+O393</f>
        <v>94865278.639616653</v>
      </c>
      <c r="P394" s="3496"/>
      <c r="Q394" s="3496"/>
      <c r="R394" s="3496"/>
      <c r="S394" s="3496"/>
      <c r="T394" s="3496"/>
      <c r="U394" s="3496">
        <f>U393+U392</f>
        <v>0</v>
      </c>
      <c r="V394" s="3496"/>
      <c r="W394" s="3496"/>
      <c r="X394" s="3496"/>
      <c r="Y394" s="3496"/>
      <c r="Z394" s="3496">
        <f>Z393+Z392</f>
        <v>0</v>
      </c>
      <c r="AA394" s="3496"/>
      <c r="AB394" s="3496"/>
      <c r="AC394" s="3496"/>
      <c r="AD394" s="3496"/>
      <c r="AE394" s="3496"/>
      <c r="AF394" s="3496">
        <f>AF393+AF392</f>
        <v>3647379974.7685285</v>
      </c>
      <c r="AG394" s="3496"/>
      <c r="AH394" s="3496"/>
      <c r="AI394" s="3496"/>
      <c r="AJ394" s="3496"/>
      <c r="AK394" s="3496"/>
      <c r="AL394" s="650"/>
      <c r="AM394" s="649"/>
      <c r="AN394" s="649"/>
      <c r="AO394" s="649"/>
      <c r="AP394" s="640"/>
      <c r="AQ394" s="686" t="s">
        <v>754</v>
      </c>
      <c r="AS394" s="548"/>
    </row>
    <row r="395" spans="2:47" ht="13.5" thickBot="1" x14ac:dyDescent="0.4">
      <c r="C395" s="677"/>
      <c r="D395" s="648"/>
      <c r="E395" s="649"/>
      <c r="F395" s="649"/>
      <c r="G395" s="649"/>
      <c r="H395" s="649"/>
      <c r="I395" s="3684"/>
      <c r="J395" s="3684"/>
      <c r="K395" s="3684"/>
      <c r="L395" s="3684"/>
      <c r="M395" s="3684"/>
      <c r="N395" s="3684"/>
      <c r="O395" s="3684"/>
      <c r="P395" s="3684"/>
      <c r="Q395" s="3684"/>
      <c r="R395" s="3684"/>
      <c r="S395" s="3684"/>
      <c r="T395" s="3684"/>
      <c r="U395" s="3685"/>
      <c r="V395" s="3685"/>
      <c r="W395" s="3685"/>
      <c r="X395" s="3685"/>
      <c r="Y395" s="3685"/>
      <c r="Z395" s="3684"/>
      <c r="AA395" s="3684"/>
      <c r="AB395" s="3684"/>
      <c r="AC395" s="3684"/>
      <c r="AD395" s="3684"/>
      <c r="AE395" s="3684"/>
      <c r="AF395" s="3684"/>
      <c r="AG395" s="3684"/>
      <c r="AH395" s="3684"/>
      <c r="AI395" s="3684"/>
      <c r="AJ395" s="3684"/>
      <c r="AK395" s="3684"/>
      <c r="AL395" s="650"/>
      <c r="AM395" s="649"/>
      <c r="AN395" s="649"/>
      <c r="AO395" s="649"/>
      <c r="AP395" s="649"/>
      <c r="AQ395" s="684"/>
      <c r="AS395" s="548"/>
    </row>
    <row r="396" spans="2:47" ht="13.5" thickBot="1" x14ac:dyDescent="0.4">
      <c r="C396" s="3612" t="s">
        <v>755</v>
      </c>
      <c r="D396" s="3612"/>
      <c r="E396" s="3612"/>
      <c r="F396" s="3612"/>
      <c r="G396" s="3612"/>
      <c r="H396" s="3612"/>
      <c r="I396" s="3446">
        <f>I382-I394</f>
        <v>19408639675.873085</v>
      </c>
      <c r="J396" s="3446"/>
      <c r="K396" s="3446"/>
      <c r="L396" s="3446"/>
      <c r="M396" s="3446"/>
      <c r="N396" s="3446"/>
      <c r="O396" s="3446">
        <f>O382-O394</f>
        <v>-67065278.639616653</v>
      </c>
      <c r="P396" s="3446"/>
      <c r="Q396" s="3446"/>
      <c r="R396" s="3446"/>
      <c r="S396" s="3446"/>
      <c r="T396" s="3446"/>
      <c r="U396" s="3446">
        <f>U382+U394</f>
        <v>0</v>
      </c>
      <c r="V396" s="3446"/>
      <c r="W396" s="3446"/>
      <c r="X396" s="3446"/>
      <c r="Y396" s="3446"/>
      <c r="Z396" s="3446">
        <f>Z382-Z394</f>
        <v>0</v>
      </c>
      <c r="AA396" s="3446"/>
      <c r="AB396" s="3446"/>
      <c r="AC396" s="3446"/>
      <c r="AD396" s="3446"/>
      <c r="AE396" s="3446"/>
      <c r="AF396" s="3446">
        <f>AF382-AF394</f>
        <v>19341574397.233471</v>
      </c>
      <c r="AG396" s="3446"/>
      <c r="AH396" s="3446"/>
      <c r="AI396" s="3446"/>
      <c r="AJ396" s="3446"/>
      <c r="AK396" s="3446"/>
      <c r="AL396" s="687"/>
      <c r="AM396" s="688"/>
      <c r="AN396" s="688"/>
      <c r="AO396" s="688"/>
      <c r="AP396" s="689"/>
      <c r="AQ396" s="690" t="s">
        <v>756</v>
      </c>
      <c r="AS396" s="548">
        <f>AF396-I360</f>
        <v>0</v>
      </c>
      <c r="AT396" s="3019"/>
      <c r="AU396" s="497"/>
    </row>
    <row r="398" spans="2:47" ht="12.75" customHeight="1" x14ac:dyDescent="0.35">
      <c r="B398" s="457"/>
      <c r="C398" s="84"/>
      <c r="D398" s="84"/>
      <c r="E398" s="363"/>
      <c r="F398" s="63"/>
      <c r="G398" s="363"/>
      <c r="H398" s="87"/>
      <c r="I398" s="87"/>
      <c r="J398" s="365"/>
      <c r="L398" s="365"/>
      <c r="N398" s="365"/>
      <c r="AP398" s="181"/>
      <c r="AQ398" s="365"/>
      <c r="AS398" s="548"/>
    </row>
    <row r="399" spans="2:47" ht="12.75" customHeight="1" x14ac:dyDescent="0.35">
      <c r="B399" s="457"/>
      <c r="C399" s="84"/>
      <c r="D399" s="84"/>
      <c r="E399" s="363"/>
      <c r="F399" s="63"/>
      <c r="G399" s="363"/>
      <c r="H399" s="87"/>
      <c r="I399" s="87"/>
      <c r="J399" s="365"/>
      <c r="L399" s="365"/>
      <c r="N399" s="365"/>
      <c r="AP399" s="181"/>
      <c r="AQ399" s="365"/>
      <c r="AS399" s="548"/>
    </row>
    <row r="400" spans="2:47" ht="12.75" customHeight="1" x14ac:dyDescent="0.35">
      <c r="B400" s="457"/>
      <c r="C400" s="84"/>
      <c r="D400" s="84"/>
      <c r="E400" s="363"/>
      <c r="F400" s="63"/>
      <c r="G400" s="363"/>
      <c r="H400" s="87"/>
      <c r="I400" s="87"/>
      <c r="J400" s="365"/>
      <c r="L400" s="365"/>
      <c r="N400" s="365"/>
      <c r="AP400" s="181"/>
      <c r="AQ400" s="365"/>
      <c r="AS400" s="548"/>
    </row>
    <row r="401" spans="1:45" ht="12.75" customHeight="1" x14ac:dyDescent="0.35">
      <c r="B401" s="457"/>
      <c r="C401" s="84"/>
      <c r="D401" s="84"/>
      <c r="E401" s="363"/>
      <c r="F401" s="63"/>
      <c r="G401" s="363"/>
      <c r="H401" s="87"/>
      <c r="I401" s="87"/>
      <c r="J401" s="365"/>
      <c r="L401" s="365"/>
      <c r="N401" s="365"/>
      <c r="AP401" s="181"/>
      <c r="AQ401" s="365"/>
      <c r="AS401" s="548"/>
    </row>
    <row r="402" spans="1:45" ht="12.75" customHeight="1" x14ac:dyDescent="0.35">
      <c r="B402" s="457"/>
      <c r="C402" s="84"/>
      <c r="D402" s="84"/>
      <c r="E402" s="363"/>
      <c r="F402" s="63"/>
      <c r="G402" s="363"/>
      <c r="H402" s="87"/>
      <c r="I402" s="87"/>
      <c r="J402" s="365"/>
      <c r="L402" s="365"/>
      <c r="N402" s="365"/>
      <c r="AP402" s="181"/>
      <c r="AQ402" s="365"/>
      <c r="AS402" s="548"/>
    </row>
    <row r="403" spans="1:45" ht="12.75" customHeight="1" x14ac:dyDescent="0.35">
      <c r="B403" s="457"/>
      <c r="C403" s="84"/>
      <c r="D403" s="84"/>
      <c r="E403" s="363"/>
      <c r="F403" s="63"/>
      <c r="G403" s="363"/>
      <c r="H403" s="87"/>
      <c r="I403" s="87"/>
      <c r="J403" s="365"/>
      <c r="L403" s="365"/>
      <c r="N403" s="365"/>
      <c r="AP403" s="181"/>
      <c r="AQ403" s="365"/>
      <c r="AS403" s="548"/>
    </row>
    <row r="404" spans="1:45" ht="12.75" customHeight="1" x14ac:dyDescent="0.35">
      <c r="B404" s="457"/>
      <c r="C404" s="84"/>
      <c r="D404" s="84"/>
      <c r="E404" s="363"/>
      <c r="F404" s="63"/>
      <c r="G404" s="363"/>
      <c r="H404" s="87"/>
      <c r="I404" s="87"/>
      <c r="J404" s="365"/>
      <c r="L404" s="365"/>
      <c r="N404" s="365"/>
      <c r="AP404" s="181"/>
      <c r="AQ404" s="365"/>
      <c r="AS404" s="548"/>
    </row>
    <row r="405" spans="1:45" ht="12.75" customHeight="1" x14ac:dyDescent="0.35">
      <c r="B405" s="457"/>
      <c r="C405" s="84"/>
      <c r="D405" s="84"/>
      <c r="E405" s="363"/>
      <c r="F405" s="63"/>
      <c r="G405" s="363"/>
      <c r="H405" s="87"/>
      <c r="I405" s="87"/>
      <c r="J405" s="365"/>
      <c r="L405" s="365"/>
      <c r="N405" s="365"/>
      <c r="AP405" s="181"/>
      <c r="AQ405" s="365"/>
      <c r="AS405" s="548"/>
    </row>
    <row r="406" spans="1:45" ht="12.75" customHeight="1" x14ac:dyDescent="0.35">
      <c r="B406" s="457"/>
      <c r="C406" s="84"/>
      <c r="D406" s="84"/>
      <c r="E406" s="363"/>
      <c r="F406" s="63"/>
      <c r="G406" s="363"/>
      <c r="H406" s="87"/>
      <c r="I406" s="87"/>
      <c r="J406" s="365"/>
      <c r="L406" s="365"/>
      <c r="N406" s="365"/>
      <c r="AP406" s="181"/>
      <c r="AQ406" s="365"/>
      <c r="AS406" s="548"/>
    </row>
    <row r="407" spans="1:45" ht="12.75" customHeight="1" x14ac:dyDescent="0.35">
      <c r="B407" s="457"/>
      <c r="C407" s="84"/>
      <c r="D407" s="84"/>
      <c r="E407" s="363"/>
      <c r="F407" s="63"/>
      <c r="G407" s="363"/>
      <c r="H407" s="87"/>
      <c r="I407" s="87"/>
      <c r="J407" s="365"/>
      <c r="L407" s="365"/>
      <c r="N407" s="365"/>
      <c r="AP407" s="181"/>
      <c r="AQ407" s="365"/>
      <c r="AS407" s="548"/>
    </row>
    <row r="408" spans="1:45" ht="12.75" customHeight="1" x14ac:dyDescent="0.35">
      <c r="B408" s="457"/>
      <c r="C408" s="84"/>
      <c r="D408" s="84"/>
      <c r="E408" s="363"/>
      <c r="F408" s="63"/>
      <c r="G408" s="363"/>
      <c r="H408" s="87"/>
      <c r="I408" s="87"/>
      <c r="J408" s="365"/>
      <c r="L408" s="365"/>
      <c r="N408" s="365"/>
      <c r="AP408" s="181"/>
      <c r="AQ408" s="365"/>
      <c r="AS408" s="548"/>
    </row>
    <row r="409" spans="1:45" ht="12.75" customHeight="1" x14ac:dyDescent="0.35">
      <c r="B409" s="457" t="s">
        <v>409</v>
      </c>
      <c r="C409" s="84"/>
      <c r="D409" s="84"/>
      <c r="E409" s="363"/>
      <c r="F409" s="63"/>
      <c r="G409" s="363"/>
      <c r="H409" s="87"/>
      <c r="I409" s="87"/>
      <c r="J409" s="365"/>
      <c r="L409" s="365"/>
      <c r="N409" s="365"/>
      <c r="AP409" s="181"/>
      <c r="AQ409" s="365" t="s">
        <v>410</v>
      </c>
      <c r="AS409" s="548"/>
    </row>
    <row r="410" spans="1:45" s="564" customFormat="1" ht="16.5" x14ac:dyDescent="0.35">
      <c r="B410" s="561" t="str">
        <f>IN!C4</f>
        <v>Laporan Keuangan June 2026</v>
      </c>
      <c r="C410" s="561"/>
      <c r="D410" s="561"/>
      <c r="E410" s="561"/>
      <c r="F410" s="561"/>
      <c r="G410" s="561"/>
      <c r="H410" s="561"/>
      <c r="I410" s="561"/>
      <c r="J410" s="561"/>
      <c r="K410" s="561"/>
      <c r="L410" s="561"/>
      <c r="M410" s="561"/>
      <c r="N410" s="561"/>
      <c r="O410" s="561"/>
      <c r="P410" s="561"/>
      <c r="Q410" s="561"/>
      <c r="R410" s="561"/>
      <c r="S410" s="561"/>
      <c r="T410" s="561"/>
      <c r="U410" s="561"/>
      <c r="V410" s="691"/>
      <c r="W410" s="692" t="s">
        <v>759</v>
      </c>
      <c r="X410" s="561"/>
      <c r="Y410" s="561"/>
      <c r="Z410" s="561"/>
      <c r="AA410" s="561"/>
      <c r="AB410" s="561"/>
      <c r="AC410" s="561"/>
      <c r="AD410" s="561"/>
      <c r="AE410" s="561"/>
      <c r="AF410" s="561"/>
      <c r="AG410" s="561"/>
      <c r="AH410" s="561"/>
      <c r="AI410" s="561"/>
      <c r="AJ410" s="561"/>
      <c r="AK410" s="561"/>
      <c r="AL410" s="561"/>
      <c r="AM410" s="561"/>
      <c r="AN410" s="561"/>
      <c r="AO410" s="561"/>
      <c r="AP410" s="561"/>
      <c r="AQ410" s="563" t="str">
        <f>IN!D4</f>
        <v>Financial Statement Jun 2026</v>
      </c>
      <c r="AS410" s="565"/>
    </row>
    <row r="411" spans="1:45" s="513" customFormat="1" ht="3.75" customHeight="1" x14ac:dyDescent="0.35">
      <c r="A411" s="544" t="s">
        <v>614</v>
      </c>
      <c r="B411" s="587"/>
      <c r="C411" s="511" t="s">
        <v>760</v>
      </c>
      <c r="D411" s="544"/>
      <c r="E411" s="588"/>
      <c r="F411" s="588"/>
      <c r="G411" s="588"/>
      <c r="H411" s="588"/>
      <c r="I411" s="588"/>
      <c r="J411" s="588"/>
      <c r="K411" s="588"/>
      <c r="L411" s="588"/>
      <c r="M411" s="588"/>
      <c r="N411" s="588"/>
      <c r="O411" s="588"/>
      <c r="P411" s="588"/>
      <c r="Q411" s="589"/>
      <c r="R411" s="589"/>
      <c r="S411" s="589"/>
      <c r="T411" s="589"/>
      <c r="U411" s="589"/>
      <c r="V411" s="589"/>
      <c r="W411" s="590"/>
      <c r="X411" s="589"/>
      <c r="Y411" s="589"/>
      <c r="Z411" s="589"/>
      <c r="AA411" s="589"/>
      <c r="AB411" s="589"/>
      <c r="AC411" s="589"/>
      <c r="AD411" s="544"/>
      <c r="AE411" s="544"/>
      <c r="AF411" s="544"/>
      <c r="AG411" s="544"/>
      <c r="AH411" s="544"/>
      <c r="AI411" s="544"/>
      <c r="AJ411" s="544"/>
      <c r="AK411" s="544"/>
      <c r="AL411" s="544"/>
      <c r="AM411" s="544"/>
      <c r="AN411" s="544"/>
      <c r="AO411" s="544"/>
      <c r="AP411" s="591"/>
      <c r="AQ411" s="512" t="s">
        <v>761</v>
      </c>
      <c r="AR411" s="544"/>
      <c r="AS411" s="693"/>
    </row>
    <row r="412" spans="1:45" outlineLevel="1" x14ac:dyDescent="0.35">
      <c r="B412" s="457" t="s">
        <v>409</v>
      </c>
      <c r="C412" s="84"/>
      <c r="D412" s="84"/>
      <c r="E412" s="363"/>
      <c r="F412" s="63"/>
      <c r="G412" s="363"/>
      <c r="H412" s="87"/>
      <c r="I412" s="87"/>
      <c r="J412" s="365"/>
      <c r="L412" s="365"/>
      <c r="N412" s="365"/>
      <c r="AP412" s="181"/>
      <c r="AQ412" s="365" t="s">
        <v>410</v>
      </c>
      <c r="AS412" s="548"/>
    </row>
    <row r="413" spans="1:45" outlineLevel="1" x14ac:dyDescent="0.35">
      <c r="B413" s="86"/>
      <c r="C413" s="84"/>
      <c r="D413" s="84"/>
      <c r="E413" s="363"/>
      <c r="F413" s="86"/>
      <c r="G413" s="363"/>
      <c r="H413" s="87"/>
      <c r="I413" s="87"/>
      <c r="J413" s="142"/>
      <c r="AP413" s="181"/>
      <c r="AQ413" s="181"/>
      <c r="AS413" s="548"/>
    </row>
    <row r="414" spans="1:45" s="694" customFormat="1" ht="19" outlineLevel="1" x14ac:dyDescent="0.35">
      <c r="B414" s="695" t="str">
        <f>IN!C4</f>
        <v>Laporan Keuangan June 2026</v>
      </c>
      <c r="C414" s="695"/>
      <c r="D414" s="695"/>
      <c r="E414" s="695"/>
      <c r="F414" s="695"/>
      <c r="G414" s="695"/>
      <c r="H414" s="695"/>
      <c r="I414" s="695"/>
      <c r="J414" s="695"/>
      <c r="K414" s="695"/>
      <c r="L414" s="695"/>
      <c r="M414" s="695"/>
      <c r="N414" s="695"/>
      <c r="O414" s="695"/>
      <c r="P414" s="695"/>
      <c r="Q414" s="695"/>
      <c r="R414" s="695"/>
      <c r="S414" s="695"/>
      <c r="T414" s="695"/>
      <c r="U414" s="695"/>
      <c r="V414" s="696"/>
      <c r="W414" s="610" t="s">
        <v>762</v>
      </c>
      <c r="X414" s="695"/>
      <c r="Y414" s="695"/>
      <c r="Z414" s="695"/>
      <c r="AA414" s="695"/>
      <c r="AB414" s="695"/>
      <c r="AC414" s="695"/>
      <c r="AD414" s="695"/>
      <c r="AE414" s="695"/>
      <c r="AF414" s="695"/>
      <c r="AG414" s="695"/>
      <c r="AH414" s="695"/>
      <c r="AI414" s="695"/>
      <c r="AJ414" s="695"/>
      <c r="AK414" s="695"/>
      <c r="AL414" s="695"/>
      <c r="AM414" s="695"/>
      <c r="AN414" s="695"/>
      <c r="AO414" s="695"/>
      <c r="AP414" s="695"/>
      <c r="AQ414" s="697" t="str">
        <f>IN!D4</f>
        <v>Financial Statement Jun 2026</v>
      </c>
      <c r="AS414" s="698"/>
    </row>
    <row r="415" spans="1:45" s="513" customFormat="1" ht="15" outlineLevel="1" x14ac:dyDescent="0.35">
      <c r="A415" s="612"/>
      <c r="B415" s="535" t="s">
        <v>763</v>
      </c>
      <c r="C415" s="536" t="s">
        <v>764</v>
      </c>
      <c r="D415" s="535"/>
      <c r="E415" s="537"/>
      <c r="F415" s="537"/>
      <c r="G415" s="537"/>
      <c r="H415" s="537"/>
      <c r="I415" s="537"/>
      <c r="J415" s="537"/>
      <c r="K415" s="537"/>
      <c r="L415" s="537"/>
      <c r="M415" s="537"/>
      <c r="N415" s="537"/>
      <c r="O415" s="537"/>
      <c r="P415" s="537"/>
      <c r="Q415" s="537"/>
      <c r="R415" s="537"/>
      <c r="S415" s="537"/>
      <c r="T415" s="537"/>
      <c r="U415" s="537"/>
      <c r="V415" s="538"/>
      <c r="W415" s="537"/>
      <c r="X415" s="539" t="str">
        <f>B415</f>
        <v>9.</v>
      </c>
      <c r="Y415" s="539" t="s">
        <v>765</v>
      </c>
      <c r="Z415" s="539"/>
      <c r="AA415" s="539"/>
      <c r="AB415" s="539"/>
      <c r="AC415" s="539"/>
      <c r="AD415" s="539"/>
      <c r="AE415" s="539"/>
      <c r="AF415" s="539"/>
      <c r="AG415" s="539"/>
      <c r="AH415" s="539"/>
      <c r="AI415" s="539"/>
      <c r="AJ415" s="539"/>
      <c r="AK415" s="539"/>
      <c r="AL415" s="539"/>
      <c r="AM415" s="539"/>
      <c r="AN415" s="539"/>
      <c r="AO415" s="539"/>
      <c r="AP415" s="566"/>
      <c r="AQ415" s="567"/>
      <c r="AR415" s="612"/>
      <c r="AS415" s="693"/>
    </row>
    <row r="416" spans="1:45" ht="13.5" outlineLevel="1" x14ac:dyDescent="0.35">
      <c r="C416" s="64"/>
      <c r="D416" s="84"/>
      <c r="E416" s="546"/>
      <c r="F416" s="546"/>
      <c r="G416" s="546"/>
      <c r="H416" s="546"/>
      <c r="I416" s="546"/>
      <c r="J416" s="546"/>
      <c r="K416" s="546"/>
      <c r="L416" s="546"/>
      <c r="M416" s="546"/>
      <c r="N416" s="546"/>
      <c r="O416" s="546"/>
      <c r="P416" s="546"/>
      <c r="Q416" s="546"/>
      <c r="R416" s="546"/>
      <c r="S416" s="546"/>
      <c r="T416" s="546"/>
      <c r="U416" s="546"/>
      <c r="V416" s="547"/>
      <c r="W416" s="546"/>
      <c r="X416" s="546"/>
      <c r="Y416" s="546"/>
      <c r="Z416" s="546"/>
      <c r="AA416" s="546"/>
      <c r="AB416" s="546"/>
      <c r="AC416" s="546"/>
      <c r="AQ416" s="88"/>
      <c r="AS416" s="548"/>
    </row>
    <row r="417" spans="1:46" outlineLevel="1" x14ac:dyDescent="0.35">
      <c r="C417" s="181" t="s">
        <v>766</v>
      </c>
      <c r="D417" s="84"/>
      <c r="E417" s="546"/>
      <c r="F417" s="546"/>
      <c r="G417" s="546"/>
      <c r="H417" s="546"/>
      <c r="I417" s="546"/>
      <c r="J417" s="546"/>
      <c r="K417" s="546"/>
      <c r="L417" s="546"/>
      <c r="M417" s="546"/>
      <c r="N417" s="546"/>
      <c r="O417" s="546"/>
      <c r="P417" s="546"/>
      <c r="Q417" s="558"/>
      <c r="R417" s="558"/>
      <c r="S417" s="558"/>
      <c r="T417" s="558"/>
      <c r="U417" s="558"/>
      <c r="V417" s="558"/>
      <c r="W417" s="546"/>
      <c r="X417" s="558"/>
      <c r="Y417" s="558"/>
      <c r="Z417" s="558"/>
      <c r="AA417" s="558"/>
      <c r="AB417" s="558"/>
      <c r="AC417" s="558"/>
      <c r="AQ417" s="87" t="s">
        <v>767</v>
      </c>
      <c r="AS417" s="548"/>
    </row>
    <row r="418" spans="1:46" s="142" customFormat="1" ht="13.5" outlineLevel="1" x14ac:dyDescent="0.35">
      <c r="A418" s="181"/>
      <c r="B418" s="130"/>
      <c r="C418" s="64"/>
      <c r="D418" s="84"/>
      <c r="E418" s="546"/>
      <c r="F418" s="546"/>
      <c r="G418" s="546"/>
      <c r="H418" s="546"/>
      <c r="I418" s="546"/>
      <c r="J418" s="546"/>
      <c r="K418" s="546"/>
      <c r="L418" s="546"/>
      <c r="M418" s="546"/>
      <c r="N418" s="546"/>
      <c r="O418" s="546"/>
      <c r="P418" s="546"/>
      <c r="Q418" s="3448" t="str">
        <f>Q279</f>
        <v>30 June 2026/</v>
      </c>
      <c r="R418" s="3448"/>
      <c r="S418" s="3448"/>
      <c r="T418" s="3448"/>
      <c r="U418" s="3448"/>
      <c r="V418" s="3448"/>
      <c r="W418" s="546"/>
      <c r="X418" s="3448" t="str">
        <f>X279</f>
        <v>31 May 2026/</v>
      </c>
      <c r="Y418" s="3448"/>
      <c r="Z418" s="3448"/>
      <c r="AA418" s="3448"/>
      <c r="AB418" s="3448"/>
      <c r="AC418" s="3448"/>
      <c r="AD418" s="181"/>
      <c r="AE418" s="181"/>
      <c r="AF418" s="181"/>
      <c r="AG418" s="181"/>
      <c r="AH418" s="181"/>
      <c r="AI418" s="181"/>
      <c r="AJ418" s="181"/>
      <c r="AK418" s="181"/>
      <c r="AL418" s="181"/>
      <c r="AM418" s="181"/>
      <c r="AN418" s="181"/>
      <c r="AO418" s="181"/>
      <c r="AP418" s="179"/>
      <c r="AQ418" s="88"/>
      <c r="AR418" s="181"/>
      <c r="AS418" s="570"/>
    </row>
    <row r="419" spans="1:46" s="64" customFormat="1" ht="14" outlineLevel="1" thickBot="1" x14ac:dyDescent="0.4">
      <c r="A419" s="142"/>
      <c r="B419" s="559"/>
      <c r="C419" s="142"/>
      <c r="D419" s="568"/>
      <c r="E419" s="553"/>
      <c r="F419" s="553"/>
      <c r="G419" s="553"/>
      <c r="H419" s="553"/>
      <c r="I419" s="553"/>
      <c r="J419" s="553"/>
      <c r="K419" s="553"/>
      <c r="L419" s="553"/>
      <c r="M419" s="553"/>
      <c r="N419" s="553"/>
      <c r="O419" s="553"/>
      <c r="P419" s="553"/>
      <c r="Q419" s="3449">
        <f>Q280</f>
        <v>46203</v>
      </c>
      <c r="R419" s="3449"/>
      <c r="S419" s="3449"/>
      <c r="T419" s="3449"/>
      <c r="U419" s="3449"/>
      <c r="V419" s="3449"/>
      <c r="W419" s="553"/>
      <c r="X419" s="3449">
        <f>X280</f>
        <v>46173</v>
      </c>
      <c r="Y419" s="3449"/>
      <c r="Z419" s="3449"/>
      <c r="AA419" s="3449"/>
      <c r="AB419" s="3449"/>
      <c r="AC419" s="3449"/>
      <c r="AD419" s="142"/>
      <c r="AE419" s="142"/>
      <c r="AF419" s="142"/>
      <c r="AG419" s="142"/>
      <c r="AH419" s="142"/>
      <c r="AI419" s="142"/>
      <c r="AJ419" s="142"/>
      <c r="AK419" s="142"/>
      <c r="AL419" s="142"/>
      <c r="AM419" s="142"/>
      <c r="AN419" s="142"/>
      <c r="AO419" s="142"/>
      <c r="AP419" s="87"/>
      <c r="AQ419" s="87"/>
      <c r="AR419" s="142"/>
      <c r="AS419" s="523"/>
    </row>
    <row r="420" spans="1:46" ht="13.5" outlineLevel="1" x14ac:dyDescent="0.35">
      <c r="A420" s="64"/>
      <c r="C420" s="130" t="s">
        <v>768</v>
      </c>
      <c r="D420" s="130"/>
      <c r="E420" s="555"/>
      <c r="F420" s="555"/>
      <c r="G420" s="555"/>
      <c r="H420" s="555"/>
      <c r="I420" s="555"/>
      <c r="J420" s="555"/>
      <c r="K420" s="555"/>
      <c r="L420" s="555"/>
      <c r="M420" s="555"/>
      <c r="N420" s="555"/>
      <c r="O420" s="555"/>
      <c r="P420" s="555"/>
      <c r="Q420" s="614"/>
      <c r="R420" s="614"/>
      <c r="S420" s="614"/>
      <c r="T420" s="614"/>
      <c r="U420" s="614"/>
      <c r="V420" s="614"/>
      <c r="W420" s="555"/>
      <c r="X420" s="614"/>
      <c r="Y420" s="614"/>
      <c r="Z420" s="614"/>
      <c r="AA420" s="614"/>
      <c r="AB420" s="614"/>
      <c r="AC420" s="614"/>
      <c r="AD420" s="64"/>
      <c r="AE420" s="64"/>
      <c r="AF420" s="64"/>
      <c r="AG420" s="64"/>
      <c r="AH420" s="64"/>
      <c r="AI420" s="64"/>
      <c r="AJ420" s="64"/>
      <c r="AK420" s="64"/>
      <c r="AL420" s="64"/>
      <c r="AM420" s="64"/>
      <c r="AN420" s="64"/>
      <c r="AO420" s="64"/>
      <c r="AP420" s="88"/>
      <c r="AQ420" s="88" t="s">
        <v>769</v>
      </c>
      <c r="AR420" s="64"/>
      <c r="AS420" s="699" t="s">
        <v>770</v>
      </c>
      <c r="AT420" s="700" t="s">
        <v>771</v>
      </c>
    </row>
    <row r="421" spans="1:46" outlineLevel="1" x14ac:dyDescent="0.35">
      <c r="C421" s="179" t="s">
        <v>190</v>
      </c>
      <c r="D421" s="181" t="s">
        <v>772</v>
      </c>
      <c r="E421" s="546"/>
      <c r="F421" s="546"/>
      <c r="G421" s="546"/>
      <c r="H421" s="546"/>
      <c r="I421" s="546"/>
      <c r="J421" s="546"/>
      <c r="K421" s="546"/>
      <c r="L421" s="546"/>
      <c r="M421" s="546"/>
      <c r="N421" s="546"/>
      <c r="O421" s="546"/>
      <c r="P421" s="546"/>
      <c r="Q421" s="3675"/>
      <c r="R421" s="3675"/>
      <c r="S421" s="3675"/>
      <c r="T421" s="3675"/>
      <c r="U421" s="3675"/>
      <c r="V421" s="3675"/>
      <c r="W421" s="579"/>
      <c r="X421" s="3675"/>
      <c r="Y421" s="3675"/>
      <c r="Z421" s="3675"/>
      <c r="AA421" s="3675"/>
      <c r="AB421" s="3675"/>
      <c r="AC421" s="3675"/>
      <c r="AP421" s="87" t="s">
        <v>773</v>
      </c>
      <c r="AQ421" s="179" t="s">
        <v>190</v>
      </c>
      <c r="AS421" s="699"/>
      <c r="AT421" s="700"/>
    </row>
    <row r="422" spans="1:46" s="64" customFormat="1" outlineLevel="1" x14ac:dyDescent="0.35">
      <c r="A422" s="181"/>
      <c r="B422" s="130"/>
      <c r="C422" s="181"/>
      <c r="D422" s="181"/>
      <c r="E422" s="546"/>
      <c r="F422" s="546"/>
      <c r="G422" s="546"/>
      <c r="H422" s="546"/>
      <c r="I422" s="546"/>
      <c r="J422" s="546"/>
      <c r="K422" s="546"/>
      <c r="L422" s="546"/>
      <c r="M422" s="546"/>
      <c r="N422" s="546"/>
      <c r="O422" s="546"/>
      <c r="P422" s="546"/>
      <c r="Q422" s="3661">
        <f>SUM(Q421:V421)</f>
        <v>0</v>
      </c>
      <c r="R422" s="3661"/>
      <c r="S422" s="3661"/>
      <c r="T422" s="3661"/>
      <c r="U422" s="3661"/>
      <c r="V422" s="3661"/>
      <c r="W422" s="577"/>
      <c r="X422" s="3661">
        <f>SUM(X421:AC421)</f>
        <v>0</v>
      </c>
      <c r="Y422" s="3661"/>
      <c r="Z422" s="3661"/>
      <c r="AA422" s="3661"/>
      <c r="AB422" s="3661"/>
      <c r="AC422" s="3661"/>
      <c r="AD422" s="181"/>
      <c r="AE422" s="181"/>
      <c r="AF422" s="181"/>
      <c r="AG422" s="181"/>
      <c r="AH422" s="181"/>
      <c r="AI422" s="181"/>
      <c r="AJ422" s="181"/>
      <c r="AK422" s="181"/>
      <c r="AL422" s="181"/>
      <c r="AM422" s="181"/>
      <c r="AN422" s="181"/>
      <c r="AO422" s="181"/>
      <c r="AP422" s="87"/>
      <c r="AQ422" s="87"/>
      <c r="AR422" s="181"/>
      <c r="AS422" s="523"/>
    </row>
    <row r="423" spans="1:46" ht="13.5" outlineLevel="1" x14ac:dyDescent="0.35">
      <c r="A423" s="64"/>
      <c r="C423" s="130" t="s">
        <v>774</v>
      </c>
      <c r="D423" s="64"/>
      <c r="E423" s="555"/>
      <c r="F423" s="555"/>
      <c r="G423" s="555"/>
      <c r="H423" s="555"/>
      <c r="I423" s="555"/>
      <c r="J423" s="555"/>
      <c r="K423" s="555"/>
      <c r="L423" s="555"/>
      <c r="M423" s="555"/>
      <c r="N423" s="555"/>
      <c r="O423" s="555"/>
      <c r="P423" s="555"/>
      <c r="Q423" s="577"/>
      <c r="R423" s="577"/>
      <c r="S423" s="577"/>
      <c r="T423" s="577"/>
      <c r="U423" s="577"/>
      <c r="V423" s="577"/>
      <c r="W423" s="577"/>
      <c r="X423" s="577"/>
      <c r="Y423" s="577"/>
      <c r="Z423" s="577"/>
      <c r="AA423" s="577"/>
      <c r="AB423" s="577"/>
      <c r="AC423" s="577"/>
      <c r="AD423" s="64"/>
      <c r="AE423" s="64"/>
      <c r="AF423" s="64"/>
      <c r="AG423" s="64"/>
      <c r="AH423" s="64"/>
      <c r="AI423" s="64"/>
      <c r="AJ423" s="64"/>
      <c r="AK423" s="64"/>
      <c r="AL423" s="64"/>
      <c r="AM423" s="64"/>
      <c r="AN423" s="64"/>
      <c r="AO423" s="64"/>
      <c r="AP423" s="88"/>
      <c r="AQ423" s="88" t="s">
        <v>775</v>
      </c>
      <c r="AR423" s="64"/>
      <c r="AS423" s="548"/>
    </row>
    <row r="424" spans="1:46" outlineLevel="1" x14ac:dyDescent="0.35">
      <c r="C424" s="179" t="s">
        <v>190</v>
      </c>
      <c r="D424" s="181" t="s">
        <v>776</v>
      </c>
      <c r="E424" s="546"/>
      <c r="F424" s="546"/>
      <c r="G424" s="546"/>
      <c r="H424" s="546"/>
      <c r="I424" s="546"/>
      <c r="J424" s="546"/>
      <c r="K424" s="546"/>
      <c r="L424" s="546"/>
      <c r="M424" s="546"/>
      <c r="N424" s="546"/>
      <c r="O424" s="546"/>
      <c r="P424" s="546"/>
      <c r="Q424" s="3444">
        <v>0</v>
      </c>
      <c r="R424" s="3444"/>
      <c r="S424" s="3444"/>
      <c r="T424" s="3444"/>
      <c r="U424" s="3444"/>
      <c r="V424" s="3444"/>
      <c r="W424" s="579"/>
      <c r="X424" s="3444">
        <v>0</v>
      </c>
      <c r="Y424" s="3444"/>
      <c r="Z424" s="3444"/>
      <c r="AA424" s="3444"/>
      <c r="AB424" s="3444"/>
      <c r="AC424" s="3444"/>
      <c r="AP424" s="87" t="s">
        <v>777</v>
      </c>
      <c r="AQ424" s="87"/>
      <c r="AS424" s="548"/>
    </row>
    <row r="425" spans="1:46" s="64" customFormat="1" outlineLevel="1" x14ac:dyDescent="0.35">
      <c r="A425" s="181"/>
      <c r="B425" s="130"/>
      <c r="C425" s="179"/>
      <c r="D425" s="181"/>
      <c r="E425" s="546"/>
      <c r="F425" s="546"/>
      <c r="G425" s="546"/>
      <c r="H425" s="546"/>
      <c r="I425" s="546"/>
      <c r="J425" s="546"/>
      <c r="K425" s="546"/>
      <c r="L425" s="546"/>
      <c r="M425" s="546"/>
      <c r="N425" s="546"/>
      <c r="O425" s="546"/>
      <c r="P425" s="546"/>
      <c r="Q425" s="701"/>
      <c r="R425" s="701"/>
      <c r="S425" s="701"/>
      <c r="T425" s="701"/>
      <c r="U425" s="701"/>
      <c r="V425" s="701"/>
      <c r="W425" s="579"/>
      <c r="X425" s="701"/>
      <c r="Y425" s="701"/>
      <c r="Z425" s="701"/>
      <c r="AA425" s="701"/>
      <c r="AB425" s="701"/>
      <c r="AC425" s="701"/>
      <c r="AD425" s="181"/>
      <c r="AE425" s="181"/>
      <c r="AF425" s="181"/>
      <c r="AG425" s="181"/>
      <c r="AH425" s="181"/>
      <c r="AI425" s="181"/>
      <c r="AJ425" s="181"/>
      <c r="AK425" s="181"/>
      <c r="AL425" s="181"/>
      <c r="AM425" s="181"/>
      <c r="AN425" s="181"/>
      <c r="AO425" s="181"/>
      <c r="AP425" s="87"/>
      <c r="AQ425" s="87"/>
      <c r="AR425" s="181"/>
      <c r="AS425" s="523"/>
    </row>
    <row r="426" spans="1:46" ht="13.5" outlineLevel="1" x14ac:dyDescent="0.35">
      <c r="A426" s="64"/>
      <c r="C426" s="130" t="s">
        <v>778</v>
      </c>
      <c r="D426" s="64"/>
      <c r="E426" s="555"/>
      <c r="F426" s="555"/>
      <c r="G426" s="555"/>
      <c r="H426" s="555"/>
      <c r="I426" s="555"/>
      <c r="J426" s="555"/>
      <c r="K426" s="555"/>
      <c r="L426" s="555"/>
      <c r="M426" s="555"/>
      <c r="N426" s="555"/>
      <c r="O426" s="555"/>
      <c r="P426" s="555"/>
      <c r="Q426" s="577"/>
      <c r="R426" s="577"/>
      <c r="S426" s="577"/>
      <c r="T426" s="577"/>
      <c r="U426" s="577"/>
      <c r="V426" s="577"/>
      <c r="W426" s="577"/>
      <c r="X426" s="577"/>
      <c r="Y426" s="577"/>
      <c r="Z426" s="577"/>
      <c r="AA426" s="577"/>
      <c r="AB426" s="577"/>
      <c r="AC426" s="577"/>
      <c r="AD426" s="64"/>
      <c r="AE426" s="64"/>
      <c r="AF426" s="64"/>
      <c r="AG426" s="64"/>
      <c r="AH426" s="64"/>
      <c r="AI426" s="64"/>
      <c r="AJ426" s="64"/>
      <c r="AK426" s="64"/>
      <c r="AL426" s="64"/>
      <c r="AM426" s="64"/>
      <c r="AN426" s="64"/>
      <c r="AO426" s="64"/>
      <c r="AP426" s="88"/>
      <c r="AQ426" s="88" t="s">
        <v>779</v>
      </c>
      <c r="AR426" s="64"/>
      <c r="AS426" s="548">
        <f>'[9]30'!E35</f>
        <v>2406032.2740000002</v>
      </c>
      <c r="AT426" s="579">
        <f>AS426-Q432</f>
        <v>2406032.2740000002</v>
      </c>
    </row>
    <row r="427" spans="1:46" outlineLevel="1" x14ac:dyDescent="0.35">
      <c r="A427" s="64"/>
      <c r="C427" s="179" t="s">
        <v>190</v>
      </c>
      <c r="D427" s="181" t="s">
        <v>780</v>
      </c>
      <c r="E427" s="546"/>
      <c r="F427" s="546"/>
      <c r="G427" s="546"/>
      <c r="H427" s="546"/>
      <c r="I427" s="546"/>
      <c r="J427" s="546"/>
      <c r="K427" s="546"/>
      <c r="L427" s="546"/>
      <c r="M427" s="546"/>
      <c r="N427" s="546"/>
      <c r="O427" s="546"/>
      <c r="P427" s="546"/>
      <c r="Q427" s="3444">
        <f>BS!C341</f>
        <v>10130900</v>
      </c>
      <c r="R427" s="3444"/>
      <c r="S427" s="3444"/>
      <c r="T427" s="3444"/>
      <c r="U427" s="3444"/>
      <c r="V427" s="3444"/>
      <c r="W427" s="579"/>
      <c r="X427" s="3444">
        <v>9899400</v>
      </c>
      <c r="Y427" s="3444"/>
      <c r="Z427" s="3444"/>
      <c r="AA427" s="3444"/>
      <c r="AB427" s="3444"/>
      <c r="AC427" s="3444"/>
      <c r="AP427" s="87" t="s">
        <v>781</v>
      </c>
      <c r="AQ427" s="179" t="s">
        <v>190</v>
      </c>
      <c r="AR427" s="64"/>
      <c r="AS427" s="548"/>
      <c r="AT427" s="579"/>
    </row>
    <row r="428" spans="1:46" s="64" customFormat="1" outlineLevel="1" x14ac:dyDescent="0.35">
      <c r="A428" s="181"/>
      <c r="B428" s="130"/>
      <c r="C428" s="179"/>
      <c r="D428" s="181"/>
      <c r="E428" s="546"/>
      <c r="F428" s="546"/>
      <c r="G428" s="546"/>
      <c r="H428" s="546"/>
      <c r="I428" s="546"/>
      <c r="J428" s="546"/>
      <c r="K428" s="546"/>
      <c r="L428" s="546"/>
      <c r="M428" s="546"/>
      <c r="N428" s="546"/>
      <c r="O428" s="546"/>
      <c r="P428" s="546"/>
      <c r="Q428" s="3677">
        <f>SUM(Q427:V427)</f>
        <v>10130900</v>
      </c>
      <c r="R428" s="3677"/>
      <c r="S428" s="3677"/>
      <c r="T428" s="3677"/>
      <c r="U428" s="3677"/>
      <c r="V428" s="3677"/>
      <c r="W428" s="577"/>
      <c r="X428" s="3677">
        <f>SUM(X427:AC427)</f>
        <v>9899400</v>
      </c>
      <c r="Y428" s="3677"/>
      <c r="Z428" s="3677"/>
      <c r="AA428" s="3677"/>
      <c r="AB428" s="3677"/>
      <c r="AC428" s="3677"/>
      <c r="AD428" s="181"/>
      <c r="AE428" s="181"/>
      <c r="AF428" s="181"/>
      <c r="AG428" s="181"/>
      <c r="AH428" s="181"/>
      <c r="AI428" s="181"/>
      <c r="AJ428" s="181"/>
      <c r="AK428" s="181"/>
      <c r="AL428" s="181"/>
      <c r="AM428" s="181"/>
      <c r="AN428" s="181"/>
      <c r="AO428" s="181"/>
      <c r="AP428" s="87"/>
      <c r="AQ428" s="179"/>
      <c r="AR428" s="181"/>
      <c r="AS428" s="523"/>
    </row>
    <row r="429" spans="1:46" ht="13.5" outlineLevel="1" x14ac:dyDescent="0.35">
      <c r="A429" s="64"/>
      <c r="C429" s="130" t="s">
        <v>349</v>
      </c>
      <c r="D429" s="64"/>
      <c r="E429" s="555"/>
      <c r="F429" s="555"/>
      <c r="G429" s="555"/>
      <c r="H429" s="555"/>
      <c r="I429" s="555"/>
      <c r="J429" s="555"/>
      <c r="K429" s="555"/>
      <c r="L429" s="555"/>
      <c r="M429" s="555"/>
      <c r="N429" s="555"/>
      <c r="O429" s="555"/>
      <c r="P429" s="555"/>
      <c r="Q429" s="577"/>
      <c r="R429" s="577"/>
      <c r="S429" s="577"/>
      <c r="T429" s="577"/>
      <c r="U429" s="577"/>
      <c r="V429" s="577"/>
      <c r="W429" s="577"/>
      <c r="X429" s="577"/>
      <c r="Y429" s="577"/>
      <c r="Z429" s="577"/>
      <c r="AA429" s="577"/>
      <c r="AB429" s="577"/>
      <c r="AC429" s="577"/>
      <c r="AD429" s="64"/>
      <c r="AE429" s="64"/>
      <c r="AF429" s="64"/>
      <c r="AG429" s="64"/>
      <c r="AH429" s="64"/>
      <c r="AI429" s="64"/>
      <c r="AJ429" s="64"/>
      <c r="AK429" s="64"/>
      <c r="AL429" s="64"/>
      <c r="AM429" s="64"/>
      <c r="AN429" s="64"/>
      <c r="AO429" s="64"/>
      <c r="AP429" s="88"/>
      <c r="AQ429" s="88" t="s">
        <v>350</v>
      </c>
      <c r="AR429" s="64"/>
      <c r="AS429" s="548"/>
    </row>
    <row r="430" spans="1:46" outlineLevel="1" x14ac:dyDescent="0.35">
      <c r="C430" s="179" t="s">
        <v>190</v>
      </c>
      <c r="D430" s="181" t="s">
        <v>782</v>
      </c>
      <c r="E430" s="546"/>
      <c r="F430" s="546"/>
      <c r="G430" s="546"/>
      <c r="H430" s="546"/>
      <c r="I430" s="546"/>
      <c r="J430" s="546"/>
      <c r="K430" s="546"/>
      <c r="L430" s="546"/>
      <c r="M430" s="546"/>
      <c r="N430" s="546"/>
      <c r="O430" s="546"/>
      <c r="P430" s="546"/>
      <c r="Q430" s="3680"/>
      <c r="R430" s="3680"/>
      <c r="S430" s="3680"/>
      <c r="T430" s="3680"/>
      <c r="U430" s="3680"/>
      <c r="V430" s="3680"/>
      <c r="W430" s="579"/>
      <c r="X430" s="3681"/>
      <c r="Y430" s="3681"/>
      <c r="Z430" s="3681"/>
      <c r="AA430" s="3681"/>
      <c r="AB430" s="3681"/>
      <c r="AC430" s="3681"/>
      <c r="AP430" s="87" t="s">
        <v>783</v>
      </c>
      <c r="AQ430" s="179" t="s">
        <v>190</v>
      </c>
      <c r="AS430" s="548"/>
    </row>
    <row r="431" spans="1:46" outlineLevel="1" x14ac:dyDescent="0.35">
      <c r="C431" s="179" t="s">
        <v>190</v>
      </c>
      <c r="D431" s="181" t="s">
        <v>784</v>
      </c>
      <c r="E431" s="546"/>
      <c r="F431" s="546"/>
      <c r="G431" s="546"/>
      <c r="H431" s="546"/>
      <c r="I431" s="546"/>
      <c r="J431" s="546"/>
      <c r="K431" s="546"/>
      <c r="L431" s="546"/>
      <c r="M431" s="546"/>
      <c r="N431" s="546"/>
      <c r="O431" s="546"/>
      <c r="P431" s="546"/>
      <c r="Q431" s="3682"/>
      <c r="R431" s="3682"/>
      <c r="S431" s="3682"/>
      <c r="T431" s="3682"/>
      <c r="U431" s="3682"/>
      <c r="V431" s="3682"/>
      <c r="W431" s="579"/>
      <c r="X431" s="3683"/>
      <c r="Y431" s="3683"/>
      <c r="Z431" s="3683"/>
      <c r="AA431" s="3683"/>
      <c r="AB431" s="3683"/>
      <c r="AC431" s="3683"/>
      <c r="AP431" s="179" t="s">
        <v>784</v>
      </c>
      <c r="AQ431" s="179" t="s">
        <v>190</v>
      </c>
      <c r="AS431" s="548">
        <f>Q432-X432</f>
        <v>0</v>
      </c>
    </row>
    <row r="432" spans="1:46" outlineLevel="1" x14ac:dyDescent="0.35">
      <c r="C432" s="179"/>
      <c r="E432" s="546"/>
      <c r="F432" s="546"/>
      <c r="G432" s="546"/>
      <c r="H432" s="546"/>
      <c r="I432" s="546"/>
      <c r="J432" s="546"/>
      <c r="K432" s="546"/>
      <c r="L432" s="546"/>
      <c r="M432" s="546"/>
      <c r="N432" s="546"/>
      <c r="O432" s="546"/>
      <c r="P432" s="546"/>
      <c r="Q432" s="3661">
        <f>SUM(Q430:V431)</f>
        <v>0</v>
      </c>
      <c r="R432" s="3661"/>
      <c r="S432" s="3661"/>
      <c r="T432" s="3661"/>
      <c r="U432" s="3661"/>
      <c r="V432" s="3661"/>
      <c r="W432" s="579"/>
      <c r="X432" s="3661">
        <f>SUM(X430:AC431)</f>
        <v>0</v>
      </c>
      <c r="Y432" s="3661"/>
      <c r="Z432" s="3661"/>
      <c r="AA432" s="3661"/>
      <c r="AB432" s="3661"/>
      <c r="AC432" s="3661"/>
      <c r="AP432" s="87"/>
      <c r="AQ432" s="87"/>
      <c r="AS432" s="548"/>
    </row>
    <row r="433" spans="1:46" outlineLevel="1" x14ac:dyDescent="0.35">
      <c r="E433" s="546"/>
      <c r="F433" s="546"/>
      <c r="G433" s="546"/>
      <c r="H433" s="546"/>
      <c r="I433" s="546"/>
      <c r="J433" s="546"/>
      <c r="K433" s="546"/>
      <c r="L433" s="546"/>
      <c r="M433" s="546"/>
      <c r="N433" s="546"/>
      <c r="O433" s="546"/>
      <c r="P433" s="546"/>
      <c r="Q433" s="558"/>
      <c r="R433" s="558"/>
      <c r="S433" s="558"/>
      <c r="T433" s="558"/>
      <c r="U433" s="558"/>
      <c r="V433" s="558"/>
      <c r="W433" s="546"/>
      <c r="X433" s="558"/>
      <c r="Y433" s="558"/>
      <c r="Z433" s="558"/>
      <c r="AA433" s="558"/>
      <c r="AB433" s="558"/>
      <c r="AC433" s="558"/>
      <c r="AS433" s="548">
        <f>Q434-X434</f>
        <v>231500</v>
      </c>
    </row>
    <row r="434" spans="1:46" ht="14" outlineLevel="1" thickBot="1" x14ac:dyDescent="0.4">
      <c r="C434" s="64" t="s">
        <v>785</v>
      </c>
      <c r="D434" s="64"/>
      <c r="E434" s="555"/>
      <c r="F434" s="555"/>
      <c r="G434" s="555"/>
      <c r="H434" s="555"/>
      <c r="I434" s="555"/>
      <c r="J434" s="555"/>
      <c r="K434" s="555"/>
      <c r="L434" s="555"/>
      <c r="M434" s="555"/>
      <c r="N434" s="555"/>
      <c r="O434" s="555"/>
      <c r="P434" s="555"/>
      <c r="Q434" s="3442">
        <f>Q432+Q422+Q428</f>
        <v>10130900</v>
      </c>
      <c r="R434" s="3442"/>
      <c r="S434" s="3442"/>
      <c r="T434" s="3442"/>
      <c r="U434" s="3442"/>
      <c r="V434" s="3442"/>
      <c r="W434" s="577"/>
      <c r="X434" s="3442">
        <f>X432+X422+X428</f>
        <v>9899400</v>
      </c>
      <c r="Y434" s="3442"/>
      <c r="Z434" s="3442"/>
      <c r="AA434" s="3442"/>
      <c r="AB434" s="3442"/>
      <c r="AC434" s="3442"/>
      <c r="AP434" s="557"/>
      <c r="AQ434" s="88" t="s">
        <v>786</v>
      </c>
      <c r="AS434" s="548"/>
    </row>
    <row r="435" spans="1:46" ht="13.5" outlineLevel="1" thickTop="1" x14ac:dyDescent="0.35">
      <c r="E435" s="546"/>
      <c r="F435" s="546"/>
      <c r="G435" s="546"/>
      <c r="H435" s="546"/>
      <c r="I435" s="546"/>
      <c r="J435" s="546"/>
      <c r="K435" s="546"/>
      <c r="L435" s="546"/>
      <c r="M435" s="546"/>
      <c r="N435" s="546"/>
      <c r="O435" s="546"/>
      <c r="P435" s="546"/>
      <c r="Q435" s="546"/>
      <c r="R435" s="546"/>
      <c r="S435" s="546"/>
      <c r="T435" s="546"/>
      <c r="U435" s="546"/>
      <c r="V435" s="546"/>
      <c r="W435" s="546"/>
      <c r="X435" s="702"/>
      <c r="Y435" s="702"/>
      <c r="Z435" s="702"/>
      <c r="AA435" s="702"/>
      <c r="AB435" s="702"/>
      <c r="AC435" s="702"/>
      <c r="AS435" s="548"/>
    </row>
    <row r="436" spans="1:46" s="376" customFormat="1" ht="15" outlineLevel="1" x14ac:dyDescent="0.35">
      <c r="A436" s="181"/>
      <c r="B436" s="130"/>
      <c r="C436" s="181"/>
      <c r="D436" s="181"/>
      <c r="E436" s="546"/>
      <c r="F436" s="546"/>
      <c r="G436" s="546"/>
      <c r="H436" s="546"/>
      <c r="I436" s="546"/>
      <c r="J436" s="546"/>
      <c r="K436" s="546"/>
      <c r="L436" s="546"/>
      <c r="M436" s="546"/>
      <c r="N436" s="546"/>
      <c r="O436" s="546"/>
      <c r="P436" s="546"/>
      <c r="Q436" s="3679"/>
      <c r="R436" s="3679"/>
      <c r="S436" s="3679"/>
      <c r="T436" s="3679"/>
      <c r="U436" s="3679"/>
      <c r="V436" s="3679"/>
      <c r="W436" s="546"/>
      <c r="X436" s="702"/>
      <c r="Y436" s="702"/>
      <c r="Z436" s="702"/>
      <c r="AA436" s="702"/>
      <c r="AB436" s="702"/>
      <c r="AC436" s="702"/>
      <c r="AD436" s="181"/>
      <c r="AE436" s="181"/>
      <c r="AF436" s="181"/>
      <c r="AG436" s="181"/>
      <c r="AH436" s="181"/>
      <c r="AI436" s="181"/>
      <c r="AJ436" s="181"/>
      <c r="AK436" s="181"/>
      <c r="AL436" s="181"/>
      <c r="AM436" s="181"/>
      <c r="AN436" s="181"/>
      <c r="AO436" s="181"/>
      <c r="AP436" s="179"/>
      <c r="AQ436" s="179"/>
      <c r="AR436" s="181"/>
      <c r="AS436" s="703"/>
    </row>
    <row r="437" spans="1:46" s="513" customFormat="1" ht="15" x14ac:dyDescent="0.35">
      <c r="A437" s="612"/>
      <c r="B437" s="535" t="s">
        <v>763</v>
      </c>
      <c r="C437" s="536" t="s">
        <v>787</v>
      </c>
      <c r="D437" s="535"/>
      <c r="E437" s="537"/>
      <c r="F437" s="537"/>
      <c r="G437" s="537"/>
      <c r="H437" s="537"/>
      <c r="I437" s="537"/>
      <c r="J437" s="537"/>
      <c r="K437" s="537"/>
      <c r="L437" s="537"/>
      <c r="M437" s="537"/>
      <c r="N437" s="537"/>
      <c r="O437" s="537"/>
      <c r="P437" s="537"/>
      <c r="Q437" s="625"/>
      <c r="R437" s="625"/>
      <c r="S437" s="625"/>
      <c r="T437" s="625"/>
      <c r="U437" s="625"/>
      <c r="V437" s="626"/>
      <c r="W437" s="625"/>
      <c r="X437" s="627" t="str">
        <f>B437</f>
        <v>9.</v>
      </c>
      <c r="Y437" s="627" t="s">
        <v>788</v>
      </c>
      <c r="Z437" s="704"/>
      <c r="AA437" s="704"/>
      <c r="AB437" s="704"/>
      <c r="AC437" s="704"/>
      <c r="AD437" s="539"/>
      <c r="AE437" s="539"/>
      <c r="AF437" s="539"/>
      <c r="AG437" s="539"/>
      <c r="AH437" s="539"/>
      <c r="AI437" s="539"/>
      <c r="AJ437" s="539"/>
      <c r="AK437" s="539"/>
      <c r="AL437" s="539"/>
      <c r="AM437" s="539"/>
      <c r="AN437" s="539"/>
      <c r="AO437" s="539"/>
      <c r="AP437" s="566"/>
      <c r="AQ437" s="567"/>
      <c r="AR437" s="612"/>
      <c r="AS437" s="693"/>
    </row>
    <row r="438" spans="1:46" ht="13.5" x14ac:dyDescent="0.35">
      <c r="C438" s="64"/>
      <c r="D438" s="84"/>
      <c r="E438" s="546"/>
      <c r="F438" s="546"/>
      <c r="G438" s="546"/>
      <c r="H438" s="546"/>
      <c r="I438" s="546"/>
      <c r="J438" s="546"/>
      <c r="K438" s="546"/>
      <c r="L438" s="546"/>
      <c r="M438" s="546"/>
      <c r="N438" s="546"/>
      <c r="O438" s="546"/>
      <c r="P438" s="546"/>
      <c r="Q438" s="546"/>
      <c r="R438" s="546"/>
      <c r="S438" s="546"/>
      <c r="T438" s="546"/>
      <c r="U438" s="546"/>
      <c r="V438" s="547"/>
      <c r="W438" s="546"/>
      <c r="X438" s="702"/>
      <c r="Y438" s="702"/>
      <c r="Z438" s="702"/>
      <c r="AA438" s="702"/>
      <c r="AB438" s="702"/>
      <c r="AC438" s="702"/>
      <c r="AQ438" s="88"/>
      <c r="AS438" s="548"/>
    </row>
    <row r="439" spans="1:46" x14ac:dyDescent="0.35">
      <c r="C439" s="181" t="s">
        <v>789</v>
      </c>
      <c r="D439" s="84"/>
      <c r="E439" s="546"/>
      <c r="F439" s="546"/>
      <c r="G439" s="546"/>
      <c r="H439" s="546"/>
      <c r="I439" s="546"/>
      <c r="J439" s="546"/>
      <c r="K439" s="546"/>
      <c r="L439" s="546"/>
      <c r="M439" s="546"/>
      <c r="N439" s="546"/>
      <c r="O439" s="546"/>
      <c r="P439" s="546"/>
      <c r="Q439" s="558"/>
      <c r="R439" s="558"/>
      <c r="S439" s="558"/>
      <c r="T439" s="558"/>
      <c r="U439" s="558"/>
      <c r="V439" s="558"/>
      <c r="W439" s="546"/>
      <c r="X439" s="705"/>
      <c r="Y439" s="705"/>
      <c r="Z439" s="705"/>
      <c r="AA439" s="705"/>
      <c r="AB439" s="705"/>
      <c r="AC439" s="705"/>
      <c r="AQ439" s="87" t="s">
        <v>790</v>
      </c>
      <c r="AS439" s="548"/>
    </row>
    <row r="440" spans="1:46" s="142" customFormat="1" ht="13.5" x14ac:dyDescent="0.35">
      <c r="A440" s="181"/>
      <c r="B440" s="130"/>
      <c r="C440" s="64"/>
      <c r="D440" s="84"/>
      <c r="E440" s="546"/>
      <c r="F440" s="546"/>
      <c r="G440" s="546"/>
      <c r="H440" s="546"/>
      <c r="I440" s="546"/>
      <c r="J440" s="546"/>
      <c r="K440" s="546"/>
      <c r="L440" s="546"/>
      <c r="M440" s="546"/>
      <c r="N440" s="546"/>
      <c r="O440" s="546"/>
      <c r="P440" s="546"/>
      <c r="Q440" s="3448" t="str">
        <f>Q418</f>
        <v>30 June 2026/</v>
      </c>
      <c r="R440" s="3448"/>
      <c r="S440" s="3448"/>
      <c r="T440" s="3448"/>
      <c r="U440" s="3448"/>
      <c r="V440" s="3448"/>
      <c r="W440" s="546"/>
      <c r="X440" s="3448" t="str">
        <f>X418</f>
        <v>31 May 2026/</v>
      </c>
      <c r="Y440" s="3448"/>
      <c r="Z440" s="3448"/>
      <c r="AA440" s="3448"/>
      <c r="AB440" s="3448"/>
      <c r="AC440" s="3448"/>
      <c r="AD440" s="181"/>
      <c r="AE440" s="181"/>
      <c r="AF440" s="181"/>
      <c r="AG440" s="181"/>
      <c r="AH440" s="181"/>
      <c r="AI440" s="181"/>
      <c r="AJ440" s="181"/>
      <c r="AK440" s="181"/>
      <c r="AL440" s="181"/>
      <c r="AM440" s="181"/>
      <c r="AN440" s="181"/>
      <c r="AO440" s="181"/>
      <c r="AP440" s="179"/>
      <c r="AQ440" s="88"/>
      <c r="AR440" s="181"/>
      <c r="AS440" s="570"/>
    </row>
    <row r="441" spans="1:46" s="64" customFormat="1" ht="14" thickBot="1" x14ac:dyDescent="0.4">
      <c r="A441" s="142"/>
      <c r="B441" s="559"/>
      <c r="C441" s="142"/>
      <c r="D441" s="568"/>
      <c r="E441" s="553"/>
      <c r="F441" s="553"/>
      <c r="G441" s="553"/>
      <c r="H441" s="553"/>
      <c r="I441" s="553"/>
      <c r="J441" s="553"/>
      <c r="K441" s="553"/>
      <c r="L441" s="553"/>
      <c r="M441" s="553"/>
      <c r="N441" s="553"/>
      <c r="O441" s="553"/>
      <c r="P441" s="553"/>
      <c r="Q441" s="3449">
        <f>Q419</f>
        <v>46203</v>
      </c>
      <c r="R441" s="3449"/>
      <c r="S441" s="3449"/>
      <c r="T441" s="3449"/>
      <c r="U441" s="3449"/>
      <c r="V441" s="3449"/>
      <c r="W441" s="553"/>
      <c r="X441" s="3449">
        <f>X419</f>
        <v>46173</v>
      </c>
      <c r="Y441" s="3449"/>
      <c r="Z441" s="3449"/>
      <c r="AA441" s="3449"/>
      <c r="AB441" s="3449"/>
      <c r="AC441" s="3449"/>
      <c r="AD441" s="142"/>
      <c r="AE441" s="142"/>
      <c r="AF441" s="142"/>
      <c r="AG441" s="142"/>
      <c r="AH441" s="142"/>
      <c r="AI441" s="142"/>
      <c r="AJ441" s="142"/>
      <c r="AK441" s="142"/>
      <c r="AL441" s="142"/>
      <c r="AM441" s="142"/>
      <c r="AN441" s="142"/>
      <c r="AO441" s="142"/>
      <c r="AP441" s="87"/>
      <c r="AQ441" s="87"/>
      <c r="AR441" s="142"/>
      <c r="AS441" s="523"/>
    </row>
    <row r="442" spans="1:46" ht="13.5" x14ac:dyDescent="0.35">
      <c r="A442" s="64"/>
      <c r="C442" s="64" t="s">
        <v>791</v>
      </c>
      <c r="D442" s="130"/>
      <c r="E442" s="555"/>
      <c r="F442" s="555"/>
      <c r="G442" s="555"/>
      <c r="H442" s="555"/>
      <c r="I442" s="555"/>
      <c r="J442" s="555"/>
      <c r="K442" s="555"/>
      <c r="L442" s="555"/>
      <c r="M442" s="555"/>
      <c r="N442" s="555"/>
      <c r="O442" s="555"/>
      <c r="P442" s="555"/>
      <c r="Q442" s="614"/>
      <c r="R442" s="614"/>
      <c r="S442" s="614"/>
      <c r="T442" s="614"/>
      <c r="U442" s="614"/>
      <c r="V442" s="614"/>
      <c r="W442" s="555"/>
      <c r="X442" s="614"/>
      <c r="Y442" s="614"/>
      <c r="Z442" s="614"/>
      <c r="AA442" s="614"/>
      <c r="AB442" s="614"/>
      <c r="AC442" s="614"/>
      <c r="AD442" s="64"/>
      <c r="AE442" s="64"/>
      <c r="AF442" s="64"/>
      <c r="AG442" s="64"/>
      <c r="AH442" s="64"/>
      <c r="AI442" s="64"/>
      <c r="AJ442" s="64"/>
      <c r="AK442" s="64"/>
      <c r="AL442" s="64"/>
      <c r="AM442" s="64"/>
      <c r="AN442" s="64"/>
      <c r="AO442" s="64"/>
      <c r="AP442" s="557"/>
      <c r="AQ442" s="88" t="s">
        <v>792</v>
      </c>
      <c r="AR442" s="64"/>
      <c r="AS442" s="699"/>
      <c r="AT442" s="136"/>
    </row>
    <row r="443" spans="1:46" outlineLevel="1" x14ac:dyDescent="0.35">
      <c r="B443" s="84"/>
      <c r="C443" s="84" t="s">
        <v>793</v>
      </c>
      <c r="D443" s="84"/>
      <c r="E443" s="546"/>
      <c r="F443" s="546"/>
      <c r="G443" s="546"/>
      <c r="H443" s="546"/>
      <c r="I443" s="546"/>
      <c r="J443" s="546"/>
      <c r="K443" s="546"/>
      <c r="L443" s="546"/>
      <c r="M443" s="546"/>
      <c r="N443" s="546"/>
      <c r="O443" s="546"/>
      <c r="P443" s="546"/>
      <c r="Q443" s="558"/>
      <c r="R443" s="558"/>
      <c r="S443" s="558"/>
      <c r="T443" s="558"/>
      <c r="U443" s="558"/>
      <c r="V443" s="558"/>
      <c r="W443" s="546"/>
      <c r="X443" s="558"/>
      <c r="Y443" s="558"/>
      <c r="Z443" s="558"/>
      <c r="AA443" s="558"/>
      <c r="AB443" s="558"/>
      <c r="AC443" s="558"/>
      <c r="AQ443" s="87" t="s">
        <v>794</v>
      </c>
      <c r="AS443" s="699" t="s">
        <v>795</v>
      </c>
      <c r="AT443" s="136" t="s">
        <v>796</v>
      </c>
    </row>
    <row r="444" spans="1:46" outlineLevel="1" x14ac:dyDescent="0.35">
      <c r="C444" s="86" t="s">
        <v>190</v>
      </c>
      <c r="D444" s="181" t="s">
        <v>8145</v>
      </c>
      <c r="E444" s="546"/>
      <c r="F444" s="546"/>
      <c r="G444" s="546"/>
      <c r="H444" s="546"/>
      <c r="I444" s="546"/>
      <c r="J444" s="546"/>
      <c r="K444" s="546"/>
      <c r="L444" s="546"/>
      <c r="M444" s="546"/>
      <c r="N444" s="546"/>
      <c r="O444" s="546"/>
      <c r="P444" s="546"/>
      <c r="Q444" s="3651">
        <f>17764342</f>
        <v>17764342</v>
      </c>
      <c r="R444" s="3651"/>
      <c r="S444" s="3651"/>
      <c r="T444" s="3651"/>
      <c r="U444" s="3651"/>
      <c r="V444" s="3651"/>
      <c r="W444" s="579"/>
      <c r="X444" s="3444">
        <v>17764342</v>
      </c>
      <c r="Y444" s="3444"/>
      <c r="Z444" s="3444"/>
      <c r="AA444" s="3444"/>
      <c r="AB444" s="3444"/>
      <c r="AC444" s="3444"/>
      <c r="AP444" s="87" t="s">
        <v>797</v>
      </c>
      <c r="AQ444" s="179" t="s">
        <v>190</v>
      </c>
      <c r="AS444" s="699" t="s">
        <v>798</v>
      </c>
      <c r="AT444" s="136" t="s">
        <v>799</v>
      </c>
    </row>
    <row r="445" spans="1:46" outlineLevel="1" x14ac:dyDescent="0.35">
      <c r="C445" s="86" t="s">
        <v>190</v>
      </c>
      <c r="D445" s="181" t="s">
        <v>8146</v>
      </c>
      <c r="E445" s="546"/>
      <c r="F445" s="546"/>
      <c r="G445" s="546"/>
      <c r="H445" s="546"/>
      <c r="I445" s="546"/>
      <c r="J445" s="546"/>
      <c r="K445" s="546"/>
      <c r="L445" s="546"/>
      <c r="M445" s="546"/>
      <c r="N445" s="546"/>
      <c r="O445" s="546"/>
      <c r="P445" s="546"/>
      <c r="Q445" s="3651">
        <v>6055000</v>
      </c>
      <c r="R445" s="3651"/>
      <c r="S445" s="3651"/>
      <c r="T445" s="3651"/>
      <c r="U445" s="3651"/>
      <c r="V445" s="3651"/>
      <c r="W445" s="579"/>
      <c r="X445" s="3444">
        <v>6055000</v>
      </c>
      <c r="Y445" s="3444"/>
      <c r="Z445" s="3444"/>
      <c r="AA445" s="3444"/>
      <c r="AB445" s="3444"/>
      <c r="AC445" s="3444"/>
      <c r="AP445" s="87" t="s">
        <v>800</v>
      </c>
      <c r="AQ445" s="179" t="s">
        <v>190</v>
      </c>
      <c r="AS445" s="699" t="s">
        <v>801</v>
      </c>
      <c r="AT445" s="136" t="s">
        <v>802</v>
      </c>
    </row>
    <row r="446" spans="1:46" outlineLevel="1" x14ac:dyDescent="0.35">
      <c r="C446" s="86" t="s">
        <v>190</v>
      </c>
      <c r="D446" s="181" t="s">
        <v>7957</v>
      </c>
      <c r="E446" s="546"/>
      <c r="F446" s="546"/>
      <c r="G446" s="546"/>
      <c r="H446" s="546"/>
      <c r="I446" s="546"/>
      <c r="J446" s="546"/>
      <c r="K446" s="546"/>
      <c r="L446" s="546"/>
      <c r="M446" s="546"/>
      <c r="N446" s="546"/>
      <c r="O446" s="546"/>
      <c r="P446" s="546"/>
      <c r="Q446" s="3651">
        <f>154530000-154530000</f>
        <v>0</v>
      </c>
      <c r="R446" s="3651"/>
      <c r="S446" s="3651"/>
      <c r="T446" s="3651"/>
      <c r="U446" s="3651"/>
      <c r="V446" s="3651"/>
      <c r="W446" s="579"/>
      <c r="X446" s="3444">
        <v>0</v>
      </c>
      <c r="Y446" s="3444"/>
      <c r="Z446" s="3444"/>
      <c r="AA446" s="3444"/>
      <c r="AB446" s="3444"/>
      <c r="AC446" s="3444"/>
      <c r="AP446" s="87" t="s">
        <v>3189</v>
      </c>
      <c r="AQ446" s="179" t="s">
        <v>190</v>
      </c>
      <c r="AS446" s="699" t="s">
        <v>803</v>
      </c>
      <c r="AT446" s="136" t="s">
        <v>804</v>
      </c>
    </row>
    <row r="447" spans="1:46" outlineLevel="1" x14ac:dyDescent="0.35">
      <c r="C447" s="86" t="s">
        <v>190</v>
      </c>
      <c r="D447" s="181" t="s">
        <v>3188</v>
      </c>
      <c r="E447" s="546"/>
      <c r="F447" s="546"/>
      <c r="G447" s="546"/>
      <c r="H447" s="546"/>
      <c r="I447" s="546"/>
      <c r="J447" s="546"/>
      <c r="K447" s="546"/>
      <c r="L447" s="546"/>
      <c r="M447" s="546"/>
      <c r="N447" s="546"/>
      <c r="O447" s="546"/>
      <c r="P447" s="546"/>
      <c r="Q447" s="3651"/>
      <c r="R447" s="3651"/>
      <c r="S447" s="3651"/>
      <c r="T447" s="3651"/>
      <c r="U447" s="3651"/>
      <c r="V447" s="3651"/>
      <c r="W447" s="579"/>
      <c r="X447" s="3444"/>
      <c r="Y447" s="3444"/>
      <c r="Z447" s="3444"/>
      <c r="AA447" s="3444"/>
      <c r="AB447" s="3444"/>
      <c r="AC447" s="3444"/>
      <c r="AP447" s="87" t="s">
        <v>3190</v>
      </c>
      <c r="AQ447" s="179" t="s">
        <v>190</v>
      </c>
      <c r="AS447" s="699" t="s">
        <v>805</v>
      </c>
      <c r="AT447" s="136" t="s">
        <v>806</v>
      </c>
    </row>
    <row r="448" spans="1:46" outlineLevel="1" x14ac:dyDescent="0.35">
      <c r="C448" s="86"/>
      <c r="E448" s="546"/>
      <c r="F448" s="546"/>
      <c r="G448" s="546"/>
      <c r="H448" s="546"/>
      <c r="I448" s="546"/>
      <c r="J448" s="546"/>
      <c r="K448" s="546"/>
      <c r="L448" s="546"/>
      <c r="M448" s="546"/>
      <c r="N448" s="546"/>
      <c r="O448" s="546"/>
      <c r="P448" s="546"/>
      <c r="Q448" s="3676">
        <f>SUM(Q444:V447)</f>
        <v>23819342</v>
      </c>
      <c r="R448" s="3676"/>
      <c r="S448" s="3676"/>
      <c r="T448" s="3676"/>
      <c r="U448" s="3676"/>
      <c r="V448" s="3676"/>
      <c r="W448" s="577"/>
      <c r="X448" s="3677">
        <f>SUM(X444:AC447)</f>
        <v>23819342</v>
      </c>
      <c r="Y448" s="3677"/>
      <c r="Z448" s="3677"/>
      <c r="AA448" s="3677"/>
      <c r="AB448" s="3677"/>
      <c r="AC448" s="3677"/>
      <c r="AP448" s="87"/>
      <c r="AS448" s="548"/>
    </row>
    <row r="449" spans="1:45" outlineLevel="1" x14ac:dyDescent="0.35">
      <c r="B449" s="84"/>
      <c r="C449" s="84" t="s">
        <v>807</v>
      </c>
      <c r="E449" s="546"/>
      <c r="F449" s="546"/>
      <c r="G449" s="546"/>
      <c r="H449" s="546"/>
      <c r="I449" s="546"/>
      <c r="J449" s="546"/>
      <c r="K449" s="546"/>
      <c r="L449" s="546"/>
      <c r="M449" s="546"/>
      <c r="N449" s="546"/>
      <c r="O449" s="546"/>
      <c r="P449" s="546"/>
      <c r="Q449" s="579"/>
      <c r="R449" s="579"/>
      <c r="S449" s="579"/>
      <c r="T449" s="579"/>
      <c r="U449" s="579"/>
      <c r="V449" s="579"/>
      <c r="W449" s="579"/>
      <c r="X449" s="579"/>
      <c r="Y449" s="579"/>
      <c r="Z449" s="579"/>
      <c r="AA449" s="579"/>
      <c r="AB449" s="579"/>
      <c r="AC449" s="579"/>
      <c r="AP449" s="87"/>
      <c r="AQ449" s="87" t="s">
        <v>808</v>
      </c>
      <c r="AS449" s="548"/>
    </row>
    <row r="450" spans="1:45" ht="14.5" outlineLevel="1" x14ac:dyDescent="0.35">
      <c r="B450" s="84"/>
      <c r="C450" s="86" t="s">
        <v>190</v>
      </c>
      <c r="D450" s="181" t="s">
        <v>8527</v>
      </c>
      <c r="E450" s="546"/>
      <c r="F450" s="546"/>
      <c r="G450" s="546"/>
      <c r="H450" s="546"/>
      <c r="I450" s="546"/>
      <c r="J450" s="546"/>
      <c r="K450" s="546"/>
      <c r="L450" s="546"/>
      <c r="M450" s="546"/>
      <c r="N450" s="546"/>
      <c r="O450" s="546"/>
      <c r="P450" s="546"/>
      <c r="Q450" s="3444">
        <f>BS!C375</f>
        <v>104048233</v>
      </c>
      <c r="R450" s="3444"/>
      <c r="S450" s="3444"/>
      <c r="T450" s="3444"/>
      <c r="U450" s="3444"/>
      <c r="V450" s="3444"/>
      <c r="W450" s="579"/>
      <c r="X450" s="3444">
        <v>0</v>
      </c>
      <c r="Y450" s="3444"/>
      <c r="Z450" s="3444"/>
      <c r="AA450" s="3444"/>
      <c r="AB450" s="3444"/>
      <c r="AC450" s="3444"/>
      <c r="AP450" s="87" t="s">
        <v>809</v>
      </c>
      <c r="AQ450" s="179" t="s">
        <v>190</v>
      </c>
      <c r="AS450" s="944"/>
    </row>
    <row r="451" spans="1:45" ht="14.5" outlineLevel="1" x14ac:dyDescent="0.35">
      <c r="C451" s="86" t="s">
        <v>190</v>
      </c>
      <c r="D451" s="181" t="s">
        <v>3187</v>
      </c>
      <c r="E451" s="546"/>
      <c r="F451" s="546"/>
      <c r="G451" s="546"/>
      <c r="H451" s="546"/>
      <c r="I451" s="546"/>
      <c r="J451" s="546"/>
      <c r="K451" s="546"/>
      <c r="L451" s="546"/>
      <c r="M451" s="546"/>
      <c r="N451" s="546"/>
      <c r="O451" s="546"/>
      <c r="P451" s="546"/>
      <c r="Q451" s="3651"/>
      <c r="R451" s="3651"/>
      <c r="S451" s="3651"/>
      <c r="T451" s="3651"/>
      <c r="U451" s="3651"/>
      <c r="V451" s="3651"/>
      <c r="W451" s="579"/>
      <c r="X451" s="3444"/>
      <c r="Y451" s="3444"/>
      <c r="Z451" s="3444"/>
      <c r="AA451" s="3444"/>
      <c r="AB451" s="3444"/>
      <c r="AC451" s="3444"/>
      <c r="AP451" s="87" t="s">
        <v>810</v>
      </c>
      <c r="AQ451" s="179" t="s">
        <v>190</v>
      </c>
      <c r="AS451" s="944"/>
    </row>
    <row r="452" spans="1:45" outlineLevel="1" x14ac:dyDescent="0.35">
      <c r="C452" s="86" t="s">
        <v>190</v>
      </c>
      <c r="D452" s="181" t="s">
        <v>3186</v>
      </c>
      <c r="E452" s="546"/>
      <c r="F452" s="546"/>
      <c r="G452" s="546"/>
      <c r="H452" s="546"/>
      <c r="I452" s="546"/>
      <c r="J452" s="546"/>
      <c r="K452" s="546"/>
      <c r="L452" s="546"/>
      <c r="M452" s="546"/>
      <c r="N452" s="546"/>
      <c r="O452" s="546"/>
      <c r="P452" s="546"/>
      <c r="Q452" s="3672"/>
      <c r="R452" s="3672"/>
      <c r="S452" s="3672"/>
      <c r="T452" s="3672"/>
      <c r="U452" s="3672"/>
      <c r="V452" s="3672"/>
      <c r="W452" s="579"/>
      <c r="X452" s="3675"/>
      <c r="Y452" s="3675"/>
      <c r="Z452" s="3675"/>
      <c r="AA452" s="3675"/>
      <c r="AB452" s="3675"/>
      <c r="AC452" s="3675"/>
      <c r="AP452" s="87" t="s">
        <v>811</v>
      </c>
      <c r="AQ452" s="179" t="s">
        <v>190</v>
      </c>
      <c r="AS452" s="548"/>
    </row>
    <row r="453" spans="1:45" outlineLevel="1" x14ac:dyDescent="0.35">
      <c r="C453" s="86"/>
      <c r="E453" s="546"/>
      <c r="F453" s="546"/>
      <c r="G453" s="546"/>
      <c r="H453" s="546"/>
      <c r="I453" s="546"/>
      <c r="J453" s="546"/>
      <c r="K453" s="546"/>
      <c r="L453" s="546"/>
      <c r="M453" s="546"/>
      <c r="N453" s="546"/>
      <c r="O453" s="546"/>
      <c r="P453" s="546"/>
      <c r="Q453" s="3671">
        <f>SUM(Q450:V452)</f>
        <v>104048233</v>
      </c>
      <c r="R453" s="3671"/>
      <c r="S453" s="3671"/>
      <c r="T453" s="3671"/>
      <c r="U453" s="3671"/>
      <c r="V453" s="3671"/>
      <c r="W453" s="577"/>
      <c r="X453" s="3661">
        <f>SUM(X450:AC452)</f>
        <v>0</v>
      </c>
      <c r="Y453" s="3661"/>
      <c r="Z453" s="3661"/>
      <c r="AA453" s="3661"/>
      <c r="AB453" s="3661"/>
      <c r="AC453" s="3661"/>
      <c r="AP453" s="87"/>
      <c r="AS453" s="548"/>
    </row>
    <row r="454" spans="1:45" outlineLevel="1" x14ac:dyDescent="0.35">
      <c r="C454" s="84" t="s">
        <v>812</v>
      </c>
      <c r="E454" s="546"/>
      <c r="F454" s="546"/>
      <c r="G454" s="546"/>
      <c r="H454" s="546"/>
      <c r="I454" s="546"/>
      <c r="J454" s="546"/>
      <c r="K454" s="546"/>
      <c r="L454" s="546"/>
      <c r="M454" s="546"/>
      <c r="N454" s="546"/>
      <c r="O454" s="546"/>
      <c r="P454" s="546"/>
      <c r="Q454" s="3672">
        <v>0</v>
      </c>
      <c r="R454" s="3672"/>
      <c r="S454" s="3672"/>
      <c r="T454" s="3672"/>
      <c r="U454" s="3672"/>
      <c r="V454" s="3672"/>
      <c r="W454" s="579"/>
      <c r="X454" s="3444">
        <v>0</v>
      </c>
      <c r="Y454" s="3444"/>
      <c r="Z454" s="3444"/>
      <c r="AA454" s="3444"/>
      <c r="AB454" s="3444"/>
      <c r="AC454" s="3444"/>
      <c r="AP454" s="87"/>
      <c r="AQ454" s="87" t="s">
        <v>813</v>
      </c>
      <c r="AS454" s="548"/>
    </row>
    <row r="455" spans="1:45" outlineLevel="1" x14ac:dyDescent="0.35">
      <c r="C455" s="84"/>
      <c r="E455" s="546"/>
      <c r="F455" s="546"/>
      <c r="G455" s="546"/>
      <c r="H455" s="546"/>
      <c r="I455" s="546"/>
      <c r="J455" s="546"/>
      <c r="K455" s="546"/>
      <c r="L455" s="546"/>
      <c r="M455" s="546"/>
      <c r="N455" s="546"/>
      <c r="O455" s="546"/>
      <c r="P455" s="546"/>
      <c r="Q455" s="706"/>
      <c r="R455" s="706"/>
      <c r="S455" s="706"/>
      <c r="T455" s="706"/>
      <c r="U455" s="706"/>
      <c r="V455" s="706"/>
      <c r="W455" s="579"/>
      <c r="X455" s="596"/>
      <c r="Y455" s="596"/>
      <c r="Z455" s="596"/>
      <c r="AA455" s="596"/>
      <c r="AB455" s="596"/>
      <c r="AC455" s="596"/>
      <c r="AP455" s="87"/>
      <c r="AQ455" s="87"/>
      <c r="AS455" s="548"/>
    </row>
    <row r="456" spans="1:45" s="64" customFormat="1" outlineLevel="1" x14ac:dyDescent="0.35">
      <c r="A456" s="181"/>
      <c r="B456" s="130"/>
      <c r="C456" s="84"/>
      <c r="D456" s="181"/>
      <c r="E456" s="546"/>
      <c r="F456" s="546"/>
      <c r="G456" s="546"/>
      <c r="H456" s="546"/>
      <c r="I456" s="546"/>
      <c r="J456" s="546"/>
      <c r="K456" s="546"/>
      <c r="L456" s="546"/>
      <c r="M456" s="546"/>
      <c r="N456" s="546"/>
      <c r="O456" s="546"/>
      <c r="P456" s="546"/>
      <c r="Q456" s="3673">
        <f>Q448+Q453+Q454</f>
        <v>127867575</v>
      </c>
      <c r="R456" s="3673"/>
      <c r="S456" s="3673"/>
      <c r="T456" s="3673"/>
      <c r="U456" s="3673"/>
      <c r="V456" s="3673"/>
      <c r="W456" s="577"/>
      <c r="X456" s="3674">
        <f>X448+X453</f>
        <v>23819342</v>
      </c>
      <c r="Y456" s="3674"/>
      <c r="Z456" s="3674"/>
      <c r="AA456" s="3674"/>
      <c r="AB456" s="3674"/>
      <c r="AC456" s="3674"/>
      <c r="AD456" s="181"/>
      <c r="AE456" s="181"/>
      <c r="AF456" s="181"/>
      <c r="AG456" s="181"/>
      <c r="AH456" s="181"/>
      <c r="AI456" s="181"/>
      <c r="AJ456" s="181"/>
      <c r="AK456" s="181"/>
      <c r="AL456" s="181"/>
      <c r="AM456" s="181"/>
      <c r="AN456" s="181"/>
      <c r="AO456" s="181"/>
      <c r="AP456" s="87"/>
      <c r="AQ456" s="87"/>
      <c r="AR456" s="181"/>
      <c r="AS456" s="523"/>
    </row>
    <row r="457" spans="1:45" s="632" customFormat="1" ht="13.5" outlineLevel="1" x14ac:dyDescent="0.35">
      <c r="Q457" s="707"/>
      <c r="R457" s="707"/>
      <c r="S457" s="707"/>
      <c r="T457" s="707"/>
      <c r="U457" s="707"/>
      <c r="V457" s="708"/>
      <c r="AQ457" s="709"/>
      <c r="AS457" s="710"/>
    </row>
    <row r="458" spans="1:45" ht="13.5" outlineLevel="1" x14ac:dyDescent="0.35">
      <c r="A458" s="64"/>
      <c r="C458" s="64" t="s">
        <v>233</v>
      </c>
      <c r="D458" s="130"/>
      <c r="E458" s="555"/>
      <c r="F458" s="555"/>
      <c r="G458" s="555"/>
      <c r="H458" s="555"/>
      <c r="I458" s="555"/>
      <c r="J458" s="555"/>
      <c r="K458" s="555"/>
      <c r="L458" s="555"/>
      <c r="M458" s="555"/>
      <c r="N458" s="555"/>
      <c r="O458" s="555"/>
      <c r="P458" s="555"/>
      <c r="Q458" s="711"/>
      <c r="R458" s="711"/>
      <c r="S458" s="711"/>
      <c r="T458" s="711"/>
      <c r="U458" s="711"/>
      <c r="V458" s="711"/>
      <c r="W458" s="555"/>
      <c r="X458" s="614"/>
      <c r="Y458" s="614"/>
      <c r="Z458" s="614"/>
      <c r="AA458" s="614"/>
      <c r="AB458" s="614"/>
      <c r="AC458" s="614"/>
      <c r="AD458" s="64"/>
      <c r="AE458" s="64"/>
      <c r="AF458" s="64"/>
      <c r="AG458" s="64"/>
      <c r="AH458" s="64"/>
      <c r="AI458" s="64"/>
      <c r="AJ458" s="64"/>
      <c r="AK458" s="64"/>
      <c r="AL458" s="64"/>
      <c r="AM458" s="64"/>
      <c r="AN458" s="64"/>
      <c r="AO458" s="64"/>
      <c r="AP458" s="557"/>
      <c r="AQ458" s="88" t="s">
        <v>814</v>
      </c>
      <c r="AR458" s="64"/>
      <c r="AS458" s="548"/>
    </row>
    <row r="459" spans="1:45" outlineLevel="1" x14ac:dyDescent="0.35">
      <c r="C459" s="86" t="s">
        <v>190</v>
      </c>
      <c r="D459" s="181" t="s">
        <v>815</v>
      </c>
      <c r="E459" s="546"/>
      <c r="F459" s="546"/>
      <c r="G459" s="546"/>
      <c r="H459" s="546"/>
      <c r="I459" s="546"/>
      <c r="J459" s="546"/>
      <c r="K459" s="546"/>
      <c r="L459" s="546"/>
      <c r="M459" s="546"/>
      <c r="N459" s="546"/>
      <c r="O459" s="546"/>
      <c r="P459" s="546"/>
      <c r="Q459" s="3650">
        <f>'[9]30'!H42</f>
        <v>0</v>
      </c>
      <c r="R459" s="3650"/>
      <c r="S459" s="3650"/>
      <c r="T459" s="3650"/>
      <c r="U459" s="3650"/>
      <c r="V459" s="3650"/>
      <c r="W459" s="712"/>
      <c r="X459" s="3650">
        <v>0</v>
      </c>
      <c r="Y459" s="3650"/>
      <c r="Z459" s="3650"/>
      <c r="AA459" s="3650"/>
      <c r="AB459" s="3650"/>
      <c r="AC459" s="3650"/>
      <c r="AP459" s="87" t="s">
        <v>815</v>
      </c>
      <c r="AQ459" s="179" t="s">
        <v>190</v>
      </c>
      <c r="AS459" s="548"/>
    </row>
    <row r="460" spans="1:45" outlineLevel="1" x14ac:dyDescent="0.35">
      <c r="C460" s="86" t="s">
        <v>190</v>
      </c>
      <c r="D460" s="181" t="s">
        <v>7960</v>
      </c>
      <c r="E460" s="546"/>
      <c r="F460" s="546"/>
      <c r="G460" s="546"/>
      <c r="H460" s="546"/>
      <c r="I460" s="546"/>
      <c r="J460" s="546"/>
      <c r="K460" s="546"/>
      <c r="L460" s="546"/>
      <c r="M460" s="546"/>
      <c r="N460" s="546"/>
      <c r="O460" s="546"/>
      <c r="P460" s="546"/>
      <c r="Q460" s="3650">
        <f>'12'!E39</f>
        <v>0</v>
      </c>
      <c r="R460" s="3650"/>
      <c r="S460" s="3650"/>
      <c r="T460" s="3650"/>
      <c r="U460" s="3650"/>
      <c r="V460" s="3650"/>
      <c r="W460" s="712"/>
      <c r="X460" s="3650">
        <v>0</v>
      </c>
      <c r="Y460" s="3650"/>
      <c r="Z460" s="3650"/>
      <c r="AA460" s="3650"/>
      <c r="AB460" s="3650"/>
      <c r="AC460" s="3650"/>
      <c r="AP460" s="87" t="s">
        <v>816</v>
      </c>
      <c r="AQ460" s="179" t="s">
        <v>190</v>
      </c>
      <c r="AS460" s="548"/>
    </row>
    <row r="461" spans="1:45" outlineLevel="1" x14ac:dyDescent="0.35">
      <c r="C461" s="86" t="s">
        <v>190</v>
      </c>
      <c r="D461" s="181" t="s">
        <v>817</v>
      </c>
      <c r="E461" s="546"/>
      <c r="F461" s="546"/>
      <c r="G461" s="546"/>
      <c r="H461" s="546"/>
      <c r="I461" s="546"/>
      <c r="J461" s="546"/>
      <c r="K461" s="546"/>
      <c r="L461" s="546"/>
      <c r="M461" s="546"/>
      <c r="N461" s="546"/>
      <c r="O461" s="546"/>
      <c r="P461" s="546"/>
      <c r="Q461" s="3650"/>
      <c r="R461" s="3650"/>
      <c r="S461" s="3650"/>
      <c r="T461" s="3650"/>
      <c r="U461" s="3650"/>
      <c r="V461" s="3650"/>
      <c r="W461" s="712"/>
      <c r="X461" s="3650"/>
      <c r="Y461" s="3650"/>
      <c r="Z461" s="3650"/>
      <c r="AA461" s="3650"/>
      <c r="AB461" s="3650"/>
      <c r="AC461" s="3650"/>
      <c r="AP461" s="87" t="s">
        <v>818</v>
      </c>
      <c r="AQ461" s="179" t="s">
        <v>190</v>
      </c>
      <c r="AS461" s="548"/>
    </row>
    <row r="462" spans="1:45" outlineLevel="1" x14ac:dyDescent="0.35">
      <c r="C462" s="86" t="s">
        <v>190</v>
      </c>
      <c r="D462" s="181" t="s">
        <v>819</v>
      </c>
      <c r="E462" s="546"/>
      <c r="F462" s="546"/>
      <c r="G462" s="546"/>
      <c r="H462" s="546"/>
      <c r="I462" s="546"/>
      <c r="J462" s="546"/>
      <c r="K462" s="546"/>
      <c r="L462" s="546"/>
      <c r="M462" s="546"/>
      <c r="N462" s="546"/>
      <c r="O462" s="546"/>
      <c r="P462" s="546"/>
      <c r="Q462" s="3650"/>
      <c r="R462" s="3650"/>
      <c r="S462" s="3650"/>
      <c r="T462" s="3650"/>
      <c r="U462" s="3650"/>
      <c r="V462" s="3650"/>
      <c r="W462" s="712"/>
      <c r="X462" s="3650"/>
      <c r="Y462" s="3650"/>
      <c r="Z462" s="3650"/>
      <c r="AA462" s="3650"/>
      <c r="AB462" s="3650"/>
      <c r="AC462" s="3650"/>
      <c r="AP462" s="87" t="s">
        <v>820</v>
      </c>
      <c r="AQ462" s="179" t="s">
        <v>190</v>
      </c>
      <c r="AS462" s="548"/>
    </row>
    <row r="463" spans="1:45" outlineLevel="1" x14ac:dyDescent="0.35">
      <c r="C463" s="86" t="s">
        <v>190</v>
      </c>
      <c r="D463" s="181" t="s">
        <v>821</v>
      </c>
      <c r="E463" s="546"/>
      <c r="F463" s="546"/>
      <c r="G463" s="546"/>
      <c r="H463" s="546"/>
      <c r="I463" s="546"/>
      <c r="J463" s="546"/>
      <c r="K463" s="546"/>
      <c r="L463" s="546"/>
      <c r="M463" s="546"/>
      <c r="N463" s="546"/>
      <c r="O463" s="546"/>
      <c r="P463" s="546"/>
      <c r="Q463" s="3668"/>
      <c r="R463" s="3668"/>
      <c r="S463" s="3668"/>
      <c r="T463" s="3668"/>
      <c r="U463" s="3668"/>
      <c r="V463" s="3668"/>
      <c r="W463" s="712"/>
      <c r="X463" s="3650"/>
      <c r="Y463" s="3650"/>
      <c r="Z463" s="3650"/>
      <c r="AA463" s="3650"/>
      <c r="AB463" s="3650"/>
      <c r="AC463" s="3650"/>
      <c r="AP463" s="87" t="s">
        <v>822</v>
      </c>
      <c r="AQ463" s="179" t="s">
        <v>190</v>
      </c>
      <c r="AS463" s="548"/>
    </row>
    <row r="464" spans="1:45" outlineLevel="1" x14ac:dyDescent="0.35">
      <c r="C464" s="86"/>
      <c r="E464" s="546"/>
      <c r="F464" s="546"/>
      <c r="G464" s="546"/>
      <c r="H464" s="546"/>
      <c r="I464" s="546"/>
      <c r="J464" s="546"/>
      <c r="K464" s="546"/>
      <c r="L464" s="546"/>
      <c r="M464" s="546"/>
      <c r="N464" s="546"/>
      <c r="O464" s="546"/>
      <c r="P464" s="546"/>
      <c r="Q464" s="3669">
        <f>SUM(Q459:V463)</f>
        <v>0</v>
      </c>
      <c r="R464" s="3669"/>
      <c r="S464" s="3669"/>
      <c r="T464" s="3669"/>
      <c r="U464" s="3669"/>
      <c r="V464" s="3669"/>
      <c r="W464" s="713"/>
      <c r="X464" s="3669">
        <f>SUM(X459:AC463)</f>
        <v>0</v>
      </c>
      <c r="Y464" s="3669"/>
      <c r="Z464" s="3669"/>
      <c r="AA464" s="3669"/>
      <c r="AB464" s="3669"/>
      <c r="AC464" s="3669"/>
      <c r="AP464" s="87"/>
      <c r="AS464" s="548"/>
    </row>
    <row r="465" spans="1:46" outlineLevel="1" x14ac:dyDescent="0.35">
      <c r="C465" s="84" t="s">
        <v>823</v>
      </c>
      <c r="E465" s="546"/>
      <c r="F465" s="546"/>
      <c r="G465" s="546"/>
      <c r="H465" s="546"/>
      <c r="I465" s="546"/>
      <c r="J465" s="546"/>
      <c r="K465" s="546"/>
      <c r="L465" s="546"/>
      <c r="M465" s="546"/>
      <c r="N465" s="546"/>
      <c r="O465" s="546"/>
      <c r="P465" s="546"/>
      <c r="Q465" s="712"/>
      <c r="R465" s="712"/>
      <c r="S465" s="712"/>
      <c r="T465" s="712"/>
      <c r="U465" s="712"/>
      <c r="V465" s="712"/>
      <c r="W465" s="712"/>
      <c r="X465" s="712"/>
      <c r="Y465" s="712"/>
      <c r="Z465" s="712"/>
      <c r="AA465" s="712"/>
      <c r="AB465" s="712"/>
      <c r="AC465" s="712"/>
      <c r="AP465" s="87"/>
      <c r="AQ465" s="87" t="s">
        <v>824</v>
      </c>
      <c r="AS465" s="548"/>
    </row>
    <row r="466" spans="1:46" outlineLevel="1" x14ac:dyDescent="0.35">
      <c r="C466" s="86"/>
      <c r="E466" s="546"/>
      <c r="F466" s="546"/>
      <c r="G466" s="546"/>
      <c r="H466" s="546"/>
      <c r="I466" s="546"/>
      <c r="J466" s="546"/>
      <c r="K466" s="546"/>
      <c r="L466" s="546"/>
      <c r="M466" s="546"/>
      <c r="N466" s="546"/>
      <c r="O466" s="546"/>
      <c r="P466" s="546"/>
      <c r="Q466" s="714"/>
      <c r="R466" s="714"/>
      <c r="S466" s="714"/>
      <c r="T466" s="714"/>
      <c r="U466" s="714"/>
      <c r="V466" s="714"/>
      <c r="W466" s="579"/>
      <c r="X466" s="714"/>
      <c r="Y466" s="714"/>
      <c r="Z466" s="714"/>
      <c r="AA466" s="714"/>
      <c r="AB466" s="714"/>
      <c r="AC466" s="714"/>
      <c r="AP466" s="87"/>
      <c r="AS466" s="548"/>
    </row>
    <row r="467" spans="1:46" s="64" customFormat="1" outlineLevel="1" x14ac:dyDescent="0.35">
      <c r="A467" s="181"/>
      <c r="B467" s="130"/>
      <c r="C467" s="86"/>
      <c r="D467" s="181"/>
      <c r="E467" s="546"/>
      <c r="F467" s="546"/>
      <c r="G467" s="546"/>
      <c r="H467" s="546"/>
      <c r="I467" s="546"/>
      <c r="J467" s="546"/>
      <c r="K467" s="546"/>
      <c r="L467" s="546"/>
      <c r="M467" s="546"/>
      <c r="N467" s="546"/>
      <c r="O467" s="546"/>
      <c r="P467" s="546"/>
      <c r="Q467" s="3678"/>
      <c r="R467" s="3678"/>
      <c r="S467" s="3678"/>
      <c r="T467" s="3678"/>
      <c r="U467" s="3678"/>
      <c r="V467" s="3678"/>
      <c r="W467" s="579"/>
      <c r="X467" s="3678"/>
      <c r="Y467" s="3678"/>
      <c r="Z467" s="3678"/>
      <c r="AA467" s="3678"/>
      <c r="AB467" s="3678"/>
      <c r="AC467" s="3678"/>
      <c r="AD467" s="181"/>
      <c r="AE467" s="181"/>
      <c r="AF467" s="181"/>
      <c r="AG467" s="181"/>
      <c r="AH467" s="181"/>
      <c r="AI467" s="181"/>
      <c r="AJ467" s="181"/>
      <c r="AK467" s="181"/>
      <c r="AL467" s="181"/>
      <c r="AM467" s="181"/>
      <c r="AN467" s="181"/>
      <c r="AO467" s="181"/>
      <c r="AP467" s="87"/>
      <c r="AQ467" s="179"/>
      <c r="AR467" s="181"/>
      <c r="AS467" s="523"/>
    </row>
    <row r="468" spans="1:46" ht="13.5" outlineLevel="1" x14ac:dyDescent="0.35">
      <c r="A468" s="64"/>
      <c r="C468" s="130" t="s">
        <v>490</v>
      </c>
      <c r="D468" s="64"/>
      <c r="E468" s="555"/>
      <c r="F468" s="555"/>
      <c r="G468" s="555"/>
      <c r="H468" s="555"/>
      <c r="I468" s="555"/>
      <c r="J468" s="555"/>
      <c r="K468" s="555"/>
      <c r="L468" s="555"/>
      <c r="M468" s="555"/>
      <c r="N468" s="555"/>
      <c r="O468" s="555"/>
      <c r="P468" s="555"/>
      <c r="Q468" s="577"/>
      <c r="R468" s="577"/>
      <c r="S468" s="577"/>
      <c r="T468" s="577"/>
      <c r="U468" s="577"/>
      <c r="V468" s="577"/>
      <c r="W468" s="577"/>
      <c r="X468" s="577"/>
      <c r="Y468" s="577"/>
      <c r="Z468" s="577"/>
      <c r="AA468" s="577"/>
      <c r="AB468" s="577"/>
      <c r="AC468" s="577"/>
      <c r="AD468" s="64"/>
      <c r="AE468" s="64"/>
      <c r="AF468" s="64"/>
      <c r="AG468" s="64"/>
      <c r="AH468" s="64"/>
      <c r="AI468" s="64"/>
      <c r="AJ468" s="64"/>
      <c r="AK468" s="64"/>
      <c r="AL468" s="64"/>
      <c r="AM468" s="64"/>
      <c r="AN468" s="64"/>
      <c r="AO468" s="64"/>
      <c r="AP468" s="88"/>
      <c r="AQ468" s="88" t="s">
        <v>715</v>
      </c>
      <c r="AR468" s="64"/>
      <c r="AS468" s="699" t="s">
        <v>825</v>
      </c>
      <c r="AT468" s="136" t="s">
        <v>826</v>
      </c>
    </row>
    <row r="469" spans="1:46" outlineLevel="1" x14ac:dyDescent="0.35">
      <c r="C469" s="86" t="s">
        <v>190</v>
      </c>
      <c r="D469" s="181" t="s">
        <v>827</v>
      </c>
      <c r="E469" s="546"/>
      <c r="F469" s="546"/>
      <c r="G469" s="546"/>
      <c r="H469" s="546"/>
      <c r="I469" s="546"/>
      <c r="J469" s="546"/>
      <c r="K469" s="546"/>
      <c r="L469" s="546"/>
      <c r="M469" s="546"/>
      <c r="N469" s="546"/>
      <c r="O469" s="546"/>
      <c r="P469" s="546"/>
      <c r="Q469" s="3444"/>
      <c r="R469" s="3444"/>
      <c r="S469" s="3444"/>
      <c r="T469" s="3444"/>
      <c r="U469" s="3444"/>
      <c r="V469" s="3444"/>
      <c r="W469" s="579"/>
      <c r="X469" s="3444"/>
      <c r="Y469" s="3444"/>
      <c r="Z469" s="3444"/>
      <c r="AA469" s="3444"/>
      <c r="AB469" s="3444"/>
      <c r="AC469" s="3444"/>
      <c r="AP469" s="87" t="s">
        <v>828</v>
      </c>
      <c r="AQ469" s="179" t="s">
        <v>190</v>
      </c>
      <c r="AS469" s="699" t="s">
        <v>829</v>
      </c>
      <c r="AT469" s="136" t="s">
        <v>830</v>
      </c>
    </row>
    <row r="470" spans="1:46" outlineLevel="1" x14ac:dyDescent="0.35">
      <c r="C470" s="86" t="s">
        <v>190</v>
      </c>
      <c r="D470" s="181" t="s">
        <v>831</v>
      </c>
      <c r="E470" s="546"/>
      <c r="F470" s="546"/>
      <c r="G470" s="546"/>
      <c r="H470" s="546"/>
      <c r="I470" s="546"/>
      <c r="J470" s="546"/>
      <c r="K470" s="546"/>
      <c r="L470" s="546"/>
      <c r="M470" s="546"/>
      <c r="N470" s="546"/>
      <c r="O470" s="546"/>
      <c r="P470" s="546"/>
      <c r="Q470" s="3662"/>
      <c r="R470" s="3662"/>
      <c r="S470" s="3662"/>
      <c r="T470" s="3662"/>
      <c r="U470" s="3662"/>
      <c r="V470" s="3662"/>
      <c r="W470" s="579"/>
      <c r="X470" s="3444"/>
      <c r="Y470" s="3444"/>
      <c r="Z470" s="3444"/>
      <c r="AA470" s="3444"/>
      <c r="AB470" s="3444"/>
      <c r="AC470" s="3444"/>
      <c r="AP470" s="87" t="s">
        <v>832</v>
      </c>
      <c r="AQ470" s="179" t="s">
        <v>190</v>
      </c>
      <c r="AS470" s="699" t="s">
        <v>833</v>
      </c>
      <c r="AT470" s="136" t="s">
        <v>834</v>
      </c>
    </row>
    <row r="471" spans="1:46" outlineLevel="1" x14ac:dyDescent="0.35">
      <c r="C471" s="86" t="s">
        <v>190</v>
      </c>
      <c r="D471" s="181" t="s">
        <v>835</v>
      </c>
      <c r="E471" s="546"/>
      <c r="F471" s="546"/>
      <c r="G471" s="546"/>
      <c r="H471" s="546"/>
      <c r="I471" s="546"/>
      <c r="J471" s="546"/>
      <c r="K471" s="546"/>
      <c r="L471" s="546"/>
      <c r="M471" s="546"/>
      <c r="N471" s="546"/>
      <c r="O471" s="546"/>
      <c r="P471" s="546"/>
      <c r="Q471" s="3662"/>
      <c r="R471" s="3662"/>
      <c r="S471" s="3662"/>
      <c r="T471" s="3662"/>
      <c r="U471" s="3662"/>
      <c r="V471" s="3662"/>
      <c r="W471" s="579"/>
      <c r="X471" s="3444"/>
      <c r="Y471" s="3444"/>
      <c r="Z471" s="3444"/>
      <c r="AA471" s="3444"/>
      <c r="AB471" s="3444"/>
      <c r="AC471" s="3444"/>
      <c r="AP471" s="87" t="s">
        <v>836</v>
      </c>
      <c r="AQ471" s="179" t="s">
        <v>190</v>
      </c>
      <c r="AS471" s="699" t="s">
        <v>837</v>
      </c>
      <c r="AT471" s="136" t="s">
        <v>838</v>
      </c>
    </row>
    <row r="472" spans="1:46" outlineLevel="1" x14ac:dyDescent="0.35">
      <c r="C472" s="86"/>
      <c r="E472" s="546"/>
      <c r="F472" s="546"/>
      <c r="G472" s="546"/>
      <c r="H472" s="546"/>
      <c r="I472" s="546"/>
      <c r="J472" s="546"/>
      <c r="K472" s="546"/>
      <c r="L472" s="546"/>
      <c r="M472" s="546"/>
      <c r="N472" s="546"/>
      <c r="O472" s="546"/>
      <c r="P472" s="546"/>
      <c r="Q472" s="3661">
        <f>SUM(Q469:V471)</f>
        <v>0</v>
      </c>
      <c r="R472" s="3661"/>
      <c r="S472" s="3661"/>
      <c r="T472" s="3661"/>
      <c r="U472" s="3661"/>
      <c r="V472" s="3661"/>
      <c r="W472" s="577"/>
      <c r="X472" s="3661">
        <f>SUM(X469:AC471)</f>
        <v>0</v>
      </c>
      <c r="Y472" s="3661"/>
      <c r="Z472" s="3661"/>
      <c r="AA472" s="3661"/>
      <c r="AB472" s="3661"/>
      <c r="AC472" s="3661"/>
      <c r="AP472" s="87"/>
      <c r="AS472" s="548"/>
    </row>
    <row r="473" spans="1:46" outlineLevel="1" x14ac:dyDescent="0.35">
      <c r="C473" s="86"/>
      <c r="E473" s="546"/>
      <c r="F473" s="546"/>
      <c r="G473" s="546"/>
      <c r="H473" s="546"/>
      <c r="I473" s="546"/>
      <c r="J473" s="546"/>
      <c r="K473" s="546"/>
      <c r="L473" s="546"/>
      <c r="M473" s="546"/>
      <c r="N473" s="546"/>
      <c r="O473" s="546"/>
      <c r="P473" s="546"/>
      <c r="Q473" s="579"/>
      <c r="R473" s="579"/>
      <c r="S473" s="579"/>
      <c r="T473" s="579"/>
      <c r="U473" s="579"/>
      <c r="V473" s="579"/>
      <c r="W473" s="579"/>
      <c r="X473" s="579"/>
      <c r="Y473" s="579"/>
      <c r="Z473" s="579"/>
      <c r="AA473" s="579"/>
      <c r="AB473" s="579"/>
      <c r="AC473" s="579"/>
      <c r="AP473" s="87"/>
      <c r="AS473" s="548"/>
    </row>
    <row r="474" spans="1:46" ht="14" outlineLevel="1" thickBot="1" x14ac:dyDescent="0.4">
      <c r="C474" s="64" t="s">
        <v>842</v>
      </c>
      <c r="D474" s="64"/>
      <c r="E474" s="555"/>
      <c r="F474" s="555"/>
      <c r="G474" s="555"/>
      <c r="H474" s="555"/>
      <c r="I474" s="555"/>
      <c r="J474" s="555"/>
      <c r="K474" s="555"/>
      <c r="L474" s="555"/>
      <c r="M474" s="555"/>
      <c r="N474" s="555"/>
      <c r="O474" s="555"/>
      <c r="P474" s="555"/>
      <c r="Q474" s="3442">
        <f>Q472+Q464+Q456</f>
        <v>127867575</v>
      </c>
      <c r="R474" s="3442"/>
      <c r="S474" s="3442"/>
      <c r="T474" s="3442"/>
      <c r="U474" s="3442"/>
      <c r="V474" s="3442"/>
      <c r="W474" s="577"/>
      <c r="X474" s="3442">
        <f>X472+X464+X456</f>
        <v>23819342</v>
      </c>
      <c r="Y474" s="3442"/>
      <c r="Z474" s="3442"/>
      <c r="AA474" s="3442"/>
      <c r="AB474" s="3442"/>
      <c r="AC474" s="3442"/>
      <c r="AP474" s="557"/>
      <c r="AQ474" s="88" t="s">
        <v>843</v>
      </c>
      <c r="AS474" s="548">
        <v>104584500</v>
      </c>
    </row>
    <row r="475" spans="1:46" s="632" customFormat="1" ht="14" outlineLevel="1" thickTop="1" x14ac:dyDescent="0.35">
      <c r="V475" s="715"/>
      <c r="AQ475" s="709"/>
      <c r="AS475" s="710"/>
    </row>
    <row r="476" spans="1:46" s="632" customFormat="1" ht="13.5" outlineLevel="1" x14ac:dyDescent="0.35">
      <c r="V476" s="715"/>
      <c r="AQ476" s="709"/>
      <c r="AS476" s="710"/>
    </row>
    <row r="477" spans="1:46" s="632" customFormat="1" ht="13.5" outlineLevel="1" x14ac:dyDescent="0.35">
      <c r="V477" s="715"/>
      <c r="AQ477" s="709"/>
      <c r="AS477" s="710"/>
    </row>
    <row r="478" spans="1:46" s="513" customFormat="1" ht="15" x14ac:dyDescent="0.35">
      <c r="A478" s="612"/>
      <c r="B478" s="535" t="s">
        <v>844</v>
      </c>
      <c r="C478" s="536" t="s">
        <v>845</v>
      </c>
      <c r="D478" s="535"/>
      <c r="E478" s="537"/>
      <c r="F478" s="537"/>
      <c r="G478" s="537"/>
      <c r="H478" s="537"/>
      <c r="I478" s="537"/>
      <c r="J478" s="537"/>
      <c r="K478" s="537"/>
      <c r="L478" s="537"/>
      <c r="M478" s="537"/>
      <c r="N478" s="537"/>
      <c r="O478" s="537"/>
      <c r="P478" s="537"/>
      <c r="Q478" s="537"/>
      <c r="R478" s="537"/>
      <c r="S478" s="537"/>
      <c r="T478" s="537"/>
      <c r="U478" s="537"/>
      <c r="V478" s="538"/>
      <c r="W478" s="537"/>
      <c r="X478" s="539" t="str">
        <f>B478</f>
        <v>10.</v>
      </c>
      <c r="Y478" s="539" t="s">
        <v>846</v>
      </c>
      <c r="Z478" s="716"/>
      <c r="AA478" s="716"/>
      <c r="AB478" s="716"/>
      <c r="AC478" s="716"/>
      <c r="AD478" s="539"/>
      <c r="AE478" s="539"/>
      <c r="AF478" s="539"/>
      <c r="AG478" s="539"/>
      <c r="AH478" s="539"/>
      <c r="AI478" s="539"/>
      <c r="AJ478" s="539"/>
      <c r="AK478" s="539"/>
      <c r="AL478" s="539"/>
      <c r="AM478" s="539"/>
      <c r="AN478" s="539"/>
      <c r="AO478" s="539"/>
      <c r="AP478" s="566"/>
      <c r="AQ478" s="567"/>
      <c r="AR478" s="612"/>
      <c r="AS478" s="693"/>
    </row>
    <row r="479" spans="1:46" ht="13.5" x14ac:dyDescent="0.35">
      <c r="C479" s="64"/>
      <c r="D479" s="84"/>
      <c r="E479" s="546"/>
      <c r="F479" s="546"/>
      <c r="G479" s="546"/>
      <c r="H479" s="546"/>
      <c r="I479" s="546"/>
      <c r="J479" s="546"/>
      <c r="K479" s="546"/>
      <c r="L479" s="546"/>
      <c r="M479" s="546"/>
      <c r="N479" s="546"/>
      <c r="O479" s="546"/>
      <c r="P479" s="546"/>
      <c r="Q479" s="546"/>
      <c r="R479" s="546"/>
      <c r="S479" s="546"/>
      <c r="T479" s="546"/>
      <c r="U479" s="546"/>
      <c r="V479" s="547"/>
      <c r="W479" s="546"/>
      <c r="X479" s="546"/>
      <c r="Y479" s="546"/>
      <c r="Z479" s="546"/>
      <c r="AA479" s="546"/>
      <c r="AB479" s="546"/>
      <c r="AC479" s="546"/>
      <c r="AQ479" s="88"/>
      <c r="AS479" s="548"/>
    </row>
    <row r="480" spans="1:46" x14ac:dyDescent="0.35">
      <c r="C480" s="181" t="s">
        <v>579</v>
      </c>
      <c r="D480" s="84"/>
      <c r="E480" s="546"/>
      <c r="F480" s="546"/>
      <c r="G480" s="546"/>
      <c r="H480" s="546"/>
      <c r="I480" s="546"/>
      <c r="J480" s="546"/>
      <c r="K480" s="546"/>
      <c r="L480" s="546"/>
      <c r="M480" s="546"/>
      <c r="N480" s="546"/>
      <c r="O480" s="546"/>
      <c r="P480" s="546"/>
      <c r="Q480" s="558"/>
      <c r="R480" s="558"/>
      <c r="S480" s="558"/>
      <c r="T480" s="558"/>
      <c r="U480" s="558"/>
      <c r="V480" s="558"/>
      <c r="W480" s="546"/>
      <c r="X480" s="558"/>
      <c r="Y480" s="558"/>
      <c r="Z480" s="558"/>
      <c r="AA480" s="558"/>
      <c r="AB480" s="558"/>
      <c r="AC480" s="558"/>
      <c r="AQ480" s="87" t="s">
        <v>580</v>
      </c>
      <c r="AS480" s="548"/>
    </row>
    <row r="481" spans="1:48" s="142" customFormat="1" ht="13.5" x14ac:dyDescent="0.35">
      <c r="A481" s="181"/>
      <c r="B481" s="130"/>
      <c r="C481" s="64"/>
      <c r="D481" s="84"/>
      <c r="E481" s="546"/>
      <c r="F481" s="546"/>
      <c r="G481" s="546"/>
      <c r="H481" s="546"/>
      <c r="I481" s="546"/>
      <c r="J481" s="546"/>
      <c r="K481" s="546"/>
      <c r="L481" s="546"/>
      <c r="M481" s="546"/>
      <c r="N481" s="546"/>
      <c r="O481" s="546"/>
      <c r="P481" s="546"/>
      <c r="Q481" s="3670" t="str">
        <f>Q440</f>
        <v>30 June 2026/</v>
      </c>
      <c r="R481" s="3424" t="str">
        <f>[8]IN!$G$23</f>
        <v>31 July 2023 /</v>
      </c>
      <c r="S481" s="3424" t="str">
        <f>[8]IN!$G$23</f>
        <v>31 July 2023 /</v>
      </c>
      <c r="T481" s="3424" t="str">
        <f>[8]IN!$G$23</f>
        <v>31 July 2023 /</v>
      </c>
      <c r="U481" s="3424" t="str">
        <f>[8]IN!$G$23</f>
        <v>31 July 2023 /</v>
      </c>
      <c r="V481" s="3424" t="str">
        <f>[8]IN!$G$23</f>
        <v>31 July 2023 /</v>
      </c>
      <c r="W481" s="546"/>
      <c r="X481" s="3448" t="str">
        <f>X440</f>
        <v>31 May 2026/</v>
      </c>
      <c r="Y481" s="3448" t="str">
        <f>[8]IN!$G$26</f>
        <v>30 June 2023 /</v>
      </c>
      <c r="Z481" s="3448" t="str">
        <f>[8]IN!$G$26</f>
        <v>30 June 2023 /</v>
      </c>
      <c r="AA481" s="3448" t="str">
        <f>[8]IN!$G$26</f>
        <v>30 June 2023 /</v>
      </c>
      <c r="AB481" s="3448" t="str">
        <f>[8]IN!$G$26</f>
        <v>30 June 2023 /</v>
      </c>
      <c r="AC481" s="3448" t="str">
        <f>[8]IN!$G$26</f>
        <v>30 June 2023 /</v>
      </c>
      <c r="AD481" s="181"/>
      <c r="AE481" s="181"/>
      <c r="AF481" s="181"/>
      <c r="AG481" s="181"/>
      <c r="AH481" s="181"/>
      <c r="AI481" s="181"/>
      <c r="AJ481" s="181"/>
      <c r="AK481" s="181"/>
      <c r="AL481" s="181"/>
      <c r="AM481" s="181"/>
      <c r="AN481" s="181"/>
      <c r="AO481" s="181"/>
      <c r="AP481" s="179"/>
      <c r="AQ481" s="88"/>
      <c r="AR481" s="181"/>
      <c r="AS481" s="570"/>
    </row>
    <row r="482" spans="1:48" ht="14" thickBot="1" x14ac:dyDescent="0.4">
      <c r="A482" s="142"/>
      <c r="B482" s="559"/>
      <c r="C482" s="142"/>
      <c r="D482" s="568"/>
      <c r="E482" s="553"/>
      <c r="F482" s="553"/>
      <c r="G482" s="553"/>
      <c r="H482" s="553"/>
      <c r="I482" s="553"/>
      <c r="J482" s="553"/>
      <c r="K482" s="553"/>
      <c r="L482" s="553"/>
      <c r="M482" s="553"/>
      <c r="N482" s="553"/>
      <c r="O482" s="553"/>
      <c r="P482" s="553"/>
      <c r="Q482" s="3639">
        <f>Q441</f>
        <v>46203</v>
      </c>
      <c r="R482" s="3639" t="e">
        <f>[8]IN!$I$23</f>
        <v>#N/A</v>
      </c>
      <c r="S482" s="3639" t="e">
        <f>[8]IN!$I$23</f>
        <v>#N/A</v>
      </c>
      <c r="T482" s="3639" t="e">
        <f>[8]IN!$I$23</f>
        <v>#N/A</v>
      </c>
      <c r="U482" s="3639" t="e">
        <f>[8]IN!$I$23</f>
        <v>#N/A</v>
      </c>
      <c r="V482" s="3639" t="e">
        <f>[8]IN!$I$23</f>
        <v>#N/A</v>
      </c>
      <c r="W482" s="553"/>
      <c r="X482" s="3639">
        <f>X441</f>
        <v>46173</v>
      </c>
      <c r="Y482" s="3639" t="e">
        <f>[8]IN!$I$26</f>
        <v>#N/A</v>
      </c>
      <c r="Z482" s="3639" t="e">
        <f>[8]IN!$I$26</f>
        <v>#N/A</v>
      </c>
      <c r="AA482" s="3639" t="e">
        <f>[8]IN!$I$26</f>
        <v>#N/A</v>
      </c>
      <c r="AB482" s="3639" t="e">
        <f>[8]IN!$I$26</f>
        <v>#N/A</v>
      </c>
      <c r="AC482" s="3639" t="e">
        <f>[8]IN!$I$26</f>
        <v>#N/A</v>
      </c>
      <c r="AD482" s="142"/>
      <c r="AE482" s="142"/>
      <c r="AF482" s="142"/>
      <c r="AG482" s="142"/>
      <c r="AH482" s="142"/>
      <c r="AI482" s="142"/>
      <c r="AJ482" s="142"/>
      <c r="AK482" s="142"/>
      <c r="AL482" s="142"/>
      <c r="AM482" s="142"/>
      <c r="AN482" s="142"/>
      <c r="AO482" s="142"/>
      <c r="AP482" s="87"/>
      <c r="AQ482" s="87"/>
      <c r="AR482" s="142"/>
      <c r="AS482" s="548"/>
    </row>
    <row r="483" spans="1:48" ht="13.5" x14ac:dyDescent="0.35">
      <c r="C483" s="130" t="s">
        <v>239</v>
      </c>
      <c r="D483" s="130"/>
      <c r="E483" s="546"/>
      <c r="F483" s="546"/>
      <c r="G483" s="546"/>
      <c r="H483" s="546"/>
      <c r="I483" s="546"/>
      <c r="J483" s="546"/>
      <c r="K483" s="546"/>
      <c r="L483" s="546"/>
      <c r="M483" s="546"/>
      <c r="N483" s="546"/>
      <c r="O483" s="546"/>
      <c r="P483" s="546"/>
      <c r="W483" s="546"/>
      <c r="X483" s="558"/>
      <c r="Y483" s="558"/>
      <c r="Z483" s="558"/>
      <c r="AA483" s="558"/>
      <c r="AB483" s="558"/>
      <c r="AC483" s="558"/>
      <c r="AP483" s="557"/>
      <c r="AQ483" s="88" t="s">
        <v>847</v>
      </c>
      <c r="AS483" s="548"/>
    </row>
    <row r="484" spans="1:48" x14ac:dyDescent="0.35">
      <c r="C484" s="86" t="s">
        <v>190</v>
      </c>
      <c r="D484" s="181" t="s">
        <v>7612</v>
      </c>
      <c r="E484" s="546"/>
      <c r="F484" s="546"/>
      <c r="G484" s="546"/>
      <c r="H484" s="546"/>
      <c r="I484" s="546"/>
      <c r="J484" s="546"/>
      <c r="K484" s="546"/>
      <c r="L484" s="546"/>
      <c r="M484" s="546"/>
      <c r="N484" s="546"/>
      <c r="O484" s="546"/>
      <c r="P484" s="546"/>
      <c r="Q484" s="3667">
        <f>'5'!H178</f>
        <v>106402000</v>
      </c>
      <c r="R484" s="3667"/>
      <c r="S484" s="3667"/>
      <c r="T484" s="3667"/>
      <c r="U484" s="3667"/>
      <c r="V484" s="3667"/>
      <c r="W484" s="717"/>
      <c r="X484" s="3644">
        <v>119152000</v>
      </c>
      <c r="Y484" s="3644"/>
      <c r="Z484" s="3644"/>
      <c r="AA484" s="3644"/>
      <c r="AB484" s="3644"/>
      <c r="AC484" s="3644"/>
      <c r="AH484" s="142"/>
      <c r="AP484" s="87" t="s">
        <v>848</v>
      </c>
      <c r="AQ484" s="179" t="s">
        <v>190</v>
      </c>
      <c r="AS484" s="3030"/>
      <c r="AT484" s="3031"/>
    </row>
    <row r="485" spans="1:48" outlineLevel="1" x14ac:dyDescent="0.35">
      <c r="C485" s="86" t="s">
        <v>190</v>
      </c>
      <c r="D485" s="181" t="s">
        <v>7696</v>
      </c>
      <c r="E485" s="546"/>
      <c r="F485" s="546"/>
      <c r="G485" s="546"/>
      <c r="H485" s="546"/>
      <c r="I485" s="546"/>
      <c r="J485" s="546"/>
      <c r="K485" s="546"/>
      <c r="L485" s="546"/>
      <c r="M485" s="546"/>
      <c r="N485" s="546"/>
      <c r="O485" s="546"/>
      <c r="P485" s="546"/>
      <c r="Q485" s="3645">
        <f>BS!C416</f>
        <v>72570000</v>
      </c>
      <c r="R485" s="3645"/>
      <c r="S485" s="3645"/>
      <c r="T485" s="3645"/>
      <c r="U485" s="3645"/>
      <c r="V485" s="3645"/>
      <c r="W485" s="717"/>
      <c r="X485" s="3658">
        <v>2500000</v>
      </c>
      <c r="Y485" s="3658"/>
      <c r="Z485" s="3658"/>
      <c r="AA485" s="3658"/>
      <c r="AB485" s="3658"/>
      <c r="AC485" s="3658"/>
      <c r="AP485" s="87" t="s">
        <v>849</v>
      </c>
      <c r="AQ485" s="179" t="s">
        <v>190</v>
      </c>
      <c r="AS485" s="3030"/>
      <c r="AT485" s="3032"/>
    </row>
    <row r="486" spans="1:48" outlineLevel="1" x14ac:dyDescent="0.35">
      <c r="C486" s="86" t="s">
        <v>190</v>
      </c>
      <c r="D486" s="181" t="s">
        <v>8148</v>
      </c>
      <c r="E486" s="546"/>
      <c r="F486" s="546"/>
      <c r="G486" s="546"/>
      <c r="H486" s="546"/>
      <c r="I486" s="546"/>
      <c r="J486" s="546"/>
      <c r="K486" s="546"/>
      <c r="L486" s="546"/>
      <c r="M486" s="546"/>
      <c r="N486" s="546"/>
      <c r="O486" s="546"/>
      <c r="P486" s="546"/>
      <c r="Q486" s="3645">
        <f>BS!C422</f>
        <v>0</v>
      </c>
      <c r="R486" s="3645"/>
      <c r="S486" s="3645"/>
      <c r="T486" s="3645"/>
      <c r="U486" s="3645"/>
      <c r="V486" s="3645"/>
      <c r="W486" s="717"/>
      <c r="X486" s="3658">
        <v>0</v>
      </c>
      <c r="Y486" s="3658"/>
      <c r="Z486" s="3658"/>
      <c r="AA486" s="3658"/>
      <c r="AB486" s="3658"/>
      <c r="AC486" s="3658"/>
      <c r="AH486" s="142"/>
      <c r="AP486" s="87" t="s">
        <v>850</v>
      </c>
      <c r="AQ486" s="179" t="s">
        <v>190</v>
      </c>
      <c r="AS486" s="3030"/>
      <c r="AT486" s="3032"/>
    </row>
    <row r="487" spans="1:48" outlineLevel="1" x14ac:dyDescent="0.35">
      <c r="C487" s="86" t="s">
        <v>190</v>
      </c>
      <c r="D487" s="181" t="s">
        <v>7958</v>
      </c>
      <c r="E487" s="546"/>
      <c r="F487" s="546"/>
      <c r="G487" s="546"/>
      <c r="H487" s="546"/>
      <c r="I487" s="546"/>
      <c r="J487" s="546"/>
      <c r="K487" s="546"/>
      <c r="L487" s="546"/>
      <c r="M487" s="546"/>
      <c r="N487" s="546"/>
      <c r="O487" s="546"/>
      <c r="P487" s="546"/>
      <c r="Q487" s="3663">
        <f>56400000+17700000-74100000</f>
        <v>0</v>
      </c>
      <c r="R487" s="3663"/>
      <c r="S487" s="3663"/>
      <c r="T487" s="3663"/>
      <c r="U487" s="3663"/>
      <c r="V487" s="3663"/>
      <c r="W487" s="717"/>
      <c r="X487" s="3658">
        <v>0</v>
      </c>
      <c r="Y487" s="3658"/>
      <c r="Z487" s="3658"/>
      <c r="AA487" s="3658"/>
      <c r="AB487" s="3658"/>
      <c r="AC487" s="3658"/>
      <c r="AH487" s="142"/>
      <c r="AP487" s="87" t="s">
        <v>851</v>
      </c>
      <c r="AQ487" s="179" t="s">
        <v>190</v>
      </c>
      <c r="AS487" s="3030"/>
      <c r="AT487" s="3033"/>
      <c r="AV487" s="367"/>
    </row>
    <row r="488" spans="1:48" s="64" customFormat="1" x14ac:dyDescent="0.35">
      <c r="A488" s="181"/>
      <c r="B488" s="130"/>
      <c r="C488" s="86"/>
      <c r="D488" s="181"/>
      <c r="E488" s="546"/>
      <c r="F488" s="546"/>
      <c r="G488" s="546"/>
      <c r="H488" s="546"/>
      <c r="I488" s="546"/>
      <c r="J488" s="546"/>
      <c r="K488" s="546"/>
      <c r="L488" s="546"/>
      <c r="M488" s="546"/>
      <c r="N488" s="546"/>
      <c r="O488" s="546"/>
      <c r="P488" s="546"/>
      <c r="Q488" s="3664">
        <f>SUM(Q484:V487)</f>
        <v>178972000</v>
      </c>
      <c r="R488" s="3664"/>
      <c r="S488" s="3664"/>
      <c r="T488" s="3664"/>
      <c r="U488" s="3664"/>
      <c r="V488" s="3664"/>
      <c r="W488" s="718"/>
      <c r="X488" s="3660">
        <f>SUM(X484:AC487)</f>
        <v>121652000</v>
      </c>
      <c r="Y488" s="3660"/>
      <c r="Z488" s="3660"/>
      <c r="AA488" s="3660"/>
      <c r="AB488" s="3660"/>
      <c r="AC488" s="3660"/>
      <c r="AD488" s="181"/>
      <c r="AE488" s="181"/>
      <c r="AF488" s="181"/>
      <c r="AG488" s="181"/>
      <c r="AH488" s="181"/>
      <c r="AI488" s="181"/>
      <c r="AJ488" s="181"/>
      <c r="AK488" s="181"/>
      <c r="AL488" s="181"/>
      <c r="AM488" s="181"/>
      <c r="AN488" s="181"/>
      <c r="AO488" s="181"/>
      <c r="AP488" s="87"/>
      <c r="AQ488" s="179"/>
      <c r="AR488" s="181"/>
      <c r="AS488" s="829"/>
    </row>
    <row r="489" spans="1:48" s="64" customFormat="1" ht="13.5" x14ac:dyDescent="0.35">
      <c r="A489" s="64" t="s">
        <v>614</v>
      </c>
      <c r="B489" s="130"/>
      <c r="C489" s="84" t="s">
        <v>852</v>
      </c>
      <c r="E489" s="555"/>
      <c r="F489" s="555"/>
      <c r="G489" s="555"/>
      <c r="H489" s="555"/>
      <c r="I489" s="555"/>
      <c r="J489" s="555"/>
      <c r="K489" s="555"/>
      <c r="L489" s="555"/>
      <c r="M489" s="555"/>
      <c r="N489" s="555"/>
      <c r="O489" s="555"/>
      <c r="P489" s="555"/>
      <c r="Q489" s="719"/>
      <c r="R489" s="719"/>
      <c r="S489" s="719"/>
      <c r="T489" s="719"/>
      <c r="U489" s="719"/>
      <c r="V489" s="719"/>
      <c r="W489" s="720"/>
      <c r="X489" s="719"/>
      <c r="Y489" s="719"/>
      <c r="Z489" s="719"/>
      <c r="AA489" s="719"/>
      <c r="AB489" s="719"/>
      <c r="AC489" s="719"/>
      <c r="AH489" s="142"/>
      <c r="AP489" s="88"/>
      <c r="AQ489" s="87" t="s">
        <v>853</v>
      </c>
      <c r="AS489" s="829"/>
      <c r="AV489" s="721">
        <v>313685400</v>
      </c>
    </row>
    <row r="490" spans="1:48" ht="13.5" x14ac:dyDescent="0.35">
      <c r="A490" s="64"/>
      <c r="C490" s="84"/>
      <c r="D490" s="64"/>
      <c r="E490" s="555"/>
      <c r="F490" s="555"/>
      <c r="G490" s="555"/>
      <c r="H490" s="555"/>
      <c r="I490" s="555"/>
      <c r="J490" s="555"/>
      <c r="K490" s="555"/>
      <c r="L490" s="555"/>
      <c r="M490" s="555"/>
      <c r="N490" s="555"/>
      <c r="O490" s="555"/>
      <c r="P490" s="555"/>
      <c r="Q490" s="719"/>
      <c r="R490" s="719"/>
      <c r="S490" s="719"/>
      <c r="T490" s="719"/>
      <c r="U490" s="719"/>
      <c r="V490" s="719"/>
      <c r="W490" s="718"/>
      <c r="X490" s="722"/>
      <c r="Y490" s="722"/>
      <c r="Z490" s="722"/>
      <c r="AA490" s="722"/>
      <c r="AB490" s="722"/>
      <c r="AC490" s="722"/>
      <c r="AD490" s="64"/>
      <c r="AE490" s="64"/>
      <c r="AF490" s="64"/>
      <c r="AG490" s="64"/>
      <c r="AI490" s="64"/>
      <c r="AJ490" s="64"/>
      <c r="AK490" s="64"/>
      <c r="AL490" s="64"/>
      <c r="AM490" s="64"/>
      <c r="AN490" s="64"/>
      <c r="AO490" s="64"/>
      <c r="AP490" s="88"/>
      <c r="AQ490" s="87"/>
      <c r="AR490" s="64"/>
      <c r="AS490" s="503"/>
      <c r="AT490" s="85"/>
    </row>
    <row r="491" spans="1:48" ht="14.5" x14ac:dyDescent="0.35">
      <c r="B491" s="84"/>
      <c r="C491" s="84" t="s">
        <v>241</v>
      </c>
      <c r="E491" s="546"/>
      <c r="F491" s="546"/>
      <c r="G491" s="546"/>
      <c r="H491" s="546"/>
      <c r="I491" s="546"/>
      <c r="J491" s="546"/>
      <c r="K491" s="546"/>
      <c r="L491" s="546"/>
      <c r="M491" s="546"/>
      <c r="N491" s="546"/>
      <c r="O491" s="546"/>
      <c r="P491" s="546"/>
      <c r="Q491" s="3665">
        <f>BS!C408</f>
        <v>85600</v>
      </c>
      <c r="R491" s="3665"/>
      <c r="S491" s="3665"/>
      <c r="T491" s="3665"/>
      <c r="U491" s="3665"/>
      <c r="V491" s="3665"/>
      <c r="W491" s="717"/>
      <c r="X491" s="3666">
        <v>101107200</v>
      </c>
      <c r="Y491" s="3666"/>
      <c r="Z491" s="3666"/>
      <c r="AA491" s="3666"/>
      <c r="AB491" s="3666"/>
      <c r="AC491" s="3666"/>
      <c r="AH491" s="142"/>
      <c r="AP491" s="87"/>
      <c r="AQ491" s="87" t="s">
        <v>460</v>
      </c>
      <c r="AS491" s="944"/>
      <c r="AT491" s="85"/>
    </row>
    <row r="492" spans="1:48" x14ac:dyDescent="0.35">
      <c r="B492" s="84"/>
      <c r="C492" s="84"/>
      <c r="E492" s="546"/>
      <c r="F492" s="546"/>
      <c r="G492" s="546"/>
      <c r="H492" s="546"/>
      <c r="I492" s="546"/>
      <c r="J492" s="546"/>
      <c r="K492" s="546"/>
      <c r="L492" s="546"/>
      <c r="M492" s="546"/>
      <c r="N492" s="546"/>
      <c r="O492" s="546"/>
      <c r="P492" s="546"/>
      <c r="Q492" s="723"/>
      <c r="R492" s="723"/>
      <c r="S492" s="723"/>
      <c r="T492" s="723"/>
      <c r="U492" s="723"/>
      <c r="V492" s="723"/>
      <c r="W492" s="717"/>
      <c r="X492" s="724"/>
      <c r="Y492" s="724"/>
      <c r="Z492" s="724"/>
      <c r="AA492" s="724"/>
      <c r="AB492" s="724"/>
      <c r="AC492" s="724"/>
      <c r="AP492" s="87"/>
      <c r="AQ492" s="87"/>
      <c r="AS492" s="503"/>
    </row>
    <row r="493" spans="1:48" ht="13.5" outlineLevel="1" x14ac:dyDescent="0.35">
      <c r="C493" s="130" t="s">
        <v>243</v>
      </c>
      <c r="D493" s="130"/>
      <c r="E493" s="546"/>
      <c r="F493" s="546"/>
      <c r="G493" s="546"/>
      <c r="H493" s="546"/>
      <c r="I493" s="546"/>
      <c r="J493" s="546"/>
      <c r="K493" s="546"/>
      <c r="L493" s="546"/>
      <c r="M493" s="546"/>
      <c r="N493" s="546"/>
      <c r="O493" s="546"/>
      <c r="P493" s="546"/>
      <c r="Q493" s="723"/>
      <c r="R493" s="723"/>
      <c r="S493" s="723"/>
      <c r="T493" s="723"/>
      <c r="U493" s="723"/>
      <c r="V493" s="723"/>
      <c r="W493" s="717"/>
      <c r="X493" s="724"/>
      <c r="Y493" s="724"/>
      <c r="Z493" s="724"/>
      <c r="AA493" s="724"/>
      <c r="AB493" s="724"/>
      <c r="AC493" s="724"/>
      <c r="AH493" s="142"/>
      <c r="AP493" s="557"/>
      <c r="AQ493" s="88" t="s">
        <v>854</v>
      </c>
      <c r="AS493" s="503"/>
      <c r="AT493" s="3032"/>
    </row>
    <row r="494" spans="1:48" outlineLevel="1" x14ac:dyDescent="0.35">
      <c r="C494" s="86" t="s">
        <v>190</v>
      </c>
      <c r="D494" s="84" t="s">
        <v>855</v>
      </c>
      <c r="E494" s="546"/>
      <c r="F494" s="546"/>
      <c r="G494" s="546"/>
      <c r="H494" s="546"/>
      <c r="I494" s="546"/>
      <c r="J494" s="546"/>
      <c r="K494" s="546"/>
      <c r="L494" s="546"/>
      <c r="M494" s="546"/>
      <c r="N494" s="546"/>
      <c r="O494" s="546"/>
      <c r="P494" s="546"/>
      <c r="Q494" s="3440"/>
      <c r="R494" s="3440"/>
      <c r="S494" s="3440"/>
      <c r="T494" s="3440"/>
      <c r="U494" s="3440"/>
      <c r="V494" s="3440"/>
      <c r="W494" s="717"/>
      <c r="X494" s="3658"/>
      <c r="Y494" s="3658"/>
      <c r="Z494" s="3658"/>
      <c r="AA494" s="3658"/>
      <c r="AB494" s="3658"/>
      <c r="AC494" s="3658"/>
      <c r="AP494" s="87" t="s">
        <v>856</v>
      </c>
      <c r="AQ494" s="179" t="s">
        <v>190</v>
      </c>
      <c r="AS494" s="503"/>
    </row>
    <row r="495" spans="1:48" outlineLevel="1" x14ac:dyDescent="0.35">
      <c r="C495" s="86" t="s">
        <v>190</v>
      </c>
      <c r="D495" s="84" t="s">
        <v>857</v>
      </c>
      <c r="E495" s="546"/>
      <c r="F495" s="546"/>
      <c r="G495" s="546"/>
      <c r="H495" s="546"/>
      <c r="I495" s="546"/>
      <c r="J495" s="546"/>
      <c r="K495" s="546"/>
      <c r="L495" s="546"/>
      <c r="M495" s="546"/>
      <c r="N495" s="546"/>
      <c r="O495" s="546"/>
      <c r="P495" s="546"/>
      <c r="Q495" s="3440"/>
      <c r="R495" s="3440"/>
      <c r="S495" s="3440"/>
      <c r="T495" s="3440"/>
      <c r="U495" s="3440"/>
      <c r="V495" s="3440"/>
      <c r="W495" s="717"/>
      <c r="X495" s="3658"/>
      <c r="Y495" s="3658"/>
      <c r="Z495" s="3658"/>
      <c r="AA495" s="3658"/>
      <c r="AB495" s="3658"/>
      <c r="AC495" s="3658"/>
      <c r="AH495" s="142"/>
      <c r="AP495" s="87" t="s">
        <v>858</v>
      </c>
      <c r="AQ495" s="179" t="s">
        <v>190</v>
      </c>
      <c r="AS495" s="503"/>
    </row>
    <row r="496" spans="1:48" outlineLevel="1" x14ac:dyDescent="0.35">
      <c r="C496" s="86" t="s">
        <v>190</v>
      </c>
      <c r="D496" s="84" t="s">
        <v>859</v>
      </c>
      <c r="E496" s="546"/>
      <c r="F496" s="546"/>
      <c r="G496" s="546"/>
      <c r="H496" s="546"/>
      <c r="I496" s="546"/>
      <c r="J496" s="546"/>
      <c r="K496" s="546"/>
      <c r="L496" s="546"/>
      <c r="M496" s="546"/>
      <c r="N496" s="546"/>
      <c r="O496" s="546"/>
      <c r="P496" s="546"/>
      <c r="Q496" s="3440"/>
      <c r="R496" s="3440"/>
      <c r="S496" s="3440"/>
      <c r="T496" s="3440"/>
      <c r="U496" s="3440"/>
      <c r="V496" s="3440"/>
      <c r="W496" s="717"/>
      <c r="X496" s="3658"/>
      <c r="Y496" s="3658"/>
      <c r="Z496" s="3658"/>
      <c r="AA496" s="3658"/>
      <c r="AB496" s="3658"/>
      <c r="AC496" s="3658"/>
      <c r="AP496" s="87" t="s">
        <v>860</v>
      </c>
      <c r="AQ496" s="179" t="s">
        <v>190</v>
      </c>
      <c r="AS496" s="503"/>
    </row>
    <row r="497" spans="1:46" outlineLevel="1" x14ac:dyDescent="0.35">
      <c r="C497" s="86" t="s">
        <v>190</v>
      </c>
      <c r="D497" s="84" t="s">
        <v>861</v>
      </c>
      <c r="E497" s="546"/>
      <c r="F497" s="546"/>
      <c r="G497" s="546"/>
      <c r="H497" s="546"/>
      <c r="I497" s="546"/>
      <c r="J497" s="546"/>
      <c r="K497" s="546"/>
      <c r="L497" s="546"/>
      <c r="M497" s="546"/>
      <c r="N497" s="546"/>
      <c r="O497" s="546"/>
      <c r="P497" s="546"/>
      <c r="Q497" s="3657"/>
      <c r="R497" s="3657"/>
      <c r="S497" s="3657"/>
      <c r="T497" s="3657"/>
      <c r="U497" s="3657"/>
      <c r="V497" s="3657"/>
      <c r="W497" s="717"/>
      <c r="X497" s="3658"/>
      <c r="Y497" s="3658"/>
      <c r="Z497" s="3658"/>
      <c r="AA497" s="3658"/>
      <c r="AB497" s="3658"/>
      <c r="AC497" s="3658"/>
      <c r="AH497" s="142"/>
      <c r="AP497" s="87" t="s">
        <v>862</v>
      </c>
      <c r="AQ497" s="179" t="s">
        <v>190</v>
      </c>
      <c r="AS497" s="503"/>
    </row>
    <row r="498" spans="1:46" outlineLevel="1" x14ac:dyDescent="0.35">
      <c r="C498" s="86"/>
      <c r="D498" s="84"/>
      <c r="E498" s="546"/>
      <c r="F498" s="546"/>
      <c r="G498" s="546"/>
      <c r="H498" s="546"/>
      <c r="I498" s="546"/>
      <c r="J498" s="546"/>
      <c r="K498" s="546"/>
      <c r="L498" s="546"/>
      <c r="M498" s="546"/>
      <c r="N498" s="546"/>
      <c r="O498" s="546"/>
      <c r="P498" s="546"/>
      <c r="Q498" s="3659">
        <f>SUM(Q494:V497)</f>
        <v>0</v>
      </c>
      <c r="R498" s="3659"/>
      <c r="S498" s="3659"/>
      <c r="T498" s="3659"/>
      <c r="U498" s="3659"/>
      <c r="V498" s="3659"/>
      <c r="W498" s="717"/>
      <c r="X498" s="3660">
        <f>SUM(X494:AC497)</f>
        <v>0</v>
      </c>
      <c r="Y498" s="3660"/>
      <c r="Z498" s="3660"/>
      <c r="AA498" s="3660"/>
      <c r="AB498" s="3660"/>
      <c r="AC498" s="3660"/>
      <c r="AP498" s="87"/>
      <c r="AS498" s="503"/>
      <c r="AT498" s="85"/>
    </row>
    <row r="499" spans="1:46" ht="13.5" x14ac:dyDescent="0.35">
      <c r="B499" s="84"/>
      <c r="C499" s="130" t="s">
        <v>863</v>
      </c>
      <c r="E499" s="546"/>
      <c r="F499" s="546"/>
      <c r="G499" s="546"/>
      <c r="H499" s="546"/>
      <c r="I499" s="546"/>
      <c r="J499" s="546"/>
      <c r="K499" s="546"/>
      <c r="L499" s="546"/>
      <c r="M499" s="546"/>
      <c r="N499" s="546"/>
      <c r="O499" s="546"/>
      <c r="P499" s="546"/>
      <c r="Q499" s="723"/>
      <c r="R499" s="723"/>
      <c r="S499" s="723"/>
      <c r="T499" s="723"/>
      <c r="U499" s="723"/>
      <c r="V499" s="723"/>
      <c r="W499" s="717"/>
      <c r="X499" s="724"/>
      <c r="Y499" s="724"/>
      <c r="Z499" s="724"/>
      <c r="AA499" s="724"/>
      <c r="AB499" s="724"/>
      <c r="AC499" s="724"/>
      <c r="AH499" s="142"/>
      <c r="AP499" s="87"/>
      <c r="AQ499" s="88" t="s">
        <v>864</v>
      </c>
      <c r="AS499" s="503"/>
    </row>
    <row r="500" spans="1:46" x14ac:dyDescent="0.35">
      <c r="C500" s="86" t="s">
        <v>190</v>
      </c>
      <c r="D500" s="84" t="s">
        <v>8124</v>
      </c>
      <c r="E500" s="546"/>
      <c r="F500" s="546"/>
      <c r="G500" s="546"/>
      <c r="H500" s="546"/>
      <c r="I500" s="546"/>
      <c r="J500" s="546"/>
      <c r="K500" s="546"/>
      <c r="L500" s="546"/>
      <c r="M500" s="546"/>
      <c r="N500" s="546"/>
      <c r="O500" s="546"/>
      <c r="P500" s="546"/>
      <c r="Q500" s="3647">
        <f>'6'!F47</f>
        <v>1450000</v>
      </c>
      <c r="R500" s="3647"/>
      <c r="S500" s="3647"/>
      <c r="T500" s="3647"/>
      <c r="U500" s="3647"/>
      <c r="V500" s="3647"/>
      <c r="W500" s="717"/>
      <c r="X500" s="3656">
        <v>2450000</v>
      </c>
      <c r="Y500" s="3656"/>
      <c r="Z500" s="3656"/>
      <c r="AA500" s="3656"/>
      <c r="AB500" s="3656"/>
      <c r="AC500" s="3656"/>
      <c r="AP500" s="87" t="s">
        <v>865</v>
      </c>
      <c r="AQ500" s="179" t="s">
        <v>190</v>
      </c>
      <c r="AS500" s="503"/>
      <c r="AT500" s="367"/>
    </row>
    <row r="501" spans="1:46" ht="12.75" customHeight="1" outlineLevel="1" x14ac:dyDescent="0.35">
      <c r="C501" s="86" t="s">
        <v>190</v>
      </c>
      <c r="D501" s="84" t="s">
        <v>7638</v>
      </c>
      <c r="E501" s="546"/>
      <c r="F501" s="546"/>
      <c r="G501" s="546"/>
      <c r="H501" s="546"/>
      <c r="I501" s="546"/>
      <c r="J501" s="546"/>
      <c r="K501" s="546"/>
      <c r="L501" s="546"/>
      <c r="M501" s="546"/>
      <c r="N501" s="546"/>
      <c r="O501" s="546"/>
      <c r="P501" s="546"/>
      <c r="Q501" s="3647">
        <f>BS!C410</f>
        <v>191882900</v>
      </c>
      <c r="R501" s="3647"/>
      <c r="S501" s="3647"/>
      <c r="T501" s="3647"/>
      <c r="U501" s="3647"/>
      <c r="V501" s="3647"/>
      <c r="W501" s="717"/>
      <c r="X501" s="3652">
        <v>111846900</v>
      </c>
      <c r="Y501" s="3652"/>
      <c r="Z501" s="3652"/>
      <c r="AA501" s="3652"/>
      <c r="AB501" s="3652"/>
      <c r="AC501" s="3652"/>
      <c r="AH501" s="142"/>
      <c r="AP501" s="87" t="s">
        <v>866</v>
      </c>
      <c r="AQ501" s="179" t="s">
        <v>190</v>
      </c>
      <c r="AS501" s="503"/>
    </row>
    <row r="502" spans="1:46" ht="12.75" customHeight="1" outlineLevel="1" x14ac:dyDescent="0.35">
      <c r="C502" s="86" t="s">
        <v>190</v>
      </c>
      <c r="D502" s="84" t="s">
        <v>867</v>
      </c>
      <c r="E502" s="546"/>
      <c r="F502" s="546"/>
      <c r="G502" s="546"/>
      <c r="H502" s="546"/>
      <c r="I502" s="546"/>
      <c r="J502" s="546"/>
      <c r="K502" s="546"/>
      <c r="L502" s="546"/>
      <c r="M502" s="546"/>
      <c r="N502" s="546"/>
      <c r="O502" s="546"/>
      <c r="P502" s="546"/>
      <c r="Q502" s="3656">
        <f>'6'!F77</f>
        <v>0</v>
      </c>
      <c r="R502" s="3656"/>
      <c r="S502" s="3656"/>
      <c r="T502" s="3656"/>
      <c r="U502" s="3656"/>
      <c r="V502" s="3656"/>
      <c r="W502" s="717"/>
      <c r="X502" s="3652">
        <v>0</v>
      </c>
      <c r="Y502" s="3652"/>
      <c r="Z502" s="3652"/>
      <c r="AA502" s="3652"/>
      <c r="AB502" s="3652"/>
      <c r="AC502" s="3652"/>
      <c r="AP502" s="87" t="s">
        <v>860</v>
      </c>
      <c r="AQ502" s="179" t="s">
        <v>190</v>
      </c>
      <c r="AS502" s="503"/>
    </row>
    <row r="503" spans="1:46" ht="12.75" customHeight="1" x14ac:dyDescent="0.35">
      <c r="B503" s="84"/>
      <c r="C503" s="86" t="s">
        <v>190</v>
      </c>
      <c r="D503" s="84" t="s">
        <v>868</v>
      </c>
      <c r="E503" s="546"/>
      <c r="F503" s="546"/>
      <c r="G503" s="546"/>
      <c r="H503" s="546"/>
      <c r="I503" s="546"/>
      <c r="J503" s="546"/>
      <c r="K503" s="546"/>
      <c r="L503" s="546"/>
      <c r="M503" s="546"/>
      <c r="N503" s="546"/>
      <c r="O503" s="546"/>
      <c r="P503" s="546"/>
      <c r="Q503" s="3640">
        <v>0</v>
      </c>
      <c r="R503" s="3640"/>
      <c r="S503" s="3640"/>
      <c r="T503" s="3640"/>
      <c r="U503" s="3640"/>
      <c r="V503" s="3640"/>
      <c r="W503" s="717"/>
      <c r="X503" s="3640">
        <v>0</v>
      </c>
      <c r="Y503" s="3640"/>
      <c r="Z503" s="3640"/>
      <c r="AA503" s="3640"/>
      <c r="AB503" s="3640"/>
      <c r="AC503" s="3640"/>
      <c r="AH503" s="142"/>
      <c r="AP503" s="87" t="s">
        <v>869</v>
      </c>
      <c r="AQ503" s="179" t="s">
        <v>190</v>
      </c>
      <c r="AS503" s="503"/>
    </row>
    <row r="504" spans="1:46" x14ac:dyDescent="0.35">
      <c r="B504" s="84"/>
      <c r="C504" s="86" t="s">
        <v>190</v>
      </c>
      <c r="D504" s="181" t="s">
        <v>7961</v>
      </c>
      <c r="E504" s="546"/>
      <c r="F504" s="546"/>
      <c r="G504" s="546"/>
      <c r="H504" s="546"/>
      <c r="I504" s="546"/>
      <c r="J504" s="546"/>
      <c r="K504" s="546"/>
      <c r="L504" s="546"/>
      <c r="M504" s="546"/>
      <c r="N504" s="546"/>
      <c r="O504" s="546"/>
      <c r="P504" s="546"/>
      <c r="Q504" s="3647">
        <f>'6'!F79</f>
        <v>61760328</v>
      </c>
      <c r="R504" s="3647"/>
      <c r="S504" s="3647"/>
      <c r="T504" s="3647"/>
      <c r="U504" s="3647"/>
      <c r="V504" s="3647"/>
      <c r="W504" s="717"/>
      <c r="X504" s="3652">
        <v>61760328</v>
      </c>
      <c r="Y504" s="3652"/>
      <c r="Z504" s="3652"/>
      <c r="AA504" s="3652"/>
      <c r="AB504" s="3652"/>
      <c r="AC504" s="3652"/>
      <c r="AP504" s="87" t="s">
        <v>350</v>
      </c>
      <c r="AQ504" s="179" t="s">
        <v>190</v>
      </c>
      <c r="AS504" s="503"/>
      <c r="AT504" s="367"/>
    </row>
    <row r="505" spans="1:46" x14ac:dyDescent="0.35">
      <c r="B505" s="84"/>
      <c r="C505" s="86" t="s">
        <v>190</v>
      </c>
      <c r="D505" s="181" t="s">
        <v>7931</v>
      </c>
      <c r="E505" s="546"/>
      <c r="F505" s="546"/>
      <c r="G505" s="546"/>
      <c r="H505" s="546"/>
      <c r="I505" s="546"/>
      <c r="J505" s="546"/>
      <c r="K505" s="546"/>
      <c r="L505" s="546"/>
      <c r="M505" s="546"/>
      <c r="N505" s="546"/>
      <c r="O505" s="546"/>
      <c r="P505" s="546"/>
      <c r="Q505" s="3653"/>
      <c r="R505" s="3653"/>
      <c r="S505" s="3653"/>
      <c r="T505" s="3653"/>
      <c r="U505" s="3653"/>
      <c r="V505" s="3653"/>
      <c r="W505" s="717"/>
      <c r="X505" s="3653"/>
      <c r="Y505" s="3653"/>
      <c r="Z505" s="3653"/>
      <c r="AA505" s="3653"/>
      <c r="AB505" s="3653"/>
      <c r="AC505" s="3653"/>
      <c r="AP505" s="87"/>
      <c r="AS505" s="548"/>
      <c r="AT505" s="367"/>
    </row>
    <row r="506" spans="1:46" s="64" customFormat="1" x14ac:dyDescent="0.35">
      <c r="A506" s="181"/>
      <c r="B506" s="84"/>
      <c r="C506" s="84"/>
      <c r="D506" s="181"/>
      <c r="E506" s="546"/>
      <c r="F506" s="546"/>
      <c r="G506" s="546"/>
      <c r="H506" s="546"/>
      <c r="I506" s="546"/>
      <c r="J506" s="546"/>
      <c r="K506" s="546"/>
      <c r="L506" s="546"/>
      <c r="M506" s="546"/>
      <c r="N506" s="546"/>
      <c r="O506" s="546"/>
      <c r="P506" s="546"/>
      <c r="Q506" s="3654">
        <f>SUM(Q500:V505)</f>
        <v>255093228</v>
      </c>
      <c r="R506" s="3654"/>
      <c r="S506" s="3654"/>
      <c r="T506" s="3654"/>
      <c r="U506" s="3654"/>
      <c r="V506" s="3654"/>
      <c r="W506" s="718"/>
      <c r="X506" s="3655">
        <f>SUM(X500:AC505)</f>
        <v>176057228</v>
      </c>
      <c r="Y506" s="3655"/>
      <c r="Z506" s="3655"/>
      <c r="AA506" s="3655"/>
      <c r="AB506" s="3655"/>
      <c r="AC506" s="3655"/>
      <c r="AD506" s="181"/>
      <c r="AE506" s="181"/>
      <c r="AF506" s="181"/>
      <c r="AG506" s="181"/>
      <c r="AH506" s="142"/>
      <c r="AI506" s="181"/>
      <c r="AJ506" s="181"/>
      <c r="AK506" s="181"/>
      <c r="AL506" s="181"/>
      <c r="AM506" s="181"/>
      <c r="AN506" s="181"/>
      <c r="AO506" s="181"/>
      <c r="AP506" s="87"/>
      <c r="AQ506" s="179"/>
      <c r="AR506" s="181"/>
      <c r="AS506" s="523"/>
    </row>
    <row r="507" spans="1:46" ht="13.5" x14ac:dyDescent="0.35">
      <c r="A507" s="64" t="s">
        <v>614</v>
      </c>
      <c r="C507" s="84" t="s">
        <v>870</v>
      </c>
      <c r="D507" s="64"/>
      <c r="E507" s="555"/>
      <c r="F507" s="555"/>
      <c r="G507" s="555"/>
      <c r="H507" s="555"/>
      <c r="I507" s="555"/>
      <c r="J507" s="555"/>
      <c r="K507" s="555"/>
      <c r="L507" s="555"/>
      <c r="M507" s="555"/>
      <c r="N507" s="555"/>
      <c r="O507" s="555"/>
      <c r="P507" s="555"/>
      <c r="Q507" s="367"/>
      <c r="R507" s="367"/>
      <c r="S507" s="367"/>
      <c r="T507" s="367"/>
      <c r="U507" s="367"/>
      <c r="V507" s="367"/>
      <c r="W507" s="367"/>
      <c r="X507" s="367"/>
      <c r="Y507" s="367"/>
      <c r="Z507" s="367"/>
      <c r="AA507" s="367"/>
      <c r="AB507" s="367"/>
      <c r="AC507" s="367"/>
      <c r="AD507" s="64"/>
      <c r="AE507" s="64"/>
      <c r="AF507" s="64"/>
      <c r="AG507" s="64"/>
      <c r="AI507" s="64"/>
      <c r="AJ507" s="64"/>
      <c r="AK507" s="64"/>
      <c r="AL507" s="64"/>
      <c r="AM507" s="64"/>
      <c r="AN507" s="64"/>
      <c r="AO507" s="64"/>
      <c r="AP507" s="88"/>
      <c r="AQ507" s="87" t="s">
        <v>871</v>
      </c>
      <c r="AR507" s="64"/>
      <c r="AS507" s="548"/>
    </row>
    <row r="508" spans="1:46" x14ac:dyDescent="0.35">
      <c r="E508" s="546"/>
      <c r="F508" s="546"/>
      <c r="G508" s="546"/>
      <c r="H508" s="546"/>
      <c r="I508" s="546"/>
      <c r="J508" s="546"/>
      <c r="K508" s="546"/>
      <c r="L508" s="546"/>
      <c r="M508" s="546"/>
      <c r="N508" s="546"/>
      <c r="O508" s="546"/>
      <c r="P508" s="546"/>
      <c r="Q508" s="367"/>
      <c r="R508" s="367"/>
      <c r="S508" s="367"/>
      <c r="T508" s="367"/>
      <c r="U508" s="367"/>
      <c r="V508" s="367"/>
      <c r="W508" s="367"/>
      <c r="X508" s="367"/>
      <c r="Y508" s="367"/>
      <c r="Z508" s="367"/>
      <c r="AA508" s="367"/>
      <c r="AB508" s="367"/>
      <c r="AC508" s="367"/>
      <c r="AH508" s="142"/>
      <c r="AS508" s="548"/>
    </row>
    <row r="509" spans="1:46" ht="14" thickBot="1" x14ac:dyDescent="0.4">
      <c r="C509" s="64" t="s">
        <v>872</v>
      </c>
      <c r="D509" s="64"/>
      <c r="E509" s="555"/>
      <c r="F509" s="555"/>
      <c r="G509" s="555"/>
      <c r="H509" s="555"/>
      <c r="I509" s="555"/>
      <c r="J509" s="555"/>
      <c r="K509" s="555"/>
      <c r="L509" s="555"/>
      <c r="M509" s="555"/>
      <c r="N509" s="555"/>
      <c r="O509" s="555"/>
      <c r="P509" s="555"/>
      <c r="Q509" s="3636">
        <f>Q506+Q491+Q488+Q498</f>
        <v>434150828</v>
      </c>
      <c r="R509" s="3636"/>
      <c r="S509" s="3636"/>
      <c r="T509" s="3636"/>
      <c r="U509" s="3636"/>
      <c r="V509" s="3636"/>
      <c r="W509" s="367"/>
      <c r="X509" s="3636">
        <f>X506+X491+X488+X498</f>
        <v>398816428</v>
      </c>
      <c r="Y509" s="3636"/>
      <c r="Z509" s="3636"/>
      <c r="AA509" s="3636"/>
      <c r="AB509" s="3636"/>
      <c r="AC509" s="3636"/>
      <c r="AP509" s="557"/>
      <c r="AQ509" s="88" t="s">
        <v>873</v>
      </c>
      <c r="AS509" s="548"/>
    </row>
    <row r="510" spans="1:46" ht="14" thickTop="1" x14ac:dyDescent="0.35">
      <c r="C510" s="64"/>
      <c r="D510" s="64"/>
      <c r="E510" s="555"/>
      <c r="F510" s="555"/>
      <c r="G510" s="555"/>
      <c r="H510" s="555"/>
      <c r="I510" s="555"/>
      <c r="J510" s="555"/>
      <c r="K510" s="555"/>
      <c r="L510" s="555"/>
      <c r="M510" s="555"/>
      <c r="N510" s="555"/>
      <c r="O510" s="555"/>
      <c r="P510" s="555"/>
      <c r="Q510" s="578"/>
      <c r="R510" s="578"/>
      <c r="S510" s="578"/>
      <c r="T510" s="578"/>
      <c r="U510" s="578"/>
      <c r="V510" s="578"/>
      <c r="W510" s="577"/>
      <c r="X510" s="578"/>
      <c r="Y510" s="578"/>
      <c r="Z510" s="578"/>
      <c r="AA510" s="578"/>
      <c r="AB510" s="578"/>
      <c r="AC510" s="578"/>
      <c r="AP510" s="557"/>
      <c r="AQ510" s="88"/>
      <c r="AS510" s="548"/>
    </row>
    <row r="511" spans="1:46" ht="13.5" customHeight="1" outlineLevel="1" x14ac:dyDescent="0.35">
      <c r="C511" s="64"/>
      <c r="D511" s="64"/>
      <c r="E511" s="555"/>
      <c r="F511" s="555"/>
      <c r="G511" s="555"/>
      <c r="H511" s="555"/>
      <c r="I511" s="555"/>
      <c r="J511" s="555"/>
      <c r="K511" s="555"/>
      <c r="L511" s="555"/>
      <c r="M511" s="555"/>
      <c r="N511" s="555"/>
      <c r="O511" s="555"/>
      <c r="P511" s="555"/>
      <c r="Q511" s="578"/>
      <c r="R511" s="578"/>
      <c r="S511" s="578"/>
      <c r="T511" s="578"/>
      <c r="U511" s="578"/>
      <c r="V511" s="578"/>
      <c r="W511" s="577"/>
      <c r="X511" s="578"/>
      <c r="Y511" s="578"/>
      <c r="Z511" s="578"/>
      <c r="AA511" s="578"/>
      <c r="AB511" s="578"/>
      <c r="AC511" s="578"/>
      <c r="AP511" s="557"/>
      <c r="AQ511" s="88"/>
      <c r="AS511" s="548"/>
    </row>
    <row r="512" spans="1:46" ht="12.75" customHeight="1" outlineLevel="1" x14ac:dyDescent="0.35">
      <c r="B512" s="457" t="s">
        <v>409</v>
      </c>
      <c r="C512" s="84"/>
      <c r="D512" s="84"/>
      <c r="E512" s="363"/>
      <c r="F512" s="63"/>
      <c r="G512" s="363"/>
      <c r="H512" s="87"/>
      <c r="I512" s="87"/>
      <c r="J512" s="365"/>
      <c r="L512" s="365"/>
      <c r="N512" s="365"/>
      <c r="AP512" s="181"/>
      <c r="AQ512" s="365" t="s">
        <v>410</v>
      </c>
      <c r="AS512" s="548"/>
    </row>
    <row r="513" spans="1:45" ht="12.75" customHeight="1" outlineLevel="1" x14ac:dyDescent="0.35">
      <c r="B513" s="86"/>
      <c r="C513" s="84"/>
      <c r="D513" s="84"/>
      <c r="E513" s="363"/>
      <c r="F513" s="86"/>
      <c r="G513" s="363"/>
      <c r="H513" s="87"/>
      <c r="I513" s="87"/>
      <c r="J513" s="142"/>
      <c r="AP513" s="181"/>
      <c r="AQ513" s="181"/>
      <c r="AS513" s="548"/>
    </row>
    <row r="514" spans="1:45" s="564" customFormat="1" ht="17.25" customHeight="1" outlineLevel="1" x14ac:dyDescent="0.35">
      <c r="B514" s="561" t="str">
        <f>IN!C4</f>
        <v>Laporan Keuangan June 2026</v>
      </c>
      <c r="C514" s="561"/>
      <c r="D514" s="561"/>
      <c r="E514" s="561"/>
      <c r="F514" s="561"/>
      <c r="G514" s="561"/>
      <c r="H514" s="561"/>
      <c r="I514" s="561"/>
      <c r="J514" s="561"/>
      <c r="K514" s="561"/>
      <c r="L514" s="561"/>
      <c r="M514" s="561"/>
      <c r="N514" s="561"/>
      <c r="O514" s="561"/>
      <c r="P514" s="561"/>
      <c r="Q514" s="561"/>
      <c r="R514" s="561"/>
      <c r="S514" s="561"/>
      <c r="T514" s="561"/>
      <c r="U514" s="561"/>
      <c r="V514" s="562"/>
      <c r="W514" s="610" t="s">
        <v>874</v>
      </c>
      <c r="X514" s="561"/>
      <c r="Y514" s="561"/>
      <c r="Z514" s="561"/>
      <c r="AA514" s="561"/>
      <c r="AB514" s="561"/>
      <c r="AC514" s="561"/>
      <c r="AD514" s="561"/>
      <c r="AE514" s="561"/>
      <c r="AF514" s="561"/>
      <c r="AG514" s="561"/>
      <c r="AH514" s="561"/>
      <c r="AI514" s="561"/>
      <c r="AJ514" s="561"/>
      <c r="AK514" s="561"/>
      <c r="AL514" s="561"/>
      <c r="AM514" s="561"/>
      <c r="AN514" s="561"/>
      <c r="AO514" s="561"/>
      <c r="AP514" s="561"/>
      <c r="AQ514" s="563" t="str">
        <f>IN!D4</f>
        <v>Financial Statement Jun 2026</v>
      </c>
      <c r="AS514" s="565"/>
    </row>
    <row r="515" spans="1:45" s="513" customFormat="1" ht="15.75" customHeight="1" outlineLevel="1" x14ac:dyDescent="0.35">
      <c r="A515" s="612"/>
      <c r="B515" s="535" t="s">
        <v>875</v>
      </c>
      <c r="C515" s="536" t="s">
        <v>876</v>
      </c>
      <c r="D515" s="535"/>
      <c r="E515" s="537"/>
      <c r="F515" s="537"/>
      <c r="G515" s="537"/>
      <c r="H515" s="537"/>
      <c r="I515" s="537"/>
      <c r="J515" s="537"/>
      <c r="K515" s="537"/>
      <c r="L515" s="537"/>
      <c r="M515" s="537"/>
      <c r="N515" s="537"/>
      <c r="O515" s="537"/>
      <c r="P515" s="537"/>
      <c r="Q515" s="537"/>
      <c r="R515" s="537"/>
      <c r="S515" s="537"/>
      <c r="T515" s="537"/>
      <c r="U515" s="537"/>
      <c r="V515" s="538"/>
      <c r="W515" s="537"/>
      <c r="X515" s="539" t="str">
        <f>B515</f>
        <v>12.</v>
      </c>
      <c r="Y515" s="539" t="s">
        <v>877</v>
      </c>
      <c r="Z515" s="539"/>
      <c r="AA515" s="539"/>
      <c r="AB515" s="539"/>
      <c r="AC515" s="539"/>
      <c r="AD515" s="539"/>
      <c r="AE515" s="539"/>
      <c r="AF515" s="539"/>
      <c r="AG515" s="539"/>
      <c r="AH515" s="539"/>
      <c r="AI515" s="539"/>
      <c r="AJ515" s="539"/>
      <c r="AK515" s="539"/>
      <c r="AL515" s="539"/>
      <c r="AM515" s="539"/>
      <c r="AN515" s="539"/>
      <c r="AO515" s="539"/>
      <c r="AP515" s="566"/>
      <c r="AQ515" s="567"/>
      <c r="AR515" s="612"/>
      <c r="AS515" s="693"/>
    </row>
    <row r="516" spans="1:45" ht="13.5" outlineLevel="1" x14ac:dyDescent="0.35">
      <c r="C516" s="64"/>
      <c r="D516" s="84"/>
      <c r="E516" s="546"/>
      <c r="F516" s="546"/>
      <c r="G516" s="546"/>
      <c r="H516" s="546"/>
      <c r="I516" s="546"/>
      <c r="J516" s="546"/>
      <c r="K516" s="546"/>
      <c r="L516" s="546"/>
      <c r="M516" s="546"/>
      <c r="N516" s="546"/>
      <c r="O516" s="546"/>
      <c r="P516" s="546"/>
      <c r="Q516" s="546"/>
      <c r="R516" s="546"/>
      <c r="S516" s="546"/>
      <c r="T516" s="546"/>
      <c r="U516" s="546"/>
      <c r="V516" s="547"/>
      <c r="W516" s="546"/>
      <c r="X516" s="546"/>
      <c r="Y516" s="546"/>
      <c r="Z516" s="546"/>
      <c r="AA516" s="546"/>
      <c r="AB516" s="546"/>
      <c r="AC516" s="546"/>
      <c r="AQ516" s="88"/>
      <c r="AS516" s="548"/>
    </row>
    <row r="517" spans="1:45" outlineLevel="1" x14ac:dyDescent="0.35">
      <c r="C517" s="181" t="s">
        <v>579</v>
      </c>
      <c r="D517" s="84"/>
      <c r="E517" s="546"/>
      <c r="F517" s="546"/>
      <c r="G517" s="546"/>
      <c r="H517" s="546"/>
      <c r="I517" s="546"/>
      <c r="J517" s="546"/>
      <c r="K517" s="546"/>
      <c r="L517" s="546"/>
      <c r="M517" s="546"/>
      <c r="N517" s="546"/>
      <c r="O517" s="546"/>
      <c r="P517" s="546"/>
      <c r="Q517" s="558"/>
      <c r="R517" s="558"/>
      <c r="S517" s="558"/>
      <c r="T517" s="558"/>
      <c r="U517" s="558"/>
      <c r="V517" s="558"/>
      <c r="W517" s="546"/>
      <c r="X517" s="558"/>
      <c r="Y517" s="558"/>
      <c r="Z517" s="558"/>
      <c r="AA517" s="558"/>
      <c r="AB517" s="558"/>
      <c r="AC517" s="558"/>
      <c r="AQ517" s="87" t="s">
        <v>580</v>
      </c>
      <c r="AS517" s="548"/>
    </row>
    <row r="518" spans="1:45" s="142" customFormat="1" ht="13.5" outlineLevel="1" x14ac:dyDescent="0.35">
      <c r="A518" s="181"/>
      <c r="B518" s="130"/>
      <c r="C518" s="64"/>
      <c r="D518" s="84"/>
      <c r="E518" s="546"/>
      <c r="F518" s="546"/>
      <c r="G518" s="546"/>
      <c r="H518" s="546"/>
      <c r="I518" s="546"/>
      <c r="J518" s="546"/>
      <c r="K518" s="546"/>
      <c r="L518" s="546"/>
      <c r="M518" s="546"/>
      <c r="N518" s="546"/>
      <c r="O518" s="546"/>
      <c r="P518" s="546"/>
      <c r="Q518" s="3448" t="str">
        <f>Q481</f>
        <v>30 June 2026/</v>
      </c>
      <c r="R518" s="3448"/>
      <c r="S518" s="3448"/>
      <c r="T518" s="3448"/>
      <c r="U518" s="3448"/>
      <c r="V518" s="3448"/>
      <c r="W518" s="546"/>
      <c r="X518" s="3448" t="str">
        <f>X481</f>
        <v>31 May 2026/</v>
      </c>
      <c r="Y518" s="3448"/>
      <c r="Z518" s="3448"/>
      <c r="AA518" s="3448"/>
      <c r="AB518" s="3448"/>
      <c r="AC518" s="3448"/>
      <c r="AD518" s="181"/>
      <c r="AE518" s="181"/>
      <c r="AF518" s="181"/>
      <c r="AG518" s="181"/>
      <c r="AH518" s="181"/>
      <c r="AI518" s="181"/>
      <c r="AJ518" s="181"/>
      <c r="AK518" s="181"/>
      <c r="AL518" s="181"/>
      <c r="AM518" s="181"/>
      <c r="AN518" s="181"/>
      <c r="AO518" s="181"/>
      <c r="AP518" s="179"/>
      <c r="AQ518" s="88"/>
      <c r="AR518" s="181"/>
      <c r="AS518" s="570"/>
    </row>
    <row r="519" spans="1:45" ht="14" outlineLevel="1" thickBot="1" x14ac:dyDescent="0.4">
      <c r="A519" s="142"/>
      <c r="B519" s="559"/>
      <c r="C519" s="142"/>
      <c r="D519" s="568"/>
      <c r="E519" s="553"/>
      <c r="F519" s="553"/>
      <c r="G519" s="553"/>
      <c r="H519" s="553"/>
      <c r="I519" s="553"/>
      <c r="J519" s="553"/>
      <c r="K519" s="553"/>
      <c r="L519" s="553"/>
      <c r="M519" s="553"/>
      <c r="N519" s="553"/>
      <c r="O519" s="553"/>
      <c r="P519" s="553"/>
      <c r="Q519" s="3449">
        <f>Q482</f>
        <v>46203</v>
      </c>
      <c r="R519" s="3449"/>
      <c r="S519" s="3449"/>
      <c r="T519" s="3449"/>
      <c r="U519" s="3449"/>
      <c r="V519" s="3449"/>
      <c r="W519" s="553"/>
      <c r="X519" s="3449">
        <f>X482</f>
        <v>46173</v>
      </c>
      <c r="Y519" s="3449"/>
      <c r="Z519" s="3449"/>
      <c r="AA519" s="3449"/>
      <c r="AB519" s="3449"/>
      <c r="AC519" s="3449"/>
      <c r="AD519" s="142"/>
      <c r="AE519" s="142"/>
      <c r="AF519" s="142"/>
      <c r="AG519" s="142"/>
      <c r="AH519" s="142"/>
      <c r="AI519" s="142"/>
      <c r="AJ519" s="142"/>
      <c r="AK519" s="142"/>
      <c r="AL519" s="142"/>
      <c r="AM519" s="142"/>
      <c r="AN519" s="142"/>
      <c r="AO519" s="142"/>
      <c r="AP519" s="87"/>
      <c r="AQ519" s="87"/>
      <c r="AR519" s="142"/>
      <c r="AS519" s="548"/>
    </row>
    <row r="520" spans="1:45" ht="13.5" outlineLevel="1" x14ac:dyDescent="0.35">
      <c r="C520" s="130"/>
      <c r="D520" s="130"/>
      <c r="E520" s="546"/>
      <c r="F520" s="546"/>
      <c r="G520" s="546"/>
      <c r="H520" s="546"/>
      <c r="I520" s="546"/>
      <c r="J520" s="546"/>
      <c r="K520" s="546"/>
      <c r="L520" s="546"/>
      <c r="M520" s="546"/>
      <c r="N520" s="546"/>
      <c r="O520" s="546"/>
      <c r="P520" s="546"/>
      <c r="Q520" s="558"/>
      <c r="R520" s="558"/>
      <c r="S520" s="558"/>
      <c r="T520" s="558"/>
      <c r="U520" s="558"/>
      <c r="V520" s="558"/>
      <c r="W520" s="546"/>
      <c r="X520" s="599"/>
      <c r="Y520" s="599"/>
      <c r="Z520" s="599"/>
      <c r="AA520" s="599"/>
      <c r="AB520" s="599"/>
      <c r="AC520" s="599"/>
      <c r="AP520" s="557"/>
      <c r="AQ520" s="88"/>
      <c r="AS520" s="548"/>
    </row>
    <row r="521" spans="1:45" outlineLevel="1" x14ac:dyDescent="0.35">
      <c r="C521" s="181" t="s">
        <v>7980</v>
      </c>
      <c r="E521" s="546"/>
      <c r="F521" s="546"/>
      <c r="G521" s="546"/>
      <c r="H521" s="546"/>
      <c r="I521" s="546"/>
      <c r="J521" s="546"/>
      <c r="K521" s="546"/>
      <c r="L521" s="546"/>
      <c r="M521" s="546"/>
      <c r="N521" s="546"/>
      <c r="O521" s="546"/>
      <c r="P521" s="546"/>
      <c r="Q521" s="3444">
        <f>BS!C472</f>
        <v>370022227</v>
      </c>
      <c r="R521" s="3444"/>
      <c r="S521" s="3444"/>
      <c r="T521" s="3444"/>
      <c r="U521" s="3444"/>
      <c r="V521" s="3444"/>
      <c r="W521" s="579"/>
      <c r="X521" s="3651">
        <v>370022227</v>
      </c>
      <c r="Y521" s="3651"/>
      <c r="Z521" s="3651"/>
      <c r="AA521" s="3651"/>
      <c r="AB521" s="3651"/>
      <c r="AC521" s="3651"/>
      <c r="AP521" s="87"/>
      <c r="AQ521" s="87" t="s">
        <v>878</v>
      </c>
      <c r="AS521" s="548"/>
    </row>
    <row r="522" spans="1:45" outlineLevel="1" x14ac:dyDescent="0.35">
      <c r="B522" s="84"/>
      <c r="C522" s="84" t="s">
        <v>8038</v>
      </c>
      <c r="E522" s="546"/>
      <c r="F522" s="546"/>
      <c r="G522" s="546"/>
      <c r="H522" s="546"/>
      <c r="I522" s="546"/>
      <c r="J522" s="546"/>
      <c r="K522" s="546"/>
      <c r="L522" s="546"/>
      <c r="M522" s="546"/>
      <c r="N522" s="546"/>
      <c r="O522" s="546"/>
      <c r="P522" s="546"/>
      <c r="Q522" s="3650">
        <f>BS!C471</f>
        <v>0</v>
      </c>
      <c r="R522" s="3650"/>
      <c r="S522" s="3650"/>
      <c r="T522" s="3650"/>
      <c r="U522" s="3650"/>
      <c r="V522" s="3650"/>
      <c r="W522" s="712"/>
      <c r="X522" s="3650">
        <v>0</v>
      </c>
      <c r="Y522" s="3650"/>
      <c r="Z522" s="3650"/>
      <c r="AA522" s="3650"/>
      <c r="AB522" s="3650"/>
      <c r="AC522" s="3650"/>
      <c r="AP522" s="87"/>
      <c r="AQ522" s="87" t="s">
        <v>879</v>
      </c>
      <c r="AS522" s="548"/>
    </row>
    <row r="523" spans="1:45" outlineLevel="1" x14ac:dyDescent="0.35">
      <c r="B523" s="84"/>
      <c r="C523" s="84" t="s">
        <v>880</v>
      </c>
      <c r="E523" s="546"/>
      <c r="F523" s="546"/>
      <c r="G523" s="546"/>
      <c r="H523" s="546"/>
      <c r="I523" s="546"/>
      <c r="J523" s="546"/>
      <c r="K523" s="546"/>
      <c r="L523" s="546"/>
      <c r="M523" s="546"/>
      <c r="N523" s="546"/>
      <c r="O523" s="546"/>
      <c r="P523" s="546"/>
      <c r="Q523" s="3650"/>
      <c r="R523" s="3650"/>
      <c r="S523" s="3650"/>
      <c r="T523" s="3650"/>
      <c r="U523" s="3650"/>
      <c r="V523" s="3650"/>
      <c r="W523" s="725"/>
      <c r="X523" s="3650"/>
      <c r="Y523" s="3650"/>
      <c r="Z523" s="3650"/>
      <c r="AA523" s="3650"/>
      <c r="AB523" s="3650"/>
      <c r="AC523" s="3650"/>
      <c r="AP523" s="87"/>
      <c r="AQ523" s="87" t="s">
        <v>881</v>
      </c>
      <c r="AS523" s="548"/>
    </row>
    <row r="524" spans="1:45" outlineLevel="1" x14ac:dyDescent="0.35">
      <c r="B524" s="84"/>
      <c r="C524" s="84" t="s">
        <v>882</v>
      </c>
      <c r="E524" s="546"/>
      <c r="F524" s="546"/>
      <c r="G524" s="546"/>
      <c r="H524" s="546"/>
      <c r="I524" s="546"/>
      <c r="J524" s="546"/>
      <c r="K524" s="546"/>
      <c r="L524" s="546"/>
      <c r="M524" s="546"/>
      <c r="N524" s="546"/>
      <c r="O524" s="546"/>
      <c r="P524" s="546"/>
      <c r="Q524" s="3650"/>
      <c r="R524" s="3650"/>
      <c r="S524" s="3650"/>
      <c r="T524" s="3650"/>
      <c r="U524" s="3650"/>
      <c r="V524" s="3650"/>
      <c r="W524" s="725"/>
      <c r="X524" s="3650"/>
      <c r="Y524" s="3650"/>
      <c r="Z524" s="3650"/>
      <c r="AA524" s="3650"/>
      <c r="AB524" s="3650"/>
      <c r="AC524" s="3650"/>
      <c r="AP524" s="87"/>
      <c r="AQ524" s="87" t="s">
        <v>883</v>
      </c>
      <c r="AS524" s="548"/>
    </row>
    <row r="525" spans="1:45" outlineLevel="1" x14ac:dyDescent="0.35">
      <c r="B525" s="84"/>
      <c r="C525" s="84" t="s">
        <v>349</v>
      </c>
      <c r="E525" s="546"/>
      <c r="F525" s="546"/>
      <c r="G525" s="546"/>
      <c r="H525" s="546"/>
      <c r="I525" s="546"/>
      <c r="J525" s="546"/>
      <c r="K525" s="546"/>
      <c r="L525" s="546"/>
      <c r="M525" s="546"/>
      <c r="N525" s="546"/>
      <c r="O525" s="546"/>
      <c r="P525" s="546"/>
      <c r="Q525" s="3650"/>
      <c r="R525" s="3650"/>
      <c r="S525" s="3650"/>
      <c r="T525" s="3650"/>
      <c r="U525" s="3650"/>
      <c r="V525" s="3650"/>
      <c r="W525" s="725"/>
      <c r="X525" s="3650"/>
      <c r="Y525" s="3650"/>
      <c r="Z525" s="3650"/>
      <c r="AA525" s="3650"/>
      <c r="AB525" s="3650"/>
      <c r="AC525" s="3650"/>
      <c r="AP525" s="87"/>
      <c r="AQ525" s="87" t="s">
        <v>350</v>
      </c>
      <c r="AS525" s="548"/>
    </row>
    <row r="526" spans="1:45" outlineLevel="1" x14ac:dyDescent="0.35">
      <c r="E526" s="546"/>
      <c r="F526" s="546"/>
      <c r="G526" s="546"/>
      <c r="H526" s="546"/>
      <c r="I526" s="546"/>
      <c r="J526" s="546"/>
      <c r="K526" s="546"/>
      <c r="L526" s="546"/>
      <c r="M526" s="546"/>
      <c r="N526" s="546"/>
      <c r="O526" s="546"/>
      <c r="P526" s="546"/>
      <c r="Q526" s="726"/>
      <c r="R526" s="726"/>
      <c r="S526" s="726"/>
      <c r="T526" s="726"/>
      <c r="U526" s="726"/>
      <c r="V526" s="726"/>
      <c r="W526" s="725"/>
      <c r="X526" s="726"/>
      <c r="Y526" s="726"/>
      <c r="Z526" s="726"/>
      <c r="AA526" s="726"/>
      <c r="AB526" s="726"/>
      <c r="AC526" s="726"/>
      <c r="AS526" s="548"/>
    </row>
    <row r="527" spans="1:45" ht="14" outlineLevel="1" thickBot="1" x14ac:dyDescent="0.4">
      <c r="C527" s="64" t="s">
        <v>884</v>
      </c>
      <c r="D527" s="64"/>
      <c r="E527" s="555"/>
      <c r="F527" s="555"/>
      <c r="G527" s="555"/>
      <c r="H527" s="555"/>
      <c r="I527" s="555"/>
      <c r="J527" s="555"/>
      <c r="K527" s="555"/>
      <c r="L527" s="555"/>
      <c r="M527" s="555"/>
      <c r="N527" s="555"/>
      <c r="O527" s="555"/>
      <c r="P527" s="555"/>
      <c r="Q527" s="3442">
        <f>SUM(Q521:V526)</f>
        <v>370022227</v>
      </c>
      <c r="R527" s="3442"/>
      <c r="S527" s="3442"/>
      <c r="T527" s="3442"/>
      <c r="U527" s="3442"/>
      <c r="V527" s="3442"/>
      <c r="W527" s="577"/>
      <c r="X527" s="3442">
        <f>SUM(X521:AC526)</f>
        <v>370022227</v>
      </c>
      <c r="Y527" s="3442"/>
      <c r="Z527" s="3442"/>
      <c r="AA527" s="3442"/>
      <c r="AB527" s="3442"/>
      <c r="AC527" s="3442"/>
      <c r="AP527" s="557"/>
      <c r="AQ527" s="88" t="s">
        <v>885</v>
      </c>
      <c r="AS527" s="548"/>
    </row>
    <row r="528" spans="1:45" s="64" customFormat="1" ht="14" outlineLevel="1" thickTop="1" x14ac:dyDescent="0.35">
      <c r="A528" s="181"/>
      <c r="B528" s="130"/>
      <c r="E528" s="555"/>
      <c r="F528" s="555"/>
      <c r="G528" s="555"/>
      <c r="H528" s="555"/>
      <c r="I528" s="555"/>
      <c r="J528" s="555"/>
      <c r="K528" s="555"/>
      <c r="L528" s="555"/>
      <c r="M528" s="555"/>
      <c r="N528" s="555"/>
      <c r="O528" s="555"/>
      <c r="P528" s="555"/>
      <c r="Q528" s="578"/>
      <c r="R528" s="578"/>
      <c r="S528" s="578"/>
      <c r="T528" s="578"/>
      <c r="U528" s="578"/>
      <c r="V528" s="578"/>
      <c r="W528" s="577"/>
      <c r="X528" s="578"/>
      <c r="Y528" s="578"/>
      <c r="Z528" s="578"/>
      <c r="AA528" s="578"/>
      <c r="AB528" s="578"/>
      <c r="AC528" s="578"/>
      <c r="AD528" s="181"/>
      <c r="AE528" s="181"/>
      <c r="AF528" s="181"/>
      <c r="AG528" s="181"/>
      <c r="AH528" s="181"/>
      <c r="AI528" s="181"/>
      <c r="AJ528" s="181"/>
      <c r="AK528" s="181"/>
      <c r="AL528" s="181"/>
      <c r="AM528" s="181"/>
      <c r="AN528" s="181"/>
      <c r="AO528" s="181"/>
      <c r="AP528" s="557"/>
      <c r="AQ528" s="88"/>
      <c r="AR528" s="181"/>
      <c r="AS528" s="523"/>
    </row>
    <row r="529" spans="1:45" s="544" customFormat="1" ht="13.5" outlineLevel="1" x14ac:dyDescent="0.35">
      <c r="A529" s="544" t="s">
        <v>614</v>
      </c>
      <c r="B529" s="587"/>
      <c r="C529" s="511" t="s">
        <v>886</v>
      </c>
      <c r="E529" s="588"/>
      <c r="F529" s="588"/>
      <c r="G529" s="588"/>
      <c r="H529" s="588"/>
      <c r="I529" s="588"/>
      <c r="J529" s="588"/>
      <c r="K529" s="588"/>
      <c r="L529" s="588"/>
      <c r="M529" s="588"/>
      <c r="N529" s="588"/>
      <c r="O529" s="588"/>
      <c r="P529" s="588"/>
      <c r="Q529" s="589"/>
      <c r="R529" s="589"/>
      <c r="S529" s="589"/>
      <c r="T529" s="589"/>
      <c r="U529" s="589"/>
      <c r="V529" s="589"/>
      <c r="W529" s="590"/>
      <c r="X529" s="589"/>
      <c r="Y529" s="589"/>
      <c r="Z529" s="589"/>
      <c r="AA529" s="589"/>
      <c r="AB529" s="589"/>
      <c r="AC529" s="589"/>
      <c r="AP529" s="591"/>
      <c r="AQ529" s="512" t="s">
        <v>887</v>
      </c>
      <c r="AS529" s="545"/>
    </row>
    <row r="530" spans="1:45" s="64" customFormat="1" ht="13.5" outlineLevel="1" x14ac:dyDescent="0.35">
      <c r="B530" s="130"/>
      <c r="C530" s="84"/>
      <c r="E530" s="555"/>
      <c r="F530" s="555"/>
      <c r="G530" s="555"/>
      <c r="H530" s="555"/>
      <c r="I530" s="555"/>
      <c r="J530" s="555"/>
      <c r="K530" s="555"/>
      <c r="L530" s="555"/>
      <c r="M530" s="555"/>
      <c r="N530" s="555"/>
      <c r="O530" s="555"/>
      <c r="P530" s="555"/>
      <c r="Q530" s="578"/>
      <c r="R530" s="578"/>
      <c r="S530" s="578"/>
      <c r="T530" s="578"/>
      <c r="U530" s="578"/>
      <c r="V530" s="578"/>
      <c r="W530" s="577"/>
      <c r="X530" s="578"/>
      <c r="Y530" s="578"/>
      <c r="Z530" s="578"/>
      <c r="AA530" s="578"/>
      <c r="AB530" s="578"/>
      <c r="AC530" s="578"/>
      <c r="AP530" s="88"/>
      <c r="AQ530" s="87"/>
      <c r="AS530" s="523"/>
    </row>
    <row r="531" spans="1:45" s="513" customFormat="1" ht="13.5" outlineLevel="1" x14ac:dyDescent="0.35">
      <c r="A531" s="544"/>
      <c r="B531" s="535" t="s">
        <v>888</v>
      </c>
      <c r="C531" s="536" t="s">
        <v>889</v>
      </c>
      <c r="D531" s="535"/>
      <c r="E531" s="537"/>
      <c r="F531" s="537"/>
      <c r="G531" s="537"/>
      <c r="H531" s="537"/>
      <c r="I531" s="537"/>
      <c r="J531" s="537"/>
      <c r="K531" s="537"/>
      <c r="L531" s="537"/>
      <c r="M531" s="537"/>
      <c r="N531" s="537"/>
      <c r="O531" s="537"/>
      <c r="P531" s="537"/>
      <c r="Q531" s="537"/>
      <c r="R531" s="537"/>
      <c r="S531" s="537"/>
      <c r="T531" s="537"/>
      <c r="U531" s="537"/>
      <c r="V531" s="538"/>
      <c r="W531" s="537"/>
      <c r="X531" s="539" t="str">
        <f>B531</f>
        <v>13.</v>
      </c>
      <c r="Y531" s="539" t="s">
        <v>890</v>
      </c>
      <c r="Z531" s="539"/>
      <c r="AA531" s="539"/>
      <c r="AB531" s="539"/>
      <c r="AC531" s="539"/>
      <c r="AD531" s="539"/>
      <c r="AE531" s="539"/>
      <c r="AF531" s="539"/>
      <c r="AG531" s="539"/>
      <c r="AH531" s="539"/>
      <c r="AI531" s="539"/>
      <c r="AJ531" s="539"/>
      <c r="AK531" s="539"/>
      <c r="AL531" s="539"/>
      <c r="AM531" s="539"/>
      <c r="AN531" s="539"/>
      <c r="AO531" s="539"/>
      <c r="AP531" s="566"/>
      <c r="AQ531" s="567"/>
      <c r="AR531" s="544"/>
      <c r="AS531" s="693"/>
    </row>
    <row r="532" spans="1:45" outlineLevel="1" x14ac:dyDescent="0.35">
      <c r="E532" s="555"/>
      <c r="F532" s="555"/>
      <c r="G532" s="555"/>
      <c r="H532" s="555"/>
      <c r="I532" s="555"/>
      <c r="J532" s="555"/>
      <c r="K532" s="555"/>
      <c r="L532" s="555"/>
      <c r="M532" s="555"/>
      <c r="N532" s="555"/>
      <c r="O532" s="555"/>
      <c r="P532" s="555"/>
      <c r="Q532" s="578"/>
      <c r="R532" s="578"/>
      <c r="S532" s="578"/>
      <c r="T532" s="578"/>
      <c r="U532" s="578"/>
      <c r="V532" s="578"/>
      <c r="W532" s="577"/>
      <c r="X532" s="578"/>
      <c r="Y532" s="578"/>
      <c r="Z532" s="578"/>
      <c r="AA532" s="578"/>
      <c r="AB532" s="578"/>
      <c r="AC532" s="578"/>
      <c r="AS532" s="548"/>
    </row>
    <row r="533" spans="1:45" outlineLevel="1" x14ac:dyDescent="0.35">
      <c r="C533" s="181" t="s">
        <v>579</v>
      </c>
      <c r="D533" s="84"/>
      <c r="E533" s="546"/>
      <c r="F533" s="546"/>
      <c r="G533" s="546"/>
      <c r="H533" s="546"/>
      <c r="I533" s="546"/>
      <c r="J533" s="546"/>
      <c r="K533" s="546"/>
      <c r="L533" s="546"/>
      <c r="M533" s="546"/>
      <c r="N533" s="546"/>
      <c r="O533" s="546"/>
      <c r="P533" s="546"/>
      <c r="Q533" s="558"/>
      <c r="R533" s="558"/>
      <c r="S533" s="558"/>
      <c r="T533" s="558"/>
      <c r="U533" s="558"/>
      <c r="V533" s="558"/>
      <c r="W533" s="546"/>
      <c r="X533" s="558"/>
      <c r="Y533" s="558"/>
      <c r="Z533" s="558"/>
      <c r="AA533" s="558"/>
      <c r="AB533" s="558"/>
      <c r="AC533" s="558"/>
      <c r="AQ533" s="87" t="s">
        <v>580</v>
      </c>
      <c r="AS533" s="548"/>
    </row>
    <row r="534" spans="1:45" ht="13.5" outlineLevel="1" x14ac:dyDescent="0.35">
      <c r="C534" s="64"/>
      <c r="D534" s="152"/>
      <c r="E534" s="546"/>
      <c r="F534" s="546"/>
      <c r="G534" s="546"/>
      <c r="H534" s="546"/>
      <c r="I534" s="546"/>
      <c r="J534" s="546"/>
      <c r="K534" s="546"/>
      <c r="L534" s="546"/>
      <c r="M534" s="546"/>
      <c r="N534" s="546"/>
      <c r="O534" s="546"/>
      <c r="P534" s="546"/>
      <c r="Q534" s="3448" t="str">
        <f>$Q$518</f>
        <v>30 June 2026/</v>
      </c>
      <c r="R534" s="3448"/>
      <c r="S534" s="3448"/>
      <c r="T534" s="3448"/>
      <c r="U534" s="3448"/>
      <c r="V534" s="3448"/>
      <c r="W534" s="546"/>
      <c r="X534" s="3448" t="str">
        <f>$X$518</f>
        <v>31 May 2026/</v>
      </c>
      <c r="Y534" s="3448"/>
      <c r="Z534" s="3448"/>
      <c r="AA534" s="3448"/>
      <c r="AB534" s="3448"/>
      <c r="AC534" s="3448"/>
      <c r="AQ534" s="88"/>
      <c r="AS534" s="548"/>
    </row>
    <row r="535" spans="1:45" ht="13.5" outlineLevel="1" thickBot="1" x14ac:dyDescent="0.4">
      <c r="C535" s="142"/>
      <c r="D535" s="568"/>
      <c r="E535" s="553"/>
      <c r="F535" s="553"/>
      <c r="G535" s="553"/>
      <c r="H535" s="553"/>
      <c r="I535" s="553"/>
      <c r="J535" s="553"/>
      <c r="K535" s="553"/>
      <c r="L535" s="553"/>
      <c r="M535" s="553"/>
      <c r="N535" s="553"/>
      <c r="O535" s="553"/>
      <c r="P535" s="553"/>
      <c r="Q535" s="3449">
        <f>$Q$519</f>
        <v>46203</v>
      </c>
      <c r="R535" s="3449"/>
      <c r="S535" s="3449"/>
      <c r="T535" s="3449"/>
      <c r="U535" s="3449"/>
      <c r="V535" s="3449"/>
      <c r="W535" s="553"/>
      <c r="X535" s="3449">
        <f>$X$519</f>
        <v>46173</v>
      </c>
      <c r="Y535" s="3449"/>
      <c r="Z535" s="3449"/>
      <c r="AA535" s="3449"/>
      <c r="AB535" s="3449"/>
      <c r="AC535" s="3449"/>
      <c r="AD535" s="142"/>
      <c r="AE535" s="142"/>
      <c r="AF535" s="142"/>
      <c r="AG535" s="142"/>
      <c r="AH535" s="142"/>
      <c r="AI535" s="142"/>
      <c r="AJ535" s="142"/>
      <c r="AK535" s="142"/>
      <c r="AL535" s="142"/>
      <c r="AM535" s="142"/>
      <c r="AN535" s="142"/>
      <c r="AO535" s="142"/>
      <c r="AP535" s="87"/>
      <c r="AQ535" s="87"/>
      <c r="AS535" s="548"/>
    </row>
    <row r="536" spans="1:45" ht="13.5" outlineLevel="1" x14ac:dyDescent="0.35">
      <c r="C536" s="130"/>
      <c r="D536" s="130"/>
      <c r="E536" s="546"/>
      <c r="F536" s="546"/>
      <c r="G536" s="546"/>
      <c r="H536" s="546"/>
      <c r="I536" s="546"/>
      <c r="J536" s="546"/>
      <c r="K536" s="546"/>
      <c r="L536" s="546"/>
      <c r="M536" s="546"/>
      <c r="N536" s="546"/>
      <c r="O536" s="546"/>
      <c r="P536" s="546"/>
      <c r="Q536" s="558"/>
      <c r="R536" s="558"/>
      <c r="S536" s="558"/>
      <c r="T536" s="558"/>
      <c r="U536" s="558"/>
      <c r="V536" s="558"/>
      <c r="W536" s="546"/>
      <c r="X536" s="558"/>
      <c r="Y536" s="558"/>
      <c r="Z536" s="558"/>
      <c r="AA536" s="558"/>
      <c r="AB536" s="558"/>
      <c r="AC536" s="558"/>
      <c r="AP536" s="557"/>
      <c r="AQ536" s="88"/>
      <c r="AS536" s="548"/>
    </row>
    <row r="537" spans="1:45" outlineLevel="1" x14ac:dyDescent="0.35">
      <c r="C537" s="181" t="s">
        <v>891</v>
      </c>
      <c r="E537" s="546"/>
      <c r="F537" s="546"/>
      <c r="G537" s="546"/>
      <c r="H537" s="546"/>
      <c r="I537" s="546"/>
      <c r="J537" s="546"/>
      <c r="K537" s="546"/>
      <c r="L537" s="546"/>
      <c r="M537" s="546"/>
      <c r="N537" s="546"/>
      <c r="O537" s="546"/>
      <c r="P537" s="546"/>
      <c r="Q537" s="3649"/>
      <c r="R537" s="3649"/>
      <c r="S537" s="3649"/>
      <c r="T537" s="3649"/>
      <c r="U537" s="3649"/>
      <c r="V537" s="3649"/>
      <c r="W537" s="712"/>
      <c r="X537" s="3648"/>
      <c r="Y537" s="3648"/>
      <c r="Z537" s="3648"/>
      <c r="AA537" s="3648"/>
      <c r="AB537" s="3648"/>
      <c r="AC537" s="3648"/>
      <c r="AP537" s="87"/>
      <c r="AQ537" s="87" t="s">
        <v>892</v>
      </c>
      <c r="AS537" s="548">
        <v>1530567.83</v>
      </c>
    </row>
    <row r="538" spans="1:45" outlineLevel="1" x14ac:dyDescent="0.35">
      <c r="C538" s="181" t="s">
        <v>893</v>
      </c>
      <c r="E538" s="546"/>
      <c r="F538" s="546"/>
      <c r="G538" s="546"/>
      <c r="H538" s="546"/>
      <c r="I538" s="546"/>
      <c r="J538" s="546"/>
      <c r="K538" s="546"/>
      <c r="L538" s="546"/>
      <c r="M538" s="546"/>
      <c r="N538" s="546"/>
      <c r="O538" s="546"/>
      <c r="P538" s="546"/>
      <c r="Q538" s="3648"/>
      <c r="R538" s="3648"/>
      <c r="S538" s="3648"/>
      <c r="T538" s="3648"/>
      <c r="U538" s="3648"/>
      <c r="V538" s="3648"/>
      <c r="W538" s="712"/>
      <c r="X538" s="3648"/>
      <c r="Y538" s="3648"/>
      <c r="Z538" s="3648"/>
      <c r="AA538" s="3648"/>
      <c r="AB538" s="3648"/>
      <c r="AC538" s="3648"/>
      <c r="AP538" s="87"/>
      <c r="AQ538" s="87" t="s">
        <v>894</v>
      </c>
      <c r="AS538" s="548"/>
    </row>
    <row r="539" spans="1:45" outlineLevel="1" x14ac:dyDescent="0.35">
      <c r="D539" s="609"/>
      <c r="E539" s="555"/>
      <c r="F539" s="555"/>
      <c r="G539" s="555"/>
      <c r="H539" s="555"/>
      <c r="I539" s="555"/>
      <c r="J539" s="555"/>
      <c r="K539" s="555"/>
      <c r="L539" s="555"/>
      <c r="M539" s="555"/>
      <c r="N539" s="555"/>
      <c r="O539" s="555"/>
      <c r="P539" s="555"/>
      <c r="Q539" s="727"/>
      <c r="R539" s="727"/>
      <c r="S539" s="727"/>
      <c r="T539" s="727"/>
      <c r="U539" s="727"/>
      <c r="V539" s="727"/>
      <c r="W539" s="713"/>
      <c r="X539" s="727"/>
      <c r="Y539" s="727"/>
      <c r="Z539" s="727"/>
      <c r="AA539" s="727"/>
      <c r="AB539" s="727"/>
      <c r="AC539" s="727"/>
      <c r="AS539" s="548"/>
    </row>
    <row r="540" spans="1:45" ht="14" outlineLevel="1" thickBot="1" x14ac:dyDescent="0.4">
      <c r="C540" s="64" t="s">
        <v>699</v>
      </c>
      <c r="D540" s="64"/>
      <c r="E540" s="555"/>
      <c r="F540" s="555"/>
      <c r="G540" s="555"/>
      <c r="H540" s="555"/>
      <c r="I540" s="555"/>
      <c r="J540" s="555"/>
      <c r="K540" s="555"/>
      <c r="L540" s="555"/>
      <c r="M540" s="555"/>
      <c r="N540" s="555"/>
      <c r="O540" s="555"/>
      <c r="P540" s="555"/>
      <c r="Q540" s="3442">
        <f>SUM(Q537:V539)</f>
        <v>0</v>
      </c>
      <c r="R540" s="3442"/>
      <c r="S540" s="3442"/>
      <c r="T540" s="3442"/>
      <c r="U540" s="3442"/>
      <c r="V540" s="3442"/>
      <c r="W540" s="577"/>
      <c r="X540" s="3442">
        <f>SUM(X537:AC539)</f>
        <v>0</v>
      </c>
      <c r="Y540" s="3442"/>
      <c r="Z540" s="3442"/>
      <c r="AA540" s="3442"/>
      <c r="AB540" s="3442"/>
      <c r="AC540" s="3442"/>
      <c r="AP540" s="557"/>
      <c r="AQ540" s="88" t="s">
        <v>700</v>
      </c>
      <c r="AS540" s="548"/>
    </row>
    <row r="541" spans="1:45" ht="13.5" outlineLevel="1" thickTop="1" x14ac:dyDescent="0.35">
      <c r="E541" s="555"/>
      <c r="F541" s="555"/>
      <c r="G541" s="555"/>
      <c r="H541" s="555"/>
      <c r="I541" s="555"/>
      <c r="J541" s="555"/>
      <c r="K541" s="555"/>
      <c r="L541" s="555"/>
      <c r="M541" s="555"/>
      <c r="N541" s="555"/>
      <c r="O541" s="555"/>
      <c r="P541" s="555"/>
      <c r="Q541" s="578"/>
      <c r="R541" s="578"/>
      <c r="S541" s="578"/>
      <c r="T541" s="578"/>
      <c r="U541" s="578"/>
      <c r="V541" s="578"/>
      <c r="W541" s="577"/>
      <c r="X541" s="578"/>
      <c r="Y541" s="578"/>
      <c r="Z541" s="578"/>
      <c r="AA541" s="578"/>
      <c r="AB541" s="578"/>
      <c r="AC541" s="578"/>
      <c r="AS541" s="548"/>
    </row>
    <row r="542" spans="1:45" outlineLevel="1" x14ac:dyDescent="0.35">
      <c r="E542" s="555"/>
      <c r="F542" s="555"/>
      <c r="G542" s="555"/>
      <c r="H542" s="555"/>
      <c r="I542" s="555"/>
      <c r="J542" s="555"/>
      <c r="K542" s="555"/>
      <c r="L542" s="555"/>
      <c r="M542" s="555"/>
      <c r="N542" s="555"/>
      <c r="O542" s="555"/>
      <c r="P542" s="555"/>
      <c r="Q542" s="578"/>
      <c r="R542" s="578"/>
      <c r="S542" s="578"/>
      <c r="T542" s="578"/>
      <c r="U542" s="578"/>
      <c r="V542" s="578"/>
      <c r="W542" s="577"/>
      <c r="X542" s="578"/>
      <c r="Y542" s="578"/>
      <c r="Z542" s="578"/>
      <c r="AA542" s="578"/>
      <c r="AB542" s="578"/>
      <c r="AC542" s="578"/>
      <c r="AS542" s="548"/>
    </row>
    <row r="543" spans="1:45" s="513" customFormat="1" ht="13.5" x14ac:dyDescent="0.35">
      <c r="B543" s="535" t="s">
        <v>895</v>
      </c>
      <c r="C543" s="536" t="s">
        <v>896</v>
      </c>
      <c r="D543" s="535"/>
      <c r="E543" s="537"/>
      <c r="F543" s="537"/>
      <c r="G543" s="537"/>
      <c r="H543" s="537"/>
      <c r="I543" s="537"/>
      <c r="J543" s="537"/>
      <c r="K543" s="537"/>
      <c r="L543" s="537"/>
      <c r="M543" s="537"/>
      <c r="N543" s="537"/>
      <c r="O543" s="537"/>
      <c r="P543" s="537"/>
      <c r="Q543" s="537"/>
      <c r="R543" s="537"/>
      <c r="S543" s="537"/>
      <c r="T543" s="537"/>
      <c r="U543" s="537"/>
      <c r="V543" s="538"/>
      <c r="W543" s="537"/>
      <c r="X543" s="539" t="str">
        <f>B543</f>
        <v>11.</v>
      </c>
      <c r="Y543" s="539" t="s">
        <v>897</v>
      </c>
      <c r="Z543" s="539"/>
      <c r="AA543" s="539"/>
      <c r="AB543" s="539"/>
      <c r="AC543" s="539"/>
      <c r="AD543" s="539"/>
      <c r="AE543" s="539"/>
      <c r="AF543" s="539"/>
      <c r="AG543" s="539"/>
      <c r="AH543" s="539"/>
      <c r="AI543" s="539"/>
      <c r="AJ543" s="539"/>
      <c r="AK543" s="539"/>
      <c r="AL543" s="539"/>
      <c r="AM543" s="539"/>
      <c r="AN543" s="539"/>
      <c r="AO543" s="539"/>
      <c r="AP543" s="566"/>
      <c r="AQ543" s="567"/>
      <c r="AS543" s="693"/>
    </row>
    <row r="544" spans="1:45" x14ac:dyDescent="0.35">
      <c r="E544" s="555"/>
      <c r="F544" s="555"/>
      <c r="G544" s="555"/>
      <c r="H544" s="555"/>
      <c r="I544" s="555"/>
      <c r="J544" s="555"/>
      <c r="K544" s="555"/>
      <c r="L544" s="555"/>
      <c r="M544" s="555"/>
      <c r="N544" s="555"/>
      <c r="O544" s="555"/>
      <c r="P544" s="555"/>
      <c r="Q544" s="578"/>
      <c r="R544" s="578"/>
      <c r="S544" s="578"/>
      <c r="T544" s="578"/>
      <c r="U544" s="578"/>
      <c r="V544" s="578"/>
      <c r="W544" s="577"/>
      <c r="X544" s="578"/>
      <c r="Y544" s="578"/>
      <c r="Z544" s="578"/>
      <c r="AA544" s="578"/>
      <c r="AB544" s="578"/>
      <c r="AC544" s="578"/>
      <c r="AS544" s="548"/>
    </row>
    <row r="545" spans="1:53" ht="14" x14ac:dyDescent="0.3">
      <c r="C545" s="181" t="s">
        <v>898</v>
      </c>
      <c r="D545" s="84"/>
      <c r="E545" s="546"/>
      <c r="F545" s="546"/>
      <c r="G545" s="546"/>
      <c r="H545" s="546"/>
      <c r="I545" s="546"/>
      <c r="J545" s="546"/>
      <c r="K545" s="546"/>
      <c r="L545" s="546"/>
      <c r="M545" s="546"/>
      <c r="N545" s="546"/>
      <c r="O545" s="546"/>
      <c r="P545" s="546"/>
      <c r="Q545" s="558"/>
      <c r="R545" s="558"/>
      <c r="S545" s="558"/>
      <c r="T545" s="558"/>
      <c r="U545" s="558"/>
      <c r="V545" s="558"/>
      <c r="W545" s="546"/>
      <c r="X545" s="558"/>
      <c r="Y545" s="558"/>
      <c r="Z545" s="558"/>
      <c r="AA545" s="558"/>
      <c r="AB545" s="558"/>
      <c r="AC545" s="558"/>
      <c r="AQ545" s="87" t="s">
        <v>899</v>
      </c>
      <c r="AS545" s="548"/>
      <c r="AW545" s="728">
        <v>400000</v>
      </c>
      <c r="AX545" s="729"/>
      <c r="AY545" s="729" t="s">
        <v>900</v>
      </c>
      <c r="AZ545" s="729"/>
      <c r="BA545" s="729"/>
    </row>
    <row r="546" spans="1:53" ht="14" x14ac:dyDescent="0.3">
      <c r="C546" s="64"/>
      <c r="D546" s="84"/>
      <c r="E546" s="546"/>
      <c r="F546" s="546"/>
      <c r="G546" s="546"/>
      <c r="H546" s="546"/>
      <c r="I546" s="546"/>
      <c r="J546" s="546"/>
      <c r="K546" s="546"/>
      <c r="L546" s="546"/>
      <c r="M546" s="546"/>
      <c r="N546" s="546"/>
      <c r="O546" s="546"/>
      <c r="P546" s="546"/>
      <c r="Q546" s="3448" t="str">
        <f>Q534</f>
        <v>30 June 2026/</v>
      </c>
      <c r="R546" s="3448" t="str">
        <f>[8]IN!$G$23</f>
        <v>31 July 2023 /</v>
      </c>
      <c r="S546" s="3448" t="str">
        <f>[8]IN!$G$23</f>
        <v>31 July 2023 /</v>
      </c>
      <c r="T546" s="3448" t="str">
        <f>[8]IN!$G$23</f>
        <v>31 July 2023 /</v>
      </c>
      <c r="U546" s="3448" t="str">
        <f>[8]IN!$G$23</f>
        <v>31 July 2023 /</v>
      </c>
      <c r="V546" s="3448" t="str">
        <f>[8]IN!$G$23</f>
        <v>31 July 2023 /</v>
      </c>
      <c r="W546" s="546"/>
      <c r="X546" s="3448" t="str">
        <f>X534</f>
        <v>31 May 2026/</v>
      </c>
      <c r="Y546" s="3448" t="str">
        <f>[8]IN!$G$26</f>
        <v>30 June 2023 /</v>
      </c>
      <c r="Z546" s="3448" t="str">
        <f>[8]IN!$G$26</f>
        <v>30 June 2023 /</v>
      </c>
      <c r="AA546" s="3448" t="str">
        <f>[8]IN!$G$26</f>
        <v>30 June 2023 /</v>
      </c>
      <c r="AB546" s="3448" t="str">
        <f>[8]IN!$G$26</f>
        <v>30 June 2023 /</v>
      </c>
      <c r="AC546" s="3448" t="str">
        <f>[8]IN!$G$26</f>
        <v>30 June 2023 /</v>
      </c>
      <c r="AQ546" s="88"/>
      <c r="AS546" s="548"/>
      <c r="AW546" s="730"/>
      <c r="AX546" s="3646" t="s">
        <v>901</v>
      </c>
      <c r="AY546" s="3646"/>
      <c r="AZ546" s="3646" t="s">
        <v>902</v>
      </c>
      <c r="BA546" s="3646"/>
    </row>
    <row r="547" spans="1:53" ht="14.5" thickBot="1" x14ac:dyDescent="0.35">
      <c r="C547" s="142"/>
      <c r="D547" s="568"/>
      <c r="E547" s="553"/>
      <c r="F547" s="553"/>
      <c r="G547" s="553"/>
      <c r="H547" s="553"/>
      <c r="I547" s="553"/>
      <c r="J547" s="553"/>
      <c r="K547" s="553"/>
      <c r="L547" s="553"/>
      <c r="M547" s="553"/>
      <c r="N547" s="553"/>
      <c r="O547" s="553"/>
      <c r="P547" s="553"/>
      <c r="Q547" s="3449">
        <f>Q535</f>
        <v>46203</v>
      </c>
      <c r="R547" s="3449" t="e">
        <f>[8]IN!$I$23</f>
        <v>#N/A</v>
      </c>
      <c r="S547" s="3449" t="e">
        <f>[8]IN!$I$23</f>
        <v>#N/A</v>
      </c>
      <c r="T547" s="3449" t="e">
        <f>[8]IN!$I$23</f>
        <v>#N/A</v>
      </c>
      <c r="U547" s="3449" t="e">
        <f>[8]IN!$I$23</f>
        <v>#N/A</v>
      </c>
      <c r="V547" s="3449" t="e">
        <f>[8]IN!$I$23</f>
        <v>#N/A</v>
      </c>
      <c r="W547" s="553"/>
      <c r="X547" s="3449">
        <f>X535</f>
        <v>46173</v>
      </c>
      <c r="Y547" s="3449" t="e">
        <f>[8]IN!$I$26</f>
        <v>#N/A</v>
      </c>
      <c r="Z547" s="3449" t="e">
        <f>[8]IN!$I$26</f>
        <v>#N/A</v>
      </c>
      <c r="AA547" s="3449" t="e">
        <f>[8]IN!$I$26</f>
        <v>#N/A</v>
      </c>
      <c r="AB547" s="3449" t="e">
        <f>[8]IN!$I$26</f>
        <v>#N/A</v>
      </c>
      <c r="AC547" s="3449" t="e">
        <f>[8]IN!$I$26</f>
        <v>#N/A</v>
      </c>
      <c r="AD547" s="142"/>
      <c r="AE547" s="142"/>
      <c r="AF547" s="142"/>
      <c r="AG547" s="142"/>
      <c r="AH547" s="142"/>
      <c r="AI547" s="142"/>
      <c r="AJ547" s="142"/>
      <c r="AK547" s="142"/>
      <c r="AL547" s="142"/>
      <c r="AM547" s="142"/>
      <c r="AN547" s="142"/>
      <c r="AO547" s="142"/>
      <c r="AP547" s="87"/>
      <c r="AQ547" s="87"/>
      <c r="AS547" s="548"/>
      <c r="AW547" s="730"/>
      <c r="AX547" s="731" t="s">
        <v>903</v>
      </c>
      <c r="AY547" s="731" t="s">
        <v>904</v>
      </c>
      <c r="AZ547" s="731" t="s">
        <v>903</v>
      </c>
      <c r="BA547" s="731" t="s">
        <v>904</v>
      </c>
    </row>
    <row r="548" spans="1:53" ht="14" x14ac:dyDescent="0.3">
      <c r="E548" s="555"/>
      <c r="F548" s="555"/>
      <c r="G548" s="555"/>
      <c r="H548" s="555"/>
      <c r="I548" s="555"/>
      <c r="J548" s="555"/>
      <c r="K548" s="555"/>
      <c r="L548" s="555"/>
      <c r="M548" s="555"/>
      <c r="N548" s="555"/>
      <c r="O548" s="555"/>
      <c r="P548" s="555"/>
      <c r="Q548" s="578"/>
      <c r="R548" s="578"/>
      <c r="S548" s="578"/>
      <c r="T548" s="578"/>
      <c r="U548" s="578"/>
      <c r="V548" s="578"/>
      <c r="W548" s="577"/>
      <c r="X548" s="578"/>
      <c r="Y548" s="578"/>
      <c r="Z548" s="578"/>
      <c r="AA548" s="578"/>
      <c r="AB548" s="578"/>
      <c r="AC548" s="578"/>
      <c r="AS548" s="548"/>
      <c r="AW548" s="730" t="s">
        <v>905</v>
      </c>
      <c r="AX548" s="731">
        <v>286</v>
      </c>
      <c r="AY548" s="732">
        <v>114400000</v>
      </c>
      <c r="AZ548" s="731">
        <v>256</v>
      </c>
      <c r="BA548" s="733">
        <v>102400000</v>
      </c>
    </row>
    <row r="549" spans="1:53" ht="14" x14ac:dyDescent="0.3">
      <c r="C549" s="181" t="s">
        <v>906</v>
      </c>
      <c r="E549" s="555"/>
      <c r="F549" s="555"/>
      <c r="G549" s="555"/>
      <c r="H549" s="555"/>
      <c r="I549" s="555"/>
      <c r="J549" s="555"/>
      <c r="K549" s="555"/>
      <c r="L549" s="555"/>
      <c r="M549" s="555"/>
      <c r="N549" s="555"/>
      <c r="O549" s="555"/>
      <c r="P549" s="555"/>
      <c r="Q549" s="3647">
        <f>BS!C497</f>
        <v>15600000</v>
      </c>
      <c r="R549" s="3647"/>
      <c r="S549" s="3647"/>
      <c r="T549" s="3647"/>
      <c r="U549" s="3647"/>
      <c r="V549" s="3647"/>
      <c r="W549" s="367"/>
      <c r="X549" s="3645">
        <v>15000000</v>
      </c>
      <c r="Y549" s="3645"/>
      <c r="Z549" s="3645"/>
      <c r="AA549" s="3645"/>
      <c r="AB549" s="3645"/>
      <c r="AC549" s="3645"/>
      <c r="AQ549" s="87" t="s">
        <v>907</v>
      </c>
      <c r="AS549" s="548"/>
      <c r="AT549" s="86" t="s">
        <v>908</v>
      </c>
      <c r="AU549" s="86" t="s">
        <v>296</v>
      </c>
      <c r="AW549" s="730" t="s">
        <v>909</v>
      </c>
      <c r="AX549" s="731">
        <v>83</v>
      </c>
      <c r="AY549" s="732">
        <v>33200000</v>
      </c>
      <c r="AZ549" s="731">
        <v>101</v>
      </c>
      <c r="BA549" s="733">
        <v>40400000</v>
      </c>
    </row>
    <row r="550" spans="1:53" ht="14" x14ac:dyDescent="0.3">
      <c r="C550" s="181" t="s">
        <v>7324</v>
      </c>
      <c r="E550" s="555"/>
      <c r="F550" s="555"/>
      <c r="G550" s="555"/>
      <c r="H550" s="555"/>
      <c r="I550" s="555"/>
      <c r="J550" s="555"/>
      <c r="K550" s="555"/>
      <c r="L550" s="555"/>
      <c r="M550" s="555"/>
      <c r="N550" s="555"/>
      <c r="O550" s="555"/>
      <c r="P550" s="555"/>
      <c r="Q550" s="3643">
        <f>BS!C415</f>
        <v>0</v>
      </c>
      <c r="R550" s="3643"/>
      <c r="S550" s="3643"/>
      <c r="T550" s="3643"/>
      <c r="U550" s="3643"/>
      <c r="V550" s="3643"/>
      <c r="W550" s="367"/>
      <c r="X550" s="3644">
        <v>0</v>
      </c>
      <c r="Y550" s="3644"/>
      <c r="Z550" s="3644"/>
      <c r="AA550" s="3644"/>
      <c r="AB550" s="3644"/>
      <c r="AC550" s="3644"/>
      <c r="AQ550" s="87"/>
      <c r="AS550" s="548"/>
      <c r="AT550" s="86"/>
      <c r="AU550" s="86"/>
      <c r="AW550" s="730"/>
      <c r="AX550" s="731"/>
      <c r="AY550" s="732"/>
      <c r="AZ550" s="731"/>
      <c r="BA550" s="733"/>
    </row>
    <row r="551" spans="1:53" ht="14" x14ac:dyDescent="0.3">
      <c r="C551" s="181" t="s">
        <v>8232</v>
      </c>
      <c r="E551" s="555"/>
      <c r="F551" s="555"/>
      <c r="G551" s="555"/>
      <c r="H551" s="555"/>
      <c r="I551" s="555"/>
      <c r="J551" s="555"/>
      <c r="K551" s="555"/>
      <c r="L551" s="555"/>
      <c r="M551" s="555"/>
      <c r="N551" s="555"/>
      <c r="O551" s="555"/>
      <c r="P551" s="555"/>
      <c r="Q551" s="3642">
        <f>BS!C428</f>
        <v>7200000</v>
      </c>
      <c r="R551" s="3642"/>
      <c r="S551" s="3642"/>
      <c r="T551" s="3642"/>
      <c r="U551" s="3642"/>
      <c r="V551" s="3642"/>
      <c r="W551" s="367"/>
      <c r="X551" s="3645">
        <v>7200000</v>
      </c>
      <c r="Y551" s="3645"/>
      <c r="Z551" s="3645"/>
      <c r="AA551" s="3645"/>
      <c r="AB551" s="3645"/>
      <c r="AC551" s="3645"/>
      <c r="AQ551" s="87"/>
      <c r="AS551" s="548"/>
      <c r="AT551" s="367"/>
      <c r="AU551" s="734"/>
      <c r="AV551" s="367">
        <f>AT551-AU551</f>
        <v>0</v>
      </c>
      <c r="AW551" s="730" t="s">
        <v>904</v>
      </c>
      <c r="AX551" s="731"/>
      <c r="AY551" s="732">
        <v>147600000</v>
      </c>
      <c r="AZ551" s="731"/>
      <c r="BA551" s="733">
        <v>142800000</v>
      </c>
    </row>
    <row r="552" spans="1:53" ht="14.5" x14ac:dyDescent="0.35">
      <c r="C552" s="181" t="s">
        <v>8008</v>
      </c>
      <c r="E552" s="555"/>
      <c r="F552" s="555"/>
      <c r="G552" s="555"/>
      <c r="H552" s="555"/>
      <c r="I552" s="555"/>
      <c r="J552" s="555"/>
      <c r="K552" s="555"/>
      <c r="L552" s="555"/>
      <c r="M552" s="555"/>
      <c r="N552" s="555"/>
      <c r="O552" s="555"/>
      <c r="P552" s="555"/>
      <c r="Q552" s="3643">
        <f>BS!C423</f>
        <v>760400000</v>
      </c>
      <c r="R552" s="3643"/>
      <c r="S552" s="3643"/>
      <c r="T552" s="3643"/>
      <c r="U552" s="3643"/>
      <c r="V552" s="3643"/>
      <c r="W552" s="367"/>
      <c r="X552" s="3644">
        <v>758400000</v>
      </c>
      <c r="Y552" s="3644"/>
      <c r="Z552" s="3644"/>
      <c r="AA552" s="3644"/>
      <c r="AB552" s="3644"/>
      <c r="AC552" s="3644"/>
      <c r="AQ552" s="87"/>
      <c r="AS552" s="944"/>
      <c r="AT552" s="367"/>
      <c r="AU552" s="734"/>
      <c r="AV552" s="367"/>
    </row>
    <row r="553" spans="1:53" x14ac:dyDescent="0.35">
      <c r="C553" s="181" t="s">
        <v>8009</v>
      </c>
      <c r="E553" s="555"/>
      <c r="F553" s="555"/>
      <c r="G553" s="555"/>
      <c r="H553" s="555"/>
      <c r="I553" s="555"/>
      <c r="J553" s="555"/>
      <c r="K553" s="555"/>
      <c r="L553" s="555"/>
      <c r="M553" s="555"/>
      <c r="N553" s="555"/>
      <c r="O553" s="555"/>
      <c r="P553" s="555"/>
      <c r="Q553" s="3440">
        <v>0</v>
      </c>
      <c r="R553" s="3440"/>
      <c r="S553" s="3440"/>
      <c r="T553" s="3440"/>
      <c r="U553" s="3440"/>
      <c r="V553" s="3440"/>
      <c r="W553" s="367"/>
      <c r="X553" s="3440">
        <v>0</v>
      </c>
      <c r="Y553" s="3440"/>
      <c r="Z553" s="3440"/>
      <c r="AA553" s="3440"/>
      <c r="AB553" s="3440"/>
      <c r="AC553" s="3440"/>
      <c r="AQ553" s="87"/>
      <c r="AS553" s="181"/>
      <c r="AT553" s="735"/>
    </row>
    <row r="554" spans="1:53" outlineLevel="1" x14ac:dyDescent="0.35">
      <c r="C554" s="181" t="s">
        <v>8010</v>
      </c>
      <c r="E554" s="555"/>
      <c r="F554" s="555"/>
      <c r="G554" s="555"/>
      <c r="H554" s="555"/>
      <c r="I554" s="555"/>
      <c r="J554" s="555"/>
      <c r="K554" s="555"/>
      <c r="L554" s="555"/>
      <c r="M554" s="555"/>
      <c r="N554" s="555"/>
      <c r="O554" s="555"/>
      <c r="P554" s="555"/>
      <c r="Q554" s="3440">
        <v>0</v>
      </c>
      <c r="R554" s="3440"/>
      <c r="S554" s="3440"/>
      <c r="T554" s="3440"/>
      <c r="U554" s="3440"/>
      <c r="V554" s="3440"/>
      <c r="W554" s="367"/>
      <c r="X554" s="3440">
        <v>0</v>
      </c>
      <c r="Y554" s="3440"/>
      <c r="Z554" s="3440"/>
      <c r="AA554" s="3440"/>
      <c r="AB554" s="3440"/>
      <c r="AC554" s="3440"/>
      <c r="AQ554" s="87"/>
      <c r="AS554" s="736"/>
      <c r="AT554" s="737"/>
    </row>
    <row r="555" spans="1:53" ht="13.5" thickBot="1" x14ac:dyDescent="0.4">
      <c r="E555" s="555"/>
      <c r="F555" s="555"/>
      <c r="G555" s="555"/>
      <c r="H555" s="555"/>
      <c r="I555" s="555"/>
      <c r="J555" s="555"/>
      <c r="K555" s="555"/>
      <c r="L555" s="555"/>
      <c r="M555" s="555"/>
      <c r="N555" s="555"/>
      <c r="O555" s="555"/>
      <c r="P555" s="555"/>
      <c r="Q555" s="3442">
        <f>SUM(Q549:V554)</f>
        <v>783200000</v>
      </c>
      <c r="R555" s="3442"/>
      <c r="S555" s="3442"/>
      <c r="T555" s="3442"/>
      <c r="U555" s="3442"/>
      <c r="V555" s="3442"/>
      <c r="W555" s="577"/>
      <c r="X555" s="3442">
        <f>SUM(X549:AC554)</f>
        <v>780600000</v>
      </c>
      <c r="Y555" s="3442"/>
      <c r="Z555" s="3442"/>
      <c r="AA555" s="3442"/>
      <c r="AB555" s="3442"/>
      <c r="AC555" s="3442"/>
      <c r="AQ555" s="87"/>
      <c r="AS555" s="548"/>
    </row>
    <row r="556" spans="1:53" ht="13.5" thickTop="1" x14ac:dyDescent="0.35">
      <c r="E556" s="555"/>
      <c r="F556" s="555"/>
      <c r="G556" s="555"/>
      <c r="H556" s="555"/>
      <c r="I556" s="555"/>
      <c r="J556" s="555"/>
      <c r="K556" s="555"/>
      <c r="L556" s="555"/>
      <c r="M556" s="555"/>
      <c r="N556" s="555"/>
      <c r="O556" s="555"/>
      <c r="P556" s="555"/>
      <c r="Q556" s="578"/>
      <c r="R556" s="578"/>
      <c r="S556" s="578"/>
      <c r="T556" s="578"/>
      <c r="U556" s="578"/>
      <c r="V556" s="578"/>
      <c r="W556" s="577"/>
      <c r="X556" s="578"/>
      <c r="Y556" s="578"/>
      <c r="Z556" s="578"/>
      <c r="AA556" s="578"/>
      <c r="AB556" s="578"/>
      <c r="AC556" s="578"/>
      <c r="AS556" s="548"/>
      <c r="AT556" s="738"/>
    </row>
    <row r="557" spans="1:53" outlineLevel="1" x14ac:dyDescent="0.35">
      <c r="E557" s="555"/>
      <c r="F557" s="555"/>
      <c r="G557" s="555"/>
      <c r="H557" s="555"/>
      <c r="I557" s="555"/>
      <c r="J557" s="555"/>
      <c r="K557" s="555"/>
      <c r="L557" s="555"/>
      <c r="M557" s="555"/>
      <c r="N557" s="555"/>
      <c r="O557" s="555"/>
      <c r="P557" s="555"/>
      <c r="Q557" s="578"/>
      <c r="R557" s="578"/>
      <c r="S557" s="578"/>
      <c r="T557" s="578"/>
      <c r="U557" s="578"/>
      <c r="V557" s="578"/>
      <c r="W557" s="577"/>
      <c r="X557" s="578"/>
      <c r="Y557" s="578"/>
      <c r="Z557" s="578"/>
      <c r="AA557" s="578"/>
      <c r="AB557" s="578"/>
      <c r="AC557" s="578"/>
      <c r="AS557" s="548"/>
    </row>
    <row r="558" spans="1:53" outlineLevel="1" x14ac:dyDescent="0.35">
      <c r="E558" s="555"/>
      <c r="F558" s="555"/>
      <c r="G558" s="555"/>
      <c r="H558" s="555"/>
      <c r="I558" s="555"/>
      <c r="J558" s="555"/>
      <c r="K558" s="555"/>
      <c r="L558" s="555"/>
      <c r="M558" s="555"/>
      <c r="N558" s="555"/>
      <c r="O558" s="555"/>
      <c r="P558" s="555"/>
      <c r="Q558" s="578"/>
      <c r="R558" s="578"/>
      <c r="S558" s="578"/>
      <c r="T558" s="578"/>
      <c r="U558" s="578"/>
      <c r="V558" s="578"/>
      <c r="W558" s="577"/>
      <c r="X558" s="578"/>
      <c r="Y558" s="578"/>
      <c r="Z558" s="578"/>
      <c r="AA558" s="578"/>
      <c r="AB558" s="578"/>
      <c r="AC558" s="578"/>
      <c r="AS558" s="548"/>
    </row>
    <row r="559" spans="1:53" outlineLevel="1" x14ac:dyDescent="0.35">
      <c r="E559" s="555"/>
      <c r="F559" s="555"/>
      <c r="G559" s="555"/>
      <c r="H559" s="555"/>
      <c r="I559" s="555"/>
      <c r="J559" s="555"/>
      <c r="K559" s="555"/>
      <c r="L559" s="555"/>
      <c r="M559" s="555"/>
      <c r="N559" s="555"/>
      <c r="O559" s="555"/>
      <c r="P559" s="555"/>
      <c r="Q559" s="578"/>
      <c r="R559" s="578"/>
      <c r="S559" s="578"/>
      <c r="T559" s="578"/>
      <c r="U559" s="578"/>
      <c r="V559" s="578"/>
      <c r="W559" s="577"/>
      <c r="X559" s="578"/>
      <c r="Y559" s="578"/>
      <c r="Z559" s="578"/>
      <c r="AA559" s="578"/>
      <c r="AB559" s="578"/>
      <c r="AC559" s="578"/>
      <c r="AS559" s="548"/>
    </row>
    <row r="560" spans="1:53" s="513" customFormat="1" ht="15" outlineLevel="1" x14ac:dyDescent="0.35">
      <c r="A560" s="612"/>
      <c r="B560" s="739" t="s">
        <v>910</v>
      </c>
      <c r="C560" s="536" t="s">
        <v>911</v>
      </c>
      <c r="D560" s="535"/>
      <c r="E560" s="537"/>
      <c r="F560" s="537"/>
      <c r="G560" s="537"/>
      <c r="H560" s="537"/>
      <c r="I560" s="537"/>
      <c r="J560" s="537"/>
      <c r="K560" s="537"/>
      <c r="L560" s="537"/>
      <c r="M560" s="537"/>
      <c r="N560" s="537"/>
      <c r="O560" s="537"/>
      <c r="P560" s="537"/>
      <c r="Q560" s="537"/>
      <c r="R560" s="537"/>
      <c r="S560" s="537"/>
      <c r="T560" s="537"/>
      <c r="U560" s="537"/>
      <c r="V560" s="538"/>
      <c r="W560" s="537"/>
      <c r="X560" s="539" t="str">
        <f>B560</f>
        <v>15.</v>
      </c>
      <c r="Y560" s="539" t="s">
        <v>912</v>
      </c>
      <c r="Z560" s="539"/>
      <c r="AA560" s="539"/>
      <c r="AB560" s="539"/>
      <c r="AC560" s="539"/>
      <c r="AD560" s="539"/>
      <c r="AE560" s="539"/>
      <c r="AF560" s="539"/>
      <c r="AG560" s="539"/>
      <c r="AH560" s="539"/>
      <c r="AI560" s="539"/>
      <c r="AJ560" s="539"/>
      <c r="AK560" s="539"/>
      <c r="AL560" s="539"/>
      <c r="AM560" s="539"/>
      <c r="AN560" s="539"/>
      <c r="AO560" s="539"/>
      <c r="AP560" s="566"/>
      <c r="AQ560" s="567"/>
      <c r="AR560" s="612"/>
      <c r="AS560" s="693"/>
    </row>
    <row r="561" spans="1:52" ht="13.5" outlineLevel="1" x14ac:dyDescent="0.35">
      <c r="C561" s="64"/>
      <c r="D561" s="84"/>
      <c r="E561" s="546"/>
      <c r="F561" s="546"/>
      <c r="G561" s="546"/>
      <c r="H561" s="546"/>
      <c r="I561" s="546"/>
      <c r="J561" s="546"/>
      <c r="K561" s="546"/>
      <c r="L561" s="546"/>
      <c r="M561" s="546"/>
      <c r="N561" s="546"/>
      <c r="O561" s="546"/>
      <c r="P561" s="546"/>
      <c r="Q561" s="546"/>
      <c r="R561" s="546"/>
      <c r="S561" s="546"/>
      <c r="T561" s="546"/>
      <c r="U561" s="546"/>
      <c r="V561" s="547"/>
      <c r="W561" s="546"/>
      <c r="X561" s="546"/>
      <c r="Y561" s="546"/>
      <c r="Z561" s="546"/>
      <c r="AA561" s="546"/>
      <c r="AB561" s="546"/>
      <c r="AC561" s="546"/>
      <c r="AQ561" s="88"/>
      <c r="AS561" s="548"/>
    </row>
    <row r="562" spans="1:52" outlineLevel="1" x14ac:dyDescent="0.35">
      <c r="C562" s="181" t="s">
        <v>913</v>
      </c>
      <c r="D562" s="84"/>
      <c r="E562" s="546"/>
      <c r="F562" s="546"/>
      <c r="G562" s="546"/>
      <c r="H562" s="546"/>
      <c r="I562" s="546"/>
      <c r="J562" s="546"/>
      <c r="K562" s="546"/>
      <c r="L562" s="546"/>
      <c r="M562" s="546"/>
      <c r="N562" s="546"/>
      <c r="O562" s="546"/>
      <c r="P562" s="546"/>
      <c r="Q562" s="558"/>
      <c r="R562" s="558"/>
      <c r="S562" s="558"/>
      <c r="T562" s="558"/>
      <c r="U562" s="558"/>
      <c r="V562" s="558"/>
      <c r="W562" s="546"/>
      <c r="X562" s="558"/>
      <c r="Y562" s="558"/>
      <c r="Z562" s="558"/>
      <c r="AA562" s="558"/>
      <c r="AB562" s="558"/>
      <c r="AC562" s="558"/>
      <c r="AQ562" s="87" t="s">
        <v>914</v>
      </c>
      <c r="AS562" s="548"/>
    </row>
    <row r="563" spans="1:52" s="142" customFormat="1" ht="13.5" outlineLevel="1" x14ac:dyDescent="0.35">
      <c r="A563" s="181"/>
      <c r="B563" s="130"/>
      <c r="C563" s="64"/>
      <c r="D563" s="84"/>
      <c r="E563" s="546"/>
      <c r="F563" s="546"/>
      <c r="G563" s="546"/>
      <c r="H563" s="546"/>
      <c r="I563" s="546"/>
      <c r="J563" s="546"/>
      <c r="K563" s="546"/>
      <c r="L563" s="546"/>
      <c r="M563" s="546"/>
      <c r="N563" s="546"/>
      <c r="O563" s="546"/>
      <c r="P563" s="546"/>
      <c r="Q563" s="3424" t="str">
        <f>Q518</f>
        <v>30 June 2026/</v>
      </c>
      <c r="R563" s="3424"/>
      <c r="S563" s="3424"/>
      <c r="T563" s="3424"/>
      <c r="U563" s="3424"/>
      <c r="V563" s="3424"/>
      <c r="W563" s="181"/>
      <c r="X563" s="3424" t="str">
        <f>X518</f>
        <v>31 May 2026/</v>
      </c>
      <c r="Y563" s="3424"/>
      <c r="Z563" s="3424"/>
      <c r="AA563" s="3424"/>
      <c r="AB563" s="3424"/>
      <c r="AC563" s="3424"/>
      <c r="AD563" s="181"/>
      <c r="AE563" s="181"/>
      <c r="AF563" s="181"/>
      <c r="AG563" s="181"/>
      <c r="AH563" s="181"/>
      <c r="AI563" s="181"/>
      <c r="AJ563" s="181"/>
      <c r="AK563" s="181"/>
      <c r="AL563" s="181"/>
      <c r="AM563" s="181"/>
      <c r="AN563" s="181"/>
      <c r="AO563" s="181"/>
      <c r="AP563" s="179"/>
      <c r="AQ563" s="88"/>
      <c r="AR563" s="181"/>
      <c r="AS563" s="570"/>
    </row>
    <row r="564" spans="1:52" ht="14" outlineLevel="1" thickBot="1" x14ac:dyDescent="0.4">
      <c r="A564" s="142"/>
      <c r="B564" s="559"/>
      <c r="C564" s="142"/>
      <c r="D564" s="568"/>
      <c r="E564" s="553"/>
      <c r="F564" s="553"/>
      <c r="G564" s="553"/>
      <c r="H564" s="553"/>
      <c r="I564" s="553"/>
      <c r="J564" s="553"/>
      <c r="K564" s="553"/>
      <c r="L564" s="553"/>
      <c r="M564" s="553"/>
      <c r="N564" s="553"/>
      <c r="O564" s="553"/>
      <c r="P564" s="553"/>
      <c r="Q564" s="3639">
        <f>Q519</f>
        <v>46203</v>
      </c>
      <c r="R564" s="3639"/>
      <c r="S564" s="3639"/>
      <c r="T564" s="3639"/>
      <c r="U564" s="3639"/>
      <c r="V564" s="3639"/>
      <c r="X564" s="3639">
        <f>X519</f>
        <v>46173</v>
      </c>
      <c r="Y564" s="3639"/>
      <c r="Z564" s="3639"/>
      <c r="AA564" s="3639"/>
      <c r="AB564" s="3639"/>
      <c r="AC564" s="3639"/>
      <c r="AD564" s="142"/>
      <c r="AE564" s="142"/>
      <c r="AF564" s="142"/>
      <c r="AG564" s="142"/>
      <c r="AH564" s="142"/>
      <c r="AI564" s="142"/>
      <c r="AJ564" s="142"/>
      <c r="AK564" s="142"/>
      <c r="AL564" s="142"/>
      <c r="AM564" s="142"/>
      <c r="AN564" s="142"/>
      <c r="AO564" s="142"/>
      <c r="AP564" s="87"/>
      <c r="AQ564" s="87"/>
      <c r="AR564" s="142"/>
      <c r="AS564" s="548"/>
    </row>
    <row r="565" spans="1:52" ht="13.5" outlineLevel="1" x14ac:dyDescent="0.35">
      <c r="C565" s="130"/>
      <c r="D565" s="130"/>
      <c r="E565" s="546"/>
      <c r="F565" s="546"/>
      <c r="G565" s="546"/>
      <c r="H565" s="546"/>
      <c r="I565" s="546"/>
      <c r="J565" s="546"/>
      <c r="K565" s="546"/>
      <c r="L565" s="546"/>
      <c r="M565" s="546"/>
      <c r="N565" s="546"/>
      <c r="O565" s="546"/>
      <c r="P565" s="546"/>
      <c r="AP565" s="557"/>
      <c r="AQ565" s="88"/>
      <c r="AS565" s="548"/>
    </row>
    <row r="566" spans="1:52" outlineLevel="1" x14ac:dyDescent="0.35">
      <c r="B566" s="86" t="s">
        <v>190</v>
      </c>
      <c r="C566" s="84" t="s">
        <v>915</v>
      </c>
      <c r="D566" s="84"/>
      <c r="E566" s="546"/>
      <c r="F566" s="546"/>
      <c r="G566" s="546"/>
      <c r="H566" s="546"/>
      <c r="I566" s="546"/>
      <c r="J566" s="546"/>
      <c r="K566" s="546"/>
      <c r="L566" s="546"/>
      <c r="M566" s="546"/>
      <c r="N566" s="546"/>
      <c r="O566" s="546"/>
      <c r="P566" s="546"/>
      <c r="Q566" s="3641">
        <f>'7'!E27</f>
        <v>246688431.33000001</v>
      </c>
      <c r="R566" s="3641"/>
      <c r="S566" s="3641"/>
      <c r="T566" s="3641"/>
      <c r="U566" s="3641"/>
      <c r="V566" s="3641"/>
      <c r="W566" s="367"/>
      <c r="X566" s="3642">
        <v>236651951.83000001</v>
      </c>
      <c r="Y566" s="3642"/>
      <c r="Z566" s="3642"/>
      <c r="AA566" s="3642"/>
      <c r="AB566" s="3642"/>
      <c r="AC566" s="3642"/>
      <c r="AQ566" s="87" t="s">
        <v>916</v>
      </c>
      <c r="AR566" s="86" t="s">
        <v>190</v>
      </c>
      <c r="AS566" s="548"/>
    </row>
    <row r="567" spans="1:52" outlineLevel="1" x14ac:dyDescent="0.35">
      <c r="B567" s="86" t="s">
        <v>190</v>
      </c>
      <c r="C567" s="84" t="s">
        <v>3244</v>
      </c>
      <c r="D567" s="84"/>
      <c r="E567" s="546"/>
      <c r="F567" s="546"/>
      <c r="G567" s="546"/>
      <c r="H567" s="546"/>
      <c r="I567" s="546"/>
      <c r="J567" s="546"/>
      <c r="K567" s="546"/>
      <c r="L567" s="546"/>
      <c r="M567" s="546"/>
      <c r="N567" s="546"/>
      <c r="O567" s="546"/>
      <c r="P567" s="546"/>
      <c r="Q567" s="3640">
        <f>'7'!E29</f>
        <v>0</v>
      </c>
      <c r="R567" s="3640"/>
      <c r="S567" s="3640"/>
      <c r="T567" s="3640"/>
      <c r="U567" s="3640"/>
      <c r="V567" s="3640"/>
      <c r="W567" s="367"/>
      <c r="X567" s="3642">
        <f>'7'!F29</f>
        <v>0</v>
      </c>
      <c r="Y567" s="3642"/>
      <c r="Z567" s="3642"/>
      <c r="AA567" s="3642"/>
      <c r="AB567" s="3642"/>
      <c r="AC567" s="3642"/>
      <c r="AQ567" s="87" t="s">
        <v>3248</v>
      </c>
      <c r="AR567" s="86" t="s">
        <v>190</v>
      </c>
      <c r="AS567" s="548"/>
    </row>
    <row r="568" spans="1:52" outlineLevel="1" x14ac:dyDescent="0.35">
      <c r="B568" s="86" t="s">
        <v>190</v>
      </c>
      <c r="C568" s="84" t="s">
        <v>3245</v>
      </c>
      <c r="D568" s="84"/>
      <c r="E568" s="546"/>
      <c r="F568" s="546"/>
      <c r="G568" s="546"/>
      <c r="H568" s="546"/>
      <c r="I568" s="546"/>
      <c r="J568" s="546"/>
      <c r="K568" s="546"/>
      <c r="L568" s="546"/>
      <c r="M568" s="546"/>
      <c r="N568" s="546"/>
      <c r="O568" s="546"/>
      <c r="P568" s="546"/>
      <c r="Q568" s="3640">
        <f>'7'!E33</f>
        <v>0</v>
      </c>
      <c r="R568" s="3640"/>
      <c r="S568" s="3640"/>
      <c r="T568" s="3640"/>
      <c r="U568" s="3640"/>
      <c r="V568" s="3640"/>
      <c r="W568" s="367"/>
      <c r="X568" s="3642">
        <f>'7'!F33</f>
        <v>0</v>
      </c>
      <c r="Y568" s="3642"/>
      <c r="Z568" s="3642"/>
      <c r="AA568" s="3642"/>
      <c r="AB568" s="3642"/>
      <c r="AC568" s="3642"/>
      <c r="AQ568" s="87" t="s">
        <v>3249</v>
      </c>
      <c r="AR568" s="86" t="s">
        <v>190</v>
      </c>
      <c r="AS568" s="548"/>
    </row>
    <row r="569" spans="1:52" outlineLevel="1" x14ac:dyDescent="0.35">
      <c r="B569" s="86" t="s">
        <v>190</v>
      </c>
      <c r="C569" s="84" t="s">
        <v>3246</v>
      </c>
      <c r="D569" s="84"/>
      <c r="E569" s="546"/>
      <c r="F569" s="546"/>
      <c r="G569" s="546"/>
      <c r="H569" s="546"/>
      <c r="I569" s="546"/>
      <c r="J569" s="546"/>
      <c r="K569" s="546"/>
      <c r="L569" s="546"/>
      <c r="M569" s="546"/>
      <c r="N569" s="546"/>
      <c r="O569" s="546"/>
      <c r="P569" s="546"/>
      <c r="Q569" s="3640">
        <f>'7'!E35</f>
        <v>0</v>
      </c>
      <c r="R569" s="3640"/>
      <c r="S569" s="3640"/>
      <c r="T569" s="3640"/>
      <c r="U569" s="3640"/>
      <c r="V569" s="3640"/>
      <c r="W569" s="367"/>
      <c r="X569" s="3642">
        <f>'7'!F35</f>
        <v>0</v>
      </c>
      <c r="Y569" s="3642"/>
      <c r="Z569" s="3642"/>
      <c r="AA569" s="3642"/>
      <c r="AB569" s="3642"/>
      <c r="AC569" s="3642"/>
      <c r="AQ569" s="87" t="s">
        <v>3250</v>
      </c>
      <c r="AR569" s="86" t="s">
        <v>190</v>
      </c>
      <c r="AS569" s="548"/>
    </row>
    <row r="570" spans="1:52" outlineLevel="1" x14ac:dyDescent="0.35">
      <c r="B570" s="86" t="s">
        <v>190</v>
      </c>
      <c r="C570" s="84" t="s">
        <v>3247</v>
      </c>
      <c r="D570" s="84"/>
      <c r="E570" s="546"/>
      <c r="F570" s="546"/>
      <c r="G570" s="546"/>
      <c r="H570" s="546"/>
      <c r="I570" s="546"/>
      <c r="J570" s="546"/>
      <c r="K570" s="546"/>
      <c r="L570" s="546"/>
      <c r="M570" s="546"/>
      <c r="N570" s="546"/>
      <c r="O570" s="546"/>
      <c r="P570" s="546"/>
      <c r="Q570" s="3640">
        <f>'7'!E31</f>
        <v>0</v>
      </c>
      <c r="R570" s="3640"/>
      <c r="S570" s="3640"/>
      <c r="T570" s="3640"/>
      <c r="U570" s="3640"/>
      <c r="V570" s="3640"/>
      <c r="W570" s="367"/>
      <c r="X570" s="3642">
        <f>'7'!F41</f>
        <v>0</v>
      </c>
      <c r="Y570" s="3642"/>
      <c r="Z570" s="3642"/>
      <c r="AA570" s="3642"/>
      <c r="AB570" s="3642"/>
      <c r="AC570" s="3642"/>
      <c r="AQ570" s="87" t="s">
        <v>350</v>
      </c>
      <c r="AR570" s="86" t="s">
        <v>190</v>
      </c>
      <c r="AS570" s="548"/>
    </row>
    <row r="571" spans="1:52" outlineLevel="1" x14ac:dyDescent="0.35">
      <c r="B571" s="86" t="s">
        <v>190</v>
      </c>
      <c r="C571" s="84" t="s">
        <v>273</v>
      </c>
      <c r="E571" s="546"/>
      <c r="F571" s="546"/>
      <c r="G571" s="546"/>
      <c r="H571" s="546"/>
      <c r="I571" s="546"/>
      <c r="J571" s="546"/>
      <c r="K571" s="546"/>
      <c r="L571" s="546"/>
      <c r="M571" s="546"/>
      <c r="N571" s="546"/>
      <c r="O571" s="546"/>
      <c r="P571" s="546"/>
      <c r="Q571" s="3640">
        <f>'7'!E49</f>
        <v>0</v>
      </c>
      <c r="R571" s="3640"/>
      <c r="S571" s="3640"/>
      <c r="T571" s="3640"/>
      <c r="U571" s="3640"/>
      <c r="V571" s="3640"/>
      <c r="W571" s="367"/>
      <c r="X571" s="3642">
        <f>'7'!F49</f>
        <v>0</v>
      </c>
      <c r="Y571" s="3642"/>
      <c r="Z571" s="3642"/>
      <c r="AA571" s="3642"/>
      <c r="AB571" s="3642"/>
      <c r="AC571" s="3642"/>
      <c r="AP571" s="87"/>
      <c r="AQ571" s="87" t="s">
        <v>274</v>
      </c>
      <c r="AR571" s="86" t="s">
        <v>190</v>
      </c>
      <c r="AS571" s="548"/>
    </row>
    <row r="572" spans="1:52" ht="14" outlineLevel="1" thickBot="1" x14ac:dyDescent="0.4">
      <c r="C572" s="64" t="s">
        <v>917</v>
      </c>
      <c r="D572" s="64"/>
      <c r="E572" s="555"/>
      <c r="F572" s="555"/>
      <c r="G572" s="555"/>
      <c r="H572" s="555"/>
      <c r="I572" s="555"/>
      <c r="J572" s="555"/>
      <c r="K572" s="555"/>
      <c r="L572" s="555"/>
      <c r="M572" s="555"/>
      <c r="N572" s="555"/>
      <c r="O572" s="555"/>
      <c r="P572" s="555"/>
      <c r="Q572" s="3636">
        <f>SUM(Q566:V571)</f>
        <v>246688431.33000001</v>
      </c>
      <c r="R572" s="3636"/>
      <c r="S572" s="3636"/>
      <c r="T572" s="3636"/>
      <c r="U572" s="3636"/>
      <c r="V572" s="3636"/>
      <c r="W572" s="367"/>
      <c r="X572" s="3636">
        <f>SUM(X566:AC571)</f>
        <v>236651951.83000001</v>
      </c>
      <c r="Y572" s="3636"/>
      <c r="Z572" s="3636"/>
      <c r="AA572" s="3636"/>
      <c r="AB572" s="3636"/>
      <c r="AC572" s="3636"/>
      <c r="AP572" s="557"/>
      <c r="AQ572" s="88" t="s">
        <v>918</v>
      </c>
      <c r="AS572" s="548"/>
    </row>
    <row r="573" spans="1:52" s="64" customFormat="1" ht="13.5" outlineLevel="1" thickTop="1" x14ac:dyDescent="0.35">
      <c r="A573" s="181"/>
      <c r="B573" s="130"/>
      <c r="C573" s="181"/>
      <c r="D573" s="181"/>
      <c r="E573" s="547"/>
      <c r="F573" s="547"/>
      <c r="G573" s="547"/>
      <c r="H573" s="547"/>
      <c r="I573" s="547"/>
      <c r="J573" s="547"/>
      <c r="K573" s="547"/>
      <c r="L573" s="547"/>
      <c r="M573" s="547"/>
      <c r="N573" s="547"/>
      <c r="O573" s="547"/>
      <c r="P573" s="547"/>
      <c r="Q573" s="547"/>
      <c r="R573" s="547"/>
      <c r="S573" s="547"/>
      <c r="T573" s="547"/>
      <c r="U573" s="547"/>
      <c r="V573" s="547"/>
      <c r="W573" s="547"/>
      <c r="X573" s="547"/>
      <c r="Y573" s="547"/>
      <c r="Z573" s="547"/>
      <c r="AA573" s="547"/>
      <c r="AB573" s="547"/>
      <c r="AC573" s="547"/>
      <c r="AD573" s="181"/>
      <c r="AE573" s="181"/>
      <c r="AF573" s="181"/>
      <c r="AG573" s="181"/>
      <c r="AH573" s="181"/>
      <c r="AI573" s="181"/>
      <c r="AJ573" s="181"/>
      <c r="AK573" s="181"/>
      <c r="AL573" s="181"/>
      <c r="AM573" s="181"/>
      <c r="AN573" s="181"/>
      <c r="AO573" s="181"/>
      <c r="AP573" s="179"/>
      <c r="AQ573" s="179"/>
      <c r="AR573" s="181"/>
      <c r="AS573" s="523"/>
    </row>
    <row r="574" spans="1:52" s="64" customFormat="1" outlineLevel="1" x14ac:dyDescent="0.35">
      <c r="A574" s="181"/>
      <c r="B574" s="130"/>
      <c r="C574" s="181"/>
      <c r="D574" s="181"/>
      <c r="E574" s="547"/>
      <c r="F574" s="547"/>
      <c r="G574" s="547"/>
      <c r="H574" s="547"/>
      <c r="I574" s="547"/>
      <c r="J574" s="547"/>
      <c r="K574" s="547"/>
      <c r="L574" s="547"/>
      <c r="M574" s="547"/>
      <c r="N574" s="547"/>
      <c r="O574" s="547"/>
      <c r="P574" s="547"/>
      <c r="Q574" s="547"/>
      <c r="R574" s="547"/>
      <c r="S574" s="547"/>
      <c r="T574" s="547"/>
      <c r="U574" s="547"/>
      <c r="V574" s="547"/>
      <c r="W574" s="547"/>
      <c r="X574" s="547"/>
      <c r="Y574" s="547"/>
      <c r="Z574" s="547"/>
      <c r="AA574" s="547"/>
      <c r="AB574" s="547"/>
      <c r="AC574" s="547"/>
      <c r="AD574" s="181"/>
      <c r="AE574" s="181"/>
      <c r="AF574" s="181"/>
      <c r="AG574" s="181"/>
      <c r="AH574" s="181"/>
      <c r="AI574" s="181"/>
      <c r="AJ574" s="181"/>
      <c r="AK574" s="181"/>
      <c r="AL574" s="181"/>
      <c r="AM574" s="181"/>
      <c r="AN574" s="181"/>
      <c r="AO574" s="181"/>
      <c r="AP574" s="179"/>
      <c r="AQ574" s="179"/>
      <c r="AR574" s="181"/>
      <c r="AS574" s="523"/>
    </row>
    <row r="575" spans="1:52" s="64" customFormat="1" outlineLevel="1" x14ac:dyDescent="0.35">
      <c r="A575" s="181"/>
      <c r="B575" s="130"/>
      <c r="C575" s="181"/>
      <c r="D575" s="181"/>
      <c r="E575" s="547"/>
      <c r="F575" s="547"/>
      <c r="G575" s="547"/>
      <c r="H575" s="547"/>
      <c r="I575" s="547"/>
      <c r="J575" s="547"/>
      <c r="K575" s="547"/>
      <c r="L575" s="547"/>
      <c r="M575" s="547"/>
      <c r="N575" s="547"/>
      <c r="O575" s="547"/>
      <c r="P575" s="547"/>
      <c r="Q575" s="547"/>
      <c r="R575" s="547"/>
      <c r="S575" s="547"/>
      <c r="T575" s="547"/>
      <c r="U575" s="547"/>
      <c r="V575" s="547"/>
      <c r="W575" s="547"/>
      <c r="X575" s="547"/>
      <c r="Y575" s="547"/>
      <c r="Z575" s="547"/>
      <c r="AA575" s="547"/>
      <c r="AB575" s="547"/>
      <c r="AC575" s="547"/>
      <c r="AD575" s="181"/>
      <c r="AE575" s="181"/>
      <c r="AF575" s="181"/>
      <c r="AG575" s="181"/>
      <c r="AH575" s="181"/>
      <c r="AI575" s="181"/>
      <c r="AJ575" s="181"/>
      <c r="AK575" s="181"/>
      <c r="AL575" s="181"/>
      <c r="AM575" s="181"/>
      <c r="AN575" s="181"/>
      <c r="AO575" s="181"/>
      <c r="AP575" s="179"/>
      <c r="AQ575" s="179"/>
      <c r="AR575" s="181"/>
      <c r="AS575" s="523"/>
    </row>
    <row r="576" spans="1:52" s="513" customFormat="1" ht="13.5" outlineLevel="1" x14ac:dyDescent="0.35">
      <c r="A576" s="544"/>
      <c r="B576" s="740" t="s">
        <v>690</v>
      </c>
      <c r="C576" s="536" t="s">
        <v>919</v>
      </c>
      <c r="D576" s="601"/>
      <c r="E576" s="603"/>
      <c r="F576" s="603"/>
      <c r="G576" s="603"/>
      <c r="H576" s="603"/>
      <c r="I576" s="603"/>
      <c r="J576" s="603"/>
      <c r="K576" s="603"/>
      <c r="L576" s="603"/>
      <c r="M576" s="603"/>
      <c r="N576" s="603"/>
      <c r="O576" s="603"/>
      <c r="P576" s="603"/>
      <c r="Q576" s="603"/>
      <c r="R576" s="603"/>
      <c r="S576" s="603"/>
      <c r="T576" s="603"/>
      <c r="U576" s="603"/>
      <c r="V576" s="604"/>
      <c r="W576" s="603"/>
      <c r="X576" s="605" t="str">
        <f>B576</f>
        <v xml:space="preserve"> </v>
      </c>
      <c r="Y576" s="605" t="s">
        <v>920</v>
      </c>
      <c r="Z576" s="605"/>
      <c r="AA576" s="605"/>
      <c r="AB576" s="605"/>
      <c r="AC576" s="605"/>
      <c r="AD576" s="605"/>
      <c r="AE576" s="605"/>
      <c r="AF576" s="605"/>
      <c r="AG576" s="605"/>
      <c r="AH576" s="605"/>
      <c r="AI576" s="605"/>
      <c r="AJ576" s="605"/>
      <c r="AK576" s="605"/>
      <c r="AL576" s="605"/>
      <c r="AM576" s="605"/>
      <c r="AN576" s="605"/>
      <c r="AO576" s="605"/>
      <c r="AP576" s="606"/>
      <c r="AQ576" s="607"/>
      <c r="AR576" s="544"/>
      <c r="AS576" s="693"/>
      <c r="AY576" s="741">
        <f>[9]IN!J16</f>
        <v>42247</v>
      </c>
      <c r="AZ576" s="741">
        <f>[9]IN!J19</f>
        <v>42216</v>
      </c>
    </row>
    <row r="577" spans="1:55" s="513" customFormat="1" outlineLevel="1" x14ac:dyDescent="0.35">
      <c r="B577" s="742"/>
      <c r="C577" s="49"/>
      <c r="D577" s="181" t="str">
        <f>TEXT([9]IN!K3,"m")</f>
        <v>8</v>
      </c>
      <c r="E577" s="743"/>
      <c r="F577" s="743"/>
      <c r="G577" s="743"/>
      <c r="H577" s="743"/>
      <c r="I577" s="743"/>
      <c r="J577" s="743"/>
      <c r="K577" s="743"/>
      <c r="L577" s="743"/>
      <c r="M577" s="743"/>
      <c r="N577" s="743"/>
      <c r="O577" s="743"/>
      <c r="P577" s="743"/>
      <c r="Q577" s="744"/>
      <c r="R577" s="744"/>
      <c r="S577" s="744"/>
      <c r="T577" s="744"/>
      <c r="U577" s="744"/>
      <c r="V577" s="744"/>
      <c r="W577" s="745"/>
      <c r="X577" s="744"/>
      <c r="Y577" s="744"/>
      <c r="Z577" s="744" t="str">
        <f>TEXT([9]IN!K3,"m")</f>
        <v>8</v>
      </c>
      <c r="AA577" s="744"/>
      <c r="AB577" s="744"/>
      <c r="AC577" s="744"/>
      <c r="AD577" s="49"/>
      <c r="AE577" s="49"/>
      <c r="AF577" s="49"/>
      <c r="AG577" s="49"/>
      <c r="AH577" s="49"/>
      <c r="AI577" s="49"/>
      <c r="AJ577" s="49"/>
      <c r="AK577" s="49"/>
      <c r="AL577" s="49"/>
      <c r="AM577" s="49"/>
      <c r="AN577" s="49"/>
      <c r="AO577" s="49"/>
      <c r="AP577" s="746"/>
      <c r="AQ577" s="746"/>
      <c r="AS577" s="693"/>
    </row>
    <row r="578" spans="1:55" outlineLevel="1" x14ac:dyDescent="0.35">
      <c r="B578" s="742"/>
      <c r="C578" s="747"/>
      <c r="D578" s="49"/>
      <c r="E578" s="743"/>
      <c r="F578" s="743"/>
      <c r="G578" s="743"/>
      <c r="H578" s="743"/>
      <c r="I578" s="743"/>
      <c r="J578" s="743"/>
      <c r="K578" s="743"/>
      <c r="L578" s="743"/>
      <c r="M578" s="743"/>
      <c r="N578" s="743"/>
      <c r="O578" s="743"/>
      <c r="P578" s="743"/>
      <c r="Q578" s="3424" t="str">
        <f>Q563</f>
        <v>30 June 2026/</v>
      </c>
      <c r="R578" s="3424"/>
      <c r="S578" s="3424"/>
      <c r="T578" s="3424"/>
      <c r="U578" s="3424"/>
      <c r="V578" s="3424"/>
      <c r="X578" s="3424" t="str">
        <f>X563</f>
        <v>31 May 2026/</v>
      </c>
      <c r="Y578" s="3424"/>
      <c r="Z578" s="3424"/>
      <c r="AA578" s="3424"/>
      <c r="AB578" s="3424"/>
      <c r="AC578" s="3424"/>
      <c r="AD578" s="49"/>
      <c r="AE578" s="49"/>
      <c r="AF578" s="49"/>
      <c r="AG578" s="49"/>
      <c r="AH578" s="49"/>
      <c r="AI578" s="49"/>
      <c r="AJ578" s="49"/>
      <c r="AK578" s="49"/>
      <c r="AL578" s="49"/>
      <c r="AM578" s="49"/>
      <c r="AN578" s="49"/>
      <c r="AO578" s="49"/>
      <c r="AP578" s="746"/>
      <c r="AQ578" s="746"/>
      <c r="AS578" s="3333"/>
      <c r="AT578" s="3328"/>
      <c r="AU578" s="3328"/>
      <c r="AV578" s="3328"/>
      <c r="AW578" s="3328"/>
      <c r="AX578" s="3328"/>
      <c r="AY578" s="3335"/>
      <c r="AZ578" s="3328"/>
      <c r="BA578" s="3328"/>
      <c r="BB578" s="3328"/>
      <c r="BC578" s="3328"/>
    </row>
    <row r="579" spans="1:55" ht="13.5" outlineLevel="1" thickBot="1" x14ac:dyDescent="0.4">
      <c r="B579" s="742"/>
      <c r="C579" s="747"/>
      <c r="D579" s="49"/>
      <c r="E579" s="743"/>
      <c r="F579" s="743"/>
      <c r="G579" s="743"/>
      <c r="H579" s="743"/>
      <c r="I579" s="743"/>
      <c r="J579" s="743"/>
      <c r="K579" s="743"/>
      <c r="L579" s="743"/>
      <c r="M579" s="743"/>
      <c r="N579" s="743"/>
      <c r="O579" s="743"/>
      <c r="P579" s="743"/>
      <c r="Q579" s="3639" t="str">
        <f>Q534</f>
        <v>30 June 2026/</v>
      </c>
      <c r="R579" s="3639"/>
      <c r="S579" s="3639"/>
      <c r="T579" s="3639"/>
      <c r="U579" s="3639"/>
      <c r="V579" s="3639"/>
      <c r="X579" s="3639" t="str">
        <f>X534</f>
        <v>31 May 2026/</v>
      </c>
      <c r="Y579" s="3639"/>
      <c r="Z579" s="3639"/>
      <c r="AA579" s="3639"/>
      <c r="AB579" s="3639"/>
      <c r="AC579" s="3639"/>
      <c r="AD579" s="49"/>
      <c r="AE579" s="49"/>
      <c r="AF579" s="49"/>
      <c r="AG579" s="49"/>
      <c r="AH579" s="49"/>
      <c r="AI579" s="49"/>
      <c r="AJ579" s="49"/>
      <c r="AK579" s="49"/>
      <c r="AL579" s="49"/>
      <c r="AM579" s="49"/>
      <c r="AN579" s="49"/>
      <c r="AO579" s="49"/>
      <c r="AP579" s="746"/>
      <c r="AQ579" s="746"/>
      <c r="AS579" s="3333"/>
      <c r="AT579" s="3328"/>
      <c r="AU579" s="3328"/>
      <c r="AV579" s="3328"/>
      <c r="AW579" s="3328"/>
      <c r="AX579" s="3328"/>
      <c r="AY579" s="3328"/>
      <c r="AZ579" s="3328"/>
      <c r="BA579" s="3328"/>
      <c r="BB579" s="3328"/>
      <c r="BC579" s="3328"/>
    </row>
    <row r="580" spans="1:55" outlineLevel="1" x14ac:dyDescent="0.35">
      <c r="B580" s="742"/>
      <c r="C580" s="3422"/>
      <c r="D580" s="3422"/>
      <c r="E580" s="3422"/>
      <c r="F580" s="3422"/>
      <c r="G580" s="3422"/>
      <c r="H580" s="3422"/>
      <c r="I580" s="3422"/>
      <c r="J580" s="3422"/>
      <c r="K580" s="743"/>
      <c r="L580" s="743"/>
      <c r="M580" s="743"/>
      <c r="N580" s="743"/>
      <c r="O580" s="743"/>
      <c r="P580" s="743"/>
      <c r="Q580" s="744"/>
      <c r="R580" s="744"/>
      <c r="S580" s="744"/>
      <c r="T580" s="744"/>
      <c r="U580" s="744"/>
      <c r="V580" s="744"/>
      <c r="W580" s="745"/>
      <c r="X580" s="744"/>
      <c r="Y580" s="748"/>
      <c r="Z580" s="749"/>
      <c r="AA580" s="744"/>
      <c r="AB580" s="744"/>
      <c r="AC580" s="744"/>
      <c r="AD580" s="49"/>
      <c r="AE580" s="49"/>
      <c r="AF580" s="49"/>
      <c r="AG580" s="49"/>
      <c r="AH580" s="49"/>
      <c r="AI580" s="49"/>
      <c r="AJ580" s="49"/>
      <c r="AK580" s="49"/>
      <c r="AL580" s="49"/>
      <c r="AM580" s="49"/>
      <c r="AN580" s="49"/>
      <c r="AO580" s="49"/>
      <c r="AP580" s="746"/>
      <c r="AQ580" s="746"/>
      <c r="AS580" s="3333"/>
      <c r="AT580" s="3328"/>
      <c r="AU580" s="3328"/>
      <c r="AV580" s="3328"/>
      <c r="AW580" s="3328"/>
      <c r="AX580" s="3328"/>
      <c r="AY580" s="3328"/>
      <c r="AZ580" s="3328"/>
      <c r="BA580" s="3328"/>
      <c r="BB580" s="3328"/>
      <c r="BC580" s="3328"/>
    </row>
    <row r="581" spans="1:55" outlineLevel="1" x14ac:dyDescent="0.35">
      <c r="B581" s="86" t="s">
        <v>190</v>
      </c>
      <c r="C581" s="181" t="s">
        <v>3251</v>
      </c>
      <c r="D581" s="49"/>
      <c r="E581" s="743"/>
      <c r="F581" s="743"/>
      <c r="G581" s="743"/>
      <c r="H581" s="743"/>
      <c r="I581" s="743"/>
      <c r="J581" s="743"/>
      <c r="K581" s="743"/>
      <c r="L581" s="743"/>
      <c r="M581" s="743"/>
      <c r="N581" s="743"/>
      <c r="O581" s="743"/>
      <c r="P581" s="743"/>
      <c r="Q581" s="3640">
        <v>0</v>
      </c>
      <c r="R581" s="3640"/>
      <c r="S581" s="3640"/>
      <c r="T581" s="3640"/>
      <c r="U581" s="3640"/>
      <c r="V581" s="3640"/>
      <c r="W581" s="367"/>
      <c r="X581" s="3640">
        <v>0</v>
      </c>
      <c r="Y581" s="3640"/>
      <c r="Z581" s="3640"/>
      <c r="AA581" s="3640"/>
      <c r="AB581" s="3640"/>
      <c r="AC581" s="3640"/>
      <c r="AD581" s="49"/>
      <c r="AE581" s="49"/>
      <c r="AF581" s="49"/>
      <c r="AG581" s="49"/>
      <c r="AH581" s="49"/>
      <c r="AI581" s="49"/>
      <c r="AJ581" s="49"/>
      <c r="AK581" s="49"/>
      <c r="AL581" s="49"/>
      <c r="AM581" s="49"/>
      <c r="AN581" s="49"/>
      <c r="AO581" s="49"/>
      <c r="AP581" s="49"/>
      <c r="AQ581" s="746" t="s">
        <v>3251</v>
      </c>
      <c r="AR581" s="86" t="s">
        <v>190</v>
      </c>
      <c r="AS581" s="49"/>
    </row>
    <row r="582" spans="1:55" ht="15.5" outlineLevel="1" x14ac:dyDescent="0.35">
      <c r="B582" s="742"/>
      <c r="C582" s="49"/>
      <c r="D582" s="49"/>
      <c r="E582" s="752"/>
      <c r="F582" s="752"/>
      <c r="G582" s="752"/>
      <c r="H582" s="752"/>
      <c r="I582" s="752"/>
      <c r="J582" s="752"/>
      <c r="K582" s="752"/>
      <c r="L582" s="752"/>
      <c r="M582" s="752"/>
      <c r="N582" s="752"/>
      <c r="O582" s="752"/>
      <c r="P582" s="752"/>
      <c r="Q582" s="752"/>
      <c r="R582" s="752"/>
      <c r="S582" s="752"/>
      <c r="T582" s="752"/>
      <c r="U582" s="752"/>
      <c r="V582" s="752"/>
      <c r="W582" s="752"/>
      <c r="X582" s="752"/>
      <c r="Y582" s="750"/>
      <c r="Z582" s="753"/>
      <c r="AA582" s="752"/>
      <c r="AB582" s="752"/>
      <c r="AC582" s="752"/>
      <c r="AD582" s="49"/>
      <c r="AE582" s="49"/>
      <c r="AF582" s="49"/>
      <c r="AG582" s="49"/>
      <c r="AH582" s="49"/>
      <c r="AI582" s="49"/>
      <c r="AJ582" s="49"/>
      <c r="AK582" s="49"/>
      <c r="AL582" s="49"/>
      <c r="AM582" s="49"/>
      <c r="AN582" s="49"/>
      <c r="AO582" s="49"/>
      <c r="AP582" s="746"/>
      <c r="AQ582" s="746"/>
      <c r="AS582" s="548"/>
      <c r="AV582" s="527"/>
    </row>
    <row r="583" spans="1:55" ht="16" outlineLevel="1" thickBot="1" x14ac:dyDescent="0.4">
      <c r="B583" s="742"/>
      <c r="C583" s="49"/>
      <c r="D583" s="49"/>
      <c r="E583" s="752"/>
      <c r="F583" s="752"/>
      <c r="G583" s="752"/>
      <c r="H583" s="752"/>
      <c r="I583" s="752"/>
      <c r="J583" s="752"/>
      <c r="K583" s="752"/>
      <c r="L583" s="752"/>
      <c r="M583" s="752"/>
      <c r="N583" s="752"/>
      <c r="O583" s="752"/>
      <c r="P583" s="752"/>
      <c r="Q583" s="3636">
        <f>SUM(Q581:V582)</f>
        <v>0</v>
      </c>
      <c r="R583" s="3636"/>
      <c r="S583" s="3636"/>
      <c r="T583" s="3636"/>
      <c r="U583" s="3636"/>
      <c r="V583" s="3636"/>
      <c r="W583" s="367"/>
      <c r="X583" s="3636">
        <f>SUM(X581:AC582)</f>
        <v>0</v>
      </c>
      <c r="Y583" s="3636"/>
      <c r="Z583" s="3636"/>
      <c r="AA583" s="3636"/>
      <c r="AB583" s="3636"/>
      <c r="AC583" s="3636"/>
      <c r="AD583" s="49"/>
      <c r="AE583" s="49"/>
      <c r="AF583" s="49"/>
      <c r="AG583" s="49"/>
      <c r="AH583" s="49"/>
      <c r="AI583" s="49"/>
      <c r="AJ583" s="49"/>
      <c r="AK583" s="49"/>
      <c r="AL583" s="49"/>
      <c r="AM583" s="49"/>
      <c r="AN583" s="49"/>
      <c r="AO583" s="49"/>
      <c r="AP583" s="746"/>
      <c r="AQ583" s="746"/>
      <c r="AS583" s="548"/>
      <c r="AV583" s="527"/>
    </row>
    <row r="584" spans="1:55" ht="16" outlineLevel="1" thickTop="1" x14ac:dyDescent="0.35">
      <c r="E584" s="547"/>
      <c r="F584" s="547"/>
      <c r="G584" s="547"/>
      <c r="H584" s="547"/>
      <c r="I584" s="547"/>
      <c r="J584" s="547"/>
      <c r="K584" s="547"/>
      <c r="L584" s="547"/>
      <c r="M584" s="547"/>
      <c r="N584" s="547"/>
      <c r="O584" s="547"/>
      <c r="P584" s="547"/>
      <c r="Q584" s="547"/>
      <c r="R584" s="547"/>
      <c r="S584" s="547"/>
      <c r="T584" s="547"/>
      <c r="U584" s="547"/>
      <c r="V584" s="547"/>
      <c r="W584" s="547"/>
      <c r="X584" s="547"/>
      <c r="Y584" s="754"/>
      <c r="Z584" s="547"/>
      <c r="AA584" s="547"/>
      <c r="AB584" s="547"/>
      <c r="AC584" s="547"/>
      <c r="AS584" s="548"/>
      <c r="AV584" s="527"/>
    </row>
    <row r="585" spans="1:55" ht="15.5" outlineLevel="1" x14ac:dyDescent="0.35">
      <c r="E585" s="547"/>
      <c r="F585" s="547"/>
      <c r="G585" s="547"/>
      <c r="H585" s="547"/>
      <c r="I585" s="547"/>
      <c r="J585" s="547"/>
      <c r="K585" s="547"/>
      <c r="L585" s="547"/>
      <c r="M585" s="547"/>
      <c r="N585" s="547"/>
      <c r="O585" s="547"/>
      <c r="P585" s="547"/>
      <c r="Q585" s="547"/>
      <c r="R585" s="547"/>
      <c r="S585" s="547"/>
      <c r="T585" s="547"/>
      <c r="U585" s="547"/>
      <c r="V585" s="547"/>
      <c r="W585" s="547"/>
      <c r="X585" s="547"/>
      <c r="Y585" s="754"/>
      <c r="Z585" s="547"/>
      <c r="AA585" s="547"/>
      <c r="AB585" s="547"/>
      <c r="AC585" s="547"/>
      <c r="AS585" s="548"/>
      <c r="AV585" s="527"/>
    </row>
    <row r="586" spans="1:55" s="755" customFormat="1" ht="13.5" x14ac:dyDescent="0.35">
      <c r="B586" s="756" t="s">
        <v>875</v>
      </c>
      <c r="C586" s="757" t="s">
        <v>921</v>
      </c>
      <c r="D586" s="757"/>
      <c r="E586" s="757"/>
      <c r="F586" s="757"/>
      <c r="G586" s="757"/>
      <c r="H586" s="757"/>
      <c r="I586" s="757"/>
      <c r="J586" s="757"/>
      <c r="K586" s="757"/>
      <c r="L586" s="757"/>
      <c r="M586" s="757"/>
      <c r="N586" s="757"/>
      <c r="O586" s="757"/>
      <c r="P586" s="757"/>
      <c r="Q586" s="758"/>
      <c r="R586" s="758"/>
      <c r="S586" s="758"/>
      <c r="T586" s="758"/>
      <c r="U586" s="758"/>
      <c r="V586" s="758"/>
      <c r="W586" s="757"/>
      <c r="X586" s="539" t="str">
        <f>B586</f>
        <v>12.</v>
      </c>
      <c r="Y586" s="759" t="s">
        <v>922</v>
      </c>
      <c r="Z586" s="758"/>
      <c r="AA586" s="758"/>
      <c r="AB586" s="758"/>
      <c r="AC586" s="758"/>
      <c r="AD586" s="760"/>
      <c r="AE586" s="760"/>
      <c r="AF586" s="760"/>
      <c r="AG586" s="760"/>
      <c r="AH586" s="760"/>
      <c r="AI586" s="760"/>
      <c r="AJ586" s="760"/>
      <c r="AK586" s="760"/>
      <c r="AL586" s="760"/>
      <c r="AM586" s="760"/>
      <c r="AN586" s="760"/>
      <c r="AO586" s="760"/>
      <c r="AP586" s="761"/>
      <c r="AQ586" s="761"/>
      <c r="AS586" s="693"/>
    </row>
    <row r="587" spans="1:55" s="527" customFormat="1" ht="15.5" outlineLevel="1" x14ac:dyDescent="0.35">
      <c r="A587" s="181"/>
      <c r="B587" s="130"/>
      <c r="C587" s="64"/>
      <c r="D587" s="64"/>
      <c r="E587" s="555"/>
      <c r="F587" s="555"/>
      <c r="G587" s="555"/>
      <c r="H587" s="555"/>
      <c r="I587" s="555"/>
      <c r="J587" s="555"/>
      <c r="K587" s="555"/>
      <c r="L587" s="555"/>
      <c r="M587" s="555"/>
      <c r="N587" s="555"/>
      <c r="O587" s="555"/>
      <c r="P587" s="555"/>
      <c r="Q587" s="578"/>
      <c r="R587" s="578"/>
      <c r="S587" s="578"/>
      <c r="T587" s="578"/>
      <c r="U587" s="578"/>
      <c r="V587" s="578"/>
      <c r="W587" s="577"/>
      <c r="X587" s="554"/>
      <c r="Y587" s="554"/>
      <c r="Z587" s="578"/>
      <c r="AA587" s="578"/>
      <c r="AB587" s="578"/>
      <c r="AC587" s="578"/>
      <c r="AD587" s="181"/>
      <c r="AE587" s="181"/>
      <c r="AF587" s="181"/>
      <c r="AG587" s="181"/>
      <c r="AH587" s="181"/>
      <c r="AI587" s="181"/>
      <c r="AJ587" s="181"/>
      <c r="AK587" s="181"/>
      <c r="AL587" s="181"/>
      <c r="AM587" s="181"/>
      <c r="AN587" s="181"/>
      <c r="AO587" s="181"/>
      <c r="AP587" s="557"/>
      <c r="AQ587" s="557"/>
      <c r="AR587" s="181"/>
      <c r="AS587" s="641"/>
    </row>
    <row r="588" spans="1:55" s="527" customFormat="1" ht="15.5" outlineLevel="1" x14ac:dyDescent="0.35">
      <c r="B588" s="130"/>
      <c r="C588" s="181" t="s">
        <v>923</v>
      </c>
      <c r="D588" s="64"/>
      <c r="E588" s="555"/>
      <c r="F588" s="555"/>
      <c r="G588" s="555"/>
      <c r="H588" s="555"/>
      <c r="I588" s="555"/>
      <c r="J588" s="555"/>
      <c r="K588" s="555"/>
      <c r="L588" s="555"/>
      <c r="M588" s="555"/>
      <c r="N588" s="555"/>
      <c r="O588" s="555"/>
      <c r="P588" s="555"/>
      <c r="Q588" s="578"/>
      <c r="R588" s="578"/>
      <c r="S588" s="578"/>
      <c r="T588" s="578"/>
      <c r="U588" s="578"/>
      <c r="V588" s="578"/>
      <c r="W588" s="577"/>
      <c r="X588" s="554"/>
      <c r="Y588" s="554"/>
      <c r="Z588" s="578"/>
      <c r="AA588" s="578"/>
      <c r="AB588" s="578"/>
      <c r="AC588" s="578"/>
      <c r="AD588" s="181"/>
      <c r="AE588" s="181"/>
      <c r="AF588" s="181"/>
      <c r="AG588" s="181"/>
      <c r="AH588" s="181"/>
      <c r="AI588" s="181"/>
      <c r="AJ588" s="181"/>
      <c r="AK588" s="181"/>
      <c r="AL588" s="181"/>
      <c r="AM588" s="181"/>
      <c r="AN588" s="181"/>
      <c r="AO588" s="181"/>
      <c r="AP588" s="557"/>
      <c r="AQ588" s="87" t="s">
        <v>924</v>
      </c>
      <c r="AS588" s="641"/>
    </row>
    <row r="589" spans="1:55" ht="15.5" outlineLevel="1" x14ac:dyDescent="0.35">
      <c r="A589" s="527"/>
      <c r="C589" s="181" t="str">
        <f>"selama bulan"&amp;""&amp; IN!$C$5</f>
        <v>selama bulan30 June 2026</v>
      </c>
      <c r="D589" s="64"/>
      <c r="E589" s="555"/>
      <c r="F589" s="555"/>
      <c r="G589" s="555"/>
      <c r="H589" s="555"/>
      <c r="I589" s="555"/>
      <c r="J589" s="555"/>
      <c r="K589" s="555"/>
      <c r="L589" s="555"/>
      <c r="M589" s="555"/>
      <c r="N589" s="555"/>
      <c r="O589" s="555"/>
      <c r="P589" s="555"/>
      <c r="Q589" s="578"/>
      <c r="R589" s="578"/>
      <c r="S589" s="578"/>
      <c r="T589" s="578"/>
      <c r="U589" s="578"/>
      <c r="V589" s="578"/>
      <c r="W589" s="577"/>
      <c r="X589" s="554"/>
      <c r="Y589" s="554"/>
      <c r="Z589" s="578"/>
      <c r="AA589" s="578"/>
      <c r="AB589" s="578"/>
      <c r="AC589" s="578"/>
      <c r="AP589" s="557"/>
      <c r="AQ589" s="87" t="e">
        <f>"during month of  "&amp;[9]IN!$J$28&amp;" and "&amp;[9]IN!$I$18&amp;" are as follows :"</f>
        <v>#N/A</v>
      </c>
      <c r="AR589" s="527"/>
      <c r="AS589" s="548" t="s">
        <v>7592</v>
      </c>
    </row>
    <row r="590" spans="1:55" s="648" customFormat="1" outlineLevel="1" x14ac:dyDescent="0.35">
      <c r="A590" s="181"/>
      <c r="B590" s="130"/>
      <c r="C590" s="3637" t="str">
        <f>IN!C5</f>
        <v>30 June 2026</v>
      </c>
      <c r="D590" s="3637"/>
      <c r="E590" s="3637"/>
      <c r="F590" s="3637"/>
      <c r="G590" s="3637"/>
      <c r="H590" s="3637"/>
      <c r="I590" s="3637"/>
      <c r="J590" s="3637"/>
      <c r="K590" s="3637"/>
      <c r="L590" s="3637"/>
      <c r="M590" s="3637"/>
      <c r="N590" s="3637"/>
      <c r="O590" s="3637"/>
      <c r="P590" s="3637"/>
      <c r="Q590" s="3637"/>
      <c r="R590" s="3637"/>
      <c r="S590" s="3637"/>
      <c r="T590" s="3637"/>
      <c r="U590" s="3637"/>
      <c r="V590" s="3637"/>
      <c r="W590" s="3637"/>
      <c r="X590" s="3637"/>
      <c r="Y590" s="3637"/>
      <c r="Z590" s="3637"/>
      <c r="AA590" s="3637"/>
      <c r="AB590" s="3637"/>
      <c r="AC590" s="3637"/>
      <c r="AD590" s="3637"/>
      <c r="AE590" s="3637"/>
      <c r="AF590" s="3637"/>
      <c r="AG590" s="3637"/>
      <c r="AH590" s="3637"/>
      <c r="AI590" s="3637"/>
      <c r="AJ590" s="3637"/>
      <c r="AK590" s="3637"/>
      <c r="AL590" s="3637"/>
      <c r="AM590" s="3637"/>
      <c r="AN590" s="3637"/>
      <c r="AO590" s="3637"/>
      <c r="AP590" s="3637"/>
      <c r="AQ590" s="3637"/>
      <c r="AR590" s="181"/>
      <c r="AS590" s="762"/>
    </row>
    <row r="591" spans="1:55" s="648" customFormat="1" ht="13.5" outlineLevel="1" thickBot="1" x14ac:dyDescent="0.4">
      <c r="A591" s="181"/>
      <c r="B591" s="130"/>
      <c r="C591" s="763"/>
      <c r="D591" s="763"/>
      <c r="E591" s="763"/>
      <c r="F591" s="763"/>
      <c r="G591" s="763"/>
      <c r="H591" s="763"/>
      <c r="I591" s="763"/>
      <c r="J591" s="763"/>
      <c r="K591" s="763"/>
      <c r="L591" s="763"/>
      <c r="M591" s="763"/>
      <c r="N591" s="763"/>
      <c r="O591" s="763"/>
      <c r="P591" s="763"/>
      <c r="Q591" s="763"/>
      <c r="R591" s="763"/>
      <c r="S591" s="763"/>
      <c r="T591" s="763"/>
      <c r="U591" s="763"/>
      <c r="V591" s="763"/>
      <c r="W591" s="763"/>
      <c r="X591" s="764"/>
      <c r="Y591" s="765"/>
      <c r="Z591" s="765"/>
      <c r="AA591" s="765"/>
      <c r="AB591" s="765"/>
      <c r="AC591" s="765"/>
      <c r="AD591" s="765"/>
      <c r="AE591" s="765"/>
      <c r="AF591" s="765"/>
      <c r="AG591" s="765"/>
      <c r="AH591" s="765"/>
      <c r="AI591" s="765"/>
      <c r="AJ591" s="765"/>
      <c r="AK591" s="765"/>
      <c r="AL591" s="765"/>
      <c r="AM591" s="765"/>
      <c r="AN591" s="765"/>
      <c r="AO591" s="765"/>
      <c r="AP591" s="765"/>
      <c r="AQ591" s="765"/>
      <c r="AR591" s="181"/>
      <c r="AS591" s="762"/>
    </row>
    <row r="592" spans="1:55" s="648" customFormat="1" ht="12" outlineLevel="1" thickBot="1" x14ac:dyDescent="0.4">
      <c r="B592" s="671"/>
      <c r="C592" s="3513" t="s">
        <v>446</v>
      </c>
      <c r="D592" s="3513"/>
      <c r="E592" s="3513"/>
      <c r="F592" s="3513"/>
      <c r="G592" s="3513"/>
      <c r="H592" s="3513"/>
      <c r="I592" s="3513"/>
      <c r="J592" s="3513"/>
      <c r="K592" s="3513"/>
      <c r="L592" s="3513"/>
      <c r="M592" s="3513"/>
      <c r="N592" s="3513"/>
      <c r="O592" s="3514" t="s">
        <v>925</v>
      </c>
      <c r="P592" s="3514"/>
      <c r="Q592" s="3514"/>
      <c r="R592" s="3514"/>
      <c r="S592" s="3514"/>
      <c r="T592" s="3514"/>
      <c r="U592" s="3515" t="s">
        <v>926</v>
      </c>
      <c r="V592" s="3515"/>
      <c r="W592" s="3515"/>
      <c r="X592" s="3515"/>
      <c r="Y592" s="3515"/>
      <c r="Z592" s="3515"/>
      <c r="AA592" s="3514" t="s">
        <v>925</v>
      </c>
      <c r="AB592" s="3514"/>
      <c r="AC592" s="3514"/>
      <c r="AD592" s="3514"/>
      <c r="AE592" s="3514"/>
      <c r="AF592" s="3514"/>
      <c r="AG592" s="3638" t="s">
        <v>447</v>
      </c>
      <c r="AH592" s="3638"/>
      <c r="AI592" s="3638"/>
      <c r="AJ592" s="3638"/>
      <c r="AK592" s="3638"/>
      <c r="AL592" s="3638"/>
      <c r="AM592" s="3638"/>
      <c r="AN592" s="3638"/>
      <c r="AO592" s="3638"/>
      <c r="AP592" s="3638"/>
      <c r="AQ592" s="3638"/>
      <c r="AS592" s="762"/>
    </row>
    <row r="593" spans="2:46" s="648" customFormat="1" ht="12.5" outlineLevel="1" thickBot="1" x14ac:dyDescent="0.4">
      <c r="B593" s="671"/>
      <c r="C593" s="3513"/>
      <c r="D593" s="3513"/>
      <c r="E593" s="3513"/>
      <c r="F593" s="3513"/>
      <c r="G593" s="3513"/>
      <c r="H593" s="3513"/>
      <c r="I593" s="3513"/>
      <c r="J593" s="3513"/>
      <c r="K593" s="3513"/>
      <c r="L593" s="3513"/>
      <c r="M593" s="3513"/>
      <c r="N593" s="3513"/>
      <c r="O593" s="3519" t="s">
        <v>927</v>
      </c>
      <c r="P593" s="3519"/>
      <c r="Q593" s="3519"/>
      <c r="R593" s="3519"/>
      <c r="S593" s="3519"/>
      <c r="T593" s="3519"/>
      <c r="U593" s="3521" t="s">
        <v>928</v>
      </c>
      <c r="V593" s="3521"/>
      <c r="W593" s="3521"/>
      <c r="X593" s="3521"/>
      <c r="Y593" s="3521"/>
      <c r="Z593" s="3521"/>
      <c r="AA593" s="3519" t="s">
        <v>927</v>
      </c>
      <c r="AB593" s="3519"/>
      <c r="AC593" s="3519"/>
      <c r="AD593" s="3519"/>
      <c r="AE593" s="3519"/>
      <c r="AF593" s="3519"/>
      <c r="AG593" s="3638"/>
      <c r="AH593" s="3638"/>
      <c r="AI593" s="3638"/>
      <c r="AJ593" s="3638"/>
      <c r="AK593" s="3638"/>
      <c r="AL593" s="3638"/>
      <c r="AM593" s="3638"/>
      <c r="AN593" s="3638"/>
      <c r="AO593" s="3638"/>
      <c r="AP593" s="3638"/>
      <c r="AQ593" s="3638"/>
      <c r="AS593" s="762"/>
    </row>
    <row r="594" spans="2:46" s="648" customFormat="1" ht="12.5" outlineLevel="1" thickBot="1" x14ac:dyDescent="0.4">
      <c r="B594" s="671"/>
      <c r="C594" s="3513"/>
      <c r="D594" s="3513"/>
      <c r="E594" s="3513"/>
      <c r="F594" s="3513"/>
      <c r="G594" s="3513"/>
      <c r="H594" s="3513"/>
      <c r="I594" s="3513"/>
      <c r="J594" s="3513"/>
      <c r="K594" s="3513"/>
      <c r="L594" s="3513"/>
      <c r="M594" s="3513"/>
      <c r="N594" s="3513"/>
      <c r="O594" s="3634" t="str">
        <f>NRC!G9</f>
        <v>31 May 2026/</v>
      </c>
      <c r="P594" s="3634" t="str">
        <f>[8]IN!$G$26</f>
        <v>30 June 2023 /</v>
      </c>
      <c r="Q594" s="3634" t="str">
        <f>[8]IN!$G$26</f>
        <v>30 June 2023 /</v>
      </c>
      <c r="R594" s="3634" t="str">
        <f>[8]IN!$G$26</f>
        <v>30 June 2023 /</v>
      </c>
      <c r="S594" s="3634" t="str">
        <f>[8]IN!$G$26</f>
        <v>30 June 2023 /</v>
      </c>
      <c r="T594" s="3634" t="str">
        <f>[8]IN!$G$26</f>
        <v>30 June 2023 /</v>
      </c>
      <c r="U594" s="3520" t="s">
        <v>929</v>
      </c>
      <c r="V594" s="3520"/>
      <c r="W594" s="3520"/>
      <c r="X594" s="3520"/>
      <c r="Y594" s="3520"/>
      <c r="Z594" s="3520"/>
      <c r="AA594" s="3521" t="str">
        <f>NRC!E9</f>
        <v>30 June 2026/</v>
      </c>
      <c r="AB594" s="3521" t="str">
        <f>[8]IN!$G$23</f>
        <v>31 July 2023 /</v>
      </c>
      <c r="AC594" s="3521" t="str">
        <f>[8]IN!$G$23</f>
        <v>31 July 2023 /</v>
      </c>
      <c r="AD594" s="3521" t="str">
        <f>[8]IN!$G$23</f>
        <v>31 July 2023 /</v>
      </c>
      <c r="AE594" s="3521" t="str">
        <f>[8]IN!$G$23</f>
        <v>31 July 2023 /</v>
      </c>
      <c r="AF594" s="3521" t="str">
        <f>[8]IN!$G$23</f>
        <v>31 July 2023 /</v>
      </c>
      <c r="AG594" s="3638"/>
      <c r="AH594" s="3638"/>
      <c r="AI594" s="3638"/>
      <c r="AJ594" s="3638"/>
      <c r="AK594" s="3638"/>
      <c r="AL594" s="3638"/>
      <c r="AM594" s="3638"/>
      <c r="AN594" s="3638"/>
      <c r="AO594" s="3638"/>
      <c r="AP594" s="3638"/>
      <c r="AQ594" s="3638"/>
      <c r="AS594" s="762"/>
    </row>
    <row r="595" spans="2:46" s="648" customFormat="1" ht="12.5" outlineLevel="1" thickBot="1" x14ac:dyDescent="0.4">
      <c r="B595" s="671"/>
      <c r="C595" s="3513"/>
      <c r="D595" s="3513"/>
      <c r="E595" s="3513"/>
      <c r="F595" s="3513"/>
      <c r="G595" s="3513"/>
      <c r="H595" s="3513"/>
      <c r="I595" s="3513"/>
      <c r="J595" s="3513"/>
      <c r="K595" s="3513"/>
      <c r="L595" s="3513"/>
      <c r="M595" s="3513"/>
      <c r="N595" s="3513"/>
      <c r="O595" s="3635">
        <f>NRC!G10</f>
        <v>46173</v>
      </c>
      <c r="P595" s="3635" t="e">
        <f>[8]IN!$I$26</f>
        <v>#N/A</v>
      </c>
      <c r="Q595" s="3635" t="e">
        <f>[8]IN!$I$26</f>
        <v>#N/A</v>
      </c>
      <c r="R595" s="3635" t="e">
        <f>[8]IN!$I$26</f>
        <v>#N/A</v>
      </c>
      <c r="S595" s="3635" t="e">
        <f>[8]IN!$I$26</f>
        <v>#N/A</v>
      </c>
      <c r="T595" s="3635" t="e">
        <f>[8]IN!$I$26</f>
        <v>#N/A</v>
      </c>
      <c r="U595" s="3517" t="s">
        <v>930</v>
      </c>
      <c r="V595" s="3517"/>
      <c r="W595" s="3517"/>
      <c r="X595" s="3517"/>
      <c r="Y595" s="3517"/>
      <c r="Z595" s="3517"/>
      <c r="AA595" s="3635">
        <f>NRC!E10</f>
        <v>46203</v>
      </c>
      <c r="AB595" s="3635" t="e">
        <f>[8]IN!$I$23</f>
        <v>#N/A</v>
      </c>
      <c r="AC595" s="3635" t="e">
        <f>[8]IN!$I$23</f>
        <v>#N/A</v>
      </c>
      <c r="AD595" s="3635" t="e">
        <f>[8]IN!$I$23</f>
        <v>#N/A</v>
      </c>
      <c r="AE595" s="3635" t="e">
        <f>[8]IN!$I$23</f>
        <v>#N/A</v>
      </c>
      <c r="AF595" s="3635" t="e">
        <f>[8]IN!$I$23</f>
        <v>#N/A</v>
      </c>
      <c r="AG595" s="3638"/>
      <c r="AH595" s="3638"/>
      <c r="AI595" s="3638"/>
      <c r="AJ595" s="3638"/>
      <c r="AK595" s="3638"/>
      <c r="AL595" s="3638"/>
      <c r="AM595" s="3638"/>
      <c r="AN595" s="3638"/>
      <c r="AO595" s="3638"/>
      <c r="AP595" s="3638"/>
      <c r="AQ595" s="3638"/>
      <c r="AS595" s="762"/>
      <c r="AT595" s="648" t="s">
        <v>690</v>
      </c>
    </row>
    <row r="596" spans="2:46" s="648" customFormat="1" ht="11.5" outlineLevel="1" x14ac:dyDescent="0.35">
      <c r="B596" s="671"/>
      <c r="C596" s="766"/>
      <c r="E596" s="767"/>
      <c r="F596" s="767"/>
      <c r="G596" s="767"/>
      <c r="H596" s="767"/>
      <c r="I596" s="767"/>
      <c r="J596" s="767"/>
      <c r="K596" s="767"/>
      <c r="L596" s="767"/>
      <c r="M596" s="767"/>
      <c r="N596" s="767"/>
      <c r="O596" s="3437"/>
      <c r="P596" s="3437"/>
      <c r="Q596" s="3437"/>
      <c r="R596" s="3437"/>
      <c r="S596" s="3437"/>
      <c r="T596" s="3437"/>
      <c r="U596" s="3435"/>
      <c r="V596" s="3435"/>
      <c r="W596" s="3435"/>
      <c r="X596" s="3435"/>
      <c r="Y596" s="3435"/>
      <c r="Z596" s="3435"/>
      <c r="AA596" s="3437"/>
      <c r="AB596" s="3437"/>
      <c r="AC596" s="3437"/>
      <c r="AD596" s="3437"/>
      <c r="AE596" s="3437"/>
      <c r="AF596" s="3437"/>
      <c r="AG596" s="767"/>
      <c r="AP596" s="768"/>
      <c r="AQ596" s="678"/>
      <c r="AS596" s="762" t="s">
        <v>931</v>
      </c>
    </row>
    <row r="597" spans="2:46" s="648" customFormat="1" ht="12" outlineLevel="1" x14ac:dyDescent="0.35">
      <c r="B597" s="671"/>
      <c r="C597" s="685" t="s">
        <v>932</v>
      </c>
      <c r="E597" s="767"/>
      <c r="F597" s="767"/>
      <c r="G597" s="767"/>
      <c r="H597" s="767"/>
      <c r="I597" s="767"/>
      <c r="J597" s="767"/>
      <c r="K597" s="767"/>
      <c r="L597" s="767"/>
      <c r="M597" s="767"/>
      <c r="N597" s="767"/>
      <c r="O597" s="3437"/>
      <c r="P597" s="3437"/>
      <c r="Q597" s="3437"/>
      <c r="R597" s="3437"/>
      <c r="S597" s="3437"/>
      <c r="T597" s="3437"/>
      <c r="U597" s="3435"/>
      <c r="V597" s="3435"/>
      <c r="W597" s="3435"/>
      <c r="X597" s="3435"/>
      <c r="Y597" s="3435"/>
      <c r="Z597" s="3435"/>
      <c r="AA597" s="3437"/>
      <c r="AB597" s="3437"/>
      <c r="AC597" s="3437"/>
      <c r="AD597" s="3437"/>
      <c r="AE597" s="3437"/>
      <c r="AF597" s="3437"/>
      <c r="AP597" s="768"/>
      <c r="AQ597" s="769" t="s">
        <v>272</v>
      </c>
      <c r="AS597" s="762"/>
    </row>
    <row r="598" spans="2:46" s="648" customFormat="1" ht="11.5" outlineLevel="2" x14ac:dyDescent="0.35">
      <c r="B598" s="671"/>
      <c r="C598" s="770" t="s">
        <v>190</v>
      </c>
      <c r="D598" s="771" t="s">
        <v>933</v>
      </c>
      <c r="E598" s="767"/>
      <c r="F598" s="767"/>
      <c r="G598" s="767"/>
      <c r="H598" s="767"/>
      <c r="I598" s="767"/>
      <c r="J598" s="767"/>
      <c r="K598" s="767"/>
      <c r="L598" s="767"/>
      <c r="M598" s="767"/>
      <c r="N598" s="767"/>
      <c r="O598" s="3452">
        <f>AA693</f>
        <v>5262146868.3800001</v>
      </c>
      <c r="P598" s="3452"/>
      <c r="Q598" s="3452"/>
      <c r="R598" s="3452"/>
      <c r="S598" s="3452"/>
      <c r="T598" s="3452"/>
      <c r="U598" s="3435"/>
      <c r="V598" s="3435"/>
      <c r="W598" s="3435"/>
      <c r="X598" s="3435"/>
      <c r="Y598" s="3435"/>
      <c r="Z598" s="3435"/>
      <c r="AA598" s="3437">
        <f>O598+U598</f>
        <v>5262146868.3800001</v>
      </c>
      <c r="AB598" s="3437"/>
      <c r="AC598" s="3437"/>
      <c r="AD598" s="3437"/>
      <c r="AE598" s="3437"/>
      <c r="AF598" s="3437"/>
      <c r="AP598" s="364" t="s">
        <v>934</v>
      </c>
      <c r="AQ598" s="772" t="s">
        <v>190</v>
      </c>
      <c r="AS598" s="762">
        <f>'[9]LR '!J82</f>
        <v>4597647174</v>
      </c>
    </row>
    <row r="599" spans="2:46" s="648" customFormat="1" ht="11.5" outlineLevel="1" x14ac:dyDescent="0.35">
      <c r="B599" s="671"/>
      <c r="C599" s="770" t="s">
        <v>190</v>
      </c>
      <c r="D599" s="771" t="s">
        <v>935</v>
      </c>
      <c r="E599" s="767"/>
      <c r="F599" s="767"/>
      <c r="G599" s="767"/>
      <c r="H599" s="767"/>
      <c r="I599" s="767"/>
      <c r="J599" s="767"/>
      <c r="K599" s="767"/>
      <c r="L599" s="767"/>
      <c r="M599" s="767"/>
      <c r="N599" s="767"/>
      <c r="O599" s="3490">
        <f>AA694</f>
        <v>9429326499.7566624</v>
      </c>
      <c r="P599" s="3490"/>
      <c r="Q599" s="3490"/>
      <c r="R599" s="3490"/>
      <c r="S599" s="3490"/>
      <c r="T599" s="3490"/>
      <c r="U599" s="3616">
        <f>LR!E78</f>
        <v>-28723668.376666784</v>
      </c>
      <c r="V599" s="3616"/>
      <c r="W599" s="3616"/>
      <c r="X599" s="3616"/>
      <c r="Y599" s="3616"/>
      <c r="Z599" s="3616"/>
      <c r="AA599" s="3490">
        <f>O599+U599</f>
        <v>9400602831.3799953</v>
      </c>
      <c r="AB599" s="3490"/>
      <c r="AC599" s="3490"/>
      <c r="AD599" s="3490"/>
      <c r="AE599" s="3490"/>
      <c r="AF599" s="3490"/>
      <c r="AP599" s="364" t="s">
        <v>936</v>
      </c>
      <c r="AQ599" s="772" t="s">
        <v>190</v>
      </c>
      <c r="AS599" s="762"/>
    </row>
    <row r="600" spans="2:46" s="648" customFormat="1" ht="11.5" outlineLevel="1" x14ac:dyDescent="0.35">
      <c r="B600" s="671"/>
      <c r="C600" s="770"/>
      <c r="D600" s="771"/>
      <c r="E600" s="767"/>
      <c r="F600" s="767"/>
      <c r="G600" s="767"/>
      <c r="H600" s="767"/>
      <c r="I600" s="767"/>
      <c r="J600" s="767"/>
      <c r="K600" s="767"/>
      <c r="L600" s="767"/>
      <c r="M600" s="767"/>
      <c r="N600" s="767"/>
      <c r="O600" s="3458">
        <f>SUM(O598:T599)</f>
        <v>14691473368.136662</v>
      </c>
      <c r="P600" s="3458"/>
      <c r="Q600" s="3458"/>
      <c r="R600" s="3458"/>
      <c r="S600" s="3458"/>
      <c r="T600" s="3458"/>
      <c r="U600" s="3458">
        <f>SUM(U598:Z599)</f>
        <v>-28723668.376666784</v>
      </c>
      <c r="V600" s="3458"/>
      <c r="W600" s="3458"/>
      <c r="X600" s="3458"/>
      <c r="Y600" s="3458"/>
      <c r="Z600" s="3458"/>
      <c r="AA600" s="3458">
        <f>SUM(AA598:AF599)</f>
        <v>14662749699.759995</v>
      </c>
      <c r="AB600" s="3458"/>
      <c r="AC600" s="3458"/>
      <c r="AD600" s="3458"/>
      <c r="AE600" s="3458"/>
      <c r="AF600" s="3458"/>
      <c r="AP600" s="364"/>
      <c r="AQ600" s="772"/>
      <c r="AS600" s="762"/>
    </row>
    <row r="601" spans="2:46" s="648" customFormat="1" ht="11.5" outlineLevel="2" x14ac:dyDescent="0.35">
      <c r="B601" s="671"/>
      <c r="C601" s="770" t="s">
        <v>190</v>
      </c>
      <c r="D601" s="648" t="s">
        <v>937</v>
      </c>
      <c r="E601" s="767"/>
      <c r="F601" s="767"/>
      <c r="G601" s="767"/>
      <c r="H601" s="767"/>
      <c r="I601" s="767"/>
      <c r="J601" s="767"/>
      <c r="K601" s="767"/>
      <c r="L601" s="767"/>
      <c r="M601" s="767"/>
      <c r="N601" s="767"/>
      <c r="O601" s="3437"/>
      <c r="P601" s="3437"/>
      <c r="Q601" s="3437"/>
      <c r="R601" s="3437"/>
      <c r="S601" s="3437"/>
      <c r="T601" s="3437"/>
      <c r="U601" s="3435"/>
      <c r="V601" s="3435"/>
      <c r="W601" s="3435"/>
      <c r="X601" s="3435"/>
      <c r="Y601" s="3435"/>
      <c r="Z601" s="3435"/>
      <c r="AA601" s="3437"/>
      <c r="AB601" s="3437"/>
      <c r="AC601" s="3437"/>
      <c r="AD601" s="3437"/>
      <c r="AE601" s="3437"/>
      <c r="AF601" s="3437"/>
      <c r="AP601" s="364" t="s">
        <v>938</v>
      </c>
      <c r="AQ601" s="772" t="s">
        <v>190</v>
      </c>
      <c r="AS601" s="762">
        <f>AA600-AA602</f>
        <v>14461988888.469994</v>
      </c>
    </row>
    <row r="602" spans="2:46" s="648" customFormat="1" ht="11.5" outlineLevel="2" x14ac:dyDescent="0.35">
      <c r="B602" s="671"/>
      <c r="C602" s="770"/>
      <c r="D602" s="648" t="s">
        <v>939</v>
      </c>
      <c r="E602" s="767"/>
      <c r="F602" s="767"/>
      <c r="G602" s="767"/>
      <c r="H602" s="767"/>
      <c r="I602" s="767"/>
      <c r="J602" s="767"/>
      <c r="K602" s="767"/>
      <c r="L602" s="767"/>
      <c r="M602" s="767"/>
      <c r="N602" s="767"/>
      <c r="O602" s="3437">
        <f>AA697</f>
        <v>195880923.00666666</v>
      </c>
      <c r="P602" s="3437"/>
      <c r="Q602" s="3437"/>
      <c r="R602" s="3437"/>
      <c r="S602" s="3437"/>
      <c r="T602" s="3437"/>
      <c r="U602" s="3437">
        <f>U626</f>
        <v>4879888.2833333313</v>
      </c>
      <c r="V602" s="3437"/>
      <c r="W602" s="3437"/>
      <c r="X602" s="3437"/>
      <c r="Y602" s="3437"/>
      <c r="Z602" s="3437"/>
      <c r="AA602" s="3437">
        <f>O602+U602</f>
        <v>200760811.28999999</v>
      </c>
      <c r="AB602" s="3437"/>
      <c r="AC602" s="3437"/>
      <c r="AD602" s="3437"/>
      <c r="AE602" s="3437"/>
      <c r="AF602" s="3437"/>
      <c r="AJ602" s="671"/>
      <c r="AP602" s="364" t="s">
        <v>940</v>
      </c>
      <c r="AQ602" s="678"/>
      <c r="AS602" s="762"/>
    </row>
    <row r="603" spans="2:46" s="648" customFormat="1" ht="11.5" outlineLevel="2" x14ac:dyDescent="0.35">
      <c r="B603" s="671"/>
      <c r="C603" s="766"/>
      <c r="D603" s="648" t="s">
        <v>941</v>
      </c>
      <c r="E603" s="767"/>
      <c r="F603" s="767"/>
      <c r="G603" s="767"/>
      <c r="H603" s="767"/>
      <c r="I603" s="767"/>
      <c r="J603" s="767"/>
      <c r="K603" s="767"/>
      <c r="L603" s="767"/>
      <c r="M603" s="767"/>
      <c r="N603" s="767"/>
      <c r="O603" s="3437">
        <f>AA698</f>
        <v>-1561211417.1100001</v>
      </c>
      <c r="P603" s="3437"/>
      <c r="Q603" s="3437"/>
      <c r="R603" s="3437"/>
      <c r="S603" s="3437"/>
      <c r="T603" s="3437"/>
      <c r="U603" s="3437">
        <f>U642</f>
        <v>0</v>
      </c>
      <c r="V603" s="3437"/>
      <c r="W603" s="3437"/>
      <c r="X603" s="3437"/>
      <c r="Y603" s="3437"/>
      <c r="Z603" s="3437"/>
      <c r="AA603" s="3437">
        <f>O603+U603</f>
        <v>-1561211417.1100001</v>
      </c>
      <c r="AB603" s="3437"/>
      <c r="AC603" s="3437"/>
      <c r="AD603" s="3437"/>
      <c r="AE603" s="3437"/>
      <c r="AF603" s="3437"/>
      <c r="AP603" s="364" t="s">
        <v>942</v>
      </c>
      <c r="AQ603" s="678"/>
      <c r="AS603" s="762"/>
    </row>
    <row r="604" spans="2:46" s="648" customFormat="1" ht="11.5" outlineLevel="2" x14ac:dyDescent="0.35">
      <c r="B604" s="671"/>
      <c r="C604" s="766"/>
      <c r="D604" s="648" t="s">
        <v>943</v>
      </c>
      <c r="E604" s="767"/>
      <c r="F604" s="767"/>
      <c r="G604" s="767"/>
      <c r="H604" s="767"/>
      <c r="I604" s="767"/>
      <c r="J604" s="767"/>
      <c r="K604" s="767"/>
      <c r="L604" s="767"/>
      <c r="M604" s="767"/>
      <c r="N604" s="767"/>
      <c r="O604" s="3490">
        <f>AA699</f>
        <v>15101307330.223475</v>
      </c>
      <c r="P604" s="3490"/>
      <c r="Q604" s="3490"/>
      <c r="R604" s="3490"/>
      <c r="S604" s="3490"/>
      <c r="T604" s="3490"/>
      <c r="U604" s="3490">
        <f>U647-U649</f>
        <v>-85749821.722949997</v>
      </c>
      <c r="V604" s="3490"/>
      <c r="W604" s="3490"/>
      <c r="X604" s="3490"/>
      <c r="Y604" s="3490"/>
      <c r="Z604" s="3490"/>
      <c r="AA604" s="3490">
        <f>O604+U604</f>
        <v>15015557508.500525</v>
      </c>
      <c r="AB604" s="3490"/>
      <c r="AC604" s="3490"/>
      <c r="AD604" s="3490"/>
      <c r="AE604" s="3490"/>
      <c r="AF604" s="3490"/>
      <c r="AP604" s="364" t="s">
        <v>944</v>
      </c>
      <c r="AQ604" s="678"/>
      <c r="AS604" s="762"/>
    </row>
    <row r="605" spans="2:46" s="648" customFormat="1" ht="11.5" outlineLevel="2" x14ac:dyDescent="0.35">
      <c r="B605" s="671"/>
      <c r="C605" s="766"/>
      <c r="E605" s="767"/>
      <c r="F605" s="767"/>
      <c r="G605" s="767"/>
      <c r="H605" s="767"/>
      <c r="I605" s="767"/>
      <c r="J605" s="767"/>
      <c r="K605" s="767"/>
      <c r="L605" s="767"/>
      <c r="M605" s="767"/>
      <c r="N605" s="773"/>
      <c r="O605" s="3457">
        <f>SUM(O602:T604)</f>
        <v>13735976836.12014</v>
      </c>
      <c r="P605" s="3457"/>
      <c r="Q605" s="3457"/>
      <c r="R605" s="3457"/>
      <c r="S605" s="3457"/>
      <c r="T605" s="3457"/>
      <c r="U605" s="3457">
        <f>SUM(U602:Z604)</f>
        <v>-80869933.439616665</v>
      </c>
      <c r="V605" s="3457"/>
      <c r="W605" s="3457"/>
      <c r="X605" s="3457"/>
      <c r="Y605" s="3457"/>
      <c r="Z605" s="3457"/>
      <c r="AA605" s="3457">
        <f>SUM(AA602:AF604)</f>
        <v>13655106902.680525</v>
      </c>
      <c r="AB605" s="3457"/>
      <c r="AC605" s="3457"/>
      <c r="AD605" s="3457"/>
      <c r="AE605" s="3457"/>
      <c r="AF605" s="3457"/>
      <c r="AP605" s="768"/>
      <c r="AQ605" s="678"/>
      <c r="AS605" s="762"/>
    </row>
    <row r="606" spans="2:46" s="648" customFormat="1" ht="12" outlineLevel="2" thickBot="1" x14ac:dyDescent="0.4">
      <c r="B606" s="671"/>
      <c r="C606" s="766"/>
      <c r="E606" s="767"/>
      <c r="F606" s="767"/>
      <c r="G606" s="767"/>
      <c r="H606" s="767"/>
      <c r="I606" s="767"/>
      <c r="J606" s="767"/>
      <c r="K606" s="767"/>
      <c r="L606" s="767"/>
      <c r="M606" s="767"/>
      <c r="N606" s="773"/>
      <c r="O606" s="3437"/>
      <c r="P606" s="3437"/>
      <c r="Q606" s="3437"/>
      <c r="R606" s="3437"/>
      <c r="S606" s="3437"/>
      <c r="T606" s="3437"/>
      <c r="U606" s="3435"/>
      <c r="V606" s="3435"/>
      <c r="W606" s="3435"/>
      <c r="X606" s="3435"/>
      <c r="Y606" s="3435"/>
      <c r="Z606" s="3435"/>
      <c r="AA606" s="3437"/>
      <c r="AB606" s="3437"/>
      <c r="AC606" s="3437"/>
      <c r="AD606" s="3437"/>
      <c r="AE606" s="3437"/>
      <c r="AF606" s="3437"/>
      <c r="AP606" s="768"/>
      <c r="AQ606" s="678"/>
      <c r="AS606" s="774"/>
    </row>
    <row r="607" spans="2:46" s="648" customFormat="1" ht="12" outlineLevel="1" thickBot="1" x14ac:dyDescent="0.4">
      <c r="B607" s="671"/>
      <c r="C607" s="775"/>
      <c r="D607" s="776"/>
      <c r="E607" s="777"/>
      <c r="F607" s="777"/>
      <c r="G607" s="777"/>
      <c r="H607" s="777"/>
      <c r="I607" s="777"/>
      <c r="J607" s="777"/>
      <c r="K607" s="777"/>
      <c r="L607" s="777"/>
      <c r="M607" s="777"/>
      <c r="N607" s="777"/>
      <c r="O607" s="3446">
        <f>O600-O605</f>
        <v>955496532.01652145</v>
      </c>
      <c r="P607" s="3446"/>
      <c r="Q607" s="3446"/>
      <c r="R607" s="3446"/>
      <c r="S607" s="3446"/>
      <c r="T607" s="3446"/>
      <c r="U607" s="3446">
        <f>U600-U605</f>
        <v>52146265.062949881</v>
      </c>
      <c r="V607" s="3446"/>
      <c r="W607" s="3446"/>
      <c r="X607" s="3446"/>
      <c r="Y607" s="3446"/>
      <c r="Z607" s="3446"/>
      <c r="AA607" s="3446">
        <f>AA600-AA605</f>
        <v>1007642797.0794697</v>
      </c>
      <c r="AB607" s="3446"/>
      <c r="AC607" s="3446"/>
      <c r="AD607" s="3446"/>
      <c r="AE607" s="3446"/>
      <c r="AF607" s="3446"/>
      <c r="AG607" s="776"/>
      <c r="AH607" s="776"/>
      <c r="AI607" s="776"/>
      <c r="AJ607" s="776"/>
      <c r="AK607" s="776"/>
      <c r="AL607" s="776"/>
      <c r="AM607" s="776"/>
      <c r="AN607" s="776"/>
      <c r="AO607" s="776"/>
      <c r="AP607" s="778"/>
      <c r="AQ607" s="779"/>
      <c r="AS607" s="762"/>
    </row>
    <row r="608" spans="2:46" s="648" customFormat="1" ht="11.5" outlineLevel="2" x14ac:dyDescent="0.35">
      <c r="B608" s="671"/>
      <c r="C608" s="766"/>
      <c r="E608" s="767"/>
      <c r="F608" s="767"/>
      <c r="G608" s="767"/>
      <c r="H608" s="767"/>
      <c r="I608" s="767"/>
      <c r="J608" s="767"/>
      <c r="K608" s="767"/>
      <c r="L608" s="767"/>
      <c r="M608" s="767"/>
      <c r="N608" s="767"/>
      <c r="O608" s="780"/>
      <c r="P608" s="781"/>
      <c r="Q608" s="781"/>
      <c r="R608" s="781"/>
      <c r="S608" s="781"/>
      <c r="T608" s="782"/>
      <c r="U608" s="781"/>
      <c r="V608" s="781"/>
      <c r="W608" s="781"/>
      <c r="X608" s="781"/>
      <c r="Y608" s="781"/>
      <c r="Z608" s="781"/>
      <c r="AA608" s="780"/>
      <c r="AB608" s="781"/>
      <c r="AC608" s="781"/>
      <c r="AD608" s="781"/>
      <c r="AE608" s="781"/>
      <c r="AF608" s="782"/>
      <c r="AP608" s="768"/>
      <c r="AQ608" s="678"/>
      <c r="AS608" s="762"/>
    </row>
    <row r="609" spans="2:45" s="648" customFormat="1" ht="12" outlineLevel="2" x14ac:dyDescent="0.35">
      <c r="B609" s="671"/>
      <c r="C609" s="685" t="s">
        <v>8123</v>
      </c>
      <c r="F609" s="767"/>
      <c r="G609" s="767"/>
      <c r="H609" s="767"/>
      <c r="I609" s="767"/>
      <c r="J609" s="767"/>
      <c r="K609" s="767"/>
      <c r="L609" s="767"/>
      <c r="M609" s="767"/>
      <c r="N609" s="767"/>
      <c r="O609" s="3437"/>
      <c r="P609" s="3437"/>
      <c r="Q609" s="3437"/>
      <c r="R609" s="3437"/>
      <c r="S609" s="3437"/>
      <c r="T609" s="3437"/>
      <c r="U609" s="3435"/>
      <c r="V609" s="3435"/>
      <c r="W609" s="3435"/>
      <c r="X609" s="3435"/>
      <c r="Y609" s="3435"/>
      <c r="Z609" s="3435"/>
      <c r="AA609" s="3437"/>
      <c r="AB609" s="3437"/>
      <c r="AC609" s="3437"/>
      <c r="AD609" s="3437"/>
      <c r="AE609" s="3437"/>
      <c r="AF609" s="3437"/>
      <c r="AK609" s="783"/>
      <c r="AP609" s="768"/>
      <c r="AQ609" s="686" t="s">
        <v>274</v>
      </c>
      <c r="AS609" s="762"/>
    </row>
    <row r="610" spans="2:45" s="648" customFormat="1" ht="12" outlineLevel="2" x14ac:dyDescent="0.35">
      <c r="B610" s="671"/>
      <c r="C610" s="770" t="s">
        <v>190</v>
      </c>
      <c r="D610" s="648" t="s">
        <v>945</v>
      </c>
      <c r="F610" s="767"/>
      <c r="G610" s="767"/>
      <c r="H610" s="767"/>
      <c r="I610" s="767"/>
      <c r="J610" s="767"/>
      <c r="K610" s="767"/>
      <c r="L610" s="767"/>
      <c r="M610" s="767"/>
      <c r="N610" s="767"/>
      <c r="O610" s="3626">
        <f>AA705</f>
        <v>197268042</v>
      </c>
      <c r="P610" s="3626"/>
      <c r="Q610" s="3626"/>
      <c r="R610" s="3626"/>
      <c r="S610" s="3626"/>
      <c r="T610" s="3626"/>
      <c r="U610" s="3435"/>
      <c r="V610" s="3435"/>
      <c r="W610" s="3435"/>
      <c r="X610" s="3435"/>
      <c r="Y610" s="3435"/>
      <c r="Z610" s="3435"/>
      <c r="AA610" s="3437">
        <f>O610+U610</f>
        <v>197268042</v>
      </c>
      <c r="AB610" s="3437"/>
      <c r="AC610" s="3437"/>
      <c r="AD610" s="3437"/>
      <c r="AE610" s="3437"/>
      <c r="AF610" s="3437"/>
      <c r="AK610" s="783"/>
      <c r="AP610" s="364" t="s">
        <v>946</v>
      </c>
      <c r="AQ610" s="772" t="s">
        <v>190</v>
      </c>
      <c r="AS610" s="762"/>
    </row>
    <row r="611" spans="2:45" s="648" customFormat="1" ht="12" outlineLevel="2" x14ac:dyDescent="0.35">
      <c r="B611" s="671"/>
      <c r="C611" s="770" t="s">
        <v>190</v>
      </c>
      <c r="D611" s="648" t="s">
        <v>947</v>
      </c>
      <c r="F611" s="767"/>
      <c r="G611" s="767"/>
      <c r="H611" s="767"/>
      <c r="I611" s="767"/>
      <c r="J611" s="767"/>
      <c r="K611" s="767"/>
      <c r="L611" s="767"/>
      <c r="M611" s="767"/>
      <c r="N611" s="767"/>
      <c r="O611" s="3437"/>
      <c r="P611" s="3437"/>
      <c r="Q611" s="3437"/>
      <c r="R611" s="3437"/>
      <c r="S611" s="3437"/>
      <c r="T611" s="3437"/>
      <c r="U611" s="3435"/>
      <c r="V611" s="3435"/>
      <c r="W611" s="3435"/>
      <c r="X611" s="3435"/>
      <c r="Y611" s="3435"/>
      <c r="Z611" s="3435"/>
      <c r="AA611" s="3437"/>
      <c r="AB611" s="3437"/>
      <c r="AC611" s="3437"/>
      <c r="AD611" s="3437"/>
      <c r="AE611" s="3437"/>
      <c r="AF611" s="3437"/>
      <c r="AK611" s="783"/>
      <c r="AP611" s="364" t="s">
        <v>948</v>
      </c>
      <c r="AQ611" s="772" t="s">
        <v>190</v>
      </c>
      <c r="AS611" s="762"/>
    </row>
    <row r="612" spans="2:45" s="648" customFormat="1" outlineLevel="2" x14ac:dyDescent="0.35">
      <c r="B612" s="671"/>
      <c r="C612" s="770"/>
      <c r="D612" s="84" t="s">
        <v>7988</v>
      </c>
      <c r="F612" s="767"/>
      <c r="G612" s="767"/>
      <c r="H612" s="767"/>
      <c r="I612" s="767"/>
      <c r="J612" s="767"/>
      <c r="K612" s="767"/>
      <c r="L612" s="767"/>
      <c r="M612" s="767"/>
      <c r="N612" s="767"/>
      <c r="O612" s="3434">
        <f>AA708</f>
        <v>112152193.59</v>
      </c>
      <c r="P612" s="3435"/>
      <c r="Q612" s="3435"/>
      <c r="R612" s="3435"/>
      <c r="S612" s="3435"/>
      <c r="T612" s="3436"/>
      <c r="U612" s="3434"/>
      <c r="V612" s="3435"/>
      <c r="W612" s="3435"/>
      <c r="X612" s="3435"/>
      <c r="Y612" s="3435"/>
      <c r="Z612" s="3456"/>
      <c r="AA612" s="3437">
        <f>O612+U612</f>
        <v>112152193.59</v>
      </c>
      <c r="AB612" s="3437"/>
      <c r="AC612" s="3437"/>
      <c r="AD612" s="3437"/>
      <c r="AE612" s="3437"/>
      <c r="AF612" s="3437"/>
      <c r="AK612" s="783"/>
      <c r="AP612" s="111" t="s">
        <v>949</v>
      </c>
      <c r="AQ612" s="772"/>
      <c r="AS612" s="762"/>
    </row>
    <row r="613" spans="2:45" s="648" customFormat="1" outlineLevel="2" x14ac:dyDescent="0.35">
      <c r="B613" s="671"/>
      <c r="C613" s="770"/>
      <c r="D613" s="84" t="s">
        <v>7989</v>
      </c>
      <c r="F613" s="767"/>
      <c r="G613" s="767"/>
      <c r="H613" s="767"/>
      <c r="I613" s="767"/>
      <c r="J613" s="767"/>
      <c r="K613" s="767"/>
      <c r="L613" s="767"/>
      <c r="M613" s="767"/>
      <c r="N613" s="767"/>
      <c r="O613" s="3434">
        <f>AA709</f>
        <v>82846744</v>
      </c>
      <c r="P613" s="3435"/>
      <c r="Q613" s="3435"/>
      <c r="R613" s="3435"/>
      <c r="S613" s="3435"/>
      <c r="T613" s="3436"/>
      <c r="U613" s="3434"/>
      <c r="V613" s="3435"/>
      <c r="W613" s="3435"/>
      <c r="X613" s="3435"/>
      <c r="Y613" s="3435"/>
      <c r="Z613" s="3456"/>
      <c r="AA613" s="3437">
        <f>O613+U613</f>
        <v>82846744</v>
      </c>
      <c r="AB613" s="3437"/>
      <c r="AC613" s="3437"/>
      <c r="AD613" s="3437"/>
      <c r="AE613" s="3437"/>
      <c r="AF613" s="3437"/>
      <c r="AK613" s="783"/>
      <c r="AP613" s="87"/>
      <c r="AQ613" s="772"/>
      <c r="AS613" s="762"/>
    </row>
    <row r="614" spans="2:45" s="648" customFormat="1" outlineLevel="2" x14ac:dyDescent="0.35">
      <c r="B614" s="671"/>
      <c r="C614" s="770"/>
      <c r="D614" s="84"/>
      <c r="F614" s="767"/>
      <c r="G614" s="767"/>
      <c r="H614" s="767"/>
      <c r="I614" s="767"/>
      <c r="J614" s="767"/>
      <c r="K614" s="767"/>
      <c r="L614" s="767"/>
      <c r="M614" s="767"/>
      <c r="N614" s="767"/>
      <c r="O614" s="3468"/>
      <c r="P614" s="3469"/>
      <c r="Q614" s="3469"/>
      <c r="R614" s="3469"/>
      <c r="S614" s="3469"/>
      <c r="T614" s="3632"/>
      <c r="U614" s="3434"/>
      <c r="V614" s="3435"/>
      <c r="W614" s="3435"/>
      <c r="X614" s="3435"/>
      <c r="Y614" s="3435"/>
      <c r="Z614" s="3456"/>
      <c r="AA614" s="3468"/>
      <c r="AB614" s="3469"/>
      <c r="AC614" s="3469"/>
      <c r="AD614" s="3469"/>
      <c r="AE614" s="3469"/>
      <c r="AF614" s="3633"/>
      <c r="AK614" s="783"/>
      <c r="AP614" s="87"/>
      <c r="AQ614" s="772"/>
      <c r="AS614" s="762"/>
    </row>
    <row r="615" spans="2:45" s="648" customFormat="1" outlineLevel="1" x14ac:dyDescent="0.35">
      <c r="B615" s="671"/>
      <c r="C615" s="784"/>
      <c r="D615" s="785"/>
      <c r="E615" s="785"/>
      <c r="F615" s="786"/>
      <c r="G615" s="786"/>
      <c r="H615" s="786"/>
      <c r="I615" s="786"/>
      <c r="J615" s="786"/>
      <c r="K615" s="786"/>
      <c r="L615" s="786"/>
      <c r="M615" s="786"/>
      <c r="N615" s="786"/>
      <c r="O615" s="3631">
        <f>SUM(O612:T614)</f>
        <v>194998937.59</v>
      </c>
      <c r="P615" s="3631"/>
      <c r="Q615" s="3631"/>
      <c r="R615" s="3631"/>
      <c r="S615" s="3631"/>
      <c r="T615" s="3631"/>
      <c r="U615" s="3631">
        <f>SUM(U612:Z614)</f>
        <v>0</v>
      </c>
      <c r="V615" s="3631"/>
      <c r="W615" s="3631"/>
      <c r="X615" s="3631"/>
      <c r="Y615" s="3631"/>
      <c r="Z615" s="3631"/>
      <c r="AA615" s="3631">
        <f>SUM(AA612:AF614)</f>
        <v>194998937.59</v>
      </c>
      <c r="AB615" s="3631"/>
      <c r="AC615" s="3631"/>
      <c r="AD615" s="3631"/>
      <c r="AE615" s="3631"/>
      <c r="AF615" s="3631"/>
      <c r="AG615" s="785"/>
      <c r="AH615" s="785"/>
      <c r="AI615" s="785"/>
      <c r="AJ615" s="785"/>
      <c r="AK615" s="787"/>
      <c r="AL615" s="785"/>
      <c r="AM615" s="785"/>
      <c r="AN615" s="785"/>
      <c r="AO615" s="785"/>
      <c r="AP615" s="788"/>
      <c r="AQ615" s="789"/>
      <c r="AS615" s="762"/>
    </row>
    <row r="616" spans="2:45" s="648" customFormat="1" outlineLevel="2" x14ac:dyDescent="0.35">
      <c r="B616" s="671"/>
      <c r="C616" s="770"/>
      <c r="D616" s="648" t="s">
        <v>950</v>
      </c>
      <c r="F616" s="767"/>
      <c r="G616" s="767"/>
      <c r="H616" s="767"/>
      <c r="I616" s="767"/>
      <c r="J616" s="767"/>
      <c r="K616" s="767"/>
      <c r="L616" s="767"/>
      <c r="M616" s="767"/>
      <c r="N616" s="767"/>
      <c r="O616" s="3437">
        <f>AA712</f>
        <v>0</v>
      </c>
      <c r="P616" s="3437"/>
      <c r="Q616" s="3437"/>
      <c r="R616" s="3437"/>
      <c r="S616" s="3437"/>
      <c r="T616" s="3437"/>
      <c r="U616" s="3435"/>
      <c r="V616" s="3435"/>
      <c r="W616" s="3435"/>
      <c r="X616" s="3435"/>
      <c r="Y616" s="3435"/>
      <c r="Z616" s="3435"/>
      <c r="AA616" s="3437">
        <f>O616+U616</f>
        <v>0</v>
      </c>
      <c r="AB616" s="3437"/>
      <c r="AC616" s="3437"/>
      <c r="AD616" s="3437"/>
      <c r="AE616" s="3437"/>
      <c r="AF616" s="3437"/>
      <c r="AK616" s="783"/>
      <c r="AP616" s="87" t="s">
        <v>951</v>
      </c>
      <c r="AQ616" s="772"/>
      <c r="AS616" s="762"/>
    </row>
    <row r="617" spans="2:45" s="648" customFormat="1" ht="11.5" outlineLevel="1" x14ac:dyDescent="0.35">
      <c r="B617" s="671"/>
      <c r="C617" s="770"/>
      <c r="D617" s="648" t="s">
        <v>952</v>
      </c>
      <c r="E617" s="767"/>
      <c r="F617" s="767"/>
      <c r="G617" s="767"/>
      <c r="H617" s="767"/>
      <c r="I617" s="767"/>
      <c r="J617" s="767"/>
      <c r="K617" s="767"/>
      <c r="L617" s="767"/>
      <c r="M617" s="767"/>
      <c r="N617" s="767"/>
      <c r="O617" s="3437">
        <f>AA713</f>
        <v>1249444306</v>
      </c>
      <c r="P617" s="3437"/>
      <c r="Q617" s="3437"/>
      <c r="R617" s="3437"/>
      <c r="S617" s="3437"/>
      <c r="T617" s="3437"/>
      <c r="U617" s="3435">
        <f>LR!E36</f>
        <v>82572250</v>
      </c>
      <c r="V617" s="3435"/>
      <c r="W617" s="3435"/>
      <c r="X617" s="3435"/>
      <c r="Y617" s="3435"/>
      <c r="Z617" s="3435"/>
      <c r="AA617" s="3437">
        <f>O617+U617</f>
        <v>1332016556</v>
      </c>
      <c r="AB617" s="3437"/>
      <c r="AC617" s="3437"/>
      <c r="AD617" s="3437"/>
      <c r="AE617" s="3437"/>
      <c r="AF617" s="3437"/>
      <c r="AP617" s="364" t="s">
        <v>953</v>
      </c>
      <c r="AQ617" s="772"/>
      <c r="AS617" s="762"/>
    </row>
    <row r="618" spans="2:45" s="648" customFormat="1" ht="11.5" outlineLevel="2" x14ac:dyDescent="0.35">
      <c r="B618" s="671"/>
      <c r="C618" s="770"/>
      <c r="D618" s="648" t="s">
        <v>954</v>
      </c>
      <c r="E618" s="767"/>
      <c r="F618" s="767"/>
      <c r="G618" s="767"/>
      <c r="H618" s="767"/>
      <c r="I618" s="767"/>
      <c r="J618" s="767"/>
      <c r="K618" s="767"/>
      <c r="L618" s="767"/>
      <c r="M618" s="767"/>
      <c r="N618" s="767"/>
      <c r="O618" s="3630">
        <f>AA714</f>
        <v>1137441394.1933327</v>
      </c>
      <c r="P618" s="3630"/>
      <c r="Q618" s="3630"/>
      <c r="R618" s="3630"/>
      <c r="S618" s="3630"/>
      <c r="T618" s="3630"/>
      <c r="U618" s="3616">
        <f>LR!E72</f>
        <v>77692361.716666669</v>
      </c>
      <c r="V618" s="3616"/>
      <c r="W618" s="3616"/>
      <c r="X618" s="3616"/>
      <c r="Y618" s="3616"/>
      <c r="Z618" s="3616"/>
      <c r="AA618" s="3490">
        <f>O618+U618</f>
        <v>1215133755.9099994</v>
      </c>
      <c r="AB618" s="3490"/>
      <c r="AC618" s="3490"/>
      <c r="AD618" s="3490"/>
      <c r="AE618" s="3490"/>
      <c r="AF618" s="3490"/>
      <c r="AP618" s="364" t="s">
        <v>955</v>
      </c>
      <c r="AQ618" s="772"/>
      <c r="AS618" s="762"/>
    </row>
    <row r="619" spans="2:45" s="648" customFormat="1" ht="11.5" outlineLevel="1" x14ac:dyDescent="0.35">
      <c r="B619" s="671"/>
      <c r="C619" s="770"/>
      <c r="E619" s="767"/>
      <c r="F619" s="767"/>
      <c r="G619" s="767"/>
      <c r="H619" s="767"/>
      <c r="I619" s="767"/>
      <c r="J619" s="767"/>
      <c r="K619" s="767"/>
      <c r="L619" s="767"/>
      <c r="M619" s="767"/>
      <c r="N619" s="767"/>
      <c r="O619" s="3437">
        <f>O617-O618+O616</f>
        <v>112002911.80666733</v>
      </c>
      <c r="P619" s="3437"/>
      <c r="Q619" s="3437"/>
      <c r="R619" s="3437"/>
      <c r="S619" s="3437"/>
      <c r="T619" s="3437"/>
      <c r="U619" s="3457">
        <f>U617-U618</f>
        <v>4879888.2833333313</v>
      </c>
      <c r="V619" s="3457"/>
      <c r="W619" s="3457"/>
      <c r="X619" s="3457"/>
      <c r="Y619" s="3457"/>
      <c r="Z619" s="3457"/>
      <c r="AA619" s="3437">
        <f>AA617-AA618+AA616</f>
        <v>116882800.09000063</v>
      </c>
      <c r="AB619" s="3437"/>
      <c r="AC619" s="3437"/>
      <c r="AD619" s="3437"/>
      <c r="AE619" s="3437"/>
      <c r="AF619" s="3437"/>
      <c r="AP619" s="364"/>
      <c r="AQ619" s="772"/>
      <c r="AS619" s="762"/>
    </row>
    <row r="620" spans="2:45" s="648" customFormat="1" outlineLevel="2" x14ac:dyDescent="0.35">
      <c r="B620" s="671"/>
      <c r="C620" s="770"/>
      <c r="D620" s="84"/>
      <c r="E620" s="767"/>
      <c r="F620" s="767"/>
      <c r="G620" s="767"/>
      <c r="H620" s="767"/>
      <c r="I620" s="767"/>
      <c r="J620" s="767"/>
      <c r="K620" s="767"/>
      <c r="L620" s="767"/>
      <c r="M620" s="767"/>
      <c r="N620" s="767"/>
      <c r="O620" s="3627"/>
      <c r="P620" s="3628"/>
      <c r="Q620" s="3628"/>
      <c r="R620" s="3628"/>
      <c r="S620" s="3628"/>
      <c r="T620" s="3629"/>
      <c r="U620" s="3627">
        <v>0</v>
      </c>
      <c r="V620" s="3628"/>
      <c r="W620" s="3628"/>
      <c r="X620" s="3628"/>
      <c r="Y620" s="3628"/>
      <c r="Z620" s="3629"/>
      <c r="AA620" s="3434">
        <f>O620+U620</f>
        <v>0</v>
      </c>
      <c r="AB620" s="3435"/>
      <c r="AC620" s="3435"/>
      <c r="AD620" s="3435"/>
      <c r="AE620" s="3435"/>
      <c r="AF620" s="3456"/>
      <c r="AP620" s="111" t="s">
        <v>957</v>
      </c>
      <c r="AQ620" s="772"/>
      <c r="AS620" s="762"/>
    </row>
    <row r="621" spans="2:45" s="648" customFormat="1" outlineLevel="2" x14ac:dyDescent="0.35">
      <c r="B621" s="671"/>
      <c r="C621" s="770"/>
      <c r="D621" s="84"/>
      <c r="E621" s="767"/>
      <c r="F621" s="767"/>
      <c r="G621" s="767"/>
      <c r="H621" s="767"/>
      <c r="I621" s="767"/>
      <c r="J621" s="767"/>
      <c r="K621" s="767"/>
      <c r="L621" s="767"/>
      <c r="M621" s="767"/>
      <c r="N621" s="767"/>
      <c r="O621" s="3620"/>
      <c r="P621" s="3621"/>
      <c r="Q621" s="3621"/>
      <c r="R621" s="3621"/>
      <c r="S621" s="3621"/>
      <c r="T621" s="3622"/>
      <c r="U621" s="3620"/>
      <c r="V621" s="3621"/>
      <c r="W621" s="3621"/>
      <c r="X621" s="3621"/>
      <c r="Y621" s="3621"/>
      <c r="Z621" s="3622"/>
      <c r="AA621" s="3623">
        <f>O621+U621</f>
        <v>0</v>
      </c>
      <c r="AB621" s="3624"/>
      <c r="AC621" s="3624"/>
      <c r="AD621" s="3624"/>
      <c r="AE621" s="3624"/>
      <c r="AF621" s="3625"/>
      <c r="AP621" s="111"/>
      <c r="AQ621" s="772"/>
      <c r="AS621" s="762"/>
    </row>
    <row r="622" spans="2:45" s="648" customFormat="1" outlineLevel="2" x14ac:dyDescent="0.35">
      <c r="B622" s="671"/>
      <c r="C622" s="770"/>
      <c r="D622" s="84"/>
      <c r="E622" s="767"/>
      <c r="F622" s="767"/>
      <c r="G622" s="767"/>
      <c r="H622" s="767"/>
      <c r="I622" s="767"/>
      <c r="J622" s="767"/>
      <c r="K622" s="767"/>
      <c r="L622" s="767"/>
      <c r="M622" s="767"/>
      <c r="N622" s="767"/>
      <c r="O622" s="3617">
        <f>SUM(O619:T621)</f>
        <v>112002911.80666733</v>
      </c>
      <c r="P622" s="3618"/>
      <c r="Q622" s="3618"/>
      <c r="R622" s="3618"/>
      <c r="S622" s="3618"/>
      <c r="T622" s="3619"/>
      <c r="U622" s="3617">
        <f>SUM(U619:Z621)</f>
        <v>4879888.2833333313</v>
      </c>
      <c r="V622" s="3618"/>
      <c r="W622" s="3618"/>
      <c r="X622" s="3618"/>
      <c r="Y622" s="3618"/>
      <c r="Z622" s="3619"/>
      <c r="AA622" s="3617">
        <f>SUM(AA619:AF621)</f>
        <v>116882800.09000063</v>
      </c>
      <c r="AB622" s="3618"/>
      <c r="AC622" s="3618"/>
      <c r="AD622" s="3618"/>
      <c r="AE622" s="3618"/>
      <c r="AF622" s="3619"/>
      <c r="AP622" s="364"/>
      <c r="AQ622" s="772"/>
      <c r="AS622" s="762"/>
    </row>
    <row r="623" spans="2:45" s="648" customFormat="1" ht="11.5" outlineLevel="2" x14ac:dyDescent="0.35">
      <c r="B623" s="671"/>
      <c r="C623" s="770"/>
      <c r="E623" s="767"/>
      <c r="F623" s="767"/>
      <c r="G623" s="767"/>
      <c r="H623" s="767"/>
      <c r="I623" s="767"/>
      <c r="J623" s="767"/>
      <c r="K623" s="767"/>
      <c r="L623" s="767"/>
      <c r="M623" s="767"/>
      <c r="N623" s="767"/>
      <c r="O623" s="682"/>
      <c r="P623" s="672"/>
      <c r="Q623" s="672"/>
      <c r="R623" s="672"/>
      <c r="S623" s="672"/>
      <c r="T623" s="683"/>
      <c r="U623" s="672"/>
      <c r="V623" s="672"/>
      <c r="W623" s="672"/>
      <c r="X623" s="672"/>
      <c r="Y623" s="672"/>
      <c r="Z623" s="672"/>
      <c r="AA623" s="682"/>
      <c r="AB623" s="672"/>
      <c r="AC623" s="672"/>
      <c r="AD623" s="672"/>
      <c r="AE623" s="672"/>
      <c r="AF623" s="683"/>
      <c r="AP623" s="364"/>
      <c r="AQ623" s="772"/>
      <c r="AS623" s="762"/>
    </row>
    <row r="624" spans="2:45" s="648" customFormat="1" ht="11.5" outlineLevel="2" x14ac:dyDescent="0.35">
      <c r="B624" s="671"/>
      <c r="C624" s="770"/>
      <c r="E624" s="767"/>
      <c r="F624" s="767"/>
      <c r="G624" s="767"/>
      <c r="H624" s="767"/>
      <c r="I624" s="767"/>
      <c r="J624" s="767"/>
      <c r="K624" s="767"/>
      <c r="L624" s="767"/>
      <c r="M624" s="767"/>
      <c r="N624" s="767"/>
      <c r="O624" s="3617">
        <f>O619+O615+O621+O620</f>
        <v>307001849.39666736</v>
      </c>
      <c r="P624" s="3618"/>
      <c r="Q624" s="3618"/>
      <c r="R624" s="3618"/>
      <c r="S624" s="3618"/>
      <c r="T624" s="3619"/>
      <c r="U624" s="3617">
        <f>U619+U615+U621+U620</f>
        <v>4879888.2833333313</v>
      </c>
      <c r="V624" s="3618"/>
      <c r="W624" s="3618"/>
      <c r="X624" s="3618"/>
      <c r="Y624" s="3618"/>
      <c r="Z624" s="3619"/>
      <c r="AA624" s="3617">
        <f>AA619+AA615+AA621+AA620</f>
        <v>311881737.68000066</v>
      </c>
      <c r="AB624" s="3618"/>
      <c r="AC624" s="3618"/>
      <c r="AD624" s="3618"/>
      <c r="AE624" s="3618"/>
      <c r="AF624" s="3619"/>
      <c r="AP624" s="364"/>
      <c r="AQ624" s="772"/>
      <c r="AS624" s="762"/>
    </row>
    <row r="625" spans="2:46" s="648" customFormat="1" ht="12" outlineLevel="2" thickBot="1" x14ac:dyDescent="0.4">
      <c r="B625" s="671"/>
      <c r="C625" s="766"/>
      <c r="E625" s="767"/>
      <c r="F625" s="767"/>
      <c r="G625" s="767"/>
      <c r="H625" s="767"/>
      <c r="I625" s="767"/>
      <c r="J625" s="767"/>
      <c r="K625" s="767"/>
      <c r="L625" s="767"/>
      <c r="M625" s="767"/>
      <c r="N625" s="767"/>
      <c r="O625" s="780"/>
      <c r="P625" s="781"/>
      <c r="Q625" s="781"/>
      <c r="R625" s="781"/>
      <c r="S625" s="781"/>
      <c r="T625" s="782"/>
      <c r="U625" s="781"/>
      <c r="V625" s="781"/>
      <c r="W625" s="781"/>
      <c r="X625" s="781"/>
      <c r="Y625" s="781"/>
      <c r="Z625" s="781"/>
      <c r="AA625" s="780"/>
      <c r="AB625" s="781"/>
      <c r="AC625" s="781"/>
      <c r="AD625" s="781"/>
      <c r="AE625" s="781"/>
      <c r="AF625" s="782"/>
      <c r="AP625" s="364"/>
      <c r="AQ625" s="772"/>
      <c r="AS625" s="762"/>
    </row>
    <row r="626" spans="2:46" s="648" customFormat="1" ht="12" outlineLevel="2" thickBot="1" x14ac:dyDescent="0.4">
      <c r="B626" s="671"/>
      <c r="C626" s="775"/>
      <c r="D626" s="776"/>
      <c r="E626" s="777"/>
      <c r="F626" s="777"/>
      <c r="G626" s="777"/>
      <c r="H626" s="777"/>
      <c r="I626" s="777"/>
      <c r="J626" s="777"/>
      <c r="K626" s="777"/>
      <c r="L626" s="777"/>
      <c r="M626" s="777"/>
      <c r="N626" s="777"/>
      <c r="O626" s="3446">
        <f>O624+O610</f>
        <v>504269891.39666736</v>
      </c>
      <c r="P626" s="3446"/>
      <c r="Q626" s="3446"/>
      <c r="R626" s="3446"/>
      <c r="S626" s="3446"/>
      <c r="T626" s="3446"/>
      <c r="U626" s="3446">
        <f>U624+U610</f>
        <v>4879888.2833333313</v>
      </c>
      <c r="V626" s="3446"/>
      <c r="W626" s="3446"/>
      <c r="X626" s="3446"/>
      <c r="Y626" s="3446"/>
      <c r="Z626" s="3446"/>
      <c r="AA626" s="3446">
        <f>AA624+AA610</f>
        <v>509149779.68000066</v>
      </c>
      <c r="AB626" s="3446"/>
      <c r="AC626" s="3446"/>
      <c r="AD626" s="3446"/>
      <c r="AE626" s="3446"/>
      <c r="AF626" s="3446"/>
      <c r="AG626" s="776"/>
      <c r="AH626" s="776"/>
      <c r="AI626" s="776"/>
      <c r="AJ626" s="776"/>
      <c r="AK626" s="776"/>
      <c r="AL626" s="776"/>
      <c r="AM626" s="776"/>
      <c r="AN626" s="776"/>
      <c r="AO626" s="776"/>
      <c r="AP626" s="778"/>
      <c r="AQ626" s="779"/>
      <c r="AS626" s="762"/>
    </row>
    <row r="627" spans="2:46" s="648" customFormat="1" ht="11.5" outlineLevel="2" x14ac:dyDescent="0.35">
      <c r="B627" s="671"/>
      <c r="C627" s="766"/>
      <c r="E627" s="767"/>
      <c r="F627" s="767"/>
      <c r="G627" s="767"/>
      <c r="H627" s="767"/>
      <c r="I627" s="767"/>
      <c r="J627" s="767"/>
      <c r="K627" s="767"/>
      <c r="L627" s="767"/>
      <c r="M627" s="767"/>
      <c r="N627" s="767"/>
      <c r="O627" s="780"/>
      <c r="P627" s="781"/>
      <c r="Q627" s="781"/>
      <c r="R627" s="781"/>
      <c r="S627" s="781"/>
      <c r="T627" s="782"/>
      <c r="U627" s="781"/>
      <c r="V627" s="781"/>
      <c r="W627" s="781"/>
      <c r="X627" s="781"/>
      <c r="Y627" s="781"/>
      <c r="Z627" s="781"/>
      <c r="AA627" s="780"/>
      <c r="AB627" s="781"/>
      <c r="AC627" s="781"/>
      <c r="AD627" s="781"/>
      <c r="AE627" s="781"/>
      <c r="AF627" s="782"/>
      <c r="AP627" s="768"/>
      <c r="AQ627" s="678"/>
      <c r="AS627" s="762"/>
    </row>
    <row r="628" spans="2:46" s="648" customFormat="1" ht="12" outlineLevel="1" x14ac:dyDescent="0.35">
      <c r="B628" s="671"/>
      <c r="C628" s="685" t="s">
        <v>277</v>
      </c>
      <c r="E628" s="767"/>
      <c r="F628" s="767"/>
      <c r="G628" s="767"/>
      <c r="H628" s="767"/>
      <c r="I628" s="767"/>
      <c r="J628" s="767"/>
      <c r="K628" s="767"/>
      <c r="L628" s="767"/>
      <c r="M628" s="767"/>
      <c r="N628" s="767"/>
      <c r="O628" s="3437"/>
      <c r="P628" s="3437"/>
      <c r="Q628" s="3437"/>
      <c r="R628" s="3437"/>
      <c r="S628" s="3437"/>
      <c r="T628" s="3437"/>
      <c r="U628" s="3435"/>
      <c r="V628" s="3435"/>
      <c r="W628" s="3435"/>
      <c r="X628" s="3435"/>
      <c r="Y628" s="3435"/>
      <c r="Z628" s="3435"/>
      <c r="AA628" s="3437"/>
      <c r="AB628" s="3437"/>
      <c r="AC628" s="3437"/>
      <c r="AD628" s="3437"/>
      <c r="AE628" s="3437"/>
      <c r="AF628" s="3437"/>
      <c r="AH628" s="783"/>
      <c r="AP628" s="768"/>
      <c r="AQ628" s="769" t="s">
        <v>278</v>
      </c>
      <c r="AS628" s="762"/>
    </row>
    <row r="629" spans="2:46" s="648" customFormat="1" ht="11.5" outlineLevel="2" x14ac:dyDescent="0.35">
      <c r="B629" s="671"/>
      <c r="C629" s="770" t="s">
        <v>190</v>
      </c>
      <c r="D629" s="771" t="s">
        <v>320</v>
      </c>
      <c r="F629" s="767"/>
      <c r="G629" s="767"/>
      <c r="H629" s="767"/>
      <c r="I629" s="767"/>
      <c r="J629" s="767"/>
      <c r="K629" s="767"/>
      <c r="L629" s="767"/>
      <c r="M629" s="767"/>
      <c r="N629" s="767"/>
      <c r="O629" s="3437">
        <f>AA722</f>
        <v>0</v>
      </c>
      <c r="P629" s="3437"/>
      <c r="Q629" s="3437"/>
      <c r="R629" s="3437"/>
      <c r="S629" s="3437"/>
      <c r="T629" s="3437"/>
      <c r="U629" s="3435"/>
      <c r="V629" s="3435"/>
      <c r="W629" s="3435"/>
      <c r="X629" s="3435"/>
      <c r="Y629" s="3435"/>
      <c r="Z629" s="3435"/>
      <c r="AA629" s="3437">
        <f t="shared" ref="AA629:AA637" si="6">O629+U629</f>
        <v>0</v>
      </c>
      <c r="AB629" s="3437"/>
      <c r="AC629" s="3437"/>
      <c r="AD629" s="3437"/>
      <c r="AE629" s="3437"/>
      <c r="AF629" s="3437"/>
      <c r="AP629" s="364" t="s">
        <v>321</v>
      </c>
      <c r="AQ629" s="772" t="s">
        <v>190</v>
      </c>
      <c r="AS629" s="762"/>
    </row>
    <row r="630" spans="2:46" s="648" customFormat="1" ht="11.5" outlineLevel="1" x14ac:dyDescent="0.35">
      <c r="B630" s="671"/>
      <c r="C630" s="770" t="s">
        <v>190</v>
      </c>
      <c r="D630" s="648" t="s">
        <v>959</v>
      </c>
      <c r="E630" s="790"/>
      <c r="F630" s="767"/>
      <c r="G630" s="767"/>
      <c r="H630" s="767"/>
      <c r="I630" s="767"/>
      <c r="J630" s="767"/>
      <c r="K630" s="767"/>
      <c r="L630" s="767"/>
      <c r="M630" s="767"/>
      <c r="N630" s="767"/>
      <c r="O630" s="3434">
        <f>AA723</f>
        <v>1274465697.6300001</v>
      </c>
      <c r="P630" s="3435"/>
      <c r="Q630" s="3435"/>
      <c r="R630" s="3435"/>
      <c r="S630" s="3435"/>
      <c r="T630" s="3456"/>
      <c r="U630" s="3435"/>
      <c r="V630" s="3435"/>
      <c r="W630" s="3435"/>
      <c r="X630" s="3435"/>
      <c r="Y630" s="3435"/>
      <c r="Z630" s="3435"/>
      <c r="AA630" s="3437">
        <f t="shared" si="6"/>
        <v>1274465697.6300001</v>
      </c>
      <c r="AB630" s="3437"/>
      <c r="AC630" s="3437"/>
      <c r="AD630" s="3437"/>
      <c r="AE630" s="3437"/>
      <c r="AF630" s="3437"/>
      <c r="AP630" s="364"/>
      <c r="AQ630" s="772"/>
      <c r="AS630" s="762"/>
    </row>
    <row r="631" spans="2:46" s="648" customFormat="1" ht="11.5" outlineLevel="1" x14ac:dyDescent="0.35">
      <c r="B631" s="671"/>
      <c r="C631" s="770" t="s">
        <v>190</v>
      </c>
      <c r="D631" s="648" t="s">
        <v>960</v>
      </c>
      <c r="E631" s="790"/>
      <c r="F631" s="767"/>
      <c r="G631" s="767"/>
      <c r="H631" s="767"/>
      <c r="I631" s="767"/>
      <c r="J631" s="767"/>
      <c r="K631" s="767"/>
      <c r="L631" s="767"/>
      <c r="M631" s="767"/>
      <c r="N631" s="767"/>
      <c r="O631" s="3434">
        <f t="shared" ref="O631:O636" si="7">AA724</f>
        <v>1274465697.6300001</v>
      </c>
      <c r="P631" s="3435"/>
      <c r="Q631" s="3435"/>
      <c r="R631" s="3435"/>
      <c r="S631" s="3435"/>
      <c r="T631" s="3456"/>
      <c r="U631" s="3435"/>
      <c r="V631" s="3435"/>
      <c r="W631" s="3435"/>
      <c r="X631" s="3435"/>
      <c r="Y631" s="3435"/>
      <c r="Z631" s="3435"/>
      <c r="AA631" s="3437">
        <f t="shared" si="6"/>
        <v>1274465697.6300001</v>
      </c>
      <c r="AB631" s="3437"/>
      <c r="AC631" s="3437"/>
      <c r="AD631" s="3437"/>
      <c r="AE631" s="3437"/>
      <c r="AF631" s="3437"/>
      <c r="AP631" s="364"/>
      <c r="AQ631" s="772"/>
      <c r="AS631" s="762"/>
      <c r="AT631" s="648">
        <v>808000000</v>
      </c>
    </row>
    <row r="632" spans="2:46" s="648" customFormat="1" ht="11.5" outlineLevel="1" x14ac:dyDescent="0.35">
      <c r="B632" s="671"/>
      <c r="C632" s="770" t="s">
        <v>190</v>
      </c>
      <c r="D632" s="648" t="s">
        <v>961</v>
      </c>
      <c r="E632" s="790"/>
      <c r="F632" s="767"/>
      <c r="G632" s="767"/>
      <c r="H632" s="767"/>
      <c r="I632" s="767"/>
      <c r="J632" s="767"/>
      <c r="K632" s="767"/>
      <c r="L632" s="767"/>
      <c r="M632" s="767"/>
      <c r="N632" s="767"/>
      <c r="O632" s="3434">
        <f t="shared" si="7"/>
        <v>1274465697.6300001</v>
      </c>
      <c r="P632" s="3435"/>
      <c r="Q632" s="3435"/>
      <c r="R632" s="3435"/>
      <c r="S632" s="3435"/>
      <c r="T632" s="3456"/>
      <c r="U632" s="3435"/>
      <c r="V632" s="3435"/>
      <c r="W632" s="3435"/>
      <c r="X632" s="3435"/>
      <c r="Y632" s="3435"/>
      <c r="Z632" s="3435"/>
      <c r="AA632" s="3437">
        <f t="shared" si="6"/>
        <v>1274465697.6300001</v>
      </c>
      <c r="AB632" s="3437"/>
      <c r="AC632" s="3437"/>
      <c r="AD632" s="3437"/>
      <c r="AE632" s="3437"/>
      <c r="AF632" s="3437"/>
      <c r="AP632" s="364"/>
      <c r="AQ632" s="772"/>
      <c r="AS632" s="762"/>
      <c r="AT632" s="648">
        <v>938320000</v>
      </c>
    </row>
    <row r="633" spans="2:46" s="648" customFormat="1" ht="11.5" outlineLevel="1" x14ac:dyDescent="0.35">
      <c r="B633" s="671"/>
      <c r="C633" s="770" t="s">
        <v>190</v>
      </c>
      <c r="D633" s="648" t="s">
        <v>962</v>
      </c>
      <c r="E633" s="790"/>
      <c r="F633" s="767"/>
      <c r="G633" s="767"/>
      <c r="H633" s="767"/>
      <c r="I633" s="767"/>
      <c r="J633" s="767"/>
      <c r="K633" s="767"/>
      <c r="L633" s="767"/>
      <c r="M633" s="767"/>
      <c r="N633" s="767"/>
      <c r="O633" s="3434">
        <f t="shared" si="7"/>
        <v>1438749776</v>
      </c>
      <c r="P633" s="3435"/>
      <c r="Q633" s="3435"/>
      <c r="R633" s="3435"/>
      <c r="S633" s="3435"/>
      <c r="T633" s="3456"/>
      <c r="U633" s="3435"/>
      <c r="V633" s="3435"/>
      <c r="W633" s="3435"/>
      <c r="X633" s="3435"/>
      <c r="Y633" s="3435"/>
      <c r="Z633" s="3435"/>
      <c r="AA633" s="3437">
        <f t="shared" si="6"/>
        <v>1438749776</v>
      </c>
      <c r="AB633" s="3437"/>
      <c r="AC633" s="3437"/>
      <c r="AD633" s="3437"/>
      <c r="AE633" s="3437"/>
      <c r="AF633" s="3437"/>
      <c r="AP633" s="364"/>
      <c r="AQ633" s="772"/>
      <c r="AS633" s="762"/>
      <c r="AT633" s="648">
        <v>1079000000</v>
      </c>
    </row>
    <row r="634" spans="2:46" s="648" customFormat="1" ht="11.5" outlineLevel="1" x14ac:dyDescent="0.35">
      <c r="B634" s="671"/>
      <c r="C634" s="770" t="s">
        <v>190</v>
      </c>
      <c r="D634" s="648" t="s">
        <v>6675</v>
      </c>
      <c r="E634" s="790"/>
      <c r="F634" s="767"/>
      <c r="G634" s="767"/>
      <c r="H634" s="767"/>
      <c r="I634" s="767"/>
      <c r="J634" s="767"/>
      <c r="K634" s="767"/>
      <c r="L634" s="767"/>
      <c r="M634" s="767"/>
      <c r="N634" s="767"/>
      <c r="O634" s="3434">
        <f t="shared" si="7"/>
        <v>1498800000</v>
      </c>
      <c r="P634" s="3435"/>
      <c r="Q634" s="3435"/>
      <c r="R634" s="3435"/>
      <c r="S634" s="3435"/>
      <c r="T634" s="3456"/>
      <c r="U634" s="3435"/>
      <c r="V634" s="3435"/>
      <c r="W634" s="3435"/>
      <c r="X634" s="3435"/>
      <c r="Y634" s="3435"/>
      <c r="Z634" s="3435"/>
      <c r="AA634" s="3437">
        <f t="shared" si="6"/>
        <v>1498800000</v>
      </c>
      <c r="AB634" s="3437"/>
      <c r="AC634" s="3437"/>
      <c r="AD634" s="3437"/>
      <c r="AE634" s="3437"/>
      <c r="AF634" s="3437"/>
      <c r="AP634" s="364"/>
      <c r="AQ634" s="772"/>
      <c r="AS634" s="762"/>
      <c r="AT634" s="648">
        <v>1199600000</v>
      </c>
    </row>
    <row r="635" spans="2:46" s="648" customFormat="1" ht="11.5" outlineLevel="1" x14ac:dyDescent="0.35">
      <c r="B635" s="671"/>
      <c r="C635" s="770" t="s">
        <v>190</v>
      </c>
      <c r="D635" s="648" t="s">
        <v>7158</v>
      </c>
      <c r="E635" s="790"/>
      <c r="F635" s="767"/>
      <c r="G635" s="767"/>
      <c r="H635" s="767"/>
      <c r="I635" s="767"/>
      <c r="J635" s="767"/>
      <c r="K635" s="767"/>
      <c r="L635" s="767"/>
      <c r="M635" s="767"/>
      <c r="N635" s="767"/>
      <c r="O635" s="3434">
        <f t="shared" si="7"/>
        <v>1487500000</v>
      </c>
      <c r="P635" s="3435"/>
      <c r="Q635" s="3435"/>
      <c r="R635" s="3435"/>
      <c r="S635" s="3435"/>
      <c r="T635" s="3456"/>
      <c r="U635" s="3435"/>
      <c r="V635" s="3435"/>
      <c r="W635" s="3435"/>
      <c r="X635" s="3435"/>
      <c r="Y635" s="3435"/>
      <c r="Z635" s="3435"/>
      <c r="AA635" s="3437">
        <f t="shared" si="6"/>
        <v>1487500000</v>
      </c>
      <c r="AB635" s="3437"/>
      <c r="AC635" s="3437"/>
      <c r="AD635" s="3437"/>
      <c r="AE635" s="3437"/>
      <c r="AF635" s="3437"/>
      <c r="AP635" s="364"/>
      <c r="AQ635" s="772"/>
      <c r="AS635" s="762"/>
    </row>
    <row r="636" spans="2:46" s="648" customFormat="1" ht="11.5" outlineLevel="1" x14ac:dyDescent="0.35">
      <c r="B636" s="671"/>
      <c r="C636" s="770" t="s">
        <v>190</v>
      </c>
      <c r="D636" s="648" t="s">
        <v>7159</v>
      </c>
      <c r="E636" s="790"/>
      <c r="F636" s="767"/>
      <c r="G636" s="767"/>
      <c r="H636" s="767"/>
      <c r="I636" s="767"/>
      <c r="J636" s="767"/>
      <c r="K636" s="767"/>
      <c r="L636" s="767"/>
      <c r="M636" s="767"/>
      <c r="N636" s="767"/>
      <c r="O636" s="3434">
        <f t="shared" si="7"/>
        <v>1207500000</v>
      </c>
      <c r="P636" s="3435"/>
      <c r="Q636" s="3435"/>
      <c r="R636" s="3435"/>
      <c r="S636" s="3435"/>
      <c r="T636" s="3456"/>
      <c r="U636" s="3435"/>
      <c r="V636" s="3435"/>
      <c r="W636" s="3435"/>
      <c r="X636" s="3435"/>
      <c r="Y636" s="3435"/>
      <c r="Z636" s="3435"/>
      <c r="AA636" s="3437">
        <f t="shared" si="6"/>
        <v>1207500000</v>
      </c>
      <c r="AB636" s="3437"/>
      <c r="AC636" s="3437"/>
      <c r="AD636" s="3437"/>
      <c r="AE636" s="3437"/>
      <c r="AF636" s="3437"/>
      <c r="AP636" s="364"/>
      <c r="AQ636" s="772"/>
      <c r="AS636" s="762"/>
    </row>
    <row r="637" spans="2:46" s="648" customFormat="1" ht="11.5" outlineLevel="2" x14ac:dyDescent="0.35">
      <c r="B637" s="671"/>
      <c r="C637" s="770" t="s">
        <v>190</v>
      </c>
      <c r="D637" s="771" t="s">
        <v>963</v>
      </c>
      <c r="F637" s="767"/>
      <c r="G637" s="767"/>
      <c r="H637" s="767"/>
      <c r="I637" s="767"/>
      <c r="J637" s="767"/>
      <c r="K637" s="767"/>
      <c r="L637" s="767"/>
      <c r="M637" s="767"/>
      <c r="N637" s="767"/>
      <c r="O637" s="3490"/>
      <c r="P637" s="3490"/>
      <c r="Q637" s="3490"/>
      <c r="R637" s="3490"/>
      <c r="S637" s="3490"/>
      <c r="T637" s="3490"/>
      <c r="U637" s="3616"/>
      <c r="V637" s="3616"/>
      <c r="W637" s="3616"/>
      <c r="X637" s="3616"/>
      <c r="Y637" s="3616"/>
      <c r="Z637" s="3616"/>
      <c r="AA637" s="3490">
        <f t="shared" si="6"/>
        <v>0</v>
      </c>
      <c r="AB637" s="3490"/>
      <c r="AC637" s="3490"/>
      <c r="AD637" s="3490"/>
      <c r="AE637" s="3490"/>
      <c r="AF637" s="3490"/>
      <c r="AP637" s="364" t="s">
        <v>964</v>
      </c>
      <c r="AQ637" s="772" t="s">
        <v>190</v>
      </c>
      <c r="AS637" s="762"/>
    </row>
    <row r="638" spans="2:46" s="648" customFormat="1" ht="11.5" outlineLevel="1" x14ac:dyDescent="0.35">
      <c r="B638" s="671"/>
      <c r="C638" s="766"/>
      <c r="E638" s="790"/>
      <c r="F638" s="767"/>
      <c r="G638" s="767"/>
      <c r="H638" s="767"/>
      <c r="I638" s="767"/>
      <c r="J638" s="767"/>
      <c r="K638" s="767"/>
      <c r="L638" s="767"/>
      <c r="M638" s="767"/>
      <c r="N638" s="767"/>
      <c r="O638" s="3459">
        <f>SUM(O629:T637)</f>
        <v>9455946868.8899994</v>
      </c>
      <c r="P638" s="3459"/>
      <c r="Q638" s="3459"/>
      <c r="R638" s="3459"/>
      <c r="S638" s="3459"/>
      <c r="T638" s="3459"/>
      <c r="U638" s="3459">
        <f>SUM(U629:Z637)</f>
        <v>0</v>
      </c>
      <c r="V638" s="3459"/>
      <c r="W638" s="3459"/>
      <c r="X638" s="3459"/>
      <c r="Y638" s="3459"/>
      <c r="Z638" s="3459"/>
      <c r="AA638" s="3459">
        <f>SUM(AA629:AF637)</f>
        <v>9455946868.8899994</v>
      </c>
      <c r="AB638" s="3459"/>
      <c r="AC638" s="3459"/>
      <c r="AD638" s="3459"/>
      <c r="AE638" s="3459"/>
      <c r="AF638" s="3459"/>
      <c r="AP638" s="768"/>
      <c r="AQ638" s="678"/>
      <c r="AS638" s="762"/>
    </row>
    <row r="639" spans="2:46" s="648" customFormat="1" ht="11.5" outlineLevel="1" x14ac:dyDescent="0.35">
      <c r="B639" s="671"/>
      <c r="C639" s="766"/>
      <c r="E639" s="790"/>
      <c r="F639" s="767"/>
      <c r="G639" s="767"/>
      <c r="H639" s="767"/>
      <c r="I639" s="767"/>
      <c r="J639" s="767"/>
      <c r="K639" s="767"/>
      <c r="L639" s="767"/>
      <c r="M639" s="767"/>
      <c r="N639" s="767"/>
      <c r="O639" s="780"/>
      <c r="P639" s="781"/>
      <c r="Q639" s="781"/>
      <c r="R639" s="781"/>
      <c r="S639" s="781"/>
      <c r="T639" s="782"/>
      <c r="U639" s="781"/>
      <c r="V639" s="781"/>
      <c r="W639" s="781"/>
      <c r="X639" s="781"/>
      <c r="Y639" s="781"/>
      <c r="Z639" s="781"/>
      <c r="AA639" s="780"/>
      <c r="AB639" s="781"/>
      <c r="AC639" s="781"/>
      <c r="AD639" s="781"/>
      <c r="AE639" s="781"/>
      <c r="AF639" s="782"/>
      <c r="AP639" s="768"/>
      <c r="AQ639" s="678"/>
      <c r="AS639" s="762"/>
    </row>
    <row r="640" spans="2:46" s="648" customFormat="1" ht="11.5" outlineLevel="1" x14ac:dyDescent="0.35">
      <c r="B640" s="671"/>
      <c r="C640" s="770" t="s">
        <v>190</v>
      </c>
      <c r="D640" s="648" t="s">
        <v>965</v>
      </c>
      <c r="E640" s="790"/>
      <c r="F640" s="767"/>
      <c r="G640" s="767"/>
      <c r="H640" s="767"/>
      <c r="I640" s="767"/>
      <c r="J640" s="767"/>
      <c r="K640" s="767"/>
      <c r="L640" s="767"/>
      <c r="M640" s="767"/>
      <c r="N640" s="767"/>
      <c r="O640" s="3437">
        <f>AA734</f>
        <v>11017158286</v>
      </c>
      <c r="P640" s="3437"/>
      <c r="Q640" s="3437"/>
      <c r="R640" s="3437"/>
      <c r="S640" s="3437"/>
      <c r="T640" s="3437"/>
      <c r="U640" s="3435">
        <f>O343</f>
        <v>0</v>
      </c>
      <c r="V640" s="3435"/>
      <c r="W640" s="3435"/>
      <c r="X640" s="3435"/>
      <c r="Y640" s="3435"/>
      <c r="Z640" s="3435"/>
      <c r="AA640" s="3437">
        <f>O640+U640</f>
        <v>11017158286</v>
      </c>
      <c r="AB640" s="3437"/>
      <c r="AC640" s="3437"/>
      <c r="AD640" s="3437"/>
      <c r="AE640" s="3437"/>
      <c r="AF640" s="3437"/>
      <c r="AP640" s="364" t="s">
        <v>966</v>
      </c>
      <c r="AQ640" s="772" t="s">
        <v>190</v>
      </c>
      <c r="AS640" s="762"/>
    </row>
    <row r="641" spans="1:46" s="648" customFormat="1" ht="12" outlineLevel="1" thickBot="1" x14ac:dyDescent="0.4">
      <c r="B641" s="671"/>
      <c r="C641" s="766"/>
      <c r="E641" s="790"/>
      <c r="F641" s="767"/>
      <c r="G641" s="767"/>
      <c r="H641" s="767"/>
      <c r="I641" s="767"/>
      <c r="J641" s="767"/>
      <c r="K641" s="767"/>
      <c r="L641" s="767"/>
      <c r="M641" s="767"/>
      <c r="N641" s="767"/>
      <c r="O641" s="3437"/>
      <c r="P641" s="3437"/>
      <c r="Q641" s="3437"/>
      <c r="R641" s="3437"/>
      <c r="S641" s="3437"/>
      <c r="T641" s="3437"/>
      <c r="U641" s="3435"/>
      <c r="V641" s="3435"/>
      <c r="W641" s="3435"/>
      <c r="X641" s="3435"/>
      <c r="Y641" s="3435"/>
      <c r="Z641" s="3435"/>
      <c r="AA641" s="3437"/>
      <c r="AB641" s="3437"/>
      <c r="AC641" s="3437"/>
      <c r="AD641" s="3437"/>
      <c r="AE641" s="3437"/>
      <c r="AF641" s="3437"/>
      <c r="AP641" s="768"/>
      <c r="AQ641" s="678"/>
      <c r="AS641" s="762"/>
    </row>
    <row r="642" spans="1:46" s="648" customFormat="1" ht="12" outlineLevel="1" thickBot="1" x14ac:dyDescent="0.4">
      <c r="B642" s="671"/>
      <c r="C642" s="775"/>
      <c r="D642" s="776"/>
      <c r="E642" s="777"/>
      <c r="F642" s="777"/>
      <c r="G642" s="777"/>
      <c r="H642" s="777"/>
      <c r="I642" s="777"/>
      <c r="J642" s="777"/>
      <c r="K642" s="777"/>
      <c r="L642" s="777"/>
      <c r="M642" s="777"/>
      <c r="N642" s="777"/>
      <c r="O642" s="3575">
        <f>O638-O640</f>
        <v>-1561211417.1100006</v>
      </c>
      <c r="P642" s="3575"/>
      <c r="Q642" s="3575"/>
      <c r="R642" s="3575"/>
      <c r="S642" s="3575"/>
      <c r="T642" s="3575"/>
      <c r="U642" s="3446">
        <f>U638-U640</f>
        <v>0</v>
      </c>
      <c r="V642" s="3446"/>
      <c r="W642" s="3446"/>
      <c r="X642" s="3446"/>
      <c r="Y642" s="3446"/>
      <c r="Z642" s="3446"/>
      <c r="AA642" s="3575">
        <f>AA638-AA640</f>
        <v>-1561211417.1100006</v>
      </c>
      <c r="AB642" s="3575"/>
      <c r="AC642" s="3575"/>
      <c r="AD642" s="3575"/>
      <c r="AE642" s="3575"/>
      <c r="AF642" s="3575"/>
      <c r="AG642" s="776"/>
      <c r="AH642" s="776"/>
      <c r="AI642" s="776"/>
      <c r="AJ642" s="776"/>
      <c r="AK642" s="776"/>
      <c r="AL642" s="776"/>
      <c r="AM642" s="776"/>
      <c r="AN642" s="776"/>
      <c r="AO642" s="776"/>
      <c r="AP642" s="778"/>
      <c r="AQ642" s="779"/>
      <c r="AS642" s="762"/>
      <c r="AT642" s="648">
        <v>33527060</v>
      </c>
    </row>
    <row r="643" spans="1:46" s="648" customFormat="1" ht="11.5" outlineLevel="1" x14ac:dyDescent="0.35">
      <c r="B643" s="671"/>
      <c r="C643" s="766"/>
      <c r="E643" s="790"/>
      <c r="F643" s="767"/>
      <c r="G643" s="767"/>
      <c r="H643" s="767"/>
      <c r="I643" s="767"/>
      <c r="J643" s="767"/>
      <c r="K643" s="767"/>
      <c r="L643" s="767"/>
      <c r="M643" s="767"/>
      <c r="N643" s="767"/>
      <c r="O643" s="3437"/>
      <c r="P643" s="3437"/>
      <c r="Q643" s="3437"/>
      <c r="R643" s="3437"/>
      <c r="S643" s="3437"/>
      <c r="T643" s="3437"/>
      <c r="U643" s="3435"/>
      <c r="V643" s="3435"/>
      <c r="W643" s="3435"/>
      <c r="X643" s="3435"/>
      <c r="Y643" s="3435"/>
      <c r="Z643" s="3435"/>
      <c r="AA643" s="3437"/>
      <c r="AB643" s="3437"/>
      <c r="AC643" s="3437"/>
      <c r="AD643" s="3437"/>
      <c r="AE643" s="3437"/>
      <c r="AF643" s="3437"/>
      <c r="AP643" s="768"/>
      <c r="AQ643" s="678"/>
      <c r="AS643" s="762"/>
    </row>
    <row r="644" spans="1:46" s="648" customFormat="1" ht="12" outlineLevel="1" x14ac:dyDescent="0.35">
      <c r="B644" s="671"/>
      <c r="C644" s="685" t="s">
        <v>967</v>
      </c>
      <c r="D644" s="771"/>
      <c r="E644" s="790"/>
      <c r="F644" s="767"/>
      <c r="G644" s="767"/>
      <c r="H644" s="767"/>
      <c r="I644" s="767"/>
      <c r="J644" s="767"/>
      <c r="K644" s="767"/>
      <c r="L644" s="767"/>
      <c r="M644" s="767"/>
      <c r="N644" s="767"/>
      <c r="O644" s="3437"/>
      <c r="P644" s="3437"/>
      <c r="Q644" s="3437"/>
      <c r="R644" s="3437"/>
      <c r="S644" s="3437"/>
      <c r="T644" s="3437"/>
      <c r="U644" s="3435"/>
      <c r="V644" s="3435"/>
      <c r="W644" s="3435"/>
      <c r="X644" s="3435"/>
      <c r="Y644" s="3435"/>
      <c r="Z644" s="3435"/>
      <c r="AA644" s="3437"/>
      <c r="AB644" s="3437"/>
      <c r="AC644" s="3437"/>
      <c r="AD644" s="3437"/>
      <c r="AE644" s="3437"/>
      <c r="AF644" s="3437"/>
      <c r="AP644" s="791"/>
      <c r="AQ644" s="769" t="s">
        <v>968</v>
      </c>
      <c r="AS644" s="762">
        <v>74059600</v>
      </c>
    </row>
    <row r="645" spans="1:46" s="648" customFormat="1" ht="11.5" outlineLevel="1" x14ac:dyDescent="0.35">
      <c r="B645" s="671"/>
      <c r="C645" s="770" t="s">
        <v>190</v>
      </c>
      <c r="D645" s="648" t="s">
        <v>969</v>
      </c>
      <c r="E645" s="790"/>
      <c r="F645" s="767"/>
      <c r="G645" s="767"/>
      <c r="H645" s="767"/>
      <c r="I645" s="767"/>
      <c r="J645" s="767"/>
      <c r="K645" s="767"/>
      <c r="L645" s="767"/>
      <c r="M645" s="767"/>
      <c r="N645" s="767"/>
      <c r="O645" s="3437">
        <f>AA738</f>
        <v>11040453886</v>
      </c>
      <c r="P645" s="3437"/>
      <c r="Q645" s="3437"/>
      <c r="R645" s="3437"/>
      <c r="S645" s="3437"/>
      <c r="T645" s="3437"/>
      <c r="U645" s="3435">
        <f>U640</f>
        <v>0</v>
      </c>
      <c r="V645" s="3435"/>
      <c r="W645" s="3435"/>
      <c r="X645" s="3435"/>
      <c r="Y645" s="3435"/>
      <c r="Z645" s="3435"/>
      <c r="AA645" s="3437">
        <f>O645+U645</f>
        <v>11040453886</v>
      </c>
      <c r="AB645" s="3437"/>
      <c r="AC645" s="3437"/>
      <c r="AD645" s="3437"/>
      <c r="AE645" s="3437"/>
      <c r="AF645" s="3437"/>
      <c r="AP645" s="792" t="s">
        <v>970</v>
      </c>
      <c r="AQ645" s="772" t="s">
        <v>190</v>
      </c>
      <c r="AS645" s="762"/>
    </row>
    <row r="646" spans="1:46" s="648" customFormat="1" ht="11.5" outlineLevel="1" x14ac:dyDescent="0.35">
      <c r="B646" s="671"/>
      <c r="C646" s="770" t="s">
        <v>190</v>
      </c>
      <c r="D646" s="648" t="s">
        <v>971</v>
      </c>
      <c r="E646" s="790"/>
      <c r="F646" s="767"/>
      <c r="G646" s="767"/>
      <c r="H646" s="767"/>
      <c r="I646" s="767"/>
      <c r="J646" s="767"/>
      <c r="K646" s="767"/>
      <c r="L646" s="767"/>
      <c r="M646" s="767"/>
      <c r="N646" s="767"/>
      <c r="O646" s="3615">
        <f>AA739</f>
        <v>7692439992.0319996</v>
      </c>
      <c r="P646" s="3615"/>
      <c r="Q646" s="3615"/>
      <c r="R646" s="3615"/>
      <c r="S646" s="3615"/>
      <c r="T646" s="3615"/>
      <c r="U646" s="3616">
        <f>O347-U645-O333</f>
        <v>7499000</v>
      </c>
      <c r="V646" s="3616"/>
      <c r="W646" s="3616"/>
      <c r="X646" s="3616"/>
      <c r="Y646" s="3616"/>
      <c r="Z646" s="3616"/>
      <c r="AA646" s="3490">
        <f>O646+U646</f>
        <v>7699938992.0319996</v>
      </c>
      <c r="AB646" s="3490"/>
      <c r="AC646" s="3490"/>
      <c r="AD646" s="3490"/>
      <c r="AE646" s="3490"/>
      <c r="AF646" s="3490"/>
      <c r="AP646" s="792" t="s">
        <v>972</v>
      </c>
      <c r="AQ646" s="772" t="s">
        <v>190</v>
      </c>
      <c r="AS646" s="762"/>
    </row>
    <row r="647" spans="1:46" s="648" customFormat="1" ht="11.5" outlineLevel="1" x14ac:dyDescent="0.35">
      <c r="B647" s="671"/>
      <c r="C647" s="770"/>
      <c r="E647" s="790"/>
      <c r="F647" s="767"/>
      <c r="G647" s="767"/>
      <c r="H647" s="767"/>
      <c r="I647" s="767"/>
      <c r="J647" s="767"/>
      <c r="K647" s="767"/>
      <c r="L647" s="767"/>
      <c r="M647" s="767"/>
      <c r="N647" s="767"/>
      <c r="O647" s="3437">
        <f>SUM(O645:T646)</f>
        <v>18732893878.031998</v>
      </c>
      <c r="P647" s="3437"/>
      <c r="Q647" s="3437"/>
      <c r="R647" s="3437"/>
      <c r="S647" s="3437"/>
      <c r="T647" s="3437"/>
      <c r="U647" s="3437">
        <f>SUM(U645:Z646)</f>
        <v>7499000</v>
      </c>
      <c r="V647" s="3437"/>
      <c r="W647" s="3437"/>
      <c r="X647" s="3437"/>
      <c r="Y647" s="3437"/>
      <c r="Z647" s="3437"/>
      <c r="AA647" s="3437">
        <f>SUM(AA645:AF646)</f>
        <v>18740392878.031998</v>
      </c>
      <c r="AB647" s="3437"/>
      <c r="AC647" s="3437"/>
      <c r="AD647" s="3437"/>
      <c r="AE647" s="3437"/>
      <c r="AF647" s="3437"/>
      <c r="AP647" s="768"/>
      <c r="AQ647" s="678"/>
      <c r="AS647" s="762">
        <v>171964608.03204599</v>
      </c>
    </row>
    <row r="648" spans="1:46" s="648" customFormat="1" ht="11.5" outlineLevel="1" x14ac:dyDescent="0.35">
      <c r="B648" s="671"/>
      <c r="C648" s="770"/>
      <c r="E648" s="790"/>
      <c r="F648" s="767"/>
      <c r="G648" s="767"/>
      <c r="H648" s="767"/>
      <c r="I648" s="767"/>
      <c r="J648" s="767"/>
      <c r="K648" s="767"/>
      <c r="L648" s="767"/>
      <c r="M648" s="767"/>
      <c r="N648" s="767"/>
      <c r="O648" s="780"/>
      <c r="P648" s="781"/>
      <c r="Q648" s="781"/>
      <c r="R648" s="781"/>
      <c r="S648" s="781"/>
      <c r="T648" s="782"/>
      <c r="U648" s="781"/>
      <c r="V648" s="781"/>
      <c r="W648" s="781"/>
      <c r="X648" s="781"/>
      <c r="Y648" s="781"/>
      <c r="Z648" s="781"/>
      <c r="AA648" s="780"/>
      <c r="AB648" s="781"/>
      <c r="AC648" s="781"/>
      <c r="AD648" s="781"/>
      <c r="AE648" s="781"/>
      <c r="AF648" s="782"/>
      <c r="AP648" s="768"/>
      <c r="AQ648" s="678"/>
      <c r="AS648" s="762"/>
    </row>
    <row r="649" spans="1:46" s="648" customFormat="1" ht="11.5" outlineLevel="1" x14ac:dyDescent="0.35">
      <c r="B649" s="671"/>
      <c r="C649" s="770" t="s">
        <v>190</v>
      </c>
      <c r="D649" s="648" t="s">
        <v>391</v>
      </c>
      <c r="E649" s="790"/>
      <c r="F649" s="767"/>
      <c r="G649" s="767"/>
      <c r="H649" s="767"/>
      <c r="I649" s="767"/>
      <c r="J649" s="767"/>
      <c r="K649" s="767"/>
      <c r="L649" s="767"/>
      <c r="M649" s="767"/>
      <c r="N649" s="767"/>
      <c r="O649" s="3437">
        <f>AA742</f>
        <v>3631586547.808527</v>
      </c>
      <c r="P649" s="3437"/>
      <c r="Q649" s="3437"/>
      <c r="R649" s="3437"/>
      <c r="S649" s="3437"/>
      <c r="T649" s="3437"/>
      <c r="U649" s="3435">
        <f>O358</f>
        <v>93248821.722949997</v>
      </c>
      <c r="V649" s="3435"/>
      <c r="W649" s="3435"/>
      <c r="X649" s="3435"/>
      <c r="Y649" s="3435"/>
      <c r="Z649" s="3435"/>
      <c r="AA649" s="3437">
        <f>O649+U649</f>
        <v>3724835369.531477</v>
      </c>
      <c r="AB649" s="3437"/>
      <c r="AC649" s="3437"/>
      <c r="AD649" s="3437"/>
      <c r="AE649" s="3437"/>
      <c r="AF649" s="3437"/>
      <c r="AP649" s="364" t="s">
        <v>392</v>
      </c>
      <c r="AQ649" s="772" t="s">
        <v>190</v>
      </c>
      <c r="AS649" s="762"/>
    </row>
    <row r="650" spans="1:46" s="648" customFormat="1" ht="12" outlineLevel="1" thickBot="1" x14ac:dyDescent="0.4">
      <c r="B650" s="671"/>
      <c r="C650" s="766"/>
      <c r="E650" s="790"/>
      <c r="F650" s="767"/>
      <c r="G650" s="767"/>
      <c r="H650" s="767"/>
      <c r="I650" s="767"/>
      <c r="J650" s="767"/>
      <c r="K650" s="767"/>
      <c r="L650" s="767"/>
      <c r="M650" s="767"/>
      <c r="N650" s="767"/>
      <c r="O650" s="3437"/>
      <c r="P650" s="3437"/>
      <c r="Q650" s="3437"/>
      <c r="R650" s="3437"/>
      <c r="S650" s="3437"/>
      <c r="T650" s="3437"/>
      <c r="U650" s="3435"/>
      <c r="V650" s="3435"/>
      <c r="W650" s="3435"/>
      <c r="X650" s="3435"/>
      <c r="Y650" s="3435"/>
      <c r="Z650" s="3435"/>
      <c r="AA650" s="3437"/>
      <c r="AB650" s="3437"/>
      <c r="AC650" s="3437"/>
      <c r="AD650" s="3437"/>
      <c r="AE650" s="3437"/>
      <c r="AF650" s="3437"/>
      <c r="AP650" s="768"/>
      <c r="AQ650" s="678"/>
      <c r="AS650" s="762"/>
    </row>
    <row r="651" spans="1:46" s="648" customFormat="1" ht="12" outlineLevel="1" thickBot="1" x14ac:dyDescent="0.4">
      <c r="B651" s="671"/>
      <c r="C651" s="775"/>
      <c r="D651" s="776"/>
      <c r="E651" s="777"/>
      <c r="F651" s="777"/>
      <c r="G651" s="777"/>
      <c r="H651" s="777"/>
      <c r="I651" s="777"/>
      <c r="J651" s="777"/>
      <c r="K651" s="777"/>
      <c r="L651" s="777"/>
      <c r="M651" s="777"/>
      <c r="N651" s="777"/>
      <c r="O651" s="3575">
        <f>O647-O649</f>
        <v>15101307330.223471</v>
      </c>
      <c r="P651" s="3575"/>
      <c r="Q651" s="3575"/>
      <c r="R651" s="3575"/>
      <c r="S651" s="3575"/>
      <c r="T651" s="3575"/>
      <c r="U651" s="3576">
        <f>U647-U649</f>
        <v>-85749821.722949997</v>
      </c>
      <c r="V651" s="3576"/>
      <c r="W651" s="3576"/>
      <c r="X651" s="3576"/>
      <c r="Y651" s="3576"/>
      <c r="Z651" s="3576"/>
      <c r="AA651" s="3575">
        <f>AA647-AA649+0.01</f>
        <v>15015557508.510521</v>
      </c>
      <c r="AB651" s="3575"/>
      <c r="AC651" s="3575"/>
      <c r="AD651" s="3575"/>
      <c r="AE651" s="3575"/>
      <c r="AF651" s="3575"/>
      <c r="AG651" s="776"/>
      <c r="AH651" s="776"/>
      <c r="AI651" s="776"/>
      <c r="AJ651" s="776"/>
      <c r="AK651" s="776"/>
      <c r="AL651" s="776"/>
      <c r="AM651" s="776"/>
      <c r="AN651" s="776"/>
      <c r="AO651" s="776"/>
      <c r="AP651" s="778"/>
      <c r="AQ651" s="779"/>
      <c r="AS651" s="762"/>
    </row>
    <row r="652" spans="1:46" s="648" customFormat="1" ht="12" outlineLevel="1" thickBot="1" x14ac:dyDescent="0.4">
      <c r="B652" s="671"/>
      <c r="C652" s="766"/>
      <c r="E652" s="790"/>
      <c r="F652" s="767"/>
      <c r="G652" s="767"/>
      <c r="H652" s="767"/>
      <c r="I652" s="767"/>
      <c r="J652" s="767"/>
      <c r="K652" s="767"/>
      <c r="L652" s="767"/>
      <c r="M652" s="767"/>
      <c r="N652" s="767"/>
      <c r="O652" s="3437"/>
      <c r="P652" s="3437"/>
      <c r="Q652" s="3437"/>
      <c r="R652" s="3437"/>
      <c r="S652" s="3437"/>
      <c r="T652" s="3437"/>
      <c r="U652" s="3435"/>
      <c r="V652" s="3435"/>
      <c r="W652" s="3435"/>
      <c r="X652" s="3435"/>
      <c r="Y652" s="3435"/>
      <c r="Z652" s="3435"/>
      <c r="AA652" s="3437"/>
      <c r="AB652" s="3437"/>
      <c r="AC652" s="3437"/>
      <c r="AD652" s="3437"/>
      <c r="AE652" s="3437"/>
      <c r="AF652" s="3437"/>
      <c r="AP652" s="768"/>
      <c r="AQ652" s="678"/>
      <c r="AS652" s="762"/>
    </row>
    <row r="653" spans="1:46" s="793" customFormat="1" ht="13.5" thickBot="1" x14ac:dyDescent="0.4">
      <c r="A653" s="648"/>
      <c r="B653" s="671"/>
      <c r="C653" s="3612" t="s">
        <v>973</v>
      </c>
      <c r="D653" s="3612"/>
      <c r="E653" s="3612"/>
      <c r="F653" s="3612"/>
      <c r="G653" s="3612"/>
      <c r="H653" s="3612"/>
      <c r="I653" s="3612"/>
      <c r="J653" s="3612"/>
      <c r="K653" s="3612"/>
      <c r="L653" s="3612"/>
      <c r="M653" s="3612"/>
      <c r="N653" s="3612"/>
      <c r="O653" s="3446">
        <f>O651+O642+O626+O607</f>
        <v>14999862336.526659</v>
      </c>
      <c r="P653" s="3446"/>
      <c r="Q653" s="3446"/>
      <c r="R653" s="3446"/>
      <c r="S653" s="3446"/>
      <c r="T653" s="3446"/>
      <c r="U653" s="3446">
        <f>U651+U642+U626+U607</f>
        <v>-28723668.376666784</v>
      </c>
      <c r="V653" s="3446"/>
      <c r="W653" s="3446"/>
      <c r="X653" s="3446"/>
      <c r="Y653" s="3446"/>
      <c r="Z653" s="3446"/>
      <c r="AA653" s="3446">
        <f>AA651+AA642+AA626+AA607</f>
        <v>14971138668.15999</v>
      </c>
      <c r="AB653" s="3446"/>
      <c r="AC653" s="3446"/>
      <c r="AD653" s="3446"/>
      <c r="AE653" s="3446"/>
      <c r="AF653" s="3446"/>
      <c r="AG653" s="3613" t="s">
        <v>974</v>
      </c>
      <c r="AH653" s="3613"/>
      <c r="AI653" s="3613"/>
      <c r="AJ653" s="3613"/>
      <c r="AK653" s="3613"/>
      <c r="AL653" s="3613"/>
      <c r="AM653" s="3613"/>
      <c r="AN653" s="3613"/>
      <c r="AO653" s="3613"/>
      <c r="AP653" s="3613"/>
      <c r="AQ653" s="3613"/>
      <c r="AR653" s="648"/>
      <c r="AS653" s="548"/>
    </row>
    <row r="654" spans="1:46" s="507" customFormat="1" ht="15" customHeight="1" outlineLevel="1" x14ac:dyDescent="0.35">
      <c r="A654" s="794"/>
      <c r="B654" s="795"/>
      <c r="C654" s="795"/>
      <c r="D654" s="795"/>
      <c r="E654" s="795"/>
      <c r="F654" s="795"/>
      <c r="G654" s="795"/>
      <c r="H654" s="795"/>
      <c r="I654" s="795"/>
      <c r="J654" s="795"/>
      <c r="K654" s="795"/>
      <c r="L654" s="795"/>
      <c r="M654" s="795"/>
      <c r="N654" s="795"/>
      <c r="O654" s="3614">
        <f>AA746</f>
        <v>14999862336.536659</v>
      </c>
      <c r="P654" s="3614"/>
      <c r="Q654" s="3614"/>
      <c r="R654" s="3614"/>
      <c r="S654" s="3614"/>
      <c r="T654" s="3614"/>
      <c r="U654" s="796"/>
      <c r="V654" s="796"/>
      <c r="W654" s="796"/>
      <c r="X654" s="796"/>
      <c r="Y654" s="796"/>
      <c r="Z654" s="796"/>
      <c r="AA654" s="3614">
        <f>[9]NRC!E69</f>
        <v>32890717182.419998</v>
      </c>
      <c r="AB654" s="3614"/>
      <c r="AC654" s="3614"/>
      <c r="AD654" s="3614"/>
      <c r="AE654" s="3614"/>
      <c r="AF654" s="3614"/>
      <c r="AG654" s="797"/>
      <c r="AH654" s="797"/>
      <c r="AI654" s="797"/>
      <c r="AJ654" s="797"/>
      <c r="AK654" s="797"/>
      <c r="AL654" s="797"/>
      <c r="AM654" s="797"/>
      <c r="AN654" s="797"/>
      <c r="AO654" s="797"/>
      <c r="AP654" s="797"/>
      <c r="AQ654" s="797"/>
      <c r="AR654" s="794"/>
      <c r="AS654" s="798"/>
    </row>
    <row r="655" spans="1:46" s="793" customFormat="1" outlineLevel="1" x14ac:dyDescent="0.35">
      <c r="A655" s="648"/>
      <c r="B655" s="671"/>
      <c r="C655" s="671"/>
      <c r="D655" s="671"/>
      <c r="E655" s="671"/>
      <c r="F655" s="671"/>
      <c r="G655" s="671"/>
      <c r="H655" s="671"/>
      <c r="I655" s="671"/>
      <c r="J655" s="671"/>
      <c r="K655" s="671"/>
      <c r="L655" s="671"/>
      <c r="M655" s="671"/>
      <c r="N655" s="671"/>
      <c r="O655" s="796"/>
      <c r="P655" s="796"/>
      <c r="Q655" s="796"/>
      <c r="R655" s="796"/>
      <c r="S655" s="796"/>
      <c r="T655" s="796"/>
      <c r="U655" s="796"/>
      <c r="V655" s="796"/>
      <c r="W655" s="796"/>
      <c r="X655" s="796"/>
      <c r="Y655" s="796"/>
      <c r="Z655" s="796"/>
      <c r="AA655" s="796"/>
      <c r="AB655" s="796"/>
      <c r="AC655" s="796"/>
      <c r="AD655" s="796"/>
      <c r="AE655" s="796"/>
      <c r="AF655" s="796"/>
      <c r="AG655" s="518"/>
      <c r="AH655" s="518"/>
      <c r="AI655" s="518"/>
      <c r="AJ655" s="518"/>
      <c r="AK655" s="518"/>
      <c r="AL655" s="518"/>
      <c r="AM655" s="518"/>
      <c r="AN655" s="518"/>
      <c r="AO655" s="518"/>
      <c r="AP655" s="518"/>
      <c r="AQ655" s="518"/>
      <c r="AR655" s="648"/>
      <c r="AS655" s="548"/>
    </row>
    <row r="656" spans="1:46" x14ac:dyDescent="0.35">
      <c r="B656" s="457"/>
      <c r="C656" s="84"/>
      <c r="D656" s="84"/>
      <c r="E656" s="363"/>
      <c r="F656" s="63"/>
      <c r="G656" s="363"/>
      <c r="H656" s="87"/>
      <c r="I656" s="87"/>
      <c r="J656" s="365"/>
      <c r="L656" s="365"/>
      <c r="N656" s="365"/>
      <c r="AP656" s="181"/>
      <c r="AQ656" s="365"/>
      <c r="AS656" s="548"/>
    </row>
    <row r="657" spans="2:45" outlineLevel="1" x14ac:dyDescent="0.35">
      <c r="B657" s="86"/>
      <c r="C657" s="84"/>
      <c r="D657" s="84"/>
      <c r="E657" s="363"/>
      <c r="F657" s="86"/>
      <c r="G657" s="363"/>
      <c r="H657" s="87"/>
      <c r="I657" s="87"/>
      <c r="J657" s="142"/>
      <c r="AP657" s="181"/>
      <c r="AQ657" s="181"/>
      <c r="AS657" s="548"/>
    </row>
    <row r="658" spans="2:45" outlineLevel="1" x14ac:dyDescent="0.35">
      <c r="B658" s="86"/>
      <c r="C658" s="84"/>
      <c r="D658" s="84"/>
      <c r="E658" s="363"/>
      <c r="F658" s="86"/>
      <c r="G658" s="363"/>
      <c r="H658" s="87"/>
      <c r="I658" s="87"/>
      <c r="J658" s="142"/>
      <c r="AP658" s="181"/>
      <c r="AQ658" s="181"/>
      <c r="AS658" s="548"/>
    </row>
    <row r="659" spans="2:45" x14ac:dyDescent="0.35">
      <c r="B659" s="86"/>
      <c r="C659" s="84"/>
      <c r="D659" s="84"/>
      <c r="E659" s="363"/>
      <c r="F659" s="86"/>
      <c r="G659" s="363"/>
      <c r="H659" s="87"/>
      <c r="I659" s="87"/>
      <c r="J659" s="142"/>
      <c r="AP659" s="181"/>
      <c r="AQ659" s="181"/>
      <c r="AS659" s="548"/>
    </row>
    <row r="660" spans="2:45" x14ac:dyDescent="0.35">
      <c r="B660" s="86"/>
      <c r="C660" s="84"/>
      <c r="D660" s="84"/>
      <c r="E660" s="363"/>
      <c r="F660" s="86"/>
      <c r="G660" s="363"/>
      <c r="H660" s="87"/>
      <c r="I660" s="87"/>
      <c r="J660" s="142"/>
      <c r="AP660" s="181"/>
      <c r="AQ660" s="181"/>
      <c r="AS660" s="548"/>
    </row>
    <row r="661" spans="2:45" x14ac:dyDescent="0.35">
      <c r="B661" s="86"/>
      <c r="C661" s="84"/>
      <c r="D661" s="84"/>
      <c r="E661" s="363"/>
      <c r="F661" s="86"/>
      <c r="G661" s="363"/>
      <c r="H661" s="87"/>
      <c r="I661" s="87"/>
      <c r="J661" s="142"/>
      <c r="AP661" s="181"/>
      <c r="AQ661" s="181"/>
      <c r="AS661" s="548"/>
    </row>
    <row r="662" spans="2:45" x14ac:dyDescent="0.35">
      <c r="B662" s="86"/>
      <c r="C662" s="84"/>
      <c r="D662" s="84"/>
      <c r="E662" s="363"/>
      <c r="F662" s="86"/>
      <c r="G662" s="363"/>
      <c r="H662" s="87"/>
      <c r="I662" s="87"/>
      <c r="J662" s="142"/>
      <c r="AP662" s="181"/>
      <c r="AQ662" s="181"/>
      <c r="AS662" s="548"/>
    </row>
    <row r="663" spans="2:45" x14ac:dyDescent="0.35">
      <c r="B663" s="86"/>
      <c r="C663" s="84"/>
      <c r="D663" s="84"/>
      <c r="E663" s="363"/>
      <c r="F663" s="86"/>
      <c r="G663" s="363"/>
      <c r="H663" s="87"/>
      <c r="I663" s="87"/>
      <c r="J663" s="142"/>
      <c r="AP663" s="181"/>
      <c r="AQ663" s="181"/>
      <c r="AS663" s="548"/>
    </row>
    <row r="664" spans="2:45" x14ac:dyDescent="0.35">
      <c r="B664" s="86"/>
      <c r="C664" s="84"/>
      <c r="D664" s="84"/>
      <c r="E664" s="363"/>
      <c r="F664" s="86"/>
      <c r="G664" s="363"/>
      <c r="H664" s="87"/>
      <c r="I664" s="87"/>
      <c r="J664" s="142"/>
      <c r="AP664" s="181"/>
      <c r="AQ664" s="181"/>
      <c r="AS664" s="548"/>
    </row>
    <row r="665" spans="2:45" x14ac:dyDescent="0.35">
      <c r="B665" s="86"/>
      <c r="C665" s="84"/>
      <c r="D665" s="84"/>
      <c r="E665" s="363"/>
      <c r="F665" s="86"/>
      <c r="G665" s="363"/>
      <c r="H665" s="87"/>
      <c r="I665" s="87"/>
      <c r="J665" s="142"/>
      <c r="AP665" s="181"/>
      <c r="AQ665" s="181"/>
      <c r="AS665" s="548"/>
    </row>
    <row r="666" spans="2:45" x14ac:dyDescent="0.35">
      <c r="B666" s="86"/>
      <c r="C666" s="84"/>
      <c r="D666" s="84"/>
      <c r="E666" s="363"/>
      <c r="F666" s="86"/>
      <c r="G666" s="363"/>
      <c r="H666" s="87"/>
      <c r="I666" s="87"/>
      <c r="J666" s="142"/>
      <c r="AP666" s="181"/>
      <c r="AQ666" s="181"/>
      <c r="AS666" s="548"/>
    </row>
    <row r="667" spans="2:45" x14ac:dyDescent="0.35">
      <c r="B667" s="86"/>
      <c r="C667" s="84"/>
      <c r="D667" s="84"/>
      <c r="E667" s="363"/>
      <c r="F667" s="86"/>
      <c r="G667" s="363"/>
      <c r="H667" s="87"/>
      <c r="I667" s="87"/>
      <c r="J667" s="142"/>
      <c r="AP667" s="181"/>
      <c r="AQ667" s="181"/>
      <c r="AS667" s="548"/>
    </row>
    <row r="668" spans="2:45" x14ac:dyDescent="0.35">
      <c r="B668" s="86"/>
      <c r="C668" s="84"/>
      <c r="D668" s="84"/>
      <c r="E668" s="363"/>
      <c r="F668" s="86"/>
      <c r="G668" s="363"/>
      <c r="H668" s="87"/>
      <c r="I668" s="87"/>
      <c r="J668" s="142"/>
      <c r="AP668" s="181"/>
      <c r="AQ668" s="181"/>
      <c r="AS668" s="548"/>
    </row>
    <row r="669" spans="2:45" x14ac:dyDescent="0.35">
      <c r="B669" s="86"/>
      <c r="C669" s="84"/>
      <c r="D669" s="84"/>
      <c r="E669" s="363"/>
      <c r="F669" s="86"/>
      <c r="G669" s="363"/>
      <c r="H669" s="87"/>
      <c r="I669" s="87"/>
      <c r="J669" s="142"/>
      <c r="AP669" s="181"/>
      <c r="AQ669" s="181"/>
      <c r="AS669" s="548"/>
    </row>
    <row r="670" spans="2:45" x14ac:dyDescent="0.35">
      <c r="B670" s="86"/>
      <c r="C670" s="84"/>
      <c r="D670" s="84"/>
      <c r="E670" s="363"/>
      <c r="F670" s="86"/>
      <c r="G670" s="363"/>
      <c r="H670" s="87"/>
      <c r="I670" s="87"/>
      <c r="J670" s="142"/>
      <c r="AP670" s="181"/>
      <c r="AQ670" s="181"/>
      <c r="AS670" s="548"/>
    </row>
    <row r="671" spans="2:45" x14ac:dyDescent="0.35">
      <c r="B671" s="86"/>
      <c r="C671" s="84"/>
      <c r="D671" s="84"/>
      <c r="E671" s="363"/>
      <c r="F671" s="86"/>
      <c r="G671" s="363"/>
      <c r="H671" s="87"/>
      <c r="I671" s="87"/>
      <c r="J671" s="142"/>
      <c r="AP671" s="181"/>
      <c r="AQ671" s="181"/>
      <c r="AS671" s="548"/>
    </row>
    <row r="672" spans="2:45" x14ac:dyDescent="0.35">
      <c r="B672" s="86"/>
      <c r="C672" s="84"/>
      <c r="D672" s="84"/>
      <c r="E672" s="363"/>
      <c r="F672" s="86"/>
      <c r="G672" s="363"/>
      <c r="H672" s="87"/>
      <c r="I672" s="87"/>
      <c r="J672" s="142"/>
      <c r="AP672" s="181"/>
      <c r="AQ672" s="181"/>
      <c r="AS672" s="548"/>
    </row>
    <row r="673" spans="1:45" x14ac:dyDescent="0.35">
      <c r="B673" s="86"/>
      <c r="C673" s="84"/>
      <c r="D673" s="84"/>
      <c r="E673" s="363"/>
      <c r="F673" s="86"/>
      <c r="G673" s="363"/>
      <c r="H673" s="87"/>
      <c r="I673" s="87"/>
      <c r="J673" s="142"/>
      <c r="AP673" s="181"/>
      <c r="AQ673" s="181"/>
      <c r="AS673" s="548"/>
    </row>
    <row r="674" spans="1:45" x14ac:dyDescent="0.35">
      <c r="B674" s="86"/>
      <c r="C674" s="84"/>
      <c r="D674" s="84"/>
      <c r="E674" s="363"/>
      <c r="F674" s="86"/>
      <c r="G674" s="363"/>
      <c r="H674" s="87"/>
      <c r="I674" s="87"/>
      <c r="J674" s="142"/>
      <c r="AP674" s="181"/>
      <c r="AQ674" s="181"/>
      <c r="AS674" s="548"/>
    </row>
    <row r="675" spans="1:45" x14ac:dyDescent="0.35">
      <c r="B675" s="86"/>
      <c r="C675" s="84"/>
      <c r="D675" s="84"/>
      <c r="E675" s="363"/>
      <c r="F675" s="86"/>
      <c r="G675" s="363"/>
      <c r="H675" s="87"/>
      <c r="I675" s="87"/>
      <c r="J675" s="142"/>
      <c r="AP675" s="181"/>
      <c r="AQ675" s="181"/>
      <c r="AS675" s="548"/>
    </row>
    <row r="676" spans="1:45" x14ac:dyDescent="0.35">
      <c r="B676" s="86"/>
      <c r="C676" s="84"/>
      <c r="D676" s="84"/>
      <c r="E676" s="363"/>
      <c r="F676" s="86"/>
      <c r="G676" s="363"/>
      <c r="H676" s="87"/>
      <c r="I676" s="87"/>
      <c r="J676" s="142"/>
      <c r="AP676" s="181"/>
      <c r="AQ676" s="181"/>
      <c r="AS676" s="548"/>
    </row>
    <row r="677" spans="1:45" x14ac:dyDescent="0.35">
      <c r="B677" s="86"/>
      <c r="C677" s="84"/>
      <c r="D677" s="84"/>
      <c r="E677" s="363"/>
      <c r="F677" s="86"/>
      <c r="G677" s="363"/>
      <c r="H677" s="87"/>
      <c r="I677" s="87"/>
      <c r="J677" s="142"/>
      <c r="AP677" s="181"/>
      <c r="AQ677" s="181"/>
      <c r="AS677" s="548"/>
    </row>
    <row r="678" spans="1:45" x14ac:dyDescent="0.35">
      <c r="B678" s="86"/>
      <c r="C678" s="84"/>
      <c r="D678" s="84"/>
      <c r="E678" s="363"/>
      <c r="F678" s="86"/>
      <c r="G678" s="363"/>
      <c r="H678" s="87"/>
      <c r="I678" s="87"/>
      <c r="J678" s="142"/>
      <c r="AP678" s="181"/>
      <c r="AQ678" s="181"/>
      <c r="AS678" s="548"/>
    </row>
    <row r="679" spans="1:45" x14ac:dyDescent="0.35">
      <c r="B679" s="86"/>
      <c r="C679" s="84"/>
      <c r="D679" s="84"/>
      <c r="E679" s="363"/>
      <c r="F679" s="86"/>
      <c r="G679" s="363"/>
      <c r="H679" s="87"/>
      <c r="I679" s="87"/>
      <c r="J679" s="142"/>
      <c r="AP679" s="181"/>
      <c r="AQ679" s="181"/>
      <c r="AS679" s="548"/>
    </row>
    <row r="680" spans="1:45" x14ac:dyDescent="0.35">
      <c r="B680" s="86"/>
      <c r="C680" s="84"/>
      <c r="D680" s="84"/>
      <c r="E680" s="363"/>
      <c r="F680" s="86"/>
      <c r="G680" s="363"/>
      <c r="H680" s="87"/>
      <c r="I680" s="87"/>
      <c r="J680" s="142"/>
      <c r="AP680" s="181"/>
      <c r="AQ680" s="181"/>
      <c r="AS680" s="548"/>
    </row>
    <row r="681" spans="1:45" x14ac:dyDescent="0.35">
      <c r="B681" s="457" t="s">
        <v>409</v>
      </c>
      <c r="C681" s="84"/>
      <c r="D681" s="84"/>
      <c r="E681" s="363"/>
      <c r="F681" s="63"/>
      <c r="G681" s="363"/>
      <c r="H681" s="87"/>
      <c r="I681" s="87"/>
      <c r="J681" s="365"/>
      <c r="L681" s="365"/>
      <c r="N681" s="365"/>
      <c r="AP681" s="181"/>
      <c r="AQ681" s="365" t="s">
        <v>410</v>
      </c>
      <c r="AS681" s="548"/>
    </row>
    <row r="682" spans="1:45" outlineLevel="1" x14ac:dyDescent="0.35">
      <c r="B682" s="86"/>
      <c r="C682" s="84"/>
      <c r="D682" s="84"/>
      <c r="E682" s="363"/>
      <c r="F682" s="86"/>
      <c r="G682" s="363"/>
      <c r="H682" s="87"/>
      <c r="I682" s="87"/>
      <c r="J682" s="142"/>
      <c r="AP682" s="181"/>
      <c r="AQ682" s="181"/>
      <c r="AS682" s="548"/>
    </row>
    <row r="683" spans="1:45" s="564" customFormat="1" ht="16.5" outlineLevel="1" x14ac:dyDescent="0.35">
      <c r="B683" s="561" t="str">
        <f>IN!C4</f>
        <v>Laporan Keuangan June 2026</v>
      </c>
      <c r="C683" s="561"/>
      <c r="D683" s="561"/>
      <c r="E683" s="561"/>
      <c r="F683" s="561"/>
      <c r="G683" s="561"/>
      <c r="H683" s="561"/>
      <c r="I683" s="561"/>
      <c r="J683" s="561"/>
      <c r="K683" s="561"/>
      <c r="L683" s="561"/>
      <c r="M683" s="561"/>
      <c r="N683" s="561"/>
      <c r="O683" s="561"/>
      <c r="P683" s="561"/>
      <c r="Q683" s="561"/>
      <c r="R683" s="561"/>
      <c r="S683" s="561"/>
      <c r="T683" s="561"/>
      <c r="U683" s="561"/>
      <c r="V683" s="691"/>
      <c r="W683" s="692" t="s">
        <v>701</v>
      </c>
      <c r="X683" s="561"/>
      <c r="Y683" s="561"/>
      <c r="Z683" s="561"/>
      <c r="AA683" s="561"/>
      <c r="AB683" s="561"/>
      <c r="AC683" s="561"/>
      <c r="AD683" s="561"/>
      <c r="AE683" s="561"/>
      <c r="AF683" s="561"/>
      <c r="AG683" s="561"/>
      <c r="AH683" s="561"/>
      <c r="AI683" s="561"/>
      <c r="AJ683" s="561"/>
      <c r="AK683" s="561"/>
      <c r="AL683" s="561"/>
      <c r="AM683" s="561"/>
      <c r="AN683" s="561"/>
      <c r="AO683" s="561"/>
      <c r="AP683" s="561"/>
      <c r="AQ683" s="563" t="str">
        <f>IN!D4</f>
        <v>Financial Statement Jun 2026</v>
      </c>
      <c r="AS683" s="565"/>
    </row>
    <row r="684" spans="1:45" s="755" customFormat="1" ht="13.5" outlineLevel="1" collapsed="1" x14ac:dyDescent="0.35">
      <c r="B684" s="799" t="s">
        <v>888</v>
      </c>
      <c r="C684" s="757" t="s">
        <v>975</v>
      </c>
      <c r="D684" s="757"/>
      <c r="E684" s="757"/>
      <c r="F684" s="757"/>
      <c r="G684" s="757"/>
      <c r="H684" s="757"/>
      <c r="I684" s="757"/>
      <c r="J684" s="757"/>
      <c r="K684" s="757"/>
      <c r="L684" s="757"/>
      <c r="M684" s="757"/>
      <c r="N684" s="757"/>
      <c r="O684" s="757"/>
      <c r="P684" s="757"/>
      <c r="Q684" s="758"/>
      <c r="R684" s="758"/>
      <c r="S684" s="758"/>
      <c r="T684" s="758"/>
      <c r="U684" s="758"/>
      <c r="V684" s="758"/>
      <c r="W684" s="757"/>
      <c r="X684" s="539" t="str">
        <f>B684</f>
        <v>13.</v>
      </c>
      <c r="Y684" s="759" t="s">
        <v>976</v>
      </c>
      <c r="Z684" s="758"/>
      <c r="AA684" s="758"/>
      <c r="AB684" s="758"/>
      <c r="AC684" s="758"/>
      <c r="AD684" s="760"/>
      <c r="AE684" s="760"/>
      <c r="AF684" s="760"/>
      <c r="AG684" s="760"/>
      <c r="AH684" s="760"/>
      <c r="AI684" s="760"/>
      <c r="AJ684" s="760"/>
      <c r="AK684" s="760"/>
      <c r="AL684" s="760"/>
      <c r="AM684" s="760"/>
      <c r="AN684" s="760"/>
      <c r="AO684" s="760"/>
      <c r="AP684" s="761"/>
      <c r="AQ684" s="761"/>
      <c r="AS684" s="693"/>
    </row>
    <row r="685" spans="1:45" s="366" customFormat="1" ht="13.5" outlineLevel="1" x14ac:dyDescent="0.35">
      <c r="B685" s="800"/>
      <c r="C685" s="801"/>
      <c r="D685" s="801"/>
      <c r="E685" s="801"/>
      <c r="F685" s="801"/>
      <c r="G685" s="801"/>
      <c r="H685" s="801"/>
      <c r="I685" s="801"/>
      <c r="J685" s="801"/>
      <c r="K685" s="801"/>
      <c r="L685" s="801"/>
      <c r="M685" s="801"/>
      <c r="N685" s="801"/>
      <c r="O685" s="801"/>
      <c r="P685" s="801"/>
      <c r="Q685" s="294"/>
      <c r="R685" s="294"/>
      <c r="S685" s="294"/>
      <c r="T685" s="294"/>
      <c r="U685" s="294"/>
      <c r="V685" s="294"/>
      <c r="W685" s="801"/>
      <c r="X685" s="554"/>
      <c r="Y685" s="802"/>
      <c r="Z685" s="294"/>
      <c r="AA685" s="294"/>
      <c r="AB685" s="294"/>
      <c r="AC685" s="294"/>
      <c r="AP685" s="803"/>
      <c r="AQ685" s="803"/>
      <c r="AS685" s="548"/>
    </row>
    <row r="686" spans="1:45" s="648" customFormat="1" ht="15.75" customHeight="1" outlineLevel="1" thickBot="1" x14ac:dyDescent="0.4">
      <c r="A686" s="181"/>
      <c r="B686" s="130"/>
      <c r="C686" s="3595" t="str">
        <f>IN!C8</f>
        <v>31 May 2026</v>
      </c>
      <c r="D686" s="3595"/>
      <c r="E686" s="3595"/>
      <c r="F686" s="3595"/>
      <c r="G686" s="3595"/>
      <c r="H686" s="3595"/>
      <c r="I686" s="3595"/>
      <c r="J686" s="3595"/>
      <c r="K686" s="3595"/>
      <c r="L686" s="3595"/>
      <c r="M686" s="3595"/>
      <c r="N686" s="3595"/>
      <c r="O686" s="3595"/>
      <c r="P686" s="3595"/>
      <c r="Q686" s="3595"/>
      <c r="R686" s="3595"/>
      <c r="S686" s="3595"/>
      <c r="T686" s="3595"/>
      <c r="U686" s="3595"/>
      <c r="V686" s="3595"/>
      <c r="W686" s="3595"/>
      <c r="X686" s="3595"/>
      <c r="Y686" s="3595"/>
      <c r="Z686" s="3595"/>
      <c r="AA686" s="3595"/>
      <c r="AB686" s="3595"/>
      <c r="AC686" s="3595"/>
      <c r="AD686" s="3595"/>
      <c r="AE686" s="3595"/>
      <c r="AF686" s="3595"/>
      <c r="AG686" s="3595"/>
      <c r="AH686" s="3595"/>
      <c r="AI686" s="3595"/>
      <c r="AJ686" s="3595"/>
      <c r="AK686" s="3595"/>
      <c r="AL686" s="3595"/>
      <c r="AM686" s="3595"/>
      <c r="AN686" s="3595"/>
      <c r="AO686" s="3595"/>
      <c r="AP686" s="3595"/>
      <c r="AQ686" s="3595"/>
      <c r="AR686" s="181"/>
      <c r="AS686" s="762"/>
    </row>
    <row r="687" spans="1:45" s="648" customFormat="1" outlineLevel="1" x14ac:dyDescent="0.35">
      <c r="B687" s="671"/>
      <c r="C687" s="3596" t="s">
        <v>446</v>
      </c>
      <c r="D687" s="3597"/>
      <c r="E687" s="3597"/>
      <c r="F687" s="3597"/>
      <c r="G687" s="3597"/>
      <c r="H687" s="3597"/>
      <c r="I687" s="3597"/>
      <c r="J687" s="3597"/>
      <c r="K687" s="3597"/>
      <c r="L687" s="3597"/>
      <c r="M687" s="3597"/>
      <c r="N687" s="3597"/>
      <c r="O687" s="3601" t="s">
        <v>925</v>
      </c>
      <c r="P687" s="3597"/>
      <c r="Q687" s="3597"/>
      <c r="R687" s="3597"/>
      <c r="S687" s="3597"/>
      <c r="T687" s="3602"/>
      <c r="U687" s="3597" t="s">
        <v>926</v>
      </c>
      <c r="V687" s="3597"/>
      <c r="W687" s="3597"/>
      <c r="X687" s="3597"/>
      <c r="Y687" s="3597"/>
      <c r="Z687" s="3597"/>
      <c r="AA687" s="3601" t="s">
        <v>925</v>
      </c>
      <c r="AB687" s="3597"/>
      <c r="AC687" s="3597"/>
      <c r="AD687" s="3597"/>
      <c r="AE687" s="3597"/>
      <c r="AF687" s="3602"/>
      <c r="AG687" s="3603" t="s">
        <v>447</v>
      </c>
      <c r="AH687" s="3603"/>
      <c r="AI687" s="3603"/>
      <c r="AJ687" s="3603"/>
      <c r="AK687" s="3603"/>
      <c r="AL687" s="3603"/>
      <c r="AM687" s="3603"/>
      <c r="AN687" s="3603"/>
      <c r="AO687" s="3603"/>
      <c r="AP687" s="3603"/>
      <c r="AQ687" s="3604"/>
      <c r="AS687" s="762"/>
    </row>
    <row r="688" spans="1:45" s="648" customFormat="1" ht="13.5" outlineLevel="1" x14ac:dyDescent="0.35">
      <c r="B688" s="671"/>
      <c r="C688" s="3598"/>
      <c r="D688" s="3426"/>
      <c r="E688" s="3426"/>
      <c r="F688" s="3426"/>
      <c r="G688" s="3426"/>
      <c r="H688" s="3426"/>
      <c r="I688" s="3426"/>
      <c r="J688" s="3426"/>
      <c r="K688" s="3426"/>
      <c r="L688" s="3426"/>
      <c r="M688" s="3426"/>
      <c r="N688" s="3426"/>
      <c r="O688" s="3607" t="s">
        <v>927</v>
      </c>
      <c r="P688" s="3585"/>
      <c r="Q688" s="3585"/>
      <c r="R688" s="3585"/>
      <c r="S688" s="3585"/>
      <c r="T688" s="3608"/>
      <c r="U688" s="3426" t="s">
        <v>928</v>
      </c>
      <c r="V688" s="3426"/>
      <c r="W688" s="3426"/>
      <c r="X688" s="3426"/>
      <c r="Y688" s="3426"/>
      <c r="Z688" s="3426"/>
      <c r="AA688" s="3607" t="s">
        <v>927</v>
      </c>
      <c r="AB688" s="3585"/>
      <c r="AC688" s="3585"/>
      <c r="AD688" s="3585"/>
      <c r="AE688" s="3585"/>
      <c r="AF688" s="3608"/>
      <c r="AG688" s="3585"/>
      <c r="AH688" s="3585"/>
      <c r="AI688" s="3585"/>
      <c r="AJ688" s="3585"/>
      <c r="AK688" s="3585"/>
      <c r="AL688" s="3585"/>
      <c r="AM688" s="3585"/>
      <c r="AN688" s="3585"/>
      <c r="AO688" s="3585"/>
      <c r="AP688" s="3585"/>
      <c r="AQ688" s="3605"/>
      <c r="AS688" s="762"/>
    </row>
    <row r="689" spans="2:45" s="648" customFormat="1" ht="13.5" outlineLevel="1" x14ac:dyDescent="0.35">
      <c r="B689" s="671"/>
      <c r="C689" s="3598"/>
      <c r="D689" s="3426"/>
      <c r="E689" s="3426"/>
      <c r="F689" s="3426"/>
      <c r="G689" s="3426"/>
      <c r="H689" s="3426"/>
      <c r="I689" s="3426"/>
      <c r="J689" s="3426"/>
      <c r="K689" s="3426"/>
      <c r="L689" s="3426"/>
      <c r="M689" s="3426"/>
      <c r="N689" s="3426"/>
      <c r="O689" s="3609">
        <f>I364</f>
        <v>46173</v>
      </c>
      <c r="P689" s="3610"/>
      <c r="Q689" s="3610"/>
      <c r="R689" s="3610"/>
      <c r="S689" s="3610"/>
      <c r="T689" s="3611"/>
      <c r="U689" s="3585" t="s">
        <v>929</v>
      </c>
      <c r="V689" s="3585"/>
      <c r="W689" s="3585"/>
      <c r="X689" s="3585"/>
      <c r="Y689" s="3585"/>
      <c r="Z689" s="3585"/>
      <c r="AA689" s="3586" t="str">
        <f>NRC!G9</f>
        <v>31 May 2026/</v>
      </c>
      <c r="AB689" s="3426" t="str">
        <f>[8]IN!$G$26</f>
        <v>30 June 2023 /</v>
      </c>
      <c r="AC689" s="3426" t="str">
        <f>[8]IN!$G$26</f>
        <v>30 June 2023 /</v>
      </c>
      <c r="AD689" s="3426" t="str">
        <f>[8]IN!$G$26</f>
        <v>30 June 2023 /</v>
      </c>
      <c r="AE689" s="3426" t="str">
        <f>[8]IN!$G$26</f>
        <v>30 June 2023 /</v>
      </c>
      <c r="AF689" s="3587" t="str">
        <f>[8]IN!$G$26</f>
        <v>30 June 2023 /</v>
      </c>
      <c r="AG689" s="3585"/>
      <c r="AH689" s="3585"/>
      <c r="AI689" s="3585"/>
      <c r="AJ689" s="3585"/>
      <c r="AK689" s="3585"/>
      <c r="AL689" s="3585"/>
      <c r="AM689" s="3585"/>
      <c r="AN689" s="3585"/>
      <c r="AO689" s="3585"/>
      <c r="AP689" s="3585"/>
      <c r="AQ689" s="3605"/>
      <c r="AS689" s="762"/>
    </row>
    <row r="690" spans="2:45" s="648" customFormat="1" ht="14" outlineLevel="1" thickBot="1" x14ac:dyDescent="0.4">
      <c r="B690" s="671"/>
      <c r="C690" s="3599"/>
      <c r="D690" s="3600"/>
      <c r="E690" s="3600"/>
      <c r="F690" s="3600"/>
      <c r="G690" s="3600"/>
      <c r="H690" s="3600"/>
      <c r="I690" s="3600"/>
      <c r="J690" s="3600"/>
      <c r="K690" s="3600"/>
      <c r="L690" s="3600"/>
      <c r="M690" s="3600"/>
      <c r="N690" s="3600"/>
      <c r="O690" s="3588">
        <f>I365</f>
        <v>46173</v>
      </c>
      <c r="P690" s="3589"/>
      <c r="Q690" s="3589"/>
      <c r="R690" s="3589"/>
      <c r="S690" s="3589"/>
      <c r="T690" s="3590"/>
      <c r="U690" s="3591" t="s">
        <v>930</v>
      </c>
      <c r="V690" s="3591"/>
      <c r="W690" s="3591"/>
      <c r="X690" s="3591"/>
      <c r="Y690" s="3591"/>
      <c r="Z690" s="3591"/>
      <c r="AA690" s="3588">
        <f>NRC!G10</f>
        <v>46173</v>
      </c>
      <c r="AB690" s="3589" t="e">
        <f>[8]IN!$I$26</f>
        <v>#N/A</v>
      </c>
      <c r="AC690" s="3589" t="e">
        <f>[8]IN!$I$26</f>
        <v>#N/A</v>
      </c>
      <c r="AD690" s="3589" t="e">
        <f>[8]IN!$I$26</f>
        <v>#N/A</v>
      </c>
      <c r="AE690" s="3589" t="e">
        <f>[8]IN!$I$26</f>
        <v>#N/A</v>
      </c>
      <c r="AF690" s="3590" t="e">
        <f>[8]IN!$I$26</f>
        <v>#N/A</v>
      </c>
      <c r="AG690" s="3591"/>
      <c r="AH690" s="3591"/>
      <c r="AI690" s="3591"/>
      <c r="AJ690" s="3591"/>
      <c r="AK690" s="3591"/>
      <c r="AL690" s="3591"/>
      <c r="AM690" s="3591"/>
      <c r="AN690" s="3591"/>
      <c r="AO690" s="3591"/>
      <c r="AP690" s="3591"/>
      <c r="AQ690" s="3606"/>
      <c r="AS690" s="762"/>
    </row>
    <row r="691" spans="2:45" s="648" customFormat="1" hidden="1" outlineLevel="2" x14ac:dyDescent="0.35">
      <c r="B691" s="671"/>
      <c r="C691" s="804"/>
      <c r="D691" s="181"/>
      <c r="E691" s="181"/>
      <c r="F691" s="181"/>
      <c r="G691" s="181"/>
      <c r="H691" s="181"/>
      <c r="I691" s="181"/>
      <c r="J691" s="181"/>
      <c r="K691" s="181"/>
      <c r="L691" s="181"/>
      <c r="M691" s="181"/>
      <c r="N691" s="181"/>
      <c r="O691" s="3592"/>
      <c r="P691" s="3593"/>
      <c r="Q691" s="3593"/>
      <c r="R691" s="3593"/>
      <c r="S691" s="3593"/>
      <c r="T691" s="3594"/>
      <c r="U691" s="3580"/>
      <c r="V691" s="3580"/>
      <c r="W691" s="3580"/>
      <c r="X691" s="3580"/>
      <c r="Y691" s="3580"/>
      <c r="Z691" s="3580"/>
      <c r="AA691" s="3592"/>
      <c r="AB691" s="3593"/>
      <c r="AC691" s="3593"/>
      <c r="AD691" s="3593"/>
      <c r="AE691" s="3593"/>
      <c r="AF691" s="3594"/>
      <c r="AG691" s="364"/>
      <c r="AH691" s="364"/>
      <c r="AI691" s="364"/>
      <c r="AJ691" s="364"/>
      <c r="AK691" s="364"/>
      <c r="AL691" s="364"/>
      <c r="AM691" s="364"/>
      <c r="AN691" s="364"/>
      <c r="AO691" s="364"/>
      <c r="AP691" s="364"/>
      <c r="AQ691" s="805"/>
      <c r="AS691" s="762"/>
    </row>
    <row r="692" spans="2:45" s="648" customFormat="1" outlineLevel="1" collapsed="1" x14ac:dyDescent="0.35">
      <c r="B692" s="671"/>
      <c r="C692" s="804" t="s">
        <v>932</v>
      </c>
      <c r="D692" s="181"/>
      <c r="E692" s="181"/>
      <c r="F692" s="181"/>
      <c r="G692" s="181"/>
      <c r="H692" s="181"/>
      <c r="I692" s="181"/>
      <c r="J692" s="181"/>
      <c r="K692" s="181"/>
      <c r="L692" s="181"/>
      <c r="M692" s="181"/>
      <c r="N692" s="181"/>
      <c r="O692" s="3579"/>
      <c r="P692" s="3580"/>
      <c r="Q692" s="3580"/>
      <c r="R692" s="3580"/>
      <c r="S692" s="3580"/>
      <c r="T692" s="3581"/>
      <c r="U692" s="3580"/>
      <c r="V692" s="3580"/>
      <c r="W692" s="3580"/>
      <c r="X692" s="3580"/>
      <c r="Y692" s="3580"/>
      <c r="Z692" s="3580"/>
      <c r="AA692" s="3579"/>
      <c r="AB692" s="3580"/>
      <c r="AC692" s="3580"/>
      <c r="AD692" s="3580"/>
      <c r="AE692" s="3580"/>
      <c r="AF692" s="3581"/>
      <c r="AG692" s="364"/>
      <c r="AH692" s="364"/>
      <c r="AI692" s="364"/>
      <c r="AJ692" s="364"/>
      <c r="AK692" s="364"/>
      <c r="AL692" s="364"/>
      <c r="AM692" s="364"/>
      <c r="AN692" s="364"/>
      <c r="AO692" s="364"/>
      <c r="AP692" s="364"/>
      <c r="AQ692" s="805" t="s">
        <v>272</v>
      </c>
      <c r="AS692" s="762"/>
    </row>
    <row r="693" spans="2:45" s="648" customFormat="1" outlineLevel="2" x14ac:dyDescent="0.35">
      <c r="B693" s="671"/>
      <c r="C693" s="804" t="s">
        <v>190</v>
      </c>
      <c r="D693" s="181" t="s">
        <v>933</v>
      </c>
      <c r="E693" s="181"/>
      <c r="F693" s="181"/>
      <c r="G693" s="181"/>
      <c r="H693" s="181"/>
      <c r="I693" s="181"/>
      <c r="J693" s="181"/>
      <c r="K693" s="181"/>
      <c r="L693" s="181"/>
      <c r="M693" s="181"/>
      <c r="N693" s="181"/>
      <c r="O693" s="3582">
        <v>5262146868.3800001</v>
      </c>
      <c r="P693" s="3583"/>
      <c r="Q693" s="3583"/>
      <c r="R693" s="3583"/>
      <c r="S693" s="3583"/>
      <c r="T693" s="3584"/>
      <c r="U693" s="3431"/>
      <c r="V693" s="3432"/>
      <c r="W693" s="3432"/>
      <c r="X693" s="3432"/>
      <c r="Y693" s="3432"/>
      <c r="Z693" s="3433"/>
      <c r="AA693" s="3431">
        <f>O693+U693</f>
        <v>5262146868.3800001</v>
      </c>
      <c r="AB693" s="3432"/>
      <c r="AC693" s="3432"/>
      <c r="AD693" s="3432"/>
      <c r="AE693" s="3432"/>
      <c r="AF693" s="3433"/>
      <c r="AG693" s="364"/>
      <c r="AH693" s="364"/>
      <c r="AI693" s="364"/>
      <c r="AJ693" s="364"/>
      <c r="AK693" s="364"/>
      <c r="AL693" s="364"/>
      <c r="AM693" s="364"/>
      <c r="AN693" s="364"/>
      <c r="AO693" s="364"/>
      <c r="AP693" s="364" t="s">
        <v>934</v>
      </c>
      <c r="AQ693" s="805" t="s">
        <v>190</v>
      </c>
      <c r="AS693" s="762"/>
    </row>
    <row r="694" spans="2:45" s="648" customFormat="1" ht="14.5" outlineLevel="1" x14ac:dyDescent="0.35">
      <c r="B694" s="671"/>
      <c r="C694" s="804" t="s">
        <v>190</v>
      </c>
      <c r="D694" s="181" t="s">
        <v>935</v>
      </c>
      <c r="E694" s="181"/>
      <c r="F694" s="181"/>
      <c r="G694" s="181"/>
      <c r="H694" s="181"/>
      <c r="I694" s="181"/>
      <c r="J694" s="181"/>
      <c r="K694" s="181"/>
      <c r="L694" s="181"/>
      <c r="M694" s="181"/>
      <c r="N694" s="181"/>
      <c r="O694" s="3468">
        <v>9581212136.8833294</v>
      </c>
      <c r="P694" s="3577"/>
      <c r="Q694" s="3577"/>
      <c r="R694" s="3577"/>
      <c r="S694" s="3577"/>
      <c r="T694" s="3470"/>
      <c r="U694" s="3578">
        <v>-151885637.12666667</v>
      </c>
      <c r="V694" s="3540"/>
      <c r="W694" s="3540"/>
      <c r="X694" s="3540"/>
      <c r="Y694" s="3540"/>
      <c r="Z694" s="3541"/>
      <c r="AA694" s="3539">
        <f>O694+U694</f>
        <v>9429326499.7566624</v>
      </c>
      <c r="AB694" s="3540"/>
      <c r="AC694" s="3540"/>
      <c r="AD694" s="3540"/>
      <c r="AE694" s="3540"/>
      <c r="AF694" s="3541"/>
      <c r="AG694" s="364"/>
      <c r="AH694" s="364"/>
      <c r="AI694" s="364"/>
      <c r="AJ694" s="364"/>
      <c r="AK694" s="364"/>
      <c r="AL694" s="364"/>
      <c r="AM694" s="364"/>
      <c r="AN694" s="364"/>
      <c r="AO694" s="364"/>
      <c r="AP694" s="364" t="s">
        <v>936</v>
      </c>
      <c r="AQ694" s="805" t="s">
        <v>190</v>
      </c>
      <c r="AS694" s="2725"/>
    </row>
    <row r="695" spans="2:45" s="648" customFormat="1" outlineLevel="1" x14ac:dyDescent="0.35">
      <c r="B695" s="671"/>
      <c r="C695" s="804"/>
      <c r="D695" s="181"/>
      <c r="E695" s="181"/>
      <c r="F695" s="181"/>
      <c r="G695" s="181"/>
      <c r="H695" s="181"/>
      <c r="I695" s="181"/>
      <c r="J695" s="181"/>
      <c r="K695" s="181"/>
      <c r="L695" s="181"/>
      <c r="M695" s="181"/>
      <c r="N695" s="181"/>
      <c r="O695" s="3431">
        <f>SUM(O693:T694)</f>
        <v>14843359005.263329</v>
      </c>
      <c r="P695" s="3432"/>
      <c r="Q695" s="3432"/>
      <c r="R695" s="3432"/>
      <c r="S695" s="3432"/>
      <c r="T695" s="3433"/>
      <c r="U695" s="3432">
        <f>SUM(U693:Z694)</f>
        <v>-151885637.12666667</v>
      </c>
      <c r="V695" s="3432"/>
      <c r="W695" s="3432"/>
      <c r="X695" s="3432"/>
      <c r="Y695" s="3432"/>
      <c r="Z695" s="3432"/>
      <c r="AA695" s="3431">
        <f>SUM(AA693:AF694)</f>
        <v>14691473368.136662</v>
      </c>
      <c r="AB695" s="3432"/>
      <c r="AC695" s="3432"/>
      <c r="AD695" s="3432"/>
      <c r="AE695" s="3432"/>
      <c r="AF695" s="3433"/>
      <c r="AG695" s="364"/>
      <c r="AH695" s="364"/>
      <c r="AI695" s="364"/>
      <c r="AJ695" s="364"/>
      <c r="AK695" s="364"/>
      <c r="AL695" s="364"/>
      <c r="AM695" s="364"/>
      <c r="AN695" s="364"/>
      <c r="AO695" s="364"/>
      <c r="AP695" s="364"/>
      <c r="AQ695" s="805"/>
      <c r="AS695" s="762"/>
    </row>
    <row r="696" spans="2:45" s="648" customFormat="1" outlineLevel="2" x14ac:dyDescent="0.35">
      <c r="B696" s="671"/>
      <c r="C696" s="804" t="s">
        <v>190</v>
      </c>
      <c r="D696" s="181" t="s">
        <v>937</v>
      </c>
      <c r="E696" s="181"/>
      <c r="F696" s="181"/>
      <c r="G696" s="181"/>
      <c r="H696" s="181"/>
      <c r="I696" s="181"/>
      <c r="J696" s="181"/>
      <c r="K696" s="181"/>
      <c r="L696" s="181"/>
      <c r="M696" s="181"/>
      <c r="N696" s="181"/>
      <c r="O696" s="3431"/>
      <c r="P696" s="3432"/>
      <c r="Q696" s="3432"/>
      <c r="R696" s="3432"/>
      <c r="S696" s="3432"/>
      <c r="T696" s="3433"/>
      <c r="U696" s="3432"/>
      <c r="V696" s="3432"/>
      <c r="W696" s="3432"/>
      <c r="X696" s="3432"/>
      <c r="Y696" s="3432"/>
      <c r="Z696" s="3432"/>
      <c r="AA696" s="3431"/>
      <c r="AB696" s="3432"/>
      <c r="AC696" s="3432"/>
      <c r="AD696" s="3432"/>
      <c r="AE696" s="3432"/>
      <c r="AF696" s="3433"/>
      <c r="AG696" s="364"/>
      <c r="AH696" s="364"/>
      <c r="AI696" s="364"/>
      <c r="AJ696" s="364"/>
      <c r="AK696" s="364"/>
      <c r="AL696" s="364"/>
      <c r="AM696" s="364"/>
      <c r="AN696" s="364"/>
      <c r="AO696" s="364"/>
      <c r="AP696" s="364" t="s">
        <v>938</v>
      </c>
      <c r="AQ696" s="805" t="s">
        <v>190</v>
      </c>
      <c r="AS696" s="762"/>
    </row>
    <row r="697" spans="2:45" s="648" customFormat="1" outlineLevel="2" x14ac:dyDescent="0.35">
      <c r="B697" s="671"/>
      <c r="C697" s="804"/>
      <c r="D697" s="181" t="s">
        <v>939</v>
      </c>
      <c r="E697" s="181"/>
      <c r="F697" s="181"/>
      <c r="G697" s="181"/>
      <c r="H697" s="181"/>
      <c r="I697" s="181"/>
      <c r="J697" s="181"/>
      <c r="K697" s="181"/>
      <c r="L697" s="181"/>
      <c r="M697" s="181"/>
      <c r="N697" s="181"/>
      <c r="O697" s="3431">
        <v>189722318.72333333</v>
      </c>
      <c r="P697" s="3432"/>
      <c r="Q697" s="3432"/>
      <c r="R697" s="3432"/>
      <c r="S697" s="3432"/>
      <c r="T697" s="3433"/>
      <c r="U697" s="3432">
        <v>6158604.2833333313</v>
      </c>
      <c r="V697" s="3432"/>
      <c r="W697" s="3432"/>
      <c r="X697" s="3432"/>
      <c r="Y697" s="3432"/>
      <c r="Z697" s="3432"/>
      <c r="AA697" s="3431">
        <f>O697+U697</f>
        <v>195880923.00666666</v>
      </c>
      <c r="AB697" s="3432"/>
      <c r="AC697" s="3432"/>
      <c r="AD697" s="3432"/>
      <c r="AE697" s="3432"/>
      <c r="AF697" s="3433"/>
      <c r="AG697" s="364"/>
      <c r="AH697" s="364"/>
      <c r="AI697" s="364"/>
      <c r="AJ697" s="364"/>
      <c r="AK697" s="364"/>
      <c r="AL697" s="364"/>
      <c r="AM697" s="364"/>
      <c r="AN697" s="364"/>
      <c r="AO697" s="364"/>
      <c r="AP697" s="364" t="s">
        <v>940</v>
      </c>
      <c r="AQ697" s="805"/>
      <c r="AS697" s="762"/>
    </row>
    <row r="698" spans="2:45" s="648" customFormat="1" outlineLevel="2" x14ac:dyDescent="0.35">
      <c r="B698" s="671"/>
      <c r="C698" s="804"/>
      <c r="D698" s="181" t="s">
        <v>941</v>
      </c>
      <c r="E698" s="181"/>
      <c r="F698" s="181"/>
      <c r="G698" s="181"/>
      <c r="H698" s="181"/>
      <c r="I698" s="181"/>
      <c r="J698" s="181"/>
      <c r="K698" s="181"/>
      <c r="L698" s="181"/>
      <c r="M698" s="181"/>
      <c r="N698" s="181"/>
      <c r="O698" s="3431">
        <v>-1550211417.1100001</v>
      </c>
      <c r="P698" s="3432"/>
      <c r="Q698" s="3432"/>
      <c r="R698" s="3432"/>
      <c r="S698" s="3432"/>
      <c r="T698" s="3433"/>
      <c r="U698" s="3432">
        <v>-11000000</v>
      </c>
      <c r="V698" s="3432"/>
      <c r="W698" s="3432"/>
      <c r="X698" s="3432"/>
      <c r="Y698" s="3432"/>
      <c r="Z698" s="3432"/>
      <c r="AA698" s="3431">
        <f>O698+U698</f>
        <v>-1561211417.1100001</v>
      </c>
      <c r="AB698" s="3432"/>
      <c r="AC698" s="3432"/>
      <c r="AD698" s="3432"/>
      <c r="AE698" s="3432"/>
      <c r="AF698" s="3433"/>
      <c r="AG698" s="364"/>
      <c r="AH698" s="364"/>
      <c r="AI698" s="364"/>
      <c r="AJ698" s="364"/>
      <c r="AK698" s="364"/>
      <c r="AL698" s="364"/>
      <c r="AM698" s="364"/>
      <c r="AN698" s="364"/>
      <c r="AO698" s="364"/>
      <c r="AP698" s="364" t="s">
        <v>942</v>
      </c>
      <c r="AQ698" s="805"/>
      <c r="AS698" s="762"/>
    </row>
    <row r="699" spans="2:45" s="648" customFormat="1" outlineLevel="2" x14ac:dyDescent="0.35">
      <c r="B699" s="671"/>
      <c r="C699" s="804"/>
      <c r="D699" s="181" t="s">
        <v>943</v>
      </c>
      <c r="E699" s="181"/>
      <c r="F699" s="181"/>
      <c r="G699" s="181"/>
      <c r="H699" s="181"/>
      <c r="I699" s="181"/>
      <c r="J699" s="181"/>
      <c r="K699" s="181"/>
      <c r="L699" s="181"/>
      <c r="M699" s="181"/>
      <c r="N699" s="181"/>
      <c r="O699" s="3539">
        <v>15168372608.863091</v>
      </c>
      <c r="P699" s="3540"/>
      <c r="Q699" s="3540"/>
      <c r="R699" s="3540"/>
      <c r="S699" s="3540"/>
      <c r="T699" s="3541"/>
      <c r="U699" s="3540">
        <v>-67065278.639616653</v>
      </c>
      <c r="V699" s="3540"/>
      <c r="W699" s="3540"/>
      <c r="X699" s="3540"/>
      <c r="Y699" s="3540"/>
      <c r="Z699" s="3540"/>
      <c r="AA699" s="3539">
        <f>O699+U699</f>
        <v>15101307330.223475</v>
      </c>
      <c r="AB699" s="3540"/>
      <c r="AC699" s="3540"/>
      <c r="AD699" s="3540"/>
      <c r="AE699" s="3540"/>
      <c r="AF699" s="3541"/>
      <c r="AG699" s="364"/>
      <c r="AH699" s="364"/>
      <c r="AI699" s="364"/>
      <c r="AJ699" s="364"/>
      <c r="AK699" s="364"/>
      <c r="AL699" s="364"/>
      <c r="AM699" s="364"/>
      <c r="AN699" s="364"/>
      <c r="AO699" s="364"/>
      <c r="AP699" s="364" t="s">
        <v>944</v>
      </c>
      <c r="AQ699" s="805"/>
      <c r="AS699" s="762"/>
    </row>
    <row r="700" spans="2:45" s="648" customFormat="1" outlineLevel="2" x14ac:dyDescent="0.35">
      <c r="B700" s="671"/>
      <c r="C700" s="804"/>
      <c r="D700" s="181"/>
      <c r="E700" s="181"/>
      <c r="F700" s="181"/>
      <c r="G700" s="181"/>
      <c r="H700" s="181"/>
      <c r="I700" s="181"/>
      <c r="J700" s="181"/>
      <c r="K700" s="181"/>
      <c r="L700" s="181"/>
      <c r="M700" s="181"/>
      <c r="N700" s="181"/>
      <c r="O700" s="3431">
        <f>SUM(O697:T699)</f>
        <v>13807883510.476423</v>
      </c>
      <c r="P700" s="3432"/>
      <c r="Q700" s="3432"/>
      <c r="R700" s="3432"/>
      <c r="S700" s="3432"/>
      <c r="T700" s="3433"/>
      <c r="U700" s="3432">
        <f>SUM(U697:Z699)</f>
        <v>-71906674.356283322</v>
      </c>
      <c r="V700" s="3432"/>
      <c r="W700" s="3432"/>
      <c r="X700" s="3432"/>
      <c r="Y700" s="3432"/>
      <c r="Z700" s="3432"/>
      <c r="AA700" s="3431">
        <f>SUM(AA697:AF699)</f>
        <v>13735976836.12014</v>
      </c>
      <c r="AB700" s="3432"/>
      <c r="AC700" s="3432"/>
      <c r="AD700" s="3432"/>
      <c r="AE700" s="3432"/>
      <c r="AF700" s="3433"/>
      <c r="AG700" s="364"/>
      <c r="AH700" s="364"/>
      <c r="AI700" s="364"/>
      <c r="AJ700" s="364"/>
      <c r="AK700" s="364"/>
      <c r="AL700" s="364"/>
      <c r="AM700" s="364"/>
      <c r="AN700" s="364"/>
      <c r="AO700" s="364"/>
      <c r="AP700" s="364"/>
      <c r="AQ700" s="805"/>
      <c r="AS700" s="762"/>
    </row>
    <row r="701" spans="2:45" s="648" customFormat="1" ht="13.5" outlineLevel="2" thickBot="1" x14ac:dyDescent="0.4">
      <c r="B701" s="671"/>
      <c r="C701" s="804"/>
      <c r="D701" s="181"/>
      <c r="E701" s="181"/>
      <c r="F701" s="181"/>
      <c r="G701" s="181"/>
      <c r="H701" s="181"/>
      <c r="I701" s="181"/>
      <c r="J701" s="181"/>
      <c r="K701" s="181"/>
      <c r="L701" s="181"/>
      <c r="M701" s="181"/>
      <c r="N701" s="181"/>
      <c r="O701" s="3431"/>
      <c r="P701" s="3432"/>
      <c r="Q701" s="3432"/>
      <c r="R701" s="3432"/>
      <c r="S701" s="3432"/>
      <c r="T701" s="3433"/>
      <c r="U701" s="3432"/>
      <c r="V701" s="3432"/>
      <c r="W701" s="3432"/>
      <c r="X701" s="3432"/>
      <c r="Y701" s="3432"/>
      <c r="Z701" s="3432"/>
      <c r="AA701" s="3431"/>
      <c r="AB701" s="3432"/>
      <c r="AC701" s="3432"/>
      <c r="AD701" s="3432"/>
      <c r="AE701" s="3432"/>
      <c r="AF701" s="3433"/>
      <c r="AG701" s="364"/>
      <c r="AH701" s="364"/>
      <c r="AI701" s="364"/>
      <c r="AJ701" s="364"/>
      <c r="AK701" s="364"/>
      <c r="AL701" s="364"/>
      <c r="AM701" s="364"/>
      <c r="AN701" s="364"/>
      <c r="AO701" s="364"/>
      <c r="AP701" s="364"/>
      <c r="AQ701" s="805"/>
      <c r="AS701" s="774"/>
    </row>
    <row r="702" spans="2:45" s="648" customFormat="1" ht="13.5" outlineLevel="1" thickBot="1" x14ac:dyDescent="0.4">
      <c r="B702" s="671"/>
      <c r="C702" s="806"/>
      <c r="D702" s="807"/>
      <c r="E702" s="807"/>
      <c r="F702" s="807"/>
      <c r="G702" s="807"/>
      <c r="H702" s="807"/>
      <c r="I702" s="807"/>
      <c r="J702" s="807"/>
      <c r="K702" s="807"/>
      <c r="L702" s="807"/>
      <c r="M702" s="807"/>
      <c r="N702" s="807"/>
      <c r="O702" s="3530">
        <f>O695-O700</f>
        <v>1035475494.7869053</v>
      </c>
      <c r="P702" s="3531"/>
      <c r="Q702" s="3531"/>
      <c r="R702" s="3531"/>
      <c r="S702" s="3531"/>
      <c r="T702" s="3532"/>
      <c r="U702" s="3531">
        <f>U695-U700</f>
        <v>-79978962.770383343</v>
      </c>
      <c r="V702" s="3531"/>
      <c r="W702" s="3531"/>
      <c r="X702" s="3531"/>
      <c r="Y702" s="3531"/>
      <c r="Z702" s="3531"/>
      <c r="AA702" s="3530">
        <f>AA695-AA700</f>
        <v>955496532.01652145</v>
      </c>
      <c r="AB702" s="3531"/>
      <c r="AC702" s="3531"/>
      <c r="AD702" s="3531"/>
      <c r="AE702" s="3531"/>
      <c r="AF702" s="3532"/>
      <c r="AG702" s="808"/>
      <c r="AH702" s="808"/>
      <c r="AI702" s="808"/>
      <c r="AJ702" s="808"/>
      <c r="AK702" s="808"/>
      <c r="AL702" s="808"/>
      <c r="AM702" s="808"/>
      <c r="AN702" s="808"/>
      <c r="AO702" s="808"/>
      <c r="AP702" s="808"/>
      <c r="AQ702" s="809"/>
      <c r="AS702" s="762"/>
    </row>
    <row r="703" spans="2:45" s="648" customFormat="1" outlineLevel="1" x14ac:dyDescent="0.35">
      <c r="B703" s="671"/>
      <c r="C703" s="804"/>
      <c r="D703" s="181"/>
      <c r="E703" s="181"/>
      <c r="F703" s="181"/>
      <c r="G703" s="181"/>
      <c r="H703" s="181"/>
      <c r="I703" s="181"/>
      <c r="J703" s="181"/>
      <c r="K703" s="181"/>
      <c r="L703" s="181"/>
      <c r="M703" s="181"/>
      <c r="N703" s="181"/>
      <c r="O703" s="810"/>
      <c r="P703" s="811"/>
      <c r="Q703" s="811"/>
      <c r="R703" s="811"/>
      <c r="S703" s="811"/>
      <c r="T703" s="812"/>
      <c r="U703" s="811"/>
      <c r="V703" s="811"/>
      <c r="W703" s="811"/>
      <c r="X703" s="811"/>
      <c r="Y703" s="811"/>
      <c r="Z703" s="811"/>
      <c r="AA703" s="810"/>
      <c r="AB703" s="811"/>
      <c r="AC703" s="811"/>
      <c r="AD703" s="811"/>
      <c r="AE703" s="811"/>
      <c r="AF703" s="812"/>
      <c r="AG703" s="364"/>
      <c r="AH703" s="364"/>
      <c r="AI703" s="364"/>
      <c r="AJ703" s="364"/>
      <c r="AK703" s="364"/>
      <c r="AL703" s="364"/>
      <c r="AM703" s="364"/>
      <c r="AN703" s="364"/>
      <c r="AO703" s="364"/>
      <c r="AP703" s="364"/>
      <c r="AQ703" s="805"/>
      <c r="AS703" s="762"/>
    </row>
    <row r="704" spans="2:45" s="648" customFormat="1" outlineLevel="2" x14ac:dyDescent="0.35">
      <c r="B704" s="671"/>
      <c r="C704" s="804" t="s">
        <v>393</v>
      </c>
      <c r="D704" s="181"/>
      <c r="E704" s="181"/>
      <c r="F704" s="181"/>
      <c r="G704" s="181"/>
      <c r="H704" s="181"/>
      <c r="I704" s="181"/>
      <c r="J704" s="181"/>
      <c r="K704" s="181"/>
      <c r="L704" s="181"/>
      <c r="M704" s="181"/>
      <c r="N704" s="181"/>
      <c r="O704" s="3431"/>
      <c r="P704" s="3432"/>
      <c r="Q704" s="3432"/>
      <c r="R704" s="3432"/>
      <c r="S704" s="3432"/>
      <c r="T704" s="3433"/>
      <c r="U704" s="3432"/>
      <c r="V704" s="3432"/>
      <c r="W704" s="3432"/>
      <c r="X704" s="3432"/>
      <c r="Y704" s="3432"/>
      <c r="Z704" s="3432"/>
      <c r="AA704" s="3431"/>
      <c r="AB704" s="3432"/>
      <c r="AC704" s="3432"/>
      <c r="AD704" s="3432"/>
      <c r="AE704" s="3432"/>
      <c r="AF704" s="3433"/>
      <c r="AG704" s="364"/>
      <c r="AH704" s="364"/>
      <c r="AI704" s="364"/>
      <c r="AJ704" s="364"/>
      <c r="AK704" s="364"/>
      <c r="AL704" s="364"/>
      <c r="AM704" s="364"/>
      <c r="AN704" s="364"/>
      <c r="AO704" s="364"/>
      <c r="AP704" s="364"/>
      <c r="AQ704" s="805" t="s">
        <v>274</v>
      </c>
      <c r="AS704" s="762"/>
    </row>
    <row r="705" spans="2:45" s="648" customFormat="1" outlineLevel="2" x14ac:dyDescent="0.35">
      <c r="B705" s="671"/>
      <c r="C705" s="804" t="s">
        <v>190</v>
      </c>
      <c r="D705" s="181" t="s">
        <v>945</v>
      </c>
      <c r="E705" s="181"/>
      <c r="F705" s="181"/>
      <c r="G705" s="181"/>
      <c r="H705" s="181"/>
      <c r="I705" s="181"/>
      <c r="J705" s="181"/>
      <c r="K705" s="181"/>
      <c r="L705" s="181"/>
      <c r="M705" s="181"/>
      <c r="N705" s="181"/>
      <c r="O705" s="3572">
        <v>197268042</v>
      </c>
      <c r="P705" s="3573"/>
      <c r="Q705" s="3573"/>
      <c r="R705" s="3573"/>
      <c r="S705" s="3573"/>
      <c r="T705" s="3574"/>
      <c r="U705" s="3432"/>
      <c r="V705" s="3432"/>
      <c r="W705" s="3432"/>
      <c r="X705" s="3432"/>
      <c r="Y705" s="3432"/>
      <c r="Z705" s="3432"/>
      <c r="AA705" s="3431">
        <f>O705+U705</f>
        <v>197268042</v>
      </c>
      <c r="AB705" s="3432"/>
      <c r="AC705" s="3432"/>
      <c r="AD705" s="3432"/>
      <c r="AE705" s="3432"/>
      <c r="AF705" s="3433"/>
      <c r="AG705" s="364"/>
      <c r="AH705" s="364"/>
      <c r="AI705" s="364"/>
      <c r="AJ705" s="364"/>
      <c r="AK705" s="364"/>
      <c r="AL705" s="364"/>
      <c r="AM705" s="364"/>
      <c r="AN705" s="364"/>
      <c r="AO705" s="364"/>
      <c r="AP705" s="364" t="s">
        <v>946</v>
      </c>
      <c r="AQ705" s="805" t="s">
        <v>190</v>
      </c>
      <c r="AS705" s="762"/>
    </row>
    <row r="706" spans="2:45" s="648" customFormat="1" outlineLevel="2" x14ac:dyDescent="0.35">
      <c r="B706" s="671"/>
      <c r="C706" s="804"/>
      <c r="D706" s="181"/>
      <c r="E706" s="181"/>
      <c r="F706" s="181"/>
      <c r="G706" s="181"/>
      <c r="H706" s="181"/>
      <c r="I706" s="181"/>
      <c r="J706" s="181"/>
      <c r="K706" s="181"/>
      <c r="L706" s="181"/>
      <c r="M706" s="181"/>
      <c r="N706" s="181"/>
      <c r="O706" s="3431"/>
      <c r="P706" s="3432"/>
      <c r="Q706" s="3432"/>
      <c r="R706" s="3432"/>
      <c r="S706" s="3432"/>
      <c r="T706" s="3433"/>
      <c r="U706" s="811"/>
      <c r="V706" s="811"/>
      <c r="W706" s="811"/>
      <c r="X706" s="811"/>
      <c r="Y706" s="811"/>
      <c r="Z706" s="811"/>
      <c r="AA706" s="3431"/>
      <c r="AB706" s="3432"/>
      <c r="AC706" s="3432"/>
      <c r="AD706" s="3432"/>
      <c r="AE706" s="3432"/>
      <c r="AF706" s="3433"/>
      <c r="AG706" s="364"/>
      <c r="AH706" s="364"/>
      <c r="AI706" s="364"/>
      <c r="AJ706" s="364"/>
      <c r="AK706" s="364"/>
      <c r="AL706" s="364"/>
      <c r="AM706" s="364"/>
      <c r="AN706" s="364"/>
      <c r="AO706" s="364"/>
      <c r="AP706" s="364"/>
      <c r="AQ706" s="805"/>
      <c r="AS706" s="762"/>
    </row>
    <row r="707" spans="2:45" s="648" customFormat="1" outlineLevel="2" x14ac:dyDescent="0.35">
      <c r="B707" s="671"/>
      <c r="C707" s="804" t="s">
        <v>190</v>
      </c>
      <c r="D707" s="181" t="s">
        <v>947</v>
      </c>
      <c r="E707" s="181"/>
      <c r="F707" s="181"/>
      <c r="G707" s="181"/>
      <c r="H707" s="181"/>
      <c r="I707" s="181"/>
      <c r="J707" s="181"/>
      <c r="K707" s="181"/>
      <c r="L707" s="181"/>
      <c r="M707" s="181"/>
      <c r="N707" s="181"/>
      <c r="O707" s="3431"/>
      <c r="P707" s="3432"/>
      <c r="Q707" s="3432"/>
      <c r="R707" s="3432"/>
      <c r="S707" s="3432"/>
      <c r="T707" s="3433"/>
      <c r="U707" s="811"/>
      <c r="V707" s="811"/>
      <c r="W707" s="811"/>
      <c r="X707" s="811"/>
      <c r="Y707" s="811"/>
      <c r="Z707" s="811"/>
      <c r="AA707" s="3431"/>
      <c r="AB707" s="3432"/>
      <c r="AC707" s="3432"/>
      <c r="AD707" s="3432"/>
      <c r="AE707" s="3432"/>
      <c r="AF707" s="3433"/>
      <c r="AG707" s="364"/>
      <c r="AH707" s="364"/>
      <c r="AI707" s="364"/>
      <c r="AJ707" s="364"/>
      <c r="AK707" s="364"/>
      <c r="AL707" s="364"/>
      <c r="AM707" s="364"/>
      <c r="AN707" s="364"/>
      <c r="AO707" s="364"/>
      <c r="AP707" s="364" t="s">
        <v>948</v>
      </c>
      <c r="AQ707" s="805" t="s">
        <v>190</v>
      </c>
      <c r="AS707" s="762"/>
    </row>
    <row r="708" spans="2:45" s="648" customFormat="1" outlineLevel="2" x14ac:dyDescent="0.35">
      <c r="B708" s="671"/>
      <c r="C708" s="804"/>
      <c r="D708" s="84" t="s">
        <v>7992</v>
      </c>
      <c r="E708" s="181"/>
      <c r="F708" s="181"/>
      <c r="G708" s="181" t="s">
        <v>7987</v>
      </c>
      <c r="H708" s="181"/>
      <c r="I708" s="181"/>
      <c r="J708" s="181"/>
      <c r="K708" s="181"/>
      <c r="L708" s="181"/>
      <c r="M708" s="181"/>
      <c r="N708" s="181"/>
      <c r="O708" s="3431">
        <v>112152193.59</v>
      </c>
      <c r="P708" s="3432"/>
      <c r="Q708" s="3432"/>
      <c r="R708" s="3432"/>
      <c r="S708" s="3432"/>
      <c r="T708" s="3433"/>
      <c r="U708" s="3569"/>
      <c r="V708" s="3570"/>
      <c r="W708" s="3570"/>
      <c r="X708" s="3570"/>
      <c r="Y708" s="3570"/>
      <c r="Z708" s="3571"/>
      <c r="AA708" s="3431">
        <f>O708+U708</f>
        <v>112152193.59</v>
      </c>
      <c r="AB708" s="3432"/>
      <c r="AC708" s="3432"/>
      <c r="AD708" s="3432"/>
      <c r="AE708" s="3432"/>
      <c r="AF708" s="3433"/>
      <c r="AG708" s="364"/>
      <c r="AH708" s="364"/>
      <c r="AI708" s="364"/>
      <c r="AJ708" s="364"/>
      <c r="AK708" s="364"/>
      <c r="AL708" s="364"/>
      <c r="AM708" s="364"/>
      <c r="AN708" s="364"/>
      <c r="AO708" s="364"/>
      <c r="AP708" s="364"/>
      <c r="AQ708" s="805"/>
      <c r="AS708" s="762"/>
    </row>
    <row r="709" spans="2:45" s="648" customFormat="1" outlineLevel="2" x14ac:dyDescent="0.35">
      <c r="B709" s="671"/>
      <c r="C709" s="804"/>
      <c r="D709" s="84" t="s">
        <v>7992</v>
      </c>
      <c r="E709" s="181"/>
      <c r="F709" s="181"/>
      <c r="G709" s="181" t="s">
        <v>7986</v>
      </c>
      <c r="H709" s="181"/>
      <c r="I709" s="181"/>
      <c r="J709" s="181"/>
      <c r="K709" s="181"/>
      <c r="L709" s="181"/>
      <c r="M709" s="181"/>
      <c r="N709" s="181"/>
      <c r="O709" s="3431">
        <v>82846744</v>
      </c>
      <c r="P709" s="3432"/>
      <c r="Q709" s="3432"/>
      <c r="R709" s="3432"/>
      <c r="S709" s="3432"/>
      <c r="T709" s="3433"/>
      <c r="U709" s="3569"/>
      <c r="V709" s="3570"/>
      <c r="W709" s="3570"/>
      <c r="X709" s="3570"/>
      <c r="Y709" s="3570"/>
      <c r="Z709" s="3571"/>
      <c r="AA709" s="3431">
        <f>O709+U709</f>
        <v>82846744</v>
      </c>
      <c r="AB709" s="3432"/>
      <c r="AC709" s="3432"/>
      <c r="AD709" s="3432"/>
      <c r="AE709" s="3432"/>
      <c r="AF709" s="3433"/>
      <c r="AG709" s="364"/>
      <c r="AH709" s="364"/>
      <c r="AI709" s="364"/>
      <c r="AJ709" s="364"/>
      <c r="AK709" s="364"/>
      <c r="AL709" s="364"/>
      <c r="AM709" s="364"/>
      <c r="AN709" s="364"/>
      <c r="AO709" s="364"/>
      <c r="AP709" s="364"/>
      <c r="AQ709" s="805"/>
      <c r="AS709" s="762"/>
    </row>
    <row r="710" spans="2:45" s="648" customFormat="1" outlineLevel="2" x14ac:dyDescent="0.35">
      <c r="B710" s="671"/>
      <c r="C710" s="804"/>
      <c r="D710" s="84"/>
      <c r="E710" s="181"/>
      <c r="F710" s="181"/>
      <c r="G710" s="181"/>
      <c r="H710" s="181"/>
      <c r="I710" s="181"/>
      <c r="J710" s="181"/>
      <c r="K710" s="181"/>
      <c r="L710" s="181"/>
      <c r="M710" s="181"/>
      <c r="N710" s="181"/>
      <c r="O710" s="3774"/>
      <c r="P710" s="3775"/>
      <c r="Q710" s="3775"/>
      <c r="R710" s="3775"/>
      <c r="S710" s="3775"/>
      <c r="T710" s="3776"/>
      <c r="U710" s="3771"/>
      <c r="V710" s="3772"/>
      <c r="W710" s="3772"/>
      <c r="X710" s="3772"/>
      <c r="Y710" s="3772"/>
      <c r="Z710" s="3773"/>
      <c r="AA710" s="3774">
        <f>O710+U710</f>
        <v>0</v>
      </c>
      <c r="AB710" s="3775"/>
      <c r="AC710" s="3775"/>
      <c r="AD710" s="3775"/>
      <c r="AE710" s="3775"/>
      <c r="AF710" s="3776"/>
      <c r="AG710" s="364"/>
      <c r="AH710" s="364"/>
      <c r="AI710" s="364"/>
      <c r="AJ710" s="364"/>
      <c r="AK710" s="364"/>
      <c r="AL710" s="364"/>
      <c r="AM710" s="364"/>
      <c r="AN710" s="364"/>
      <c r="AO710" s="364"/>
      <c r="AP710" s="364"/>
      <c r="AQ710" s="805"/>
      <c r="AS710" s="762"/>
    </row>
    <row r="711" spans="2:45" s="648" customFormat="1" outlineLevel="2" x14ac:dyDescent="0.35">
      <c r="B711" s="671"/>
      <c r="C711" s="804"/>
      <c r="D711" s="181"/>
      <c r="E711" s="181"/>
      <c r="F711" s="181"/>
      <c r="G711" s="181"/>
      <c r="H711" s="181"/>
      <c r="I711" s="181"/>
      <c r="J711" s="181"/>
      <c r="K711" s="181"/>
      <c r="L711" s="181"/>
      <c r="M711" s="181"/>
      <c r="N711" s="181"/>
      <c r="O711" s="3556">
        <f>SUM(O708:T710)</f>
        <v>194998937.59</v>
      </c>
      <c r="P711" s="3557"/>
      <c r="Q711" s="3557"/>
      <c r="R711" s="3557"/>
      <c r="S711" s="3557"/>
      <c r="T711" s="3558"/>
      <c r="U711" s="3556">
        <f>SUM(U708:Z710)</f>
        <v>0</v>
      </c>
      <c r="V711" s="3557"/>
      <c r="W711" s="3557"/>
      <c r="X711" s="3557"/>
      <c r="Y711" s="3557"/>
      <c r="Z711" s="3558"/>
      <c r="AA711" s="3556">
        <f>SUM(AA708:AF710)</f>
        <v>194998937.59</v>
      </c>
      <c r="AB711" s="3557"/>
      <c r="AC711" s="3557"/>
      <c r="AD711" s="3557"/>
      <c r="AE711" s="3557"/>
      <c r="AF711" s="3558"/>
      <c r="AG711" s="364"/>
      <c r="AH711" s="364"/>
      <c r="AI711" s="364"/>
      <c r="AJ711" s="364"/>
      <c r="AK711" s="364"/>
      <c r="AL711" s="364"/>
      <c r="AM711" s="364"/>
      <c r="AN711" s="364"/>
      <c r="AO711" s="364"/>
      <c r="AP711" s="364"/>
      <c r="AQ711" s="805"/>
      <c r="AS711" s="762"/>
    </row>
    <row r="712" spans="2:45" s="648" customFormat="1" outlineLevel="2" x14ac:dyDescent="0.35">
      <c r="B712" s="671"/>
      <c r="C712" s="804"/>
      <c r="D712" s="181" t="s">
        <v>950</v>
      </c>
      <c r="E712" s="181"/>
      <c r="F712" s="181"/>
      <c r="G712" s="181"/>
      <c r="H712" s="181"/>
      <c r="I712" s="181"/>
      <c r="J712" s="181"/>
      <c r="K712" s="181"/>
      <c r="L712" s="181"/>
      <c r="M712" s="181"/>
      <c r="N712" s="181"/>
      <c r="O712" s="3431"/>
      <c r="P712" s="3432"/>
      <c r="Q712" s="3432"/>
      <c r="R712" s="3432"/>
      <c r="S712" s="3432"/>
      <c r="T712" s="3433"/>
      <c r="U712" s="3432"/>
      <c r="V712" s="3432"/>
      <c r="W712" s="3432"/>
      <c r="X712" s="3432"/>
      <c r="Y712" s="3432"/>
      <c r="Z712" s="3432"/>
      <c r="AA712" s="3431"/>
      <c r="AB712" s="3432"/>
      <c r="AC712" s="3432"/>
      <c r="AD712" s="3432"/>
      <c r="AE712" s="3432"/>
      <c r="AF712" s="3433"/>
      <c r="AG712" s="364"/>
      <c r="AH712" s="364"/>
      <c r="AI712" s="364"/>
      <c r="AJ712" s="364"/>
      <c r="AK712" s="364"/>
      <c r="AL712" s="364"/>
      <c r="AM712" s="364"/>
      <c r="AN712" s="364"/>
      <c r="AO712" s="364"/>
      <c r="AP712" s="364" t="s">
        <v>951</v>
      </c>
      <c r="AQ712" s="805"/>
      <c r="AS712" s="762"/>
    </row>
    <row r="713" spans="2:45" s="648" customFormat="1" outlineLevel="1" x14ac:dyDescent="0.35">
      <c r="B713" s="671"/>
      <c r="C713" s="804"/>
      <c r="D713" s="181" t="s">
        <v>952</v>
      </c>
      <c r="E713" s="181"/>
      <c r="F713" s="181"/>
      <c r="G713" s="181"/>
      <c r="H713" s="181"/>
      <c r="I713" s="181"/>
      <c r="J713" s="181"/>
      <c r="K713" s="181"/>
      <c r="L713" s="181"/>
      <c r="M713" s="181"/>
      <c r="N713" s="181"/>
      <c r="O713" s="3431">
        <v>1119452206</v>
      </c>
      <c r="P713" s="3432"/>
      <c r="Q713" s="3432"/>
      <c r="R713" s="3432"/>
      <c r="S713" s="3432"/>
      <c r="T713" s="3433"/>
      <c r="U713" s="3432">
        <v>129992100</v>
      </c>
      <c r="V713" s="3432"/>
      <c r="W713" s="3432"/>
      <c r="X713" s="3432"/>
      <c r="Y713" s="3432"/>
      <c r="Z713" s="3432"/>
      <c r="AA713" s="3431">
        <f>O713+U713</f>
        <v>1249444306</v>
      </c>
      <c r="AB713" s="3432"/>
      <c r="AC713" s="3432"/>
      <c r="AD713" s="3432"/>
      <c r="AE713" s="3432"/>
      <c r="AF713" s="3433"/>
      <c r="AG713" s="364"/>
      <c r="AH713" s="364"/>
      <c r="AI713" s="364"/>
      <c r="AJ713" s="364"/>
      <c r="AK713" s="364"/>
      <c r="AL713" s="364"/>
      <c r="AM713" s="364"/>
      <c r="AN713" s="364"/>
      <c r="AO713" s="364"/>
      <c r="AP713" s="364" t="s">
        <v>953</v>
      </c>
      <c r="AQ713" s="805"/>
      <c r="AS713" s="762"/>
    </row>
    <row r="714" spans="2:45" s="648" customFormat="1" outlineLevel="2" x14ac:dyDescent="0.35">
      <c r="B714" s="671"/>
      <c r="C714" s="804"/>
      <c r="D714" s="181" t="s">
        <v>954</v>
      </c>
      <c r="E714" s="181"/>
      <c r="F714" s="181"/>
      <c r="G714" s="181"/>
      <c r="H714" s="181"/>
      <c r="I714" s="181"/>
      <c r="J714" s="181"/>
      <c r="K714" s="181"/>
      <c r="L714" s="181"/>
      <c r="M714" s="181"/>
      <c r="N714" s="181"/>
      <c r="O714" s="3539">
        <v>1013607898.4766661</v>
      </c>
      <c r="P714" s="3540"/>
      <c r="Q714" s="3540"/>
      <c r="R714" s="3540"/>
      <c r="S714" s="3540"/>
      <c r="T714" s="3541"/>
      <c r="U714" s="3540">
        <v>123833495.71666667</v>
      </c>
      <c r="V714" s="3540"/>
      <c r="W714" s="3540"/>
      <c r="X714" s="3540"/>
      <c r="Y714" s="3540"/>
      <c r="Z714" s="3540"/>
      <c r="AA714" s="3539">
        <f>O714+U714</f>
        <v>1137441394.1933327</v>
      </c>
      <c r="AB714" s="3540"/>
      <c r="AC714" s="3540"/>
      <c r="AD714" s="3540"/>
      <c r="AE714" s="3540"/>
      <c r="AF714" s="3541"/>
      <c r="AG714" s="364"/>
      <c r="AH714" s="364"/>
      <c r="AI714" s="364"/>
      <c r="AJ714" s="364"/>
      <c r="AK714" s="364"/>
      <c r="AL714" s="364"/>
      <c r="AM714" s="364"/>
      <c r="AN714" s="364"/>
      <c r="AO714" s="364"/>
      <c r="AP714" s="364" t="s">
        <v>955</v>
      </c>
      <c r="AQ714" s="805"/>
      <c r="AS714" s="762"/>
    </row>
    <row r="715" spans="2:45" s="648" customFormat="1" ht="13.5" outlineLevel="2" thickBot="1" x14ac:dyDescent="0.4">
      <c r="B715" s="671"/>
      <c r="C715" s="804"/>
      <c r="D715" s="181"/>
      <c r="E715" s="181"/>
      <c r="F715" s="181"/>
      <c r="G715" s="181"/>
      <c r="H715" s="181"/>
      <c r="I715" s="181"/>
      <c r="J715" s="181"/>
      <c r="K715" s="181"/>
      <c r="L715" s="181"/>
      <c r="M715" s="181"/>
      <c r="N715" s="181"/>
      <c r="O715" s="3559">
        <f>O713-O714+O712</f>
        <v>105844307.52333391</v>
      </c>
      <c r="P715" s="3560"/>
      <c r="Q715" s="3560"/>
      <c r="R715" s="3560"/>
      <c r="S715" s="3560"/>
      <c r="T715" s="3561"/>
      <c r="U715" s="3559">
        <f>U713-U714+U712</f>
        <v>6158604.2833333313</v>
      </c>
      <c r="V715" s="3560"/>
      <c r="W715" s="3560"/>
      <c r="X715" s="3560"/>
      <c r="Y715" s="3560"/>
      <c r="Z715" s="3561"/>
      <c r="AA715" s="3559">
        <f>AA713-AA714+AA712</f>
        <v>112002911.80666733</v>
      </c>
      <c r="AB715" s="3560"/>
      <c r="AC715" s="3560"/>
      <c r="AD715" s="3560"/>
      <c r="AE715" s="3560"/>
      <c r="AF715" s="3561"/>
      <c r="AG715" s="364"/>
      <c r="AH715" s="364"/>
      <c r="AI715" s="364"/>
      <c r="AJ715" s="364"/>
      <c r="AK715" s="364"/>
      <c r="AL715" s="364"/>
      <c r="AM715" s="364"/>
      <c r="AN715" s="364"/>
      <c r="AO715" s="364"/>
      <c r="AP715" s="364"/>
      <c r="AQ715" s="805"/>
      <c r="AS715" s="762"/>
    </row>
    <row r="716" spans="2:45" s="648" customFormat="1" outlineLevel="2" x14ac:dyDescent="0.35">
      <c r="B716" s="671"/>
      <c r="C716" s="804"/>
      <c r="D716" s="181" t="s">
        <v>956</v>
      </c>
      <c r="E716" s="181"/>
      <c r="F716" s="181"/>
      <c r="G716" s="181"/>
      <c r="H716" s="181"/>
      <c r="I716" s="181"/>
      <c r="J716" s="181"/>
      <c r="K716" s="181"/>
      <c r="L716" s="181"/>
      <c r="M716" s="181"/>
      <c r="N716" s="181"/>
      <c r="O716" s="3562"/>
      <c r="P716" s="3563"/>
      <c r="Q716" s="3563"/>
      <c r="R716" s="3563"/>
      <c r="S716" s="3563"/>
      <c r="T716" s="3564"/>
      <c r="U716" s="3562"/>
      <c r="V716" s="3563"/>
      <c r="W716" s="3563"/>
      <c r="X716" s="3563"/>
      <c r="Y716" s="3563"/>
      <c r="Z716" s="3564"/>
      <c r="AA716" s="3565">
        <f>O716+U716</f>
        <v>0</v>
      </c>
      <c r="AB716" s="3566"/>
      <c r="AC716" s="3566"/>
      <c r="AD716" s="3566"/>
      <c r="AE716" s="3566"/>
      <c r="AF716" s="3567"/>
      <c r="AG716" s="364"/>
      <c r="AH716" s="364"/>
      <c r="AI716" s="364"/>
      <c r="AJ716" s="364"/>
      <c r="AK716" s="364"/>
      <c r="AL716" s="364"/>
      <c r="AM716" s="364"/>
      <c r="AN716" s="364"/>
      <c r="AO716" s="364"/>
      <c r="AP716" s="111" t="s">
        <v>957</v>
      </c>
      <c r="AQ716" s="805"/>
      <c r="AS716" s="762"/>
    </row>
    <row r="717" spans="2:45" s="648" customFormat="1" outlineLevel="2" x14ac:dyDescent="0.35">
      <c r="B717" s="671"/>
      <c r="C717" s="804"/>
      <c r="D717" s="84"/>
      <c r="E717" s="181"/>
      <c r="F717" s="181"/>
      <c r="G717" s="181"/>
      <c r="H717" s="181"/>
      <c r="I717" s="181"/>
      <c r="J717" s="181"/>
      <c r="K717" s="181"/>
      <c r="L717" s="181"/>
      <c r="M717" s="181"/>
      <c r="N717" s="181"/>
      <c r="O717" s="3552"/>
      <c r="P717" s="3553"/>
      <c r="Q717" s="3553"/>
      <c r="R717" s="3553"/>
      <c r="S717" s="3553"/>
      <c r="T717" s="3554"/>
      <c r="U717" s="3555"/>
      <c r="V717" s="3555"/>
      <c r="W717" s="3555"/>
      <c r="X717" s="3555"/>
      <c r="Y717" s="3555"/>
      <c r="Z717" s="3555"/>
      <c r="AA717" s="3539">
        <f>O717+U717</f>
        <v>0</v>
      </c>
      <c r="AB717" s="3540"/>
      <c r="AC717" s="3540"/>
      <c r="AD717" s="3540"/>
      <c r="AE717" s="3540"/>
      <c r="AF717" s="3541"/>
      <c r="AG717" s="364"/>
      <c r="AH717" s="364"/>
      <c r="AI717" s="364"/>
      <c r="AJ717" s="364"/>
      <c r="AK717" s="364"/>
      <c r="AL717" s="364"/>
      <c r="AM717" s="364"/>
      <c r="AN717" s="364"/>
      <c r="AO717" s="364"/>
      <c r="AP717" s="111" t="s">
        <v>958</v>
      </c>
      <c r="AQ717" s="805"/>
      <c r="AS717" s="762"/>
    </row>
    <row r="718" spans="2:45" s="648" customFormat="1" outlineLevel="2" x14ac:dyDescent="0.35">
      <c r="B718" s="671"/>
      <c r="C718" s="804"/>
      <c r="D718" s="181"/>
      <c r="E718" s="181"/>
      <c r="F718" s="181"/>
      <c r="G718" s="181"/>
      <c r="H718" s="181"/>
      <c r="I718" s="181"/>
      <c r="J718" s="181"/>
      <c r="K718" s="181"/>
      <c r="L718" s="181"/>
      <c r="M718" s="181"/>
      <c r="N718" s="181"/>
      <c r="O718" s="3556">
        <f>O715+O711+O717+O716</f>
        <v>300843245.11333394</v>
      </c>
      <c r="P718" s="3557"/>
      <c r="Q718" s="3557"/>
      <c r="R718" s="3557"/>
      <c r="S718" s="3557"/>
      <c r="T718" s="3558"/>
      <c r="U718" s="3556">
        <f>U715+U711+U717+U716</f>
        <v>6158604.2833333313</v>
      </c>
      <c r="V718" s="3557"/>
      <c r="W718" s="3557"/>
      <c r="X718" s="3557"/>
      <c r="Y718" s="3557"/>
      <c r="Z718" s="3558"/>
      <c r="AA718" s="3556">
        <f>AA715+AA711+AA717+AA716</f>
        <v>307001849.39666736</v>
      </c>
      <c r="AB718" s="3557"/>
      <c r="AC718" s="3557"/>
      <c r="AD718" s="3557"/>
      <c r="AE718" s="3557"/>
      <c r="AF718" s="3558"/>
      <c r="AG718" s="364"/>
      <c r="AH718" s="364"/>
      <c r="AI718" s="364"/>
      <c r="AJ718" s="364"/>
      <c r="AK718" s="364"/>
      <c r="AL718" s="364"/>
      <c r="AM718" s="364"/>
      <c r="AN718" s="364"/>
      <c r="AO718" s="364"/>
      <c r="AP718" s="364"/>
      <c r="AQ718" s="805"/>
      <c r="AS718" s="762"/>
    </row>
    <row r="719" spans="2:45" s="648" customFormat="1" ht="13.5" outlineLevel="2" thickBot="1" x14ac:dyDescent="0.4">
      <c r="B719" s="671"/>
      <c r="C719" s="804"/>
      <c r="D719" s="181"/>
      <c r="E719" s="181"/>
      <c r="F719" s="181"/>
      <c r="G719" s="181"/>
      <c r="H719" s="181"/>
      <c r="I719" s="181"/>
      <c r="J719" s="181"/>
      <c r="K719" s="181"/>
      <c r="L719" s="181"/>
      <c r="M719" s="181"/>
      <c r="N719" s="181"/>
      <c r="O719" s="810"/>
      <c r="P719" s="811"/>
      <c r="Q719" s="811"/>
      <c r="R719" s="811"/>
      <c r="S719" s="811"/>
      <c r="T719" s="812"/>
      <c r="U719" s="811"/>
      <c r="V719" s="811"/>
      <c r="W719" s="811"/>
      <c r="X719" s="811"/>
      <c r="Y719" s="811"/>
      <c r="Z719" s="811"/>
      <c r="AA719" s="810"/>
      <c r="AB719" s="811"/>
      <c r="AC719" s="811"/>
      <c r="AD719" s="811"/>
      <c r="AE719" s="811"/>
      <c r="AF719" s="812"/>
      <c r="AG719" s="364"/>
      <c r="AH719" s="364"/>
      <c r="AI719" s="364"/>
      <c r="AJ719" s="364"/>
      <c r="AK719" s="364"/>
      <c r="AL719" s="364"/>
      <c r="AM719" s="364"/>
      <c r="AN719" s="364"/>
      <c r="AO719" s="364"/>
      <c r="AP719" s="364"/>
      <c r="AQ719" s="805"/>
      <c r="AS719" s="762"/>
    </row>
    <row r="720" spans="2:45" s="648" customFormat="1" ht="13.5" outlineLevel="1" thickBot="1" x14ac:dyDescent="0.4">
      <c r="B720" s="671"/>
      <c r="C720" s="806"/>
      <c r="D720" s="807"/>
      <c r="E720" s="807"/>
      <c r="F720" s="807"/>
      <c r="G720" s="807"/>
      <c r="H720" s="807"/>
      <c r="I720" s="807"/>
      <c r="J720" s="807"/>
      <c r="K720" s="807"/>
      <c r="L720" s="807"/>
      <c r="M720" s="807"/>
      <c r="N720" s="807"/>
      <c r="O720" s="3530">
        <f>O718+O705</f>
        <v>498111287.11333394</v>
      </c>
      <c r="P720" s="3531"/>
      <c r="Q720" s="3531"/>
      <c r="R720" s="3531"/>
      <c r="S720" s="3531"/>
      <c r="T720" s="3532"/>
      <c r="U720" s="3531">
        <f>U718</f>
        <v>6158604.2833333313</v>
      </c>
      <c r="V720" s="3531"/>
      <c r="W720" s="3531"/>
      <c r="X720" s="3531"/>
      <c r="Y720" s="3531"/>
      <c r="Z720" s="3531"/>
      <c r="AA720" s="3530">
        <f>AA718+AA705</f>
        <v>504269891.39666736</v>
      </c>
      <c r="AB720" s="3531"/>
      <c r="AC720" s="3531"/>
      <c r="AD720" s="3531"/>
      <c r="AE720" s="3531"/>
      <c r="AF720" s="3532"/>
      <c r="AG720" s="808"/>
      <c r="AH720" s="808"/>
      <c r="AI720" s="808"/>
      <c r="AJ720" s="808"/>
      <c r="AK720" s="808"/>
      <c r="AL720" s="808"/>
      <c r="AM720" s="808"/>
      <c r="AN720" s="808"/>
      <c r="AO720" s="808"/>
      <c r="AP720" s="808"/>
      <c r="AQ720" s="809"/>
      <c r="AS720" s="762"/>
    </row>
    <row r="721" spans="2:46" s="648" customFormat="1" outlineLevel="1" x14ac:dyDescent="0.35">
      <c r="B721" s="671"/>
      <c r="C721" s="804" t="s">
        <v>277</v>
      </c>
      <c r="D721" s="181"/>
      <c r="E721" s="181"/>
      <c r="F721" s="181"/>
      <c r="G721" s="181"/>
      <c r="H721" s="181"/>
      <c r="I721" s="181"/>
      <c r="J721" s="181"/>
      <c r="K721" s="181"/>
      <c r="L721" s="181"/>
      <c r="M721" s="181"/>
      <c r="N721" s="181"/>
      <c r="O721" s="3431"/>
      <c r="P721" s="3432"/>
      <c r="Q721" s="3432"/>
      <c r="R721" s="3432"/>
      <c r="S721" s="3432"/>
      <c r="T721" s="3433"/>
      <c r="U721" s="3432"/>
      <c r="V721" s="3432"/>
      <c r="W721" s="3432"/>
      <c r="X721" s="3432"/>
      <c r="Y721" s="3432"/>
      <c r="Z721" s="3432"/>
      <c r="AA721" s="3431"/>
      <c r="AB721" s="3432"/>
      <c r="AC721" s="3432"/>
      <c r="AD721" s="3432"/>
      <c r="AE721" s="3432"/>
      <c r="AF721" s="3433"/>
      <c r="AG721" s="364"/>
      <c r="AH721" s="364"/>
      <c r="AI721" s="364"/>
      <c r="AJ721" s="364"/>
      <c r="AK721" s="364"/>
      <c r="AL721" s="364"/>
      <c r="AM721" s="364"/>
      <c r="AN721" s="364"/>
      <c r="AO721" s="364"/>
      <c r="AP721" s="364"/>
      <c r="AQ721" s="805" t="s">
        <v>278</v>
      </c>
      <c r="AS721" s="762"/>
    </row>
    <row r="722" spans="2:46" s="648" customFormat="1" ht="12.75" customHeight="1" outlineLevel="2" x14ac:dyDescent="0.35">
      <c r="B722" s="671"/>
      <c r="C722" s="804" t="s">
        <v>190</v>
      </c>
      <c r="D722" s="181" t="s">
        <v>320</v>
      </c>
      <c r="E722" s="181"/>
      <c r="F722" s="181"/>
      <c r="G722" s="181"/>
      <c r="H722" s="181"/>
      <c r="I722" s="181"/>
      <c r="J722" s="181"/>
      <c r="K722" s="181"/>
      <c r="L722" s="181"/>
      <c r="M722" s="181"/>
      <c r="N722" s="181"/>
      <c r="O722" s="3431"/>
      <c r="P722" s="3432"/>
      <c r="Q722" s="3432"/>
      <c r="R722" s="3432"/>
      <c r="S722" s="3432"/>
      <c r="T722" s="3433"/>
      <c r="U722" s="3568"/>
      <c r="V722" s="3568"/>
      <c r="W722" s="3568"/>
      <c r="X722" s="3568"/>
      <c r="Y722" s="3568"/>
      <c r="Z722" s="3568"/>
      <c r="AA722" s="3431">
        <f t="shared" ref="AA722" si="8">O722+U722</f>
        <v>0</v>
      </c>
      <c r="AB722" s="3432"/>
      <c r="AC722" s="3432"/>
      <c r="AD722" s="3432"/>
      <c r="AE722" s="3432"/>
      <c r="AF722" s="3433"/>
      <c r="AG722" s="364"/>
      <c r="AH722" s="364"/>
      <c r="AI722" s="364"/>
      <c r="AJ722" s="364"/>
      <c r="AK722" s="364"/>
      <c r="AL722" s="364"/>
      <c r="AM722" s="364"/>
      <c r="AN722" s="364"/>
      <c r="AO722" s="364"/>
      <c r="AP722" s="364" t="s">
        <v>321</v>
      </c>
      <c r="AQ722" s="805" t="s">
        <v>190</v>
      </c>
      <c r="AS722" s="762"/>
    </row>
    <row r="723" spans="2:46" s="648" customFormat="1" outlineLevel="1" x14ac:dyDescent="0.35">
      <c r="B723" s="671"/>
      <c r="C723" s="770" t="s">
        <v>190</v>
      </c>
      <c r="D723" s="648" t="s">
        <v>959</v>
      </c>
      <c r="E723" s="181"/>
      <c r="F723" s="181"/>
      <c r="G723" s="181"/>
      <c r="H723" s="181"/>
      <c r="I723" s="181"/>
      <c r="J723" s="181"/>
      <c r="K723" s="181"/>
      <c r="L723" s="181"/>
      <c r="M723" s="181"/>
      <c r="N723" s="181"/>
      <c r="O723" s="3431">
        <v>1274465697.6300001</v>
      </c>
      <c r="P723" s="3432"/>
      <c r="Q723" s="3432"/>
      <c r="R723" s="3432"/>
      <c r="S723" s="3432"/>
      <c r="T723" s="3433"/>
      <c r="U723" s="3545">
        <v>0</v>
      </c>
      <c r="V723" s="3435"/>
      <c r="W723" s="3435"/>
      <c r="X723" s="3435"/>
      <c r="Y723" s="3435"/>
      <c r="Z723" s="3436"/>
      <c r="AA723" s="3431">
        <f t="shared" ref="AA723:AA731" si="9">O723+U723</f>
        <v>1274465697.6300001</v>
      </c>
      <c r="AB723" s="3432"/>
      <c r="AC723" s="3432"/>
      <c r="AD723" s="3432"/>
      <c r="AE723" s="3432"/>
      <c r="AF723" s="3433"/>
      <c r="AG723" s="364"/>
      <c r="AH723" s="364"/>
      <c r="AI723" s="364"/>
      <c r="AJ723" s="364"/>
      <c r="AK723" s="364"/>
      <c r="AL723" s="364"/>
      <c r="AM723" s="364"/>
      <c r="AN723" s="364"/>
      <c r="AO723" s="364"/>
      <c r="AP723" s="364"/>
      <c r="AQ723" s="805"/>
      <c r="AS723" s="762"/>
    </row>
    <row r="724" spans="2:46" s="648" customFormat="1" outlineLevel="1" x14ac:dyDescent="0.35">
      <c r="B724" s="671"/>
      <c r="C724" s="770" t="s">
        <v>190</v>
      </c>
      <c r="D724" s="648" t="s">
        <v>960</v>
      </c>
      <c r="E724" s="181"/>
      <c r="F724" s="181"/>
      <c r="G724" s="181"/>
      <c r="H724" s="181"/>
      <c r="I724" s="181"/>
      <c r="J724" s="181"/>
      <c r="K724" s="181"/>
      <c r="L724" s="181"/>
      <c r="M724" s="181"/>
      <c r="N724" s="181"/>
      <c r="O724" s="3431">
        <v>1274465697.6300001</v>
      </c>
      <c r="P724" s="3432"/>
      <c r="Q724" s="3432"/>
      <c r="R724" s="3432"/>
      <c r="S724" s="3432"/>
      <c r="T724" s="3433"/>
      <c r="U724" s="3545">
        <v>0</v>
      </c>
      <c r="V724" s="3435"/>
      <c r="W724" s="3435"/>
      <c r="X724" s="3435"/>
      <c r="Y724" s="3435"/>
      <c r="Z724" s="3436"/>
      <c r="AA724" s="3431">
        <f t="shared" si="9"/>
        <v>1274465697.6300001</v>
      </c>
      <c r="AB724" s="3432"/>
      <c r="AC724" s="3432"/>
      <c r="AD724" s="3432"/>
      <c r="AE724" s="3432"/>
      <c r="AF724" s="3433"/>
      <c r="AG724" s="364"/>
      <c r="AH724" s="364"/>
      <c r="AI724" s="364"/>
      <c r="AJ724" s="364"/>
      <c r="AK724" s="364"/>
      <c r="AL724" s="364"/>
      <c r="AM724" s="364"/>
      <c r="AN724" s="364"/>
      <c r="AO724" s="364"/>
      <c r="AP724" s="364"/>
      <c r="AQ724" s="805"/>
      <c r="AS724" s="762"/>
    </row>
    <row r="725" spans="2:46" s="648" customFormat="1" outlineLevel="1" x14ac:dyDescent="0.35">
      <c r="B725" s="671"/>
      <c r="C725" s="770" t="s">
        <v>190</v>
      </c>
      <c r="D725" s="648" t="s">
        <v>961</v>
      </c>
      <c r="E725" s="181"/>
      <c r="F725" s="181"/>
      <c r="G725" s="181"/>
      <c r="H725" s="181"/>
      <c r="I725" s="181"/>
      <c r="J725" s="181"/>
      <c r="K725" s="181"/>
      <c r="L725" s="181"/>
      <c r="M725" s="181"/>
      <c r="N725" s="181"/>
      <c r="O725" s="3431">
        <v>1274465697.6300001</v>
      </c>
      <c r="P725" s="3432"/>
      <c r="Q725" s="3432"/>
      <c r="R725" s="3432"/>
      <c r="S725" s="3432"/>
      <c r="T725" s="3433"/>
      <c r="U725" s="3545">
        <v>0</v>
      </c>
      <c r="V725" s="3435"/>
      <c r="W725" s="3435"/>
      <c r="X725" s="3435"/>
      <c r="Y725" s="3435"/>
      <c r="Z725" s="3436"/>
      <c r="AA725" s="3431">
        <f t="shared" si="9"/>
        <v>1274465697.6300001</v>
      </c>
      <c r="AB725" s="3432"/>
      <c r="AC725" s="3432"/>
      <c r="AD725" s="3432"/>
      <c r="AE725" s="3432"/>
      <c r="AF725" s="3433"/>
      <c r="AG725" s="364"/>
      <c r="AH725" s="364"/>
      <c r="AI725" s="364"/>
      <c r="AJ725" s="364"/>
      <c r="AK725" s="364"/>
      <c r="AL725" s="364"/>
      <c r="AM725" s="364"/>
      <c r="AN725" s="364"/>
      <c r="AO725" s="364"/>
      <c r="AP725" s="364"/>
      <c r="AQ725" s="805"/>
      <c r="AS725" s="762"/>
    </row>
    <row r="726" spans="2:46" s="648" customFormat="1" outlineLevel="1" x14ac:dyDescent="0.35">
      <c r="B726" s="671"/>
      <c r="C726" s="770" t="s">
        <v>190</v>
      </c>
      <c r="D726" s="648" t="s">
        <v>962</v>
      </c>
      <c r="E726" s="181"/>
      <c r="F726" s="181"/>
      <c r="G726" s="181"/>
      <c r="H726" s="181"/>
      <c r="I726" s="181"/>
      <c r="J726" s="181"/>
      <c r="K726" s="181"/>
      <c r="L726" s="181"/>
      <c r="M726" s="181"/>
      <c r="N726" s="181"/>
      <c r="O726" s="3431">
        <v>1438749776</v>
      </c>
      <c r="P726" s="3432"/>
      <c r="Q726" s="3432"/>
      <c r="R726" s="3432"/>
      <c r="S726" s="3432"/>
      <c r="T726" s="3433"/>
      <c r="U726" s="3545">
        <v>0</v>
      </c>
      <c r="V726" s="3435"/>
      <c r="W726" s="3435"/>
      <c r="X726" s="3435"/>
      <c r="Y726" s="3435"/>
      <c r="Z726" s="3436"/>
      <c r="AA726" s="3431">
        <f t="shared" si="9"/>
        <v>1438749776</v>
      </c>
      <c r="AB726" s="3432"/>
      <c r="AC726" s="3432"/>
      <c r="AD726" s="3432"/>
      <c r="AE726" s="3432"/>
      <c r="AF726" s="3433"/>
      <c r="AG726" s="364"/>
      <c r="AH726" s="364"/>
      <c r="AI726" s="364"/>
      <c r="AJ726" s="364"/>
      <c r="AK726" s="364"/>
      <c r="AL726" s="364"/>
      <c r="AM726" s="364"/>
      <c r="AN726" s="364"/>
      <c r="AO726" s="364"/>
      <c r="AP726" s="364"/>
      <c r="AQ726" s="805"/>
      <c r="AS726" s="762"/>
    </row>
    <row r="727" spans="2:46" s="648" customFormat="1" ht="14.5" outlineLevel="1" x14ac:dyDescent="0.35">
      <c r="B727" s="671"/>
      <c r="C727" s="770" t="s">
        <v>190</v>
      </c>
      <c r="D727" s="648" t="s">
        <v>6675</v>
      </c>
      <c r="E727" s="181"/>
      <c r="F727" s="181"/>
      <c r="G727" s="181"/>
      <c r="H727" s="181"/>
      <c r="I727" s="181"/>
      <c r="J727" s="181"/>
      <c r="K727" s="181"/>
      <c r="L727" s="181"/>
      <c r="M727" s="181"/>
      <c r="N727" s="181"/>
      <c r="O727" s="3431">
        <v>1498800000</v>
      </c>
      <c r="P727" s="3432"/>
      <c r="Q727" s="3432"/>
      <c r="R727" s="3432"/>
      <c r="S727" s="3432"/>
      <c r="T727" s="3433"/>
      <c r="U727" s="3545">
        <v>0</v>
      </c>
      <c r="V727" s="3435"/>
      <c r="W727" s="3435"/>
      <c r="X727" s="3435"/>
      <c r="Y727" s="3435"/>
      <c r="Z727" s="3436"/>
      <c r="AA727" s="3431">
        <f t="shared" si="9"/>
        <v>1498800000</v>
      </c>
      <c r="AB727" s="3432"/>
      <c r="AC727" s="3432"/>
      <c r="AD727" s="3432"/>
      <c r="AE727" s="3432"/>
      <c r="AF727" s="3433"/>
      <c r="AG727" s="364"/>
      <c r="AH727" s="364"/>
      <c r="AI727" s="364"/>
      <c r="AJ727" s="364"/>
      <c r="AK727" s="364"/>
      <c r="AL727" s="364"/>
      <c r="AM727" s="364"/>
      <c r="AN727" s="364"/>
      <c r="AO727" s="364"/>
      <c r="AP727" s="364"/>
      <c r="AQ727" s="805"/>
      <c r="AS727" s="944">
        <v>1274465697.6300001</v>
      </c>
    </row>
    <row r="728" spans="2:46" s="648" customFormat="1" ht="14.5" outlineLevel="1" x14ac:dyDescent="0.35">
      <c r="B728" s="671"/>
      <c r="C728" s="770" t="s">
        <v>190</v>
      </c>
      <c r="D728" s="648" t="s">
        <v>7158</v>
      </c>
      <c r="E728" s="181"/>
      <c r="F728" s="181"/>
      <c r="G728" s="181"/>
      <c r="H728" s="181"/>
      <c r="I728" s="181"/>
      <c r="J728" s="181"/>
      <c r="K728" s="181"/>
      <c r="L728" s="181"/>
      <c r="M728" s="181"/>
      <c r="N728" s="181"/>
      <c r="O728" s="3431">
        <v>1487500000</v>
      </c>
      <c r="P728" s="3432"/>
      <c r="Q728" s="3432"/>
      <c r="R728" s="3432"/>
      <c r="S728" s="3432"/>
      <c r="T728" s="3433"/>
      <c r="U728" s="3545">
        <v>0</v>
      </c>
      <c r="V728" s="3435"/>
      <c r="W728" s="3435"/>
      <c r="X728" s="3435"/>
      <c r="Y728" s="3435"/>
      <c r="Z728" s="3436"/>
      <c r="AA728" s="3431">
        <f t="shared" si="9"/>
        <v>1487500000</v>
      </c>
      <c r="AB728" s="3432"/>
      <c r="AC728" s="3432"/>
      <c r="AD728" s="3432"/>
      <c r="AE728" s="3432"/>
      <c r="AF728" s="3433"/>
      <c r="AG728" s="364"/>
      <c r="AH728" s="364"/>
      <c r="AI728" s="364"/>
      <c r="AJ728" s="364"/>
      <c r="AK728" s="364"/>
      <c r="AL728" s="364"/>
      <c r="AM728" s="364"/>
      <c r="AN728" s="364"/>
      <c r="AO728" s="364"/>
      <c r="AP728" s="364"/>
      <c r="AQ728" s="805"/>
      <c r="AS728" s="944">
        <v>1274465698</v>
      </c>
    </row>
    <row r="729" spans="2:46" s="648" customFormat="1" ht="14.5" outlineLevel="1" x14ac:dyDescent="0.35">
      <c r="B729" s="671"/>
      <c r="C729" s="770" t="s">
        <v>190</v>
      </c>
      <c r="D729" s="648" t="s">
        <v>7159</v>
      </c>
      <c r="E729" s="181"/>
      <c r="F729" s="181"/>
      <c r="G729" s="181"/>
      <c r="H729" s="181"/>
      <c r="I729" s="181"/>
      <c r="J729" s="181"/>
      <c r="K729" s="181"/>
      <c r="L729" s="181"/>
      <c r="M729" s="181"/>
      <c r="N729" s="181"/>
      <c r="O729" s="3431">
        <v>1207500000</v>
      </c>
      <c r="P729" s="3432"/>
      <c r="Q729" s="3432"/>
      <c r="R729" s="3432"/>
      <c r="S729" s="3432"/>
      <c r="T729" s="3433"/>
      <c r="U729" s="3545">
        <v>0</v>
      </c>
      <c r="V729" s="3435"/>
      <c r="W729" s="3435"/>
      <c r="X729" s="3435"/>
      <c r="Y729" s="3435"/>
      <c r="Z729" s="3436"/>
      <c r="AA729" s="3431">
        <f t="shared" si="9"/>
        <v>1207500000</v>
      </c>
      <c r="AB729" s="3432"/>
      <c r="AC729" s="3432"/>
      <c r="AD729" s="3432"/>
      <c r="AE729" s="3432"/>
      <c r="AF729" s="3433"/>
      <c r="AG729" s="364"/>
      <c r="AH729" s="364"/>
      <c r="AI729" s="364"/>
      <c r="AJ729" s="364"/>
      <c r="AK729" s="364"/>
      <c r="AL729" s="364"/>
      <c r="AM729" s="364"/>
      <c r="AN729" s="364"/>
      <c r="AO729" s="364"/>
      <c r="AP729" s="364"/>
      <c r="AQ729" s="805"/>
      <c r="AS729" s="944">
        <v>1274465697</v>
      </c>
    </row>
    <row r="730" spans="2:46" s="648" customFormat="1" ht="14.5" outlineLevel="1" x14ac:dyDescent="0.35">
      <c r="B730" s="671"/>
      <c r="C730" s="770" t="s">
        <v>190</v>
      </c>
      <c r="D730" s="648" t="s">
        <v>963</v>
      </c>
      <c r="E730" s="181"/>
      <c r="F730" s="181"/>
      <c r="G730" s="181"/>
      <c r="H730" s="181"/>
      <c r="I730" s="181"/>
      <c r="J730" s="181"/>
      <c r="K730" s="181"/>
      <c r="L730" s="181"/>
      <c r="M730" s="181"/>
      <c r="N730" s="181"/>
      <c r="O730" s="3431"/>
      <c r="P730" s="3432"/>
      <c r="Q730" s="3432"/>
      <c r="R730" s="3432"/>
      <c r="S730" s="3432"/>
      <c r="T730" s="3433"/>
      <c r="U730" s="3435"/>
      <c r="V730" s="3435"/>
      <c r="W730" s="3435"/>
      <c r="X730" s="3435"/>
      <c r="Y730" s="3435"/>
      <c r="Z730" s="3435"/>
      <c r="AA730" s="3431">
        <f t="shared" si="9"/>
        <v>0</v>
      </c>
      <c r="AB730" s="3432"/>
      <c r="AC730" s="3432"/>
      <c r="AD730" s="3432"/>
      <c r="AE730" s="3432"/>
      <c r="AF730" s="3433"/>
      <c r="AG730" s="364"/>
      <c r="AH730" s="364"/>
      <c r="AI730" s="364"/>
      <c r="AJ730" s="364"/>
      <c r="AK730" s="364"/>
      <c r="AL730" s="364"/>
      <c r="AM730" s="364"/>
      <c r="AN730" s="364"/>
      <c r="AO730" s="364"/>
      <c r="AP730" s="364"/>
      <c r="AQ730" s="805"/>
      <c r="AS730" s="944">
        <v>1438749776</v>
      </c>
    </row>
    <row r="731" spans="2:46" s="648" customFormat="1" ht="12.75" hidden="1" customHeight="1" outlineLevel="2" x14ac:dyDescent="0.35">
      <c r="B731" s="671"/>
      <c r="C731" s="804"/>
      <c r="D731" s="181"/>
      <c r="E731" s="181"/>
      <c r="F731" s="181"/>
      <c r="G731" s="181"/>
      <c r="H731" s="181"/>
      <c r="I731" s="181"/>
      <c r="J731" s="181"/>
      <c r="K731" s="181"/>
      <c r="L731" s="181"/>
      <c r="M731" s="181"/>
      <c r="N731" s="181"/>
      <c r="O731" s="3542"/>
      <c r="P731" s="3543"/>
      <c r="Q731" s="3543"/>
      <c r="R731" s="3543"/>
      <c r="S731" s="3543"/>
      <c r="T731" s="3544"/>
      <c r="U731" s="3545">
        <v>0</v>
      </c>
      <c r="V731" s="3435"/>
      <c r="W731" s="3435"/>
      <c r="X731" s="3435"/>
      <c r="Y731" s="3435"/>
      <c r="Z731" s="3436"/>
      <c r="AA731" s="3546">
        <f t="shared" si="9"/>
        <v>0</v>
      </c>
      <c r="AB731" s="3547"/>
      <c r="AC731" s="3547"/>
      <c r="AD731" s="3547"/>
      <c r="AE731" s="3547"/>
      <c r="AF731" s="3548"/>
      <c r="AG731" s="364"/>
      <c r="AH731" s="364"/>
      <c r="AI731" s="364"/>
      <c r="AJ731" s="364"/>
      <c r="AK731" s="364"/>
      <c r="AL731" s="364"/>
      <c r="AM731" s="364"/>
      <c r="AN731" s="364"/>
      <c r="AO731" s="364"/>
      <c r="AP731" s="364" t="s">
        <v>964</v>
      </c>
      <c r="AQ731" s="805" t="s">
        <v>190</v>
      </c>
      <c r="AS731" s="762">
        <v>1498800000</v>
      </c>
      <c r="AT731" s="813"/>
    </row>
    <row r="732" spans="2:46" s="648" customFormat="1" outlineLevel="1" collapsed="1" x14ac:dyDescent="0.35">
      <c r="B732" s="671"/>
      <c r="C732" s="814"/>
      <c r="D732" s="751"/>
      <c r="E732" s="751"/>
      <c r="F732" s="751"/>
      <c r="G732" s="751"/>
      <c r="H732" s="751"/>
      <c r="I732" s="751"/>
      <c r="J732" s="751"/>
      <c r="K732" s="751"/>
      <c r="L732" s="751"/>
      <c r="M732" s="751"/>
      <c r="N732" s="751"/>
      <c r="O732" s="3549">
        <f>SUM(O722:T731)</f>
        <v>9455946868.8899994</v>
      </c>
      <c r="P732" s="3550"/>
      <c r="Q732" s="3550"/>
      <c r="R732" s="3550"/>
      <c r="S732" s="3550"/>
      <c r="T732" s="3551"/>
      <c r="U732" s="3549">
        <f>SUM(U722:Z731)</f>
        <v>0</v>
      </c>
      <c r="V732" s="3550"/>
      <c r="W732" s="3550"/>
      <c r="X732" s="3550"/>
      <c r="Y732" s="3550"/>
      <c r="Z732" s="3551"/>
      <c r="AA732" s="3549">
        <f>SUM(AA722:AF731)</f>
        <v>9455946868.8899994</v>
      </c>
      <c r="AB732" s="3550"/>
      <c r="AC732" s="3550"/>
      <c r="AD732" s="3550"/>
      <c r="AE732" s="3550"/>
      <c r="AF732" s="3551"/>
      <c r="AG732" s="815"/>
      <c r="AH732" s="815"/>
      <c r="AI732" s="815"/>
      <c r="AJ732" s="815"/>
      <c r="AK732" s="815"/>
      <c r="AL732" s="815"/>
      <c r="AM732" s="815"/>
      <c r="AN732" s="815"/>
      <c r="AO732" s="815"/>
      <c r="AP732" s="815"/>
      <c r="AQ732" s="816"/>
      <c r="AS732" s="762"/>
    </row>
    <row r="733" spans="2:46" s="648" customFormat="1" outlineLevel="1" x14ac:dyDescent="0.35">
      <c r="B733" s="671"/>
      <c r="C733" s="804"/>
      <c r="D733" s="181"/>
      <c r="E733" s="181"/>
      <c r="F733" s="181"/>
      <c r="G733" s="181"/>
      <c r="H733" s="181"/>
      <c r="I733" s="181"/>
      <c r="J733" s="181"/>
      <c r="K733" s="181"/>
      <c r="L733" s="181"/>
      <c r="M733" s="181"/>
      <c r="N733" s="181"/>
      <c r="O733" s="810"/>
      <c r="P733" s="811"/>
      <c r="Q733" s="811"/>
      <c r="R733" s="811"/>
      <c r="S733" s="811"/>
      <c r="T733" s="812"/>
      <c r="U733" s="811"/>
      <c r="V733" s="811"/>
      <c r="W733" s="811"/>
      <c r="X733" s="811"/>
      <c r="Y733" s="811"/>
      <c r="Z733" s="811"/>
      <c r="AA733" s="810"/>
      <c r="AB733" s="811"/>
      <c r="AC733" s="811"/>
      <c r="AD733" s="811"/>
      <c r="AE733" s="811"/>
      <c r="AF733" s="812"/>
      <c r="AG733" s="364"/>
      <c r="AH733" s="364"/>
      <c r="AI733" s="364"/>
      <c r="AJ733" s="364"/>
      <c r="AK733" s="364"/>
      <c r="AL733" s="364"/>
      <c r="AM733" s="364"/>
      <c r="AN733" s="364"/>
      <c r="AO733" s="364"/>
      <c r="AP733" s="364"/>
      <c r="AQ733" s="805"/>
      <c r="AS733" s="762"/>
    </row>
    <row r="734" spans="2:46" s="648" customFormat="1" outlineLevel="1" x14ac:dyDescent="0.35">
      <c r="B734" s="671"/>
      <c r="C734" s="804" t="s">
        <v>190</v>
      </c>
      <c r="D734" s="181" t="s">
        <v>965</v>
      </c>
      <c r="E734" s="181"/>
      <c r="F734" s="181"/>
      <c r="G734" s="181"/>
      <c r="H734" s="181"/>
      <c r="I734" s="181"/>
      <c r="J734" s="181"/>
      <c r="K734" s="181"/>
      <c r="L734" s="181"/>
      <c r="M734" s="181"/>
      <c r="N734" s="181"/>
      <c r="O734" s="3431">
        <v>11006158286</v>
      </c>
      <c r="P734" s="3432"/>
      <c r="Q734" s="3432"/>
      <c r="R734" s="3432"/>
      <c r="S734" s="3432"/>
      <c r="T734" s="3433"/>
      <c r="U734" s="3431">
        <v>11000000</v>
      </c>
      <c r="V734" s="3432"/>
      <c r="W734" s="3432"/>
      <c r="X734" s="3432"/>
      <c r="Y734" s="3432"/>
      <c r="Z734" s="3433"/>
      <c r="AA734" s="3431">
        <f>O734+U734</f>
        <v>11017158286</v>
      </c>
      <c r="AB734" s="3432"/>
      <c r="AC734" s="3432"/>
      <c r="AD734" s="3432"/>
      <c r="AE734" s="3432"/>
      <c r="AF734" s="3433"/>
      <c r="AG734" s="364"/>
      <c r="AH734" s="364"/>
      <c r="AI734" s="364"/>
      <c r="AJ734" s="364"/>
      <c r="AK734" s="364"/>
      <c r="AL734" s="364"/>
      <c r="AM734" s="364"/>
      <c r="AN734" s="364"/>
      <c r="AO734" s="364"/>
      <c r="AP734" s="364" t="s">
        <v>966</v>
      </c>
      <c r="AQ734" s="805" t="s">
        <v>190</v>
      </c>
      <c r="AS734" s="762"/>
    </row>
    <row r="735" spans="2:46" s="648" customFormat="1" ht="13.5" outlineLevel="1" thickBot="1" x14ac:dyDescent="0.4">
      <c r="B735" s="671"/>
      <c r="C735" s="804"/>
      <c r="D735" s="181"/>
      <c r="E735" s="181"/>
      <c r="F735" s="181"/>
      <c r="G735" s="181"/>
      <c r="H735" s="181"/>
      <c r="I735" s="181"/>
      <c r="J735" s="181"/>
      <c r="K735" s="181"/>
      <c r="L735" s="181"/>
      <c r="M735" s="181"/>
      <c r="N735" s="181"/>
      <c r="O735" s="3431"/>
      <c r="P735" s="3432"/>
      <c r="Q735" s="3432"/>
      <c r="R735" s="3432"/>
      <c r="S735" s="3432"/>
      <c r="T735" s="3433"/>
      <c r="U735" s="3432"/>
      <c r="V735" s="3432"/>
      <c r="W735" s="3432"/>
      <c r="X735" s="3432"/>
      <c r="Y735" s="3432"/>
      <c r="Z735" s="3432"/>
      <c r="AA735" s="3431"/>
      <c r="AB735" s="3432"/>
      <c r="AC735" s="3432"/>
      <c r="AD735" s="3432"/>
      <c r="AE735" s="3432"/>
      <c r="AF735" s="3433"/>
      <c r="AG735" s="364"/>
      <c r="AH735" s="364"/>
      <c r="AI735" s="364"/>
      <c r="AJ735" s="364"/>
      <c r="AK735" s="364"/>
      <c r="AL735" s="364"/>
      <c r="AM735" s="364"/>
      <c r="AN735" s="364"/>
      <c r="AO735" s="364"/>
      <c r="AP735" s="364"/>
      <c r="AQ735" s="805"/>
      <c r="AS735" s="762"/>
    </row>
    <row r="736" spans="2:46" s="648" customFormat="1" ht="13.5" outlineLevel="1" thickBot="1" x14ac:dyDescent="0.4">
      <c r="B736" s="671"/>
      <c r="C736" s="817"/>
      <c r="D736" s="818"/>
      <c r="E736" s="818"/>
      <c r="F736" s="818"/>
      <c r="G736" s="818"/>
      <c r="H736" s="818"/>
      <c r="I736" s="818"/>
      <c r="J736" s="818"/>
      <c r="K736" s="818"/>
      <c r="L736" s="818"/>
      <c r="M736" s="818"/>
      <c r="N736" s="818"/>
      <c r="O736" s="3530">
        <f>O732-O734</f>
        <v>-1550211417.1100006</v>
      </c>
      <c r="P736" s="3531"/>
      <c r="Q736" s="3531"/>
      <c r="R736" s="3531"/>
      <c r="S736" s="3531"/>
      <c r="T736" s="3532"/>
      <c r="U736" s="3531">
        <f>U732-U734</f>
        <v>-11000000</v>
      </c>
      <c r="V736" s="3531"/>
      <c r="W736" s="3531"/>
      <c r="X736" s="3531"/>
      <c r="Y736" s="3531"/>
      <c r="Z736" s="3531"/>
      <c r="AA736" s="3530">
        <f>AA732-AA734</f>
        <v>-1561211417.1100006</v>
      </c>
      <c r="AB736" s="3531"/>
      <c r="AC736" s="3531"/>
      <c r="AD736" s="3531"/>
      <c r="AE736" s="3531"/>
      <c r="AF736" s="3532"/>
      <c r="AG736" s="819"/>
      <c r="AH736" s="819"/>
      <c r="AI736" s="819"/>
      <c r="AJ736" s="819"/>
      <c r="AK736" s="819"/>
      <c r="AL736" s="819"/>
      <c r="AM736" s="819"/>
      <c r="AN736" s="819"/>
      <c r="AO736" s="819"/>
      <c r="AP736" s="819"/>
      <c r="AQ736" s="820"/>
      <c r="AS736" s="762"/>
    </row>
    <row r="737" spans="1:47" s="648" customFormat="1" outlineLevel="1" x14ac:dyDescent="0.35">
      <c r="B737" s="671"/>
      <c r="C737" s="804" t="s">
        <v>967</v>
      </c>
      <c r="D737" s="181"/>
      <c r="E737" s="181"/>
      <c r="F737" s="181"/>
      <c r="G737" s="181"/>
      <c r="H737" s="181"/>
      <c r="I737" s="181"/>
      <c r="J737" s="181"/>
      <c r="K737" s="181"/>
      <c r="L737" s="181"/>
      <c r="M737" s="181"/>
      <c r="N737" s="181"/>
      <c r="O737" s="3431"/>
      <c r="P737" s="3432"/>
      <c r="Q737" s="3432"/>
      <c r="R737" s="3432"/>
      <c r="S737" s="3432"/>
      <c r="T737" s="3433"/>
      <c r="U737" s="3432"/>
      <c r="V737" s="3432"/>
      <c r="W737" s="3432"/>
      <c r="X737" s="3432"/>
      <c r="Y737" s="3432"/>
      <c r="Z737" s="3432"/>
      <c r="AA737" s="3431"/>
      <c r="AB737" s="3432"/>
      <c r="AC737" s="3432"/>
      <c r="AD737" s="3432"/>
      <c r="AE737" s="3432"/>
      <c r="AF737" s="3433"/>
      <c r="AG737" s="364"/>
      <c r="AH737" s="364"/>
      <c r="AI737" s="364"/>
      <c r="AJ737" s="364"/>
      <c r="AK737" s="364"/>
      <c r="AL737" s="364"/>
      <c r="AM737" s="364"/>
      <c r="AN737" s="364"/>
      <c r="AO737" s="364"/>
      <c r="AP737" s="364"/>
      <c r="AQ737" s="805" t="s">
        <v>968</v>
      </c>
      <c r="AS737" s="762"/>
    </row>
    <row r="738" spans="1:47" s="648" customFormat="1" outlineLevel="1" x14ac:dyDescent="0.35">
      <c r="B738" s="671"/>
      <c r="C738" s="804" t="s">
        <v>190</v>
      </c>
      <c r="D738" s="181" t="s">
        <v>969</v>
      </c>
      <c r="E738" s="181"/>
      <c r="F738" s="181"/>
      <c r="G738" s="181"/>
      <c r="H738" s="181"/>
      <c r="I738" s="181"/>
      <c r="J738" s="181"/>
      <c r="K738" s="181"/>
      <c r="L738" s="181"/>
      <c r="M738" s="181"/>
      <c r="N738" s="181"/>
      <c r="O738" s="3506">
        <v>11029453886</v>
      </c>
      <c r="P738" s="3507"/>
      <c r="Q738" s="3507"/>
      <c r="R738" s="3507"/>
      <c r="S738" s="3507"/>
      <c r="T738" s="3508"/>
      <c r="U738" s="3506">
        <v>11000000</v>
      </c>
      <c r="V738" s="3507"/>
      <c r="W738" s="3507"/>
      <c r="X738" s="3507"/>
      <c r="Y738" s="3507"/>
      <c r="Z738" s="3508"/>
      <c r="AA738" s="3431">
        <f>O738+U738</f>
        <v>11040453886</v>
      </c>
      <c r="AB738" s="3432"/>
      <c r="AC738" s="3432"/>
      <c r="AD738" s="3432"/>
      <c r="AE738" s="3432"/>
      <c r="AF738" s="3433"/>
      <c r="AG738" s="364"/>
      <c r="AH738" s="364"/>
      <c r="AI738" s="364"/>
      <c r="AJ738" s="364"/>
      <c r="AK738" s="364"/>
      <c r="AL738" s="364"/>
      <c r="AM738" s="364"/>
      <c r="AN738" s="364"/>
      <c r="AO738" s="364"/>
      <c r="AP738" s="364" t="s">
        <v>970</v>
      </c>
      <c r="AQ738" s="805" t="s">
        <v>190</v>
      </c>
      <c r="AS738" s="762"/>
    </row>
    <row r="739" spans="1:47" s="648" customFormat="1" outlineLevel="1" x14ac:dyDescent="0.35">
      <c r="B739" s="671"/>
      <c r="C739" s="804" t="s">
        <v>190</v>
      </c>
      <c r="D739" s="181" t="s">
        <v>971</v>
      </c>
      <c r="E739" s="181"/>
      <c r="F739" s="181"/>
      <c r="G739" s="181"/>
      <c r="H739" s="181"/>
      <c r="I739" s="181"/>
      <c r="J739" s="181"/>
      <c r="K739" s="181"/>
      <c r="L739" s="181"/>
      <c r="M739" s="181"/>
      <c r="N739" s="181"/>
      <c r="O739" s="3536">
        <v>7675639992.0319996</v>
      </c>
      <c r="P739" s="3537"/>
      <c r="Q739" s="3537"/>
      <c r="R739" s="3537"/>
      <c r="S739" s="3537"/>
      <c r="T739" s="3538"/>
      <c r="U739" s="3536">
        <v>16800000</v>
      </c>
      <c r="V739" s="3537"/>
      <c r="W739" s="3537"/>
      <c r="X739" s="3537"/>
      <c r="Y739" s="3537"/>
      <c r="Z739" s="3538"/>
      <c r="AA739" s="3539">
        <f>O739+U739</f>
        <v>7692439992.0319996</v>
      </c>
      <c r="AB739" s="3540"/>
      <c r="AC739" s="3540"/>
      <c r="AD739" s="3540"/>
      <c r="AE739" s="3540"/>
      <c r="AF739" s="3541"/>
      <c r="AG739" s="364"/>
      <c r="AH739" s="364"/>
      <c r="AI739" s="364"/>
      <c r="AJ739" s="364"/>
      <c r="AK739" s="364"/>
      <c r="AL739" s="364"/>
      <c r="AM739" s="364"/>
      <c r="AN739" s="364"/>
      <c r="AO739" s="364"/>
      <c r="AP739" s="364" t="s">
        <v>972</v>
      </c>
      <c r="AQ739" s="805" t="s">
        <v>190</v>
      </c>
      <c r="AS739" s="762"/>
    </row>
    <row r="740" spans="1:47" s="648" customFormat="1" outlineLevel="1" x14ac:dyDescent="0.35">
      <c r="B740" s="671"/>
      <c r="C740" s="804"/>
      <c r="D740" s="181"/>
      <c r="E740" s="181"/>
      <c r="F740" s="181"/>
      <c r="G740" s="181"/>
      <c r="H740" s="181"/>
      <c r="I740" s="181"/>
      <c r="J740" s="181"/>
      <c r="K740" s="181"/>
      <c r="L740" s="181"/>
      <c r="M740" s="181"/>
      <c r="N740" s="181"/>
      <c r="O740" s="3431">
        <f>SUM(O738:T739)</f>
        <v>18705093878.031998</v>
      </c>
      <c r="P740" s="3432"/>
      <c r="Q740" s="3432"/>
      <c r="R740" s="3432"/>
      <c r="S740" s="3432"/>
      <c r="T740" s="3433"/>
      <c r="U740" s="3432">
        <f>SUM(U738:Z739)</f>
        <v>27800000</v>
      </c>
      <c r="V740" s="3432"/>
      <c r="W740" s="3432"/>
      <c r="X740" s="3432"/>
      <c r="Y740" s="3432"/>
      <c r="Z740" s="3432"/>
      <c r="AA740" s="3431">
        <f>SUM(AA738:AF739)</f>
        <v>18732893878.031998</v>
      </c>
      <c r="AB740" s="3432"/>
      <c r="AC740" s="3432"/>
      <c r="AD740" s="3432"/>
      <c r="AE740" s="3432"/>
      <c r="AF740" s="3433"/>
      <c r="AG740" s="364"/>
      <c r="AH740" s="364"/>
      <c r="AI740" s="364"/>
      <c r="AJ740" s="364"/>
      <c r="AK740" s="364"/>
      <c r="AL740" s="364"/>
      <c r="AM740" s="364"/>
      <c r="AN740" s="364"/>
      <c r="AO740" s="364"/>
      <c r="AP740" s="364"/>
      <c r="AQ740" s="805"/>
      <c r="AS740" s="762"/>
    </row>
    <row r="741" spans="1:47" s="648" customFormat="1" outlineLevel="1" x14ac:dyDescent="0.35">
      <c r="B741" s="671"/>
      <c r="C741" s="804"/>
      <c r="D741" s="181"/>
      <c r="E741" s="181"/>
      <c r="F741" s="181"/>
      <c r="G741" s="181"/>
      <c r="H741" s="181"/>
      <c r="I741" s="181"/>
      <c r="J741" s="181"/>
      <c r="K741" s="181"/>
      <c r="L741" s="181"/>
      <c r="M741" s="181"/>
      <c r="N741" s="181"/>
      <c r="O741" s="810"/>
      <c r="P741" s="811"/>
      <c r="Q741" s="811"/>
      <c r="R741" s="811"/>
      <c r="S741" s="811"/>
      <c r="T741" s="812"/>
      <c r="U741" s="811"/>
      <c r="V741" s="811"/>
      <c r="W741" s="811"/>
      <c r="X741" s="811"/>
      <c r="Y741" s="811"/>
      <c r="Z741" s="811"/>
      <c r="AA741" s="810"/>
      <c r="AB741" s="811"/>
      <c r="AC741" s="811"/>
      <c r="AD741" s="811"/>
      <c r="AE741" s="811"/>
      <c r="AF741" s="812"/>
      <c r="AG741" s="364"/>
      <c r="AH741" s="364"/>
      <c r="AI741" s="364"/>
      <c r="AJ741" s="364"/>
      <c r="AK741" s="364"/>
      <c r="AL741" s="364"/>
      <c r="AM741" s="364"/>
      <c r="AN741" s="364"/>
      <c r="AO741" s="364"/>
      <c r="AP741" s="364"/>
      <c r="AQ741" s="805"/>
      <c r="AS741" s="762"/>
    </row>
    <row r="742" spans="1:47" s="648" customFormat="1" outlineLevel="1" x14ac:dyDescent="0.35">
      <c r="B742" s="671"/>
      <c r="C742" s="804" t="s">
        <v>190</v>
      </c>
      <c r="D742" s="181" t="s">
        <v>391</v>
      </c>
      <c r="E742" s="181"/>
      <c r="F742" s="181"/>
      <c r="G742" s="181"/>
      <c r="H742" s="181"/>
      <c r="I742" s="181"/>
      <c r="J742" s="181"/>
      <c r="K742" s="181"/>
      <c r="L742" s="181"/>
      <c r="M742" s="181"/>
      <c r="N742" s="181"/>
      <c r="O742" s="3506">
        <v>3536721269.1689105</v>
      </c>
      <c r="P742" s="3507"/>
      <c r="Q742" s="3507"/>
      <c r="R742" s="3507"/>
      <c r="S742" s="3507"/>
      <c r="T742" s="3508"/>
      <c r="U742" s="3432">
        <v>94865278.639616653</v>
      </c>
      <c r="V742" s="3432"/>
      <c r="W742" s="3432"/>
      <c r="X742" s="3432"/>
      <c r="Y742" s="3432"/>
      <c r="Z742" s="3432"/>
      <c r="AA742" s="3431">
        <f>O742+U742</f>
        <v>3631586547.808527</v>
      </c>
      <c r="AB742" s="3432"/>
      <c r="AC742" s="3432"/>
      <c r="AD742" s="3432"/>
      <c r="AE742" s="3432"/>
      <c r="AF742" s="3433"/>
      <c r="AG742" s="364"/>
      <c r="AH742" s="364"/>
      <c r="AI742" s="364"/>
      <c r="AJ742" s="364"/>
      <c r="AK742" s="364"/>
      <c r="AL742" s="364"/>
      <c r="AM742" s="364"/>
      <c r="AN742" s="364"/>
      <c r="AO742" s="364"/>
      <c r="AP742" s="364" t="s">
        <v>392</v>
      </c>
      <c r="AQ742" s="805" t="s">
        <v>190</v>
      </c>
      <c r="AS742" s="762"/>
    </row>
    <row r="743" spans="1:47" s="648" customFormat="1" ht="13.5" outlineLevel="1" thickBot="1" x14ac:dyDescent="0.4">
      <c r="B743" s="671"/>
      <c r="C743" s="804"/>
      <c r="D743" s="181"/>
      <c r="E743" s="181"/>
      <c r="F743" s="181"/>
      <c r="G743" s="181"/>
      <c r="H743" s="181"/>
      <c r="I743" s="181"/>
      <c r="J743" s="181"/>
      <c r="K743" s="181"/>
      <c r="L743" s="181"/>
      <c r="M743" s="181"/>
      <c r="N743" s="181"/>
      <c r="O743" s="3431"/>
      <c r="P743" s="3432"/>
      <c r="Q743" s="3432"/>
      <c r="R743" s="3432"/>
      <c r="S743" s="3432"/>
      <c r="T743" s="3433"/>
      <c r="U743" s="3432"/>
      <c r="V743" s="3432"/>
      <c r="W743" s="3432"/>
      <c r="X743" s="3432"/>
      <c r="Y743" s="3432"/>
      <c r="Z743" s="3432"/>
      <c r="AA743" s="3431"/>
      <c r="AB743" s="3432"/>
      <c r="AC743" s="3432"/>
      <c r="AD743" s="3432"/>
      <c r="AE743" s="3432"/>
      <c r="AF743" s="3433"/>
      <c r="AG743" s="364"/>
      <c r="AH743" s="364"/>
      <c r="AI743" s="364"/>
      <c r="AJ743" s="364"/>
      <c r="AK743" s="364"/>
      <c r="AL743" s="364"/>
      <c r="AM743" s="364"/>
      <c r="AN743" s="364"/>
      <c r="AO743" s="364"/>
      <c r="AP743" s="364"/>
      <c r="AQ743" s="805"/>
      <c r="AS743" s="762"/>
    </row>
    <row r="744" spans="1:47" s="648" customFormat="1" ht="13.5" outlineLevel="1" thickBot="1" x14ac:dyDescent="0.4">
      <c r="B744" s="671"/>
      <c r="C744" s="806"/>
      <c r="D744" s="807"/>
      <c r="E744" s="807"/>
      <c r="F744" s="807"/>
      <c r="G744" s="807"/>
      <c r="H744" s="807"/>
      <c r="I744" s="807"/>
      <c r="J744" s="807"/>
      <c r="K744" s="807"/>
      <c r="L744" s="807"/>
      <c r="M744" s="807"/>
      <c r="N744" s="807"/>
      <c r="O744" s="3525">
        <f>O740-O742</f>
        <v>15168372608.863087</v>
      </c>
      <c r="P744" s="3526"/>
      <c r="Q744" s="3526"/>
      <c r="R744" s="3526"/>
      <c r="S744" s="3526"/>
      <c r="T744" s="3527"/>
      <c r="U744" s="3526">
        <f>U740-U742</f>
        <v>-67065278.639616653</v>
      </c>
      <c r="V744" s="3526"/>
      <c r="W744" s="3526"/>
      <c r="X744" s="3526"/>
      <c r="Y744" s="3526"/>
      <c r="Z744" s="3526"/>
      <c r="AA744" s="3525">
        <f>AA740-AA742+0.01</f>
        <v>15101307330.233471</v>
      </c>
      <c r="AB744" s="3526"/>
      <c r="AC744" s="3526"/>
      <c r="AD744" s="3526"/>
      <c r="AE744" s="3526"/>
      <c r="AF744" s="3527"/>
      <c r="AG744" s="821"/>
      <c r="AH744" s="821"/>
      <c r="AI744" s="821"/>
      <c r="AJ744" s="821"/>
      <c r="AK744" s="821"/>
      <c r="AL744" s="821"/>
      <c r="AM744" s="821"/>
      <c r="AN744" s="821"/>
      <c r="AO744" s="821"/>
      <c r="AP744" s="821"/>
      <c r="AQ744" s="822"/>
      <c r="AS744" s="762"/>
    </row>
    <row r="745" spans="1:47" s="648" customFormat="1" ht="13.5" outlineLevel="1" thickBot="1" x14ac:dyDescent="0.4">
      <c r="B745" s="671"/>
      <c r="C745" s="804"/>
      <c r="D745" s="181"/>
      <c r="E745" s="181"/>
      <c r="F745" s="181"/>
      <c r="G745" s="181"/>
      <c r="H745" s="181"/>
      <c r="I745" s="181"/>
      <c r="J745" s="181"/>
      <c r="K745" s="181"/>
      <c r="L745" s="181"/>
      <c r="M745" s="181"/>
      <c r="N745" s="181"/>
      <c r="O745" s="3431"/>
      <c r="P745" s="3432"/>
      <c r="Q745" s="3432"/>
      <c r="R745" s="3432"/>
      <c r="S745" s="3432"/>
      <c r="T745" s="3433"/>
      <c r="U745" s="3432"/>
      <c r="V745" s="3432"/>
      <c r="W745" s="3432"/>
      <c r="X745" s="3432"/>
      <c r="Y745" s="3432"/>
      <c r="Z745" s="3432"/>
      <c r="AA745" s="3431"/>
      <c r="AB745" s="3432"/>
      <c r="AC745" s="3432"/>
      <c r="AD745" s="3432"/>
      <c r="AE745" s="3432"/>
      <c r="AF745" s="3433"/>
      <c r="AQ745" s="823"/>
      <c r="AS745" s="762"/>
    </row>
    <row r="746" spans="1:47" s="793" customFormat="1" ht="13.5" outlineLevel="1" thickBot="1" x14ac:dyDescent="0.4">
      <c r="A746" s="648"/>
      <c r="B746" s="671"/>
      <c r="C746" s="3528" t="s">
        <v>973</v>
      </c>
      <c r="D746" s="3529"/>
      <c r="E746" s="3529"/>
      <c r="F746" s="3529"/>
      <c r="G746" s="3529"/>
      <c r="H746" s="3529"/>
      <c r="I746" s="3529"/>
      <c r="J746" s="3529"/>
      <c r="K746" s="3529"/>
      <c r="L746" s="3529"/>
      <c r="M746" s="3529"/>
      <c r="N746" s="3529"/>
      <c r="O746" s="3530">
        <f>O744+O736+O720+O702</f>
        <v>15151747973.653326</v>
      </c>
      <c r="P746" s="3531"/>
      <c r="Q746" s="3531"/>
      <c r="R746" s="3531"/>
      <c r="S746" s="3531"/>
      <c r="T746" s="3532"/>
      <c r="U746" s="3530">
        <f>U744+U736+U720+U702</f>
        <v>-151885637.12666667</v>
      </c>
      <c r="V746" s="3531"/>
      <c r="W746" s="3531"/>
      <c r="X746" s="3531"/>
      <c r="Y746" s="3531"/>
      <c r="Z746" s="3532"/>
      <c r="AA746" s="3530">
        <f>AA744+AA736+AA720+AA702</f>
        <v>14999862336.536659</v>
      </c>
      <c r="AB746" s="3531"/>
      <c r="AC746" s="3531"/>
      <c r="AD746" s="3531"/>
      <c r="AE746" s="3531"/>
      <c r="AF746" s="3532"/>
      <c r="AG746" s="3509" t="s">
        <v>974</v>
      </c>
      <c r="AH746" s="3510"/>
      <c r="AI746" s="3510"/>
      <c r="AJ746" s="3510"/>
      <c r="AK746" s="3510"/>
      <c r="AL746" s="3510"/>
      <c r="AM746" s="3510"/>
      <c r="AN746" s="3510"/>
      <c r="AO746" s="3510"/>
      <c r="AP746" s="3510"/>
      <c r="AQ746" s="3511"/>
      <c r="AR746" s="648"/>
      <c r="AS746" s="548"/>
      <c r="AT746" s="793">
        <v>11641901385.110001</v>
      </c>
      <c r="AU746" s="793">
        <f>AA746-AT746</f>
        <v>3357960951.4266586</v>
      </c>
    </row>
    <row r="747" spans="1:47" outlineLevel="1" x14ac:dyDescent="0.35">
      <c r="A747" s="793"/>
      <c r="B747" s="824"/>
      <c r="O747" s="3512"/>
      <c r="P747" s="3512"/>
      <c r="Q747" s="3512"/>
      <c r="R747" s="3512"/>
      <c r="S747" s="3512"/>
      <c r="T747" s="3512"/>
      <c r="U747" s="3512"/>
      <c r="V747" s="3512"/>
      <c r="W747" s="3512"/>
      <c r="X747" s="3512"/>
      <c r="Y747" s="3512"/>
      <c r="Z747" s="3512"/>
      <c r="AA747" s="3512"/>
      <c r="AB747" s="3512"/>
      <c r="AC747" s="3512"/>
      <c r="AD747" s="3512"/>
      <c r="AE747" s="3512"/>
      <c r="AF747" s="3512"/>
      <c r="AG747" s="49"/>
      <c r="AH747" s="49"/>
      <c r="AI747" s="49"/>
      <c r="AJ747" s="49"/>
      <c r="AP747" s="181"/>
      <c r="AQ747" s="181"/>
      <c r="AR747" s="793"/>
      <c r="AS747" s="548"/>
    </row>
    <row r="748" spans="1:47" x14ac:dyDescent="0.35">
      <c r="A748" s="793"/>
      <c r="B748" s="824"/>
      <c r="O748" s="825"/>
      <c r="P748" s="825"/>
      <c r="Q748" s="825"/>
      <c r="R748" s="825"/>
      <c r="S748" s="825"/>
      <c r="T748" s="825"/>
      <c r="U748" s="825"/>
      <c r="V748" s="825"/>
      <c r="W748" s="825"/>
      <c r="X748" s="825"/>
      <c r="Y748" s="825"/>
      <c r="Z748" s="825"/>
      <c r="AA748" s="825"/>
      <c r="AB748" s="825"/>
      <c r="AC748" s="825"/>
      <c r="AD748" s="825"/>
      <c r="AE748" s="825"/>
      <c r="AF748" s="825"/>
      <c r="AP748" s="181"/>
      <c r="AQ748" s="181"/>
      <c r="AR748" s="793"/>
      <c r="AS748" s="548"/>
    </row>
    <row r="749" spans="1:47" hidden="1" outlineLevel="2" x14ac:dyDescent="0.35">
      <c r="B749" s="457" t="s">
        <v>409</v>
      </c>
      <c r="C749" s="84"/>
      <c r="D749" s="84"/>
      <c r="E749" s="363"/>
      <c r="F749" s="63"/>
      <c r="G749" s="363"/>
      <c r="H749" s="87"/>
      <c r="I749" s="87"/>
      <c r="J749" s="365"/>
      <c r="L749" s="365"/>
      <c r="N749" s="365"/>
      <c r="AP749" s="181"/>
      <c r="AQ749" s="365" t="s">
        <v>410</v>
      </c>
      <c r="AS749" s="548"/>
    </row>
    <row r="750" spans="1:47" hidden="1" outlineLevel="2" x14ac:dyDescent="0.35">
      <c r="B750" s="86"/>
      <c r="C750" s="84"/>
      <c r="D750" s="84"/>
      <c r="E750" s="363"/>
      <c r="F750" s="86"/>
      <c r="G750" s="363"/>
      <c r="H750" s="87"/>
      <c r="I750" s="87"/>
      <c r="J750" s="142"/>
      <c r="AP750" s="181"/>
      <c r="AQ750" s="181"/>
      <c r="AS750" s="548"/>
    </row>
    <row r="751" spans="1:47" s="634" customFormat="1" ht="15.5" outlineLevel="1" collapsed="1" x14ac:dyDescent="0.35">
      <c r="B751" s="739" t="s">
        <v>875</v>
      </c>
      <c r="C751" s="536" t="s">
        <v>977</v>
      </c>
      <c r="D751" s="536"/>
      <c r="E751" s="537"/>
      <c r="F751" s="537"/>
      <c r="G751" s="537"/>
      <c r="H751" s="537"/>
      <c r="I751" s="537"/>
      <c r="J751" s="537"/>
      <c r="K751" s="537"/>
      <c r="L751" s="537"/>
      <c r="M751" s="537"/>
      <c r="N751" s="537"/>
      <c r="O751" s="537"/>
      <c r="P751" s="537"/>
      <c r="Q751" s="635"/>
      <c r="R751" s="635"/>
      <c r="S751" s="635"/>
      <c r="T751" s="635"/>
      <c r="U751" s="635"/>
      <c r="V751" s="635"/>
      <c r="W751" s="636"/>
      <c r="X751" s="539" t="str">
        <f>B751</f>
        <v>12.</v>
      </c>
      <c r="Y751" s="539" t="s">
        <v>978</v>
      </c>
      <c r="Z751" s="635"/>
      <c r="AA751" s="635"/>
      <c r="AB751" s="635"/>
      <c r="AC751" s="635"/>
      <c r="AD751" s="637"/>
      <c r="AE751" s="637"/>
      <c r="AF751" s="637"/>
      <c r="AG751" s="637"/>
      <c r="AH751" s="637"/>
      <c r="AI751" s="637"/>
      <c r="AJ751" s="637"/>
      <c r="AK751" s="637"/>
      <c r="AL751" s="637"/>
      <c r="AM751" s="637"/>
      <c r="AN751" s="637"/>
      <c r="AO751" s="637"/>
      <c r="AP751" s="638"/>
      <c r="AQ751" s="638"/>
      <c r="AS751" s="639"/>
    </row>
    <row r="752" spans="1:47" s="527" customFormat="1" ht="15.5" outlineLevel="1" x14ac:dyDescent="0.35">
      <c r="B752" s="130"/>
      <c r="C752" s="181" t="s">
        <v>8122</v>
      </c>
      <c r="D752" s="64"/>
      <c r="E752" s="555"/>
      <c r="F752" s="555"/>
      <c r="G752" s="555"/>
      <c r="H752" s="555"/>
      <c r="I752" s="555"/>
      <c r="J752" s="555"/>
      <c r="K752" s="555"/>
      <c r="L752" s="555"/>
      <c r="M752" s="555"/>
      <c r="N752" s="555"/>
      <c r="O752" s="555"/>
      <c r="P752" s="555"/>
      <c r="Q752" s="578"/>
      <c r="R752" s="578"/>
      <c r="S752" s="578"/>
      <c r="T752" s="578"/>
      <c r="U752" s="578"/>
      <c r="V752" s="578"/>
      <c r="W752" s="577"/>
      <c r="X752" s="554"/>
      <c r="Y752" s="554"/>
      <c r="Z752" s="578"/>
      <c r="AA752" s="578"/>
      <c r="AB752" s="578"/>
      <c r="AC752" s="578"/>
      <c r="AD752" s="181"/>
      <c r="AE752" s="181"/>
      <c r="AF752" s="181"/>
      <c r="AG752" s="181"/>
      <c r="AH752" s="181"/>
      <c r="AI752" s="181"/>
      <c r="AJ752" s="181"/>
      <c r="AK752" s="181"/>
      <c r="AL752" s="181"/>
      <c r="AM752" s="181"/>
      <c r="AN752" s="181"/>
      <c r="AO752" s="181"/>
      <c r="AP752" s="557"/>
      <c r="AQ752" s="87" t="e">
        <f>"The changes of restricted net assets during month of  "&amp;[9]IN!$J$28&amp;" and "&amp;[9]IN!$I$18</f>
        <v>#N/A</v>
      </c>
      <c r="AS752" s="641"/>
    </row>
    <row r="753" spans="1:47" ht="15.5" outlineLevel="1" x14ac:dyDescent="0.35">
      <c r="A753" s="527"/>
      <c r="C753" s="181" t="s">
        <v>979</v>
      </c>
      <c r="D753" s="64"/>
      <c r="E753" s="555"/>
      <c r="F753" s="555"/>
      <c r="G753" s="555"/>
      <c r="H753" s="555"/>
      <c r="I753" s="555"/>
      <c r="J753" s="555"/>
      <c r="K753" s="555"/>
      <c r="L753" s="555"/>
      <c r="M753" s="555"/>
      <c r="N753" s="555"/>
      <c r="O753" s="555"/>
      <c r="P753" s="555"/>
      <c r="Q753" s="578"/>
      <c r="R753" s="578"/>
      <c r="S753" s="578"/>
      <c r="T753" s="578"/>
      <c r="U753" s="578"/>
      <c r="V753" s="578"/>
      <c r="W753" s="577"/>
      <c r="X753" s="554"/>
      <c r="Y753" s="554"/>
      <c r="Z753" s="578"/>
      <c r="AA753" s="578"/>
      <c r="AB753" s="578"/>
      <c r="AC753" s="578"/>
      <c r="AP753" s="557"/>
      <c r="AQ753" s="87" t="s">
        <v>980</v>
      </c>
      <c r="AR753" s="527"/>
      <c r="AS753" s="548" t="s">
        <v>6580</v>
      </c>
    </row>
    <row r="754" spans="1:47" ht="15.75" customHeight="1" outlineLevel="1" thickBot="1" x14ac:dyDescent="0.4">
      <c r="C754" s="3482" t="str">
        <f>NRC!E9</f>
        <v>30 June 2026/</v>
      </c>
      <c r="D754" s="3482"/>
      <c r="E754" s="3482"/>
      <c r="F754" s="3482"/>
      <c r="G754" s="3482"/>
      <c r="H754" s="3482"/>
      <c r="I754" s="3482"/>
      <c r="J754" s="3482"/>
      <c r="K754" s="3482"/>
      <c r="L754" s="3482"/>
      <c r="M754" s="3482"/>
      <c r="N754" s="3482"/>
      <c r="O754" s="3482"/>
      <c r="P754" s="3482"/>
      <c r="Q754" s="3482"/>
      <c r="R754" s="3482"/>
      <c r="S754" s="3482"/>
      <c r="T754" s="3482"/>
      <c r="U754" s="3482"/>
      <c r="V754" s="3482"/>
      <c r="W754" s="3482"/>
      <c r="X754" s="3482"/>
      <c r="Y754" s="3482"/>
      <c r="Z754" s="3482"/>
      <c r="AA754" s="3482"/>
      <c r="AB754" s="3482"/>
      <c r="AC754" s="3482"/>
      <c r="AD754" s="3482"/>
      <c r="AE754" s="3482"/>
      <c r="AF754" s="3482"/>
      <c r="AG754" s="3482"/>
      <c r="AH754" s="3482"/>
      <c r="AI754" s="3482"/>
      <c r="AJ754" s="3482"/>
      <c r="AK754" s="3482"/>
      <c r="AL754" s="3482"/>
      <c r="AM754" s="3482"/>
      <c r="AN754" s="3482"/>
      <c r="AO754" s="3482"/>
      <c r="AP754" s="3482"/>
      <c r="AQ754" s="3482"/>
      <c r="AS754" s="548"/>
    </row>
    <row r="755" spans="1:47" ht="13.5" outlineLevel="1" thickBot="1" x14ac:dyDescent="0.4">
      <c r="C755" s="3513" t="s">
        <v>446</v>
      </c>
      <c r="D755" s="3513"/>
      <c r="E755" s="3513"/>
      <c r="F755" s="3513"/>
      <c r="G755" s="3513"/>
      <c r="H755" s="3513"/>
      <c r="I755" s="3514" t="s">
        <v>925</v>
      </c>
      <c r="J755" s="3514"/>
      <c r="K755" s="3514"/>
      <c r="L755" s="3514"/>
      <c r="M755" s="3514"/>
      <c r="N755" s="3515" t="s">
        <v>981</v>
      </c>
      <c r="O755" s="3515"/>
      <c r="P755" s="3515"/>
      <c r="Q755" s="3515"/>
      <c r="R755" s="3515"/>
      <c r="S755" s="3515" t="s">
        <v>982</v>
      </c>
      <c r="T755" s="3515"/>
      <c r="U755" s="3515"/>
      <c r="V755" s="3515"/>
      <c r="W755" s="3515"/>
      <c r="X755" s="3515" t="s">
        <v>925</v>
      </c>
      <c r="Y755" s="3515"/>
      <c r="Z755" s="3515"/>
      <c r="AA755" s="3515"/>
      <c r="AB755" s="3515"/>
      <c r="AC755" s="3515" t="str">
        <f>"Sd " &amp; X757</f>
        <v>Sd 30 June 2026/</v>
      </c>
      <c r="AD755" s="3515"/>
      <c r="AE755" s="3515"/>
      <c r="AF755" s="3515"/>
      <c r="AG755" s="3515"/>
      <c r="AH755" s="3515"/>
      <c r="AI755" s="3515"/>
      <c r="AJ755" s="3515"/>
      <c r="AK755" s="3515"/>
      <c r="AL755" s="3515"/>
      <c r="AM755" s="3516" t="s">
        <v>738</v>
      </c>
      <c r="AN755" s="3516"/>
      <c r="AO755" s="3516"/>
      <c r="AP755" s="3516"/>
      <c r="AQ755" s="3516"/>
      <c r="AS755" s="503"/>
    </row>
    <row r="756" spans="1:47" ht="13.5" outlineLevel="1" thickBot="1" x14ac:dyDescent="0.4">
      <c r="C756" s="3513"/>
      <c r="D756" s="3513"/>
      <c r="E756" s="3513"/>
      <c r="F756" s="3513"/>
      <c r="G756" s="3513"/>
      <c r="H756" s="3513"/>
      <c r="I756" s="3519" t="s">
        <v>927</v>
      </c>
      <c r="J756" s="3519"/>
      <c r="K756" s="3519"/>
      <c r="L756" s="3519"/>
      <c r="M756" s="3519"/>
      <c r="N756" s="3520" t="s">
        <v>983</v>
      </c>
      <c r="O756" s="3520"/>
      <c r="P756" s="3520"/>
      <c r="Q756" s="3520"/>
      <c r="R756" s="3520"/>
      <c r="S756" s="3521" t="s">
        <v>984</v>
      </c>
      <c r="T756" s="3521"/>
      <c r="U756" s="3521"/>
      <c r="V756" s="3521"/>
      <c r="W756" s="3521"/>
      <c r="X756" s="3520" t="s">
        <v>927</v>
      </c>
      <c r="Y756" s="3520"/>
      <c r="Z756" s="3520"/>
      <c r="AA756" s="3520"/>
      <c r="AB756" s="3520"/>
      <c r="AC756" s="3522" t="str">
        <f>"sd "&amp;IN!$C$5</f>
        <v>sd 30 June 2026</v>
      </c>
      <c r="AD756" s="3522"/>
      <c r="AE756" s="3522"/>
      <c r="AF756" s="3522"/>
      <c r="AG756" s="3522"/>
      <c r="AH756" s="3522"/>
      <c r="AI756" s="3522"/>
      <c r="AJ756" s="3522"/>
      <c r="AK756" s="3522"/>
      <c r="AL756" s="3522"/>
      <c r="AM756" s="3516"/>
      <c r="AN756" s="3516"/>
      <c r="AO756" s="3516"/>
      <c r="AP756" s="3516"/>
      <c r="AQ756" s="3516"/>
      <c r="AS756" s="548" t="s">
        <v>985</v>
      </c>
      <c r="AT756" s="181" t="s">
        <v>986</v>
      </c>
    </row>
    <row r="757" spans="1:47" ht="13.5" outlineLevel="1" thickBot="1" x14ac:dyDescent="0.4">
      <c r="C757" s="3513"/>
      <c r="D757" s="3513"/>
      <c r="E757" s="3513"/>
      <c r="F757" s="3513"/>
      <c r="G757" s="3513"/>
      <c r="H757" s="3513"/>
      <c r="I757" s="3523" t="str">
        <f>NRC!G9</f>
        <v>31 May 2026/</v>
      </c>
      <c r="J757" s="3523"/>
      <c r="K757" s="3523"/>
      <c r="L757" s="3523"/>
      <c r="M757" s="3523"/>
      <c r="N757" s="3524"/>
      <c r="O757" s="3524"/>
      <c r="P757" s="3524"/>
      <c r="Q757" s="3524"/>
      <c r="R757" s="3524"/>
      <c r="S757" s="3520" t="s">
        <v>987</v>
      </c>
      <c r="T757" s="3520"/>
      <c r="U757" s="3520"/>
      <c r="V757" s="3520"/>
      <c r="W757" s="3520"/>
      <c r="X757" s="3533" t="str">
        <f>NRC!E9</f>
        <v>30 June 2026/</v>
      </c>
      <c r="Y757" s="3533"/>
      <c r="Z757" s="3533"/>
      <c r="AA757" s="3533"/>
      <c r="AB757" s="3533"/>
      <c r="AC757" s="3521" t="s">
        <v>981</v>
      </c>
      <c r="AD757" s="3521"/>
      <c r="AE757" s="3521"/>
      <c r="AF757" s="3521"/>
      <c r="AG757" s="3521"/>
      <c r="AH757" s="3521" t="s">
        <v>988</v>
      </c>
      <c r="AI757" s="3521"/>
      <c r="AJ757" s="3521"/>
      <c r="AK757" s="3521"/>
      <c r="AL757" s="3521"/>
      <c r="AM757" s="3516"/>
      <c r="AN757" s="3516"/>
      <c r="AO757" s="3516"/>
      <c r="AP757" s="3516"/>
      <c r="AQ757" s="3516"/>
      <c r="AS757" s="548"/>
    </row>
    <row r="758" spans="1:47" ht="13.5" outlineLevel="1" thickBot="1" x14ac:dyDescent="0.4">
      <c r="C758" s="3513"/>
      <c r="D758" s="3513"/>
      <c r="E758" s="3513"/>
      <c r="F758" s="3513"/>
      <c r="G758" s="3513"/>
      <c r="H758" s="3513"/>
      <c r="I758" s="3534">
        <f>NRC!G10</f>
        <v>46173</v>
      </c>
      <c r="J758" s="3534"/>
      <c r="K758" s="3534"/>
      <c r="L758" s="3534"/>
      <c r="M758" s="3534"/>
      <c r="N758" s="3535"/>
      <c r="O758" s="3535"/>
      <c r="P758" s="3535"/>
      <c r="Q758" s="3535"/>
      <c r="R758" s="3535"/>
      <c r="S758" s="3517" t="s">
        <v>989</v>
      </c>
      <c r="T758" s="3517"/>
      <c r="U758" s="3517"/>
      <c r="V758" s="3517"/>
      <c r="W758" s="3517"/>
      <c r="X758" s="3518">
        <f>NRC!E10</f>
        <v>46203</v>
      </c>
      <c r="Y758" s="3518"/>
      <c r="Z758" s="3518"/>
      <c r="AA758" s="3518"/>
      <c r="AB758" s="3518"/>
      <c r="AC758" s="3517" t="s">
        <v>983</v>
      </c>
      <c r="AD758" s="3517"/>
      <c r="AE758" s="3517"/>
      <c r="AF758" s="3517"/>
      <c r="AG758" s="3517"/>
      <c r="AH758" s="3517" t="s">
        <v>990</v>
      </c>
      <c r="AI758" s="3517"/>
      <c r="AJ758" s="3517"/>
      <c r="AK758" s="3517"/>
      <c r="AL758" s="3517"/>
      <c r="AM758" s="3516"/>
      <c r="AN758" s="3516"/>
      <c r="AO758" s="3516"/>
      <c r="AP758" s="3516"/>
      <c r="AQ758" s="3516"/>
      <c r="AS758" s="548"/>
    </row>
    <row r="759" spans="1:47" outlineLevel="1" x14ac:dyDescent="0.35">
      <c r="C759" s="826" t="s">
        <v>991</v>
      </c>
      <c r="D759" s="648"/>
      <c r="E759" s="649"/>
      <c r="F759" s="649"/>
      <c r="G759" s="649"/>
      <c r="H759" s="665"/>
      <c r="I759" s="650"/>
      <c r="J759" s="649"/>
      <c r="K759" s="649"/>
      <c r="L759" s="649"/>
      <c r="M759" s="665"/>
      <c r="N759" s="649"/>
      <c r="O759" s="649"/>
      <c r="P759" s="649"/>
      <c r="Q759" s="649"/>
      <c r="R759" s="649"/>
      <c r="S759" s="650"/>
      <c r="T759" s="649"/>
      <c r="U759" s="649"/>
      <c r="V759" s="649"/>
      <c r="W759" s="665"/>
      <c r="X759" s="649"/>
      <c r="Y759" s="649"/>
      <c r="Z759" s="649"/>
      <c r="AA759" s="649"/>
      <c r="AB759" s="649"/>
      <c r="AC759" s="650"/>
      <c r="AD759" s="649"/>
      <c r="AE759" s="649"/>
      <c r="AF759" s="649"/>
      <c r="AG759" s="665"/>
      <c r="AH759" s="649"/>
      <c r="AI759" s="649"/>
      <c r="AJ759" s="649"/>
      <c r="AK759" s="649"/>
      <c r="AL759" s="665"/>
      <c r="AM759" s="649"/>
      <c r="AN759" s="649"/>
      <c r="AO759" s="649"/>
      <c r="AP759" s="649"/>
      <c r="AQ759" s="827" t="s">
        <v>992</v>
      </c>
      <c r="AS759" s="548"/>
    </row>
    <row r="760" spans="1:47" s="64" customFormat="1" outlineLevel="1" x14ac:dyDescent="0.35">
      <c r="A760" s="181"/>
      <c r="B760" s="130"/>
      <c r="C760" s="826" t="s">
        <v>993</v>
      </c>
      <c r="D760" s="648"/>
      <c r="E760" s="649"/>
      <c r="F760" s="649"/>
      <c r="G760" s="649"/>
      <c r="H760" s="665"/>
      <c r="I760" s="650"/>
      <c r="J760" s="649"/>
      <c r="K760" s="649"/>
      <c r="L760" s="649"/>
      <c r="M760" s="649"/>
      <c r="N760" s="828"/>
      <c r="O760" s="649"/>
      <c r="P760" s="649"/>
      <c r="Q760" s="649"/>
      <c r="R760" s="649"/>
      <c r="S760" s="650"/>
      <c r="T760" s="649"/>
      <c r="U760" s="649"/>
      <c r="V760" s="649"/>
      <c r="W760" s="665"/>
      <c r="X760" s="649"/>
      <c r="Y760" s="649"/>
      <c r="Z760" s="649"/>
      <c r="AA760" s="649"/>
      <c r="AB760" s="649"/>
      <c r="AC760" s="650"/>
      <c r="AD760" s="649"/>
      <c r="AE760" s="649"/>
      <c r="AF760" s="649"/>
      <c r="AG760" s="649"/>
      <c r="AH760" s="649"/>
      <c r="AI760" s="649"/>
      <c r="AJ760" s="649"/>
      <c r="AK760" s="649"/>
      <c r="AL760" s="665"/>
      <c r="AM760" s="649"/>
      <c r="AN760" s="649"/>
      <c r="AO760" s="649"/>
      <c r="AP760" s="649"/>
      <c r="AQ760" s="827" t="s">
        <v>994</v>
      </c>
      <c r="AR760" s="181"/>
      <c r="AS760" s="829"/>
    </row>
    <row r="761" spans="1:47" outlineLevel="1" x14ac:dyDescent="0.35">
      <c r="A761" s="64"/>
      <c r="C761" s="685" t="s">
        <v>995</v>
      </c>
      <c r="D761" s="790"/>
      <c r="E761" s="649"/>
      <c r="F761" s="649"/>
      <c r="G761" s="649"/>
      <c r="H761" s="665"/>
      <c r="I761" s="830"/>
      <c r="J761" s="831"/>
      <c r="K761" s="831"/>
      <c r="L761" s="831"/>
      <c r="M761" s="831"/>
      <c r="N761" s="830"/>
      <c r="O761" s="831"/>
      <c r="P761" s="831"/>
      <c r="Q761" s="831"/>
      <c r="R761" s="832"/>
      <c r="S761" s="831"/>
      <c r="T761" s="831"/>
      <c r="U761" s="831"/>
      <c r="V761" s="831"/>
      <c r="W761" s="831"/>
      <c r="X761" s="830"/>
      <c r="Y761" s="831"/>
      <c r="Z761" s="831"/>
      <c r="AA761" s="831"/>
      <c r="AB761" s="831"/>
      <c r="AC761" s="830"/>
      <c r="AD761" s="831"/>
      <c r="AE761" s="831"/>
      <c r="AF761" s="831"/>
      <c r="AG761" s="831"/>
      <c r="AH761" s="830"/>
      <c r="AI761" s="831"/>
      <c r="AJ761" s="831"/>
      <c r="AK761" s="831"/>
      <c r="AL761" s="832"/>
      <c r="AM761" s="649"/>
      <c r="AN761" s="649"/>
      <c r="AO761" s="649"/>
      <c r="AP761" s="674"/>
      <c r="AQ761" s="769" t="s">
        <v>360</v>
      </c>
      <c r="AR761" s="64"/>
      <c r="AS761" s="3271"/>
      <c r="AT761" s="3328"/>
    </row>
    <row r="762" spans="1:47" outlineLevel="1" x14ac:dyDescent="0.35">
      <c r="C762" s="833" t="s">
        <v>373</v>
      </c>
      <c r="D762" s="648"/>
      <c r="E762" s="649"/>
      <c r="F762" s="649"/>
      <c r="G762" s="649"/>
      <c r="H762" s="665"/>
      <c r="I762" s="830"/>
      <c r="J762" s="831"/>
      <c r="K762" s="831"/>
      <c r="L762" s="831"/>
      <c r="M762" s="831"/>
      <c r="N762" s="830"/>
      <c r="O762" s="831"/>
      <c r="P762" s="831"/>
      <c r="Q762" s="831"/>
      <c r="R762" s="832"/>
      <c r="S762" s="831"/>
      <c r="T762" s="831"/>
      <c r="U762" s="834"/>
      <c r="V762" s="834"/>
      <c r="W762" s="834"/>
      <c r="X762" s="835"/>
      <c r="Y762" s="834"/>
      <c r="Z762" s="831"/>
      <c r="AA762" s="831"/>
      <c r="AB762" s="831"/>
      <c r="AC762" s="830"/>
      <c r="AD762" s="831"/>
      <c r="AE762" s="831"/>
      <c r="AF762" s="831"/>
      <c r="AG762" s="831"/>
      <c r="AH762" s="830"/>
      <c r="AI762" s="831"/>
      <c r="AJ762" s="831"/>
      <c r="AK762" s="831"/>
      <c r="AL762" s="832"/>
      <c r="AM762" s="649"/>
      <c r="AN762" s="649"/>
      <c r="AO762" s="649"/>
      <c r="AP762" s="640"/>
      <c r="AQ762" s="836" t="s">
        <v>374</v>
      </c>
      <c r="AS762" s="3317"/>
      <c r="AT762" s="3318"/>
    </row>
    <row r="763" spans="1:47" outlineLevel="1" x14ac:dyDescent="0.35">
      <c r="C763" s="677" t="s">
        <v>190</v>
      </c>
      <c r="D763" s="648" t="s">
        <v>996</v>
      </c>
      <c r="E763" s="649"/>
      <c r="F763" s="649"/>
      <c r="G763" s="649"/>
      <c r="H763" s="665"/>
      <c r="I763" s="3452">
        <f>X820</f>
        <v>0</v>
      </c>
      <c r="J763" s="3452"/>
      <c r="K763" s="3452"/>
      <c r="L763" s="3452"/>
      <c r="M763" s="3452"/>
      <c r="N763" s="3452">
        <f>'8'!O16</f>
        <v>0</v>
      </c>
      <c r="O763" s="3452"/>
      <c r="P763" s="3452"/>
      <c r="Q763" s="3452"/>
      <c r="R763" s="3452"/>
      <c r="S763" s="3452">
        <f>'8'!P16</f>
        <v>0</v>
      </c>
      <c r="T763" s="3452"/>
      <c r="U763" s="3452"/>
      <c r="V763" s="3452"/>
      <c r="W763" s="3452"/>
      <c r="X763" s="3495">
        <f>I763+N763-S763</f>
        <v>0</v>
      </c>
      <c r="Y763" s="3495"/>
      <c r="Z763" s="3495"/>
      <c r="AA763" s="3495"/>
      <c r="AB763" s="3495"/>
      <c r="AC763" s="3437">
        <f>N763+AS763</f>
        <v>0</v>
      </c>
      <c r="AD763" s="3437"/>
      <c r="AE763" s="3437"/>
      <c r="AF763" s="3437"/>
      <c r="AG763" s="3437"/>
      <c r="AH763" s="3453">
        <f>S763+AT763</f>
        <v>0</v>
      </c>
      <c r="AI763" s="3454"/>
      <c r="AJ763" s="3454"/>
      <c r="AK763" s="3454"/>
      <c r="AL763" s="3455"/>
      <c r="AM763" s="649"/>
      <c r="AN763" s="649"/>
      <c r="AO763" s="649"/>
      <c r="AP763" s="364" t="s">
        <v>996</v>
      </c>
      <c r="AQ763" s="678" t="s">
        <v>190</v>
      </c>
      <c r="AS763" s="3320">
        <f>AS820</f>
        <v>0</v>
      </c>
      <c r="AT763" s="3320">
        <f>AT820</f>
        <v>0</v>
      </c>
    </row>
    <row r="764" spans="1:47" outlineLevel="1" x14ac:dyDescent="0.35">
      <c r="C764" s="677" t="s">
        <v>190</v>
      </c>
      <c r="D764" s="648" t="s">
        <v>997</v>
      </c>
      <c r="E764" s="649"/>
      <c r="F764" s="649"/>
      <c r="G764" s="649"/>
      <c r="H764" s="665"/>
      <c r="I764" s="3452">
        <f>X821</f>
        <v>183016600</v>
      </c>
      <c r="J764" s="3452"/>
      <c r="K764" s="3452"/>
      <c r="L764" s="3452"/>
      <c r="M764" s="3452"/>
      <c r="N764" s="3452">
        <f>'8'!O17</f>
        <v>0</v>
      </c>
      <c r="O764" s="3452"/>
      <c r="P764" s="3452"/>
      <c r="Q764" s="3452"/>
      <c r="R764" s="3452"/>
      <c r="S764" s="3452">
        <f>'8'!P17</f>
        <v>7361800</v>
      </c>
      <c r="T764" s="3452"/>
      <c r="U764" s="3452"/>
      <c r="V764" s="3452"/>
      <c r="W764" s="3452"/>
      <c r="X764" s="3488">
        <f>I764+N764-S764</f>
        <v>175654800</v>
      </c>
      <c r="Y764" s="3438"/>
      <c r="Z764" s="3438"/>
      <c r="AA764" s="3438"/>
      <c r="AB764" s="3489"/>
      <c r="AC764" s="3437">
        <f>N764+AS764</f>
        <v>232080000</v>
      </c>
      <c r="AD764" s="3437"/>
      <c r="AE764" s="3437"/>
      <c r="AF764" s="3437"/>
      <c r="AG764" s="3437"/>
      <c r="AH764" s="3453">
        <f>S764+AT764</f>
        <v>105406800</v>
      </c>
      <c r="AI764" s="3454"/>
      <c r="AJ764" s="3454"/>
      <c r="AK764" s="3454"/>
      <c r="AL764" s="3455"/>
      <c r="AM764" s="649"/>
      <c r="AN764" s="649"/>
      <c r="AO764" s="649"/>
      <c r="AP764" s="364" t="s">
        <v>997</v>
      </c>
      <c r="AQ764" s="678" t="s">
        <v>190</v>
      </c>
      <c r="AS764" s="3320">
        <f t="shared" ref="AS764:AT764" si="10">AS821</f>
        <v>232080000</v>
      </c>
      <c r="AT764" s="3320">
        <f t="shared" si="10"/>
        <v>98045000</v>
      </c>
      <c r="AU764" s="735">
        <f>AC764-AH764</f>
        <v>126673200</v>
      </c>
    </row>
    <row r="765" spans="1:47" outlineLevel="1" x14ac:dyDescent="0.35">
      <c r="C765" s="677" t="s">
        <v>190</v>
      </c>
      <c r="D765" s="648" t="s">
        <v>998</v>
      </c>
      <c r="E765" s="649"/>
      <c r="F765" s="649"/>
      <c r="G765" s="649"/>
      <c r="H765" s="665"/>
      <c r="I765" s="3505">
        <f>X822</f>
        <v>168206100</v>
      </c>
      <c r="J765" s="3505"/>
      <c r="K765" s="3505"/>
      <c r="L765" s="3505"/>
      <c r="M765" s="3505"/>
      <c r="N765" s="3452">
        <f>'8'!O18</f>
        <v>0</v>
      </c>
      <c r="O765" s="3452"/>
      <c r="P765" s="3452"/>
      <c r="Q765" s="3452"/>
      <c r="R765" s="3452"/>
      <c r="S765" s="3437">
        <f>'8'!P18</f>
        <v>6216400</v>
      </c>
      <c r="T765" s="3437"/>
      <c r="U765" s="3437"/>
      <c r="V765" s="3437"/>
      <c r="W765" s="3437"/>
      <c r="X765" s="3488">
        <f>I765+N765-S765</f>
        <v>161989700</v>
      </c>
      <c r="Y765" s="3438"/>
      <c r="Z765" s="3438"/>
      <c r="AA765" s="3438"/>
      <c r="AB765" s="3489"/>
      <c r="AC765" s="3437">
        <f>N765+AS765</f>
        <v>296996100</v>
      </c>
      <c r="AD765" s="3437"/>
      <c r="AE765" s="3437"/>
      <c r="AF765" s="3437"/>
      <c r="AG765" s="3437"/>
      <c r="AH765" s="3453">
        <f>S765+AT765</f>
        <v>158174100</v>
      </c>
      <c r="AI765" s="3454"/>
      <c r="AJ765" s="3454"/>
      <c r="AK765" s="3454"/>
      <c r="AL765" s="3455"/>
      <c r="AM765" s="649"/>
      <c r="AN765" s="649"/>
      <c r="AO765" s="649"/>
      <c r="AP765" s="364" t="s">
        <v>998</v>
      </c>
      <c r="AQ765" s="678" t="s">
        <v>190</v>
      </c>
      <c r="AS765" s="3320">
        <f t="shared" ref="AS765:AT765" si="11">AS822</f>
        <v>296996100</v>
      </c>
      <c r="AT765" s="3320">
        <f t="shared" si="11"/>
        <v>151957700</v>
      </c>
      <c r="AU765" s="735">
        <f>AC765-AH765</f>
        <v>138822000</v>
      </c>
    </row>
    <row r="766" spans="1:47" outlineLevel="1" x14ac:dyDescent="0.35">
      <c r="C766" s="677"/>
      <c r="D766" s="648"/>
      <c r="E766" s="649"/>
      <c r="F766" s="649"/>
      <c r="G766" s="649"/>
      <c r="H766" s="665"/>
      <c r="I766" s="3500">
        <f>SUM(I763:M765)</f>
        <v>351222700</v>
      </c>
      <c r="J766" s="3500"/>
      <c r="K766" s="3500"/>
      <c r="L766" s="3500"/>
      <c r="M766" s="3500"/>
      <c r="N766" s="3464">
        <f>SUM(N763:R765)</f>
        <v>0</v>
      </c>
      <c r="O766" s="3464"/>
      <c r="P766" s="3464"/>
      <c r="Q766" s="3464"/>
      <c r="R766" s="3464"/>
      <c r="S766" s="3464">
        <f>SUM(S763:W765)</f>
        <v>13578200</v>
      </c>
      <c r="T766" s="3464"/>
      <c r="U766" s="3464"/>
      <c r="V766" s="3464"/>
      <c r="W766" s="3464"/>
      <c r="X766" s="3464">
        <f>SUM(X763:AB765)</f>
        <v>337644500</v>
      </c>
      <c r="Y766" s="3464"/>
      <c r="Z766" s="3464"/>
      <c r="AA766" s="3464"/>
      <c r="AB766" s="3464"/>
      <c r="AC766" s="3458">
        <f>SUM(AC763:AG765)</f>
        <v>529076100</v>
      </c>
      <c r="AD766" s="3458"/>
      <c r="AE766" s="3458"/>
      <c r="AF766" s="3458"/>
      <c r="AG766" s="3458"/>
      <c r="AH766" s="3464">
        <f>SUM(AH763:AL765)</f>
        <v>263580900</v>
      </c>
      <c r="AI766" s="3464"/>
      <c r="AJ766" s="3464"/>
      <c r="AK766" s="3464"/>
      <c r="AL766" s="3464"/>
      <c r="AM766" s="649"/>
      <c r="AN766" s="649"/>
      <c r="AO766" s="649"/>
      <c r="AP766" s="640"/>
      <c r="AQ766" s="678"/>
      <c r="AS766" s="3329">
        <f>SUM(AS763:AS765)</f>
        <v>529076100</v>
      </c>
      <c r="AT766" s="3329">
        <f>SUM(AT763:AT765)</f>
        <v>250002700</v>
      </c>
    </row>
    <row r="767" spans="1:47" outlineLevel="1" x14ac:dyDescent="0.35">
      <c r="C767" s="833" t="s">
        <v>999</v>
      </c>
      <c r="D767" s="648"/>
      <c r="E767" s="649"/>
      <c r="F767" s="649"/>
      <c r="G767" s="649"/>
      <c r="H767" s="665"/>
      <c r="I767" s="85"/>
      <c r="J767" s="85"/>
      <c r="K767" s="85"/>
      <c r="L767" s="85"/>
      <c r="M767" s="85"/>
      <c r="N767" s="110"/>
      <c r="O767" s="85"/>
      <c r="P767" s="831"/>
      <c r="Q767" s="831"/>
      <c r="R767" s="832"/>
      <c r="S767" s="831"/>
      <c r="T767" s="831"/>
      <c r="U767" s="834"/>
      <c r="V767" s="85"/>
      <c r="W767" s="85"/>
      <c r="X767" s="110"/>
      <c r="Y767" s="85"/>
      <c r="Z767" s="85"/>
      <c r="AA767" s="85"/>
      <c r="AB767" s="335"/>
      <c r="AC767" s="85"/>
      <c r="AD767" s="85"/>
      <c r="AE767" s="85"/>
      <c r="AF767" s="85"/>
      <c r="AG767" s="85"/>
      <c r="AH767" s="110"/>
      <c r="AI767" s="85"/>
      <c r="AJ767" s="85"/>
      <c r="AK767" s="85"/>
      <c r="AL767" s="85"/>
      <c r="AM767" s="650"/>
      <c r="AN767" s="649"/>
      <c r="AO767" s="649"/>
      <c r="AP767" s="640"/>
      <c r="AQ767" s="838" t="s">
        <v>376</v>
      </c>
      <c r="AS767" s="3320"/>
      <c r="AT767" s="335"/>
    </row>
    <row r="768" spans="1:47" outlineLevel="1" x14ac:dyDescent="0.35">
      <c r="C768" s="677" t="s">
        <v>190</v>
      </c>
      <c r="D768" s="648" t="s">
        <v>1000</v>
      </c>
      <c r="E768" s="649"/>
      <c r="F768" s="649"/>
      <c r="G768" s="649"/>
      <c r="H768" s="665"/>
      <c r="I768" s="3452">
        <f>X825</f>
        <v>0</v>
      </c>
      <c r="J768" s="3452"/>
      <c r="K768" s="3452"/>
      <c r="L768" s="3452"/>
      <c r="M768" s="3452"/>
      <c r="N768" s="3452">
        <f>'8'!O24</f>
        <v>500000</v>
      </c>
      <c r="O768" s="3452"/>
      <c r="P768" s="3452"/>
      <c r="Q768" s="3452"/>
      <c r="R768" s="3452"/>
      <c r="S768" s="3457">
        <f>'8'!P24</f>
        <v>500000</v>
      </c>
      <c r="T768" s="3457"/>
      <c r="U768" s="3457"/>
      <c r="V768" s="3457"/>
      <c r="W768" s="3457"/>
      <c r="X768" s="3488">
        <f>I768+N768-S768</f>
        <v>0</v>
      </c>
      <c r="Y768" s="3438"/>
      <c r="Z768" s="3438"/>
      <c r="AA768" s="3438"/>
      <c r="AB768" s="3489"/>
      <c r="AC768" s="3437">
        <f>N768+AS768</f>
        <v>70000000</v>
      </c>
      <c r="AD768" s="3437"/>
      <c r="AE768" s="3437"/>
      <c r="AF768" s="3437"/>
      <c r="AG768" s="3437"/>
      <c r="AH768" s="3453">
        <f>S768+AT768</f>
        <v>70000000</v>
      </c>
      <c r="AI768" s="3454"/>
      <c r="AJ768" s="3454"/>
      <c r="AK768" s="3454"/>
      <c r="AL768" s="3455"/>
      <c r="AM768" s="649"/>
      <c r="AN768" s="649"/>
      <c r="AO768" s="649"/>
      <c r="AP768" s="640" t="s">
        <v>1001</v>
      </c>
      <c r="AQ768" s="678" t="s">
        <v>190</v>
      </c>
      <c r="AS768" s="3320">
        <f>AS825</f>
        <v>69500000</v>
      </c>
      <c r="AT768" s="3320">
        <f>AT825</f>
        <v>69500000</v>
      </c>
    </row>
    <row r="769" spans="1:46" outlineLevel="1" x14ac:dyDescent="0.35">
      <c r="C769" s="677" t="s">
        <v>190</v>
      </c>
      <c r="D769" s="648" t="s">
        <v>1002</v>
      </c>
      <c r="E769" s="649"/>
      <c r="F769" s="649"/>
      <c r="G769" s="649"/>
      <c r="H769" s="665"/>
      <c r="I769" s="3452">
        <f t="shared" ref="I769:I771" si="12">X826</f>
        <v>0</v>
      </c>
      <c r="J769" s="3452"/>
      <c r="K769" s="3452"/>
      <c r="L769" s="3452"/>
      <c r="M769" s="3452"/>
      <c r="N769" s="3452">
        <f>'8'!O26</f>
        <v>0</v>
      </c>
      <c r="O769" s="3452"/>
      <c r="P769" s="3452"/>
      <c r="Q769" s="3452"/>
      <c r="R769" s="3452"/>
      <c r="S769" s="3437">
        <f>'8'!P26</f>
        <v>0</v>
      </c>
      <c r="T769" s="3437"/>
      <c r="U769" s="3437"/>
      <c r="V769" s="3437"/>
      <c r="W769" s="3437"/>
      <c r="X769" s="3488">
        <f>I769+N769-S769</f>
        <v>0</v>
      </c>
      <c r="Y769" s="3438"/>
      <c r="Z769" s="3438"/>
      <c r="AA769" s="3438"/>
      <c r="AB769" s="3489"/>
      <c r="AC769" s="3437">
        <f>N769+AS769</f>
        <v>5000000</v>
      </c>
      <c r="AD769" s="3437"/>
      <c r="AE769" s="3437"/>
      <c r="AF769" s="3437"/>
      <c r="AG769" s="3437"/>
      <c r="AH769" s="3453">
        <f>S769+AT769</f>
        <v>5000000</v>
      </c>
      <c r="AI769" s="3454"/>
      <c r="AJ769" s="3454"/>
      <c r="AK769" s="3454"/>
      <c r="AL769" s="3455"/>
      <c r="AM769" s="649"/>
      <c r="AN769" s="649"/>
      <c r="AO769" s="649"/>
      <c r="AP769" s="640" t="s">
        <v>1002</v>
      </c>
      <c r="AQ769" s="678" t="s">
        <v>190</v>
      </c>
      <c r="AS769" s="3320">
        <f t="shared" ref="AS769:AT771" si="13">AS826</f>
        <v>5000000</v>
      </c>
      <c r="AT769" s="3320">
        <f t="shared" si="13"/>
        <v>5000000</v>
      </c>
    </row>
    <row r="770" spans="1:46" outlineLevel="1" x14ac:dyDescent="0.35">
      <c r="C770" s="677" t="s">
        <v>190</v>
      </c>
      <c r="D770" s="648" t="s">
        <v>1003</v>
      </c>
      <c r="E770" s="649"/>
      <c r="F770" s="649"/>
      <c r="G770" s="649"/>
      <c r="H770" s="665"/>
      <c r="I770" s="3452">
        <f t="shared" si="12"/>
        <v>0</v>
      </c>
      <c r="J770" s="3452"/>
      <c r="K770" s="3452"/>
      <c r="L770" s="3452"/>
      <c r="M770" s="3452"/>
      <c r="N770" s="3452">
        <f>'8'!O28</f>
        <v>0</v>
      </c>
      <c r="O770" s="3452"/>
      <c r="P770" s="3452"/>
      <c r="Q770" s="3452"/>
      <c r="R770" s="3452"/>
      <c r="S770" s="3437">
        <f>'8'!P28</f>
        <v>0</v>
      </c>
      <c r="T770" s="3437"/>
      <c r="U770" s="3437"/>
      <c r="V770" s="3437"/>
      <c r="W770" s="3437"/>
      <c r="X770" s="3488">
        <f>I770+N770-S770</f>
        <v>0</v>
      </c>
      <c r="Y770" s="3438"/>
      <c r="Z770" s="3438"/>
      <c r="AA770" s="3438"/>
      <c r="AB770" s="3489"/>
      <c r="AC770" s="3437">
        <f>N770+AS770</f>
        <v>22200000</v>
      </c>
      <c r="AD770" s="3437"/>
      <c r="AE770" s="3437"/>
      <c r="AF770" s="3437"/>
      <c r="AG770" s="3437"/>
      <c r="AH770" s="3453">
        <f>S770+AT770</f>
        <v>22200000</v>
      </c>
      <c r="AI770" s="3454"/>
      <c r="AJ770" s="3454"/>
      <c r="AK770" s="3454"/>
      <c r="AL770" s="3455"/>
      <c r="AM770" s="649"/>
      <c r="AN770" s="649"/>
      <c r="AO770" s="649"/>
      <c r="AP770" s="640" t="s">
        <v>1004</v>
      </c>
      <c r="AQ770" s="678" t="s">
        <v>190</v>
      </c>
      <c r="AS770" s="3320">
        <f t="shared" si="13"/>
        <v>22200000</v>
      </c>
      <c r="AT770" s="3320">
        <f t="shared" si="13"/>
        <v>22200000</v>
      </c>
    </row>
    <row r="771" spans="1:46" outlineLevel="1" x14ac:dyDescent="0.35">
      <c r="C771" s="677" t="s">
        <v>190</v>
      </c>
      <c r="D771" s="648" t="s">
        <v>1005</v>
      </c>
      <c r="E771" s="649"/>
      <c r="F771" s="649"/>
      <c r="G771" s="649"/>
      <c r="H771" s="665"/>
      <c r="I771" s="3504">
        <f t="shared" si="12"/>
        <v>0</v>
      </c>
      <c r="J771" s="3504"/>
      <c r="K771" s="3504"/>
      <c r="L771" s="3504"/>
      <c r="M771" s="3504"/>
      <c r="N771" s="3452">
        <f>'8'!O32</f>
        <v>0</v>
      </c>
      <c r="O771" s="3452"/>
      <c r="P771" s="3452"/>
      <c r="Q771" s="3452"/>
      <c r="R771" s="3452"/>
      <c r="S771" s="3437">
        <f>'8'!P32</f>
        <v>0</v>
      </c>
      <c r="T771" s="3437"/>
      <c r="U771" s="3437"/>
      <c r="V771" s="3437"/>
      <c r="W771" s="3437"/>
      <c r="X771" s="3488">
        <f>I771+N771-S771</f>
        <v>0</v>
      </c>
      <c r="Y771" s="3438"/>
      <c r="Z771" s="3438"/>
      <c r="AA771" s="3438"/>
      <c r="AB771" s="3489"/>
      <c r="AC771" s="3437">
        <f>N771+AS771</f>
        <v>11963300</v>
      </c>
      <c r="AD771" s="3437"/>
      <c r="AE771" s="3437"/>
      <c r="AF771" s="3437"/>
      <c r="AG771" s="3437"/>
      <c r="AH771" s="3453">
        <f>S771+AT771</f>
        <v>11963300</v>
      </c>
      <c r="AI771" s="3454"/>
      <c r="AJ771" s="3454"/>
      <c r="AK771" s="3454"/>
      <c r="AL771" s="3455"/>
      <c r="AM771" s="649"/>
      <c r="AN771" s="649"/>
      <c r="AO771" s="649"/>
      <c r="AP771" s="640" t="s">
        <v>1006</v>
      </c>
      <c r="AQ771" s="678" t="s">
        <v>190</v>
      </c>
      <c r="AS771" s="3320">
        <f t="shared" si="13"/>
        <v>11963300</v>
      </c>
      <c r="AT771" s="3320">
        <f t="shared" si="13"/>
        <v>11963300</v>
      </c>
    </row>
    <row r="772" spans="1:46" outlineLevel="1" x14ac:dyDescent="0.35">
      <c r="C772" s="677"/>
      <c r="D772" s="648"/>
      <c r="E772" s="649"/>
      <c r="F772" s="649"/>
      <c r="G772" s="649"/>
      <c r="H772" s="665"/>
      <c r="I772" s="3500">
        <f>SUM(I768:M771)</f>
        <v>0</v>
      </c>
      <c r="J772" s="3500"/>
      <c r="K772" s="3500"/>
      <c r="L772" s="3500"/>
      <c r="M772" s="3500"/>
      <c r="N772" s="3458">
        <f>SUM(N768:R771)</f>
        <v>500000</v>
      </c>
      <c r="O772" s="3458"/>
      <c r="P772" s="3458"/>
      <c r="Q772" s="3458"/>
      <c r="R772" s="3458"/>
      <c r="S772" s="3458">
        <f>SUM(S768:W771)</f>
        <v>500000</v>
      </c>
      <c r="T772" s="3458"/>
      <c r="U772" s="3458"/>
      <c r="V772" s="3458"/>
      <c r="W772" s="3458"/>
      <c r="X772" s="3501">
        <f>SUM(X768:AB771)</f>
        <v>0</v>
      </c>
      <c r="Y772" s="3502"/>
      <c r="Z772" s="3502"/>
      <c r="AA772" s="3502"/>
      <c r="AB772" s="3503"/>
      <c r="AC772" s="3458">
        <f>SUM(AC768:AG771)</f>
        <v>109163300</v>
      </c>
      <c r="AD772" s="3458"/>
      <c r="AE772" s="3458"/>
      <c r="AF772" s="3458"/>
      <c r="AG772" s="3458"/>
      <c r="AH772" s="3464">
        <f>SUM(AH768:AL771)</f>
        <v>109163300</v>
      </c>
      <c r="AI772" s="3464"/>
      <c r="AJ772" s="3464"/>
      <c r="AK772" s="3464"/>
      <c r="AL772" s="3464"/>
      <c r="AM772" s="649"/>
      <c r="AN772" s="649"/>
      <c r="AO772" s="649"/>
      <c r="AP772" s="640"/>
      <c r="AQ772" s="678"/>
      <c r="AS772" s="3319">
        <f>SUM(AS768:AS771)</f>
        <v>108663300</v>
      </c>
      <c r="AT772" s="3319">
        <f>SUM(AT768:AT771)</f>
        <v>108663300</v>
      </c>
    </row>
    <row r="773" spans="1:46" outlineLevel="1" x14ac:dyDescent="0.35">
      <c r="C773" s="833" t="s">
        <v>1007</v>
      </c>
      <c r="D773" s="648"/>
      <c r="E773" s="649"/>
      <c r="F773" s="649"/>
      <c r="G773" s="649"/>
      <c r="H773" s="665"/>
      <c r="I773" s="830"/>
      <c r="J773" s="831"/>
      <c r="K773" s="831"/>
      <c r="L773" s="831"/>
      <c r="M773" s="832"/>
      <c r="N773" s="831"/>
      <c r="O773" s="831"/>
      <c r="P773" s="831"/>
      <c r="Q773" s="831"/>
      <c r="R773" s="831"/>
      <c r="S773" s="830"/>
      <c r="T773" s="831"/>
      <c r="U773" s="834"/>
      <c r="V773" s="834"/>
      <c r="W773" s="839"/>
      <c r="X773" s="834"/>
      <c r="Y773" s="834"/>
      <c r="Z773" s="831"/>
      <c r="AA773" s="831"/>
      <c r="AB773" s="831"/>
      <c r="AC773" s="830"/>
      <c r="AD773" s="831"/>
      <c r="AE773" s="831"/>
      <c r="AF773" s="831"/>
      <c r="AG773" s="832"/>
      <c r="AH773" s="831"/>
      <c r="AI773" s="831"/>
      <c r="AJ773" s="831"/>
      <c r="AK773" s="831"/>
      <c r="AL773" s="832"/>
      <c r="AM773" s="649"/>
      <c r="AN773" s="649"/>
      <c r="AO773" s="649"/>
      <c r="AP773" s="640"/>
      <c r="AQ773" s="840" t="s">
        <v>386</v>
      </c>
      <c r="AS773" s="3320"/>
      <c r="AT773" s="335"/>
    </row>
    <row r="774" spans="1:46" outlineLevel="1" x14ac:dyDescent="0.35">
      <c r="C774" s="677" t="s">
        <v>190</v>
      </c>
      <c r="D774" s="648" t="s">
        <v>1008</v>
      </c>
      <c r="E774" s="649"/>
      <c r="F774" s="649"/>
      <c r="G774" s="649"/>
      <c r="H774" s="665"/>
      <c r="I774" s="3499">
        <f>X831</f>
        <v>0</v>
      </c>
      <c r="J774" s="3499"/>
      <c r="K774" s="3499"/>
      <c r="L774" s="3499"/>
      <c r="M774" s="3499"/>
      <c r="N774" s="3452">
        <f>'8'!O40</f>
        <v>0</v>
      </c>
      <c r="O774" s="3452"/>
      <c r="P774" s="3452"/>
      <c r="Q774" s="3452"/>
      <c r="R774" s="3452"/>
      <c r="S774" s="3452">
        <f>'8'!P40</f>
        <v>0</v>
      </c>
      <c r="T774" s="3452"/>
      <c r="U774" s="3452"/>
      <c r="V774" s="3452"/>
      <c r="W774" s="3452"/>
      <c r="X774" s="3488">
        <f>I774+N774-S774</f>
        <v>0</v>
      </c>
      <c r="Y774" s="3438"/>
      <c r="Z774" s="3438"/>
      <c r="AA774" s="3438"/>
      <c r="AB774" s="3489"/>
      <c r="AC774" s="3437">
        <f>N774+AS774</f>
        <v>0</v>
      </c>
      <c r="AD774" s="3437"/>
      <c r="AE774" s="3437"/>
      <c r="AF774" s="3437"/>
      <c r="AG774" s="3437"/>
      <c r="AH774" s="3453">
        <f>S774+AT774</f>
        <v>0</v>
      </c>
      <c r="AI774" s="3454"/>
      <c r="AJ774" s="3454"/>
      <c r="AK774" s="3454"/>
      <c r="AL774" s="3455"/>
      <c r="AM774" s="649"/>
      <c r="AN774" s="649"/>
      <c r="AO774" s="649"/>
      <c r="AP774" s="640" t="s">
        <v>1009</v>
      </c>
      <c r="AQ774" s="678" t="s">
        <v>190</v>
      </c>
      <c r="AS774" s="3320">
        <f>AS831</f>
        <v>0</v>
      </c>
      <c r="AT774" s="3320">
        <f>AT831</f>
        <v>0</v>
      </c>
    </row>
    <row r="775" spans="1:46" outlineLevel="1" x14ac:dyDescent="0.35">
      <c r="C775" s="677" t="s">
        <v>190</v>
      </c>
      <c r="D775" s="648" t="s">
        <v>1010</v>
      </c>
      <c r="E775" s="649"/>
      <c r="F775" s="649"/>
      <c r="G775" s="649"/>
      <c r="H775" s="665"/>
      <c r="I775" s="3499">
        <f>X832</f>
        <v>0</v>
      </c>
      <c r="J775" s="3499"/>
      <c r="K775" s="3499"/>
      <c r="L775" s="3499"/>
      <c r="M775" s="3499"/>
      <c r="N775" s="3437">
        <f>'8'!O44</f>
        <v>0</v>
      </c>
      <c r="O775" s="3437"/>
      <c r="P775" s="3437"/>
      <c r="Q775" s="3437"/>
      <c r="R775" s="3437"/>
      <c r="S775" s="3437">
        <f>'8'!P44</f>
        <v>0</v>
      </c>
      <c r="T775" s="3437"/>
      <c r="U775" s="3437"/>
      <c r="V775" s="3437"/>
      <c r="W775" s="3437"/>
      <c r="X775" s="3488">
        <f>I775+N775-S775</f>
        <v>0</v>
      </c>
      <c r="Y775" s="3438"/>
      <c r="Z775" s="3438"/>
      <c r="AA775" s="3438"/>
      <c r="AB775" s="3489"/>
      <c r="AC775" s="3437">
        <f>N775+AS775</f>
        <v>0</v>
      </c>
      <c r="AD775" s="3437"/>
      <c r="AE775" s="3437"/>
      <c r="AF775" s="3437"/>
      <c r="AG775" s="3437"/>
      <c r="AH775" s="3453">
        <f>S775+AT775</f>
        <v>0</v>
      </c>
      <c r="AI775" s="3454"/>
      <c r="AJ775" s="3454"/>
      <c r="AK775" s="3454"/>
      <c r="AL775" s="3455"/>
      <c r="AM775" s="649"/>
      <c r="AN775" s="649"/>
      <c r="AO775" s="649"/>
      <c r="AP775" s="640" t="s">
        <v>1011</v>
      </c>
      <c r="AQ775" s="678" t="s">
        <v>190</v>
      </c>
      <c r="AS775" s="3320">
        <f t="shared" ref="AS775:AT776" si="14">AS832</f>
        <v>0</v>
      </c>
      <c r="AT775" s="3320">
        <f t="shared" si="14"/>
        <v>0</v>
      </c>
    </row>
    <row r="776" spans="1:46" hidden="1" outlineLevel="2" x14ac:dyDescent="0.35">
      <c r="C776" s="677"/>
      <c r="D776" s="648"/>
      <c r="E776" s="649"/>
      <c r="F776" s="649"/>
      <c r="G776" s="649"/>
      <c r="H776" s="665"/>
      <c r="I776" s="3498">
        <f>X833</f>
        <v>0</v>
      </c>
      <c r="J776" s="3498"/>
      <c r="K776" s="3498"/>
      <c r="L776" s="3498"/>
      <c r="M776" s="3498"/>
      <c r="N776" s="3457"/>
      <c r="O776" s="3457"/>
      <c r="P776" s="3457"/>
      <c r="Q776" s="3457"/>
      <c r="R776" s="3457"/>
      <c r="S776" s="3457"/>
      <c r="T776" s="3457"/>
      <c r="U776" s="3457"/>
      <c r="V776" s="3457"/>
      <c r="W776" s="3457"/>
      <c r="X776" s="3437"/>
      <c r="Y776" s="3437"/>
      <c r="Z776" s="3437"/>
      <c r="AA776" s="3437"/>
      <c r="AB776" s="3437"/>
      <c r="AC776" s="3437">
        <f>N776+AS776</f>
        <v>0</v>
      </c>
      <c r="AD776" s="3437"/>
      <c r="AE776" s="3437"/>
      <c r="AF776" s="3437"/>
      <c r="AG776" s="3437"/>
      <c r="AH776" s="3453">
        <f>S776+AT776</f>
        <v>0</v>
      </c>
      <c r="AI776" s="3454"/>
      <c r="AJ776" s="3454"/>
      <c r="AK776" s="3454"/>
      <c r="AL776" s="3455"/>
      <c r="AM776" s="649"/>
      <c r="AN776" s="649"/>
      <c r="AO776" s="649"/>
      <c r="AP776" s="640" t="s">
        <v>1012</v>
      </c>
      <c r="AQ776" s="678"/>
      <c r="AS776" s="3320">
        <f t="shared" si="14"/>
        <v>0</v>
      </c>
      <c r="AT776" s="3320">
        <f t="shared" si="14"/>
        <v>0</v>
      </c>
    </row>
    <row r="777" spans="1:46" outlineLevel="1" collapsed="1" x14ac:dyDescent="0.35">
      <c r="C777" s="677"/>
      <c r="D777" s="648"/>
      <c r="E777" s="649"/>
      <c r="F777" s="649"/>
      <c r="G777" s="649"/>
      <c r="H777" s="665"/>
      <c r="I777" s="3497">
        <f>SUM(I774:M776)</f>
        <v>0</v>
      </c>
      <c r="J777" s="3497"/>
      <c r="K777" s="3497"/>
      <c r="L777" s="3497"/>
      <c r="M777" s="3497"/>
      <c r="N777" s="3462">
        <f>SUM(N774:R776)</f>
        <v>0</v>
      </c>
      <c r="O777" s="3462"/>
      <c r="P777" s="3462"/>
      <c r="Q777" s="3462"/>
      <c r="R777" s="3462"/>
      <c r="S777" s="3462">
        <f>SUM(S774:W776)</f>
        <v>0</v>
      </c>
      <c r="T777" s="3462"/>
      <c r="U777" s="3462"/>
      <c r="V777" s="3462"/>
      <c r="W777" s="3462"/>
      <c r="X777" s="3462">
        <f>SUM(X774:AB775)</f>
        <v>0</v>
      </c>
      <c r="Y777" s="3462"/>
      <c r="Z777" s="3462"/>
      <c r="AA777" s="3462"/>
      <c r="AB777" s="3462"/>
      <c r="AC777" s="3462">
        <f>SUM(AC774:AG776)</f>
        <v>0</v>
      </c>
      <c r="AD777" s="3462"/>
      <c r="AE777" s="3462"/>
      <c r="AF777" s="3462"/>
      <c r="AG777" s="3462"/>
      <c r="AH777" s="3462">
        <f>SUM(AH774:AL776)</f>
        <v>0</v>
      </c>
      <c r="AI777" s="3462"/>
      <c r="AJ777" s="3462"/>
      <c r="AK777" s="3462"/>
      <c r="AL777" s="3462"/>
      <c r="AM777" s="649"/>
      <c r="AN777" s="649"/>
      <c r="AO777" s="649"/>
      <c r="AP777" s="640"/>
      <c r="AQ777" s="678"/>
      <c r="AS777" s="3319">
        <f>SUM(AS774:AS776)</f>
        <v>0</v>
      </c>
      <c r="AT777" s="837">
        <f>SUM(AT774:AT776)</f>
        <v>0</v>
      </c>
    </row>
    <row r="778" spans="1:46" ht="13.5" outlineLevel="1" thickBot="1" x14ac:dyDescent="0.4">
      <c r="C778" s="677"/>
      <c r="D778" s="648"/>
      <c r="E778" s="649"/>
      <c r="F778" s="649"/>
      <c r="G778" s="649"/>
      <c r="H778" s="665"/>
      <c r="I778" s="841"/>
      <c r="J778" s="842"/>
      <c r="K778" s="842"/>
      <c r="L778" s="842"/>
      <c r="M778" s="843"/>
      <c r="N778" s="842"/>
      <c r="O778" s="842"/>
      <c r="P778" s="842"/>
      <c r="Q778" s="842"/>
      <c r="R778" s="842"/>
      <c r="S778" s="841"/>
      <c r="T778" s="842"/>
      <c r="U778" s="844"/>
      <c r="V778" s="844"/>
      <c r="W778" s="845"/>
      <c r="X778" s="844"/>
      <c r="Y778" s="844"/>
      <c r="Z778" s="842"/>
      <c r="AA778" s="842"/>
      <c r="AB778" s="842"/>
      <c r="AC778" s="841"/>
      <c r="AD778" s="842"/>
      <c r="AE778" s="842"/>
      <c r="AF778" s="842"/>
      <c r="AG778" s="843"/>
      <c r="AH778" s="842"/>
      <c r="AI778" s="842"/>
      <c r="AJ778" s="842"/>
      <c r="AK778" s="842"/>
      <c r="AL778" s="843"/>
      <c r="AM778" s="649"/>
      <c r="AN778" s="649"/>
      <c r="AO778" s="649"/>
      <c r="AP778" s="640"/>
      <c r="AQ778" s="678"/>
      <c r="AS778" s="3321"/>
      <c r="AT778" s="3322"/>
    </row>
    <row r="779" spans="1:46" s="64" customFormat="1" outlineLevel="1" x14ac:dyDescent="0.35">
      <c r="A779" s="181"/>
      <c r="B779" s="130"/>
      <c r="C779" s="677"/>
      <c r="D779" s="648"/>
      <c r="E779" s="649"/>
      <c r="F779" s="649"/>
      <c r="G779" s="649"/>
      <c r="H779" s="665"/>
      <c r="I779" s="3496">
        <f>I777+I772+I766</f>
        <v>351222700</v>
      </c>
      <c r="J779" s="3496"/>
      <c r="K779" s="3496"/>
      <c r="L779" s="3496"/>
      <c r="M779" s="3496"/>
      <c r="N779" s="3496">
        <f>N777+N772+N766</f>
        <v>500000</v>
      </c>
      <c r="O779" s="3496"/>
      <c r="P779" s="3496"/>
      <c r="Q779" s="3496"/>
      <c r="R779" s="3496"/>
      <c r="S779" s="3496">
        <f>S777+S772+S766</f>
        <v>14078200</v>
      </c>
      <c r="T779" s="3496"/>
      <c r="U779" s="3496"/>
      <c r="V779" s="3496"/>
      <c r="W779" s="3496"/>
      <c r="X779" s="3496">
        <f>X777+X772+X766</f>
        <v>337644500</v>
      </c>
      <c r="Y779" s="3496"/>
      <c r="Z779" s="3496"/>
      <c r="AA779" s="3496"/>
      <c r="AB779" s="3496"/>
      <c r="AC779" s="3496">
        <f>AC777+AC772+AC766</f>
        <v>638239400</v>
      </c>
      <c r="AD779" s="3496"/>
      <c r="AE779" s="3496"/>
      <c r="AF779" s="3496"/>
      <c r="AG779" s="3496"/>
      <c r="AH779" s="3496">
        <f>AH777+AH772+AH766</f>
        <v>372744200</v>
      </c>
      <c r="AI779" s="3496"/>
      <c r="AJ779" s="3496"/>
      <c r="AK779" s="3496"/>
      <c r="AL779" s="3496"/>
      <c r="AM779" s="649"/>
      <c r="AN779" s="649"/>
      <c r="AO779" s="649"/>
      <c r="AP779" s="640"/>
      <c r="AQ779" s="678"/>
      <c r="AR779" s="181"/>
      <c r="AS779" s="3332">
        <f>AS766+AS772+AS777</f>
        <v>637739400</v>
      </c>
      <c r="AT779" s="3332">
        <f>AT766+AT772+AT777</f>
        <v>358666000</v>
      </c>
    </row>
    <row r="780" spans="1:46" outlineLevel="1" x14ac:dyDescent="0.35">
      <c r="A780" s="64"/>
      <c r="C780" s="685" t="s">
        <v>1013</v>
      </c>
      <c r="D780" s="790"/>
      <c r="E780" s="649"/>
      <c r="F780" s="649"/>
      <c r="G780" s="649"/>
      <c r="H780" s="665"/>
      <c r="I780" s="830"/>
      <c r="J780" s="831"/>
      <c r="K780" s="831"/>
      <c r="L780" s="831"/>
      <c r="M780" s="831"/>
      <c r="N780" s="830"/>
      <c r="O780" s="831"/>
      <c r="P780" s="831"/>
      <c r="Q780" s="831"/>
      <c r="R780" s="832"/>
      <c r="S780" s="831"/>
      <c r="T780" s="831"/>
      <c r="U780" s="831"/>
      <c r="V780" s="831"/>
      <c r="W780" s="831"/>
      <c r="X780" s="830"/>
      <c r="Y780" s="831"/>
      <c r="Z780" s="831"/>
      <c r="AA780" s="831"/>
      <c r="AB780" s="831"/>
      <c r="AC780" s="830"/>
      <c r="AD780" s="831"/>
      <c r="AE780" s="831"/>
      <c r="AF780" s="831"/>
      <c r="AG780" s="831"/>
      <c r="AH780" s="830"/>
      <c r="AI780" s="831"/>
      <c r="AJ780" s="831"/>
      <c r="AK780" s="831"/>
      <c r="AL780" s="832"/>
      <c r="AM780" s="649"/>
      <c r="AN780" s="649"/>
      <c r="AO780" s="649"/>
      <c r="AP780" s="674"/>
      <c r="AQ780" s="769" t="s">
        <v>1014</v>
      </c>
      <c r="AR780" s="64"/>
      <c r="AS780" s="3320"/>
      <c r="AT780" s="335"/>
    </row>
    <row r="781" spans="1:46" outlineLevel="1" x14ac:dyDescent="0.35">
      <c r="C781" s="677"/>
      <c r="D781" s="648" t="s">
        <v>1015</v>
      </c>
      <c r="E781" s="649"/>
      <c r="F781" s="649"/>
      <c r="G781" s="649"/>
      <c r="H781" s="665"/>
      <c r="I781" s="3457">
        <f>X837</f>
        <v>0</v>
      </c>
      <c r="J781" s="3457"/>
      <c r="K781" s="3457"/>
      <c r="L781" s="3457"/>
      <c r="M781" s="3457"/>
      <c r="N781" s="3457"/>
      <c r="O781" s="3457"/>
      <c r="P781" s="3457"/>
      <c r="Q781" s="3457"/>
      <c r="R781" s="3457"/>
      <c r="S781" s="3457"/>
      <c r="T781" s="3457"/>
      <c r="U781" s="3457"/>
      <c r="V781" s="3457"/>
      <c r="W781" s="3457"/>
      <c r="X781" s="3495">
        <f>I781+N781-S781</f>
        <v>0</v>
      </c>
      <c r="Y781" s="3495"/>
      <c r="Z781" s="3495"/>
      <c r="AA781" s="3495"/>
      <c r="AB781" s="3495"/>
      <c r="AC781" s="3437">
        <f>N781+AS781</f>
        <v>215150000</v>
      </c>
      <c r="AD781" s="3437"/>
      <c r="AE781" s="3437"/>
      <c r="AF781" s="3437"/>
      <c r="AG781" s="3437"/>
      <c r="AH781" s="3453">
        <f>S781+AT781</f>
        <v>215150000</v>
      </c>
      <c r="AI781" s="3454"/>
      <c r="AJ781" s="3454"/>
      <c r="AK781" s="3454"/>
      <c r="AL781" s="3455"/>
      <c r="AM781" s="649"/>
      <c r="AN781" s="649"/>
      <c r="AO781" s="649"/>
      <c r="AP781" s="640" t="s">
        <v>1016</v>
      </c>
      <c r="AQ781" s="678"/>
      <c r="AS781" s="3320">
        <f>AS837</f>
        <v>215150000</v>
      </c>
      <c r="AT781" s="3320">
        <f>AT837</f>
        <v>215150000</v>
      </c>
    </row>
    <row r="782" spans="1:46" outlineLevel="1" x14ac:dyDescent="0.35">
      <c r="C782" s="677"/>
      <c r="D782" s="648" t="s">
        <v>1017</v>
      </c>
      <c r="E782" s="649"/>
      <c r="F782" s="649"/>
      <c r="G782" s="649"/>
      <c r="H782" s="665"/>
      <c r="I782" s="3490">
        <f>X838</f>
        <v>0</v>
      </c>
      <c r="J782" s="3490"/>
      <c r="K782" s="3490"/>
      <c r="L782" s="3490"/>
      <c r="M782" s="3490"/>
      <c r="N782" s="3491">
        <f>'8'!O59</f>
        <v>0</v>
      </c>
      <c r="O782" s="3491"/>
      <c r="P782" s="3491"/>
      <c r="Q782" s="3491"/>
      <c r="R782" s="3491"/>
      <c r="S782" s="3490">
        <f>'8'!P61</f>
        <v>0</v>
      </c>
      <c r="T782" s="3490"/>
      <c r="U782" s="3490"/>
      <c r="V782" s="3490"/>
      <c r="W782" s="3490"/>
      <c r="X782" s="3492">
        <f>I782+N782-S782</f>
        <v>0</v>
      </c>
      <c r="Y782" s="3493"/>
      <c r="Z782" s="3493"/>
      <c r="AA782" s="3493"/>
      <c r="AB782" s="3494"/>
      <c r="AC782" s="3437">
        <f>N782+AS782</f>
        <v>2424936544</v>
      </c>
      <c r="AD782" s="3437"/>
      <c r="AE782" s="3437"/>
      <c r="AF782" s="3437"/>
      <c r="AG782" s="3437"/>
      <c r="AH782" s="3453">
        <f>S782+AT782</f>
        <v>2424936544</v>
      </c>
      <c r="AI782" s="3454"/>
      <c r="AJ782" s="3454"/>
      <c r="AK782" s="3454"/>
      <c r="AL782" s="3455"/>
      <c r="AM782" s="649"/>
      <c r="AN782" s="649"/>
      <c r="AO782" s="649"/>
      <c r="AP782" s="640" t="s">
        <v>1018</v>
      </c>
      <c r="AQ782" s="678"/>
      <c r="AS782" s="3320">
        <f>AS838</f>
        <v>2424936544</v>
      </c>
      <c r="AT782" s="3320">
        <f>AT838</f>
        <v>2424936544</v>
      </c>
    </row>
    <row r="783" spans="1:46" outlineLevel="1" x14ac:dyDescent="0.35">
      <c r="C783" s="677"/>
      <c r="D783" s="648"/>
      <c r="E783" s="649"/>
      <c r="F783" s="649"/>
      <c r="G783" s="649"/>
      <c r="H783" s="665"/>
      <c r="I783" s="3458">
        <f>SUM(I781:M782)</f>
        <v>0</v>
      </c>
      <c r="J783" s="3458"/>
      <c r="K783" s="3458"/>
      <c r="L783" s="3458"/>
      <c r="M783" s="3458"/>
      <c r="N783" s="3458">
        <f>SUM(N781:R782)</f>
        <v>0</v>
      </c>
      <c r="O783" s="3458"/>
      <c r="P783" s="3458"/>
      <c r="Q783" s="3458"/>
      <c r="R783" s="3458"/>
      <c r="S783" s="3458">
        <f>SUM(S782)</f>
        <v>0</v>
      </c>
      <c r="T783" s="3458"/>
      <c r="U783" s="3458"/>
      <c r="V783" s="3458"/>
      <c r="W783" s="3458"/>
      <c r="X783" s="3459">
        <f>SUM(X781:AB782)</f>
        <v>0</v>
      </c>
      <c r="Y783" s="3459"/>
      <c r="Z783" s="3459"/>
      <c r="AA783" s="3459"/>
      <c r="AB783" s="3459"/>
      <c r="AC783" s="3458">
        <f>SUM(AC781:AG782)</f>
        <v>2640086544</v>
      </c>
      <c r="AD783" s="3458"/>
      <c r="AE783" s="3458"/>
      <c r="AF783" s="3458"/>
      <c r="AG783" s="3458"/>
      <c r="AH783" s="3458">
        <f>SUM(AH781:AL782)</f>
        <v>2640086544</v>
      </c>
      <c r="AI783" s="3458"/>
      <c r="AJ783" s="3458"/>
      <c r="AK783" s="3458"/>
      <c r="AL783" s="3458"/>
      <c r="AM783" s="649"/>
      <c r="AN783" s="649"/>
      <c r="AO783" s="649"/>
      <c r="AP783" s="640"/>
      <c r="AQ783" s="678"/>
      <c r="AS783" s="3319">
        <f>SUM(AS781:AS782)</f>
        <v>2640086544</v>
      </c>
      <c r="AT783" s="3319">
        <f>SUM(AT781:AT782)</f>
        <v>2640086544</v>
      </c>
    </row>
    <row r="784" spans="1:46" ht="13.5" outlineLevel="1" thickBot="1" x14ac:dyDescent="0.4">
      <c r="C784" s="677"/>
      <c r="D784" s="648"/>
      <c r="E784" s="649"/>
      <c r="F784" s="649"/>
      <c r="G784" s="649"/>
      <c r="H784" s="665"/>
      <c r="I784" s="830"/>
      <c r="J784" s="831"/>
      <c r="K784" s="831"/>
      <c r="L784" s="831"/>
      <c r="M784" s="832"/>
      <c r="N784" s="831"/>
      <c r="O784" s="831"/>
      <c r="P784" s="831"/>
      <c r="Q784" s="831"/>
      <c r="R784" s="831"/>
      <c r="S784" s="830"/>
      <c r="T784" s="831"/>
      <c r="U784" s="834"/>
      <c r="V784" s="834"/>
      <c r="W784" s="839"/>
      <c r="X784" s="834"/>
      <c r="Y784" s="834"/>
      <c r="Z784" s="831"/>
      <c r="AA784" s="831"/>
      <c r="AB784" s="831"/>
      <c r="AC784" s="830"/>
      <c r="AD784" s="831"/>
      <c r="AE784" s="831"/>
      <c r="AF784" s="831"/>
      <c r="AG784" s="832"/>
      <c r="AH784" s="831"/>
      <c r="AI784" s="831"/>
      <c r="AJ784" s="831"/>
      <c r="AK784" s="831"/>
      <c r="AL784" s="832"/>
      <c r="AM784" s="649"/>
      <c r="AN784" s="649"/>
      <c r="AO784" s="649"/>
      <c r="AP784" s="640"/>
      <c r="AQ784" s="678"/>
      <c r="AS784" s="3320"/>
      <c r="AT784" s="335"/>
    </row>
    <row r="785" spans="1:46" ht="13.5" outlineLevel="1" thickBot="1" x14ac:dyDescent="0.4">
      <c r="C785" s="846"/>
      <c r="D785" s="776"/>
      <c r="E785" s="689"/>
      <c r="F785" s="689"/>
      <c r="G785" s="689"/>
      <c r="H785" s="847"/>
      <c r="I785" s="3446">
        <f>I783+I777+I772+I766</f>
        <v>351222700</v>
      </c>
      <c r="J785" s="3446"/>
      <c r="K785" s="3446"/>
      <c r="L785" s="3446"/>
      <c r="M785" s="3446"/>
      <c r="N785" s="3446">
        <f>N783+N777+N772+N766</f>
        <v>500000</v>
      </c>
      <c r="O785" s="3446"/>
      <c r="P785" s="3446"/>
      <c r="Q785" s="3446"/>
      <c r="R785" s="3446"/>
      <c r="S785" s="3446">
        <f>S783+S777+S772+S766</f>
        <v>14078200</v>
      </c>
      <c r="T785" s="3446"/>
      <c r="U785" s="3446"/>
      <c r="V785" s="3446"/>
      <c r="W785" s="3446"/>
      <c r="X785" s="3446">
        <f>X783+X777+X772+X766</f>
        <v>337644500</v>
      </c>
      <c r="Y785" s="3446"/>
      <c r="Z785" s="3446"/>
      <c r="AA785" s="3446"/>
      <c r="AB785" s="3446"/>
      <c r="AC785" s="3446">
        <f>AC783+AC777+AC772+AC766</f>
        <v>3278325944</v>
      </c>
      <c r="AD785" s="3446"/>
      <c r="AE785" s="3446"/>
      <c r="AF785" s="3446"/>
      <c r="AG785" s="3446"/>
      <c r="AH785" s="3446">
        <f>AH783+AH777+AH772+AH766</f>
        <v>3012830744</v>
      </c>
      <c r="AI785" s="3446"/>
      <c r="AJ785" s="3446"/>
      <c r="AK785" s="3446"/>
      <c r="AL785" s="3446"/>
      <c r="AM785" s="689"/>
      <c r="AN785" s="689"/>
      <c r="AO785" s="689"/>
      <c r="AP785" s="848"/>
      <c r="AQ785" s="779"/>
      <c r="AS785" s="3323">
        <f>AS779+AS783</f>
        <v>3277825944</v>
      </c>
      <c r="AT785" s="3323">
        <f>AT779+AT783</f>
        <v>2998752544</v>
      </c>
    </row>
    <row r="786" spans="1:46" outlineLevel="1" x14ac:dyDescent="0.35">
      <c r="C786" s="826" t="s">
        <v>1019</v>
      </c>
      <c r="D786" s="648"/>
      <c r="E786" s="649"/>
      <c r="F786" s="649"/>
      <c r="G786" s="649"/>
      <c r="H786" s="665"/>
      <c r="I786" s="830"/>
      <c r="J786" s="831"/>
      <c r="K786" s="831"/>
      <c r="L786" s="831"/>
      <c r="M786" s="832"/>
      <c r="N786" s="831"/>
      <c r="O786" s="831"/>
      <c r="P786" s="831"/>
      <c r="Q786" s="831"/>
      <c r="R786" s="831"/>
      <c r="S786" s="830"/>
      <c r="T786" s="831"/>
      <c r="U786" s="831"/>
      <c r="V786" s="831"/>
      <c r="W786" s="832"/>
      <c r="X786" s="831"/>
      <c r="Y786" s="831"/>
      <c r="Z786" s="831"/>
      <c r="AA786" s="831"/>
      <c r="AB786" s="831"/>
      <c r="AC786" s="830"/>
      <c r="AD786" s="831"/>
      <c r="AE786" s="831"/>
      <c r="AF786" s="831"/>
      <c r="AG786" s="832"/>
      <c r="AH786" s="831"/>
      <c r="AI786" s="831"/>
      <c r="AJ786" s="831"/>
      <c r="AK786" s="831"/>
      <c r="AL786" s="832"/>
      <c r="AM786" s="649"/>
      <c r="AN786" s="649"/>
      <c r="AO786" s="649"/>
      <c r="AP786" s="649"/>
      <c r="AQ786" s="827" t="s">
        <v>1020</v>
      </c>
      <c r="AS786" s="3324"/>
      <c r="AT786" s="3325"/>
    </row>
    <row r="787" spans="1:46" outlineLevel="1" x14ac:dyDescent="0.35">
      <c r="C787" s="826" t="s">
        <v>1021</v>
      </c>
      <c r="D787" s="648"/>
      <c r="E787" s="649"/>
      <c r="F787" s="649"/>
      <c r="G787" s="649"/>
      <c r="H787" s="665"/>
      <c r="I787" s="830"/>
      <c r="J787" s="831"/>
      <c r="K787" s="831"/>
      <c r="L787" s="831"/>
      <c r="M787" s="832"/>
      <c r="N787" s="831"/>
      <c r="O787" s="831"/>
      <c r="P787" s="831"/>
      <c r="Q787" s="831"/>
      <c r="R787" s="831"/>
      <c r="S787" s="830"/>
      <c r="T787" s="831"/>
      <c r="U787" s="831"/>
      <c r="V787" s="831"/>
      <c r="W787" s="832"/>
      <c r="X787" s="831"/>
      <c r="Y787" s="831"/>
      <c r="Z787" s="831"/>
      <c r="AA787" s="831"/>
      <c r="AB787" s="831"/>
      <c r="AC787" s="830"/>
      <c r="AD787" s="831"/>
      <c r="AE787" s="831"/>
      <c r="AF787" s="831"/>
      <c r="AG787" s="832"/>
      <c r="AH787" s="831"/>
      <c r="AI787" s="831"/>
      <c r="AJ787" s="831"/>
      <c r="AK787" s="831"/>
      <c r="AL787" s="832"/>
      <c r="AM787" s="649"/>
      <c r="AN787" s="649"/>
      <c r="AO787" s="649"/>
      <c r="AP787" s="649"/>
      <c r="AQ787" s="827" t="s">
        <v>1022</v>
      </c>
      <c r="AS787" s="3320"/>
      <c r="AT787" s="335"/>
    </row>
    <row r="788" spans="1:46" outlineLevel="1" x14ac:dyDescent="0.35">
      <c r="C788" s="766"/>
      <c r="D788" s="648"/>
      <c r="E788" s="649"/>
      <c r="F788" s="649"/>
      <c r="G788" s="649"/>
      <c r="H788" s="665"/>
      <c r="I788" s="831"/>
      <c r="J788" s="831"/>
      <c r="K788" s="831"/>
      <c r="L788" s="831"/>
      <c r="M788" s="831"/>
      <c r="N788" s="830"/>
      <c r="O788" s="831"/>
      <c r="P788" s="831"/>
      <c r="Q788" s="831"/>
      <c r="R788" s="831"/>
      <c r="S788" s="830"/>
      <c r="T788" s="831"/>
      <c r="U788" s="831"/>
      <c r="V788" s="831"/>
      <c r="W788" s="832"/>
      <c r="X788" s="831"/>
      <c r="Y788" s="831"/>
      <c r="Z788" s="831"/>
      <c r="AA788" s="831"/>
      <c r="AB788" s="831"/>
      <c r="AC788" s="830"/>
      <c r="AD788" s="831"/>
      <c r="AE788" s="831"/>
      <c r="AF788" s="831"/>
      <c r="AG788" s="832"/>
      <c r="AH788" s="3452"/>
      <c r="AI788" s="3452"/>
      <c r="AJ788" s="3452"/>
      <c r="AK788" s="3452"/>
      <c r="AL788" s="3452"/>
      <c r="AM788" s="649"/>
      <c r="AN788" s="649"/>
      <c r="AO788" s="649"/>
      <c r="AP788" s="640"/>
      <c r="AQ788" s="678"/>
      <c r="AS788" s="3320"/>
      <c r="AT788" s="335"/>
    </row>
    <row r="789" spans="1:46" outlineLevel="1" x14ac:dyDescent="0.35">
      <c r="C789" s="677"/>
      <c r="D789" s="181" t="s">
        <v>3252</v>
      </c>
      <c r="E789" s="649"/>
      <c r="F789" s="649"/>
      <c r="G789" s="649"/>
      <c r="H789" s="665"/>
      <c r="I789" s="3437">
        <f>X846</f>
        <v>3078093087</v>
      </c>
      <c r="J789" s="3437"/>
      <c r="K789" s="3437"/>
      <c r="L789" s="3437"/>
      <c r="M789" s="3437"/>
      <c r="N789" s="831"/>
      <c r="O789" s="831"/>
      <c r="P789" s="831"/>
      <c r="Q789" s="831"/>
      <c r="R789" s="831"/>
      <c r="S789" s="830"/>
      <c r="T789" s="831"/>
      <c r="U789" s="834"/>
      <c r="V789" s="834"/>
      <c r="W789" s="839"/>
      <c r="X789" s="3488">
        <f>I789+N789-S789</f>
        <v>3078093087</v>
      </c>
      <c r="Y789" s="3438"/>
      <c r="Z789" s="3438"/>
      <c r="AA789" s="3438"/>
      <c r="AB789" s="3489"/>
      <c r="AC789" s="3437">
        <f>N789+AS789-AS789</f>
        <v>0</v>
      </c>
      <c r="AD789" s="3437"/>
      <c r="AE789" s="3437"/>
      <c r="AF789" s="3437"/>
      <c r="AG789" s="3437"/>
      <c r="AH789" s="3453">
        <f>S789+AT789</f>
        <v>0</v>
      </c>
      <c r="AI789" s="3454"/>
      <c r="AJ789" s="3454"/>
      <c r="AK789" s="3454"/>
      <c r="AL789" s="3455"/>
      <c r="AM789" s="649"/>
      <c r="AN789" s="649"/>
      <c r="AO789" s="649"/>
      <c r="AP789" s="640" t="s">
        <v>558</v>
      </c>
      <c r="AQ789" s="678"/>
      <c r="AS789" s="3320">
        <f>AS846</f>
        <v>0</v>
      </c>
      <c r="AT789" s="3320">
        <f>AT846</f>
        <v>0</v>
      </c>
    </row>
    <row r="790" spans="1:46" outlineLevel="1" x14ac:dyDescent="0.35">
      <c r="C790" s="677"/>
      <c r="D790" s="181" t="s">
        <v>743</v>
      </c>
      <c r="E790" s="649"/>
      <c r="F790" s="649"/>
      <c r="G790" s="649"/>
      <c r="H790" s="665"/>
      <c r="I790" s="3437">
        <f t="shared" ref="I790" si="15">X847</f>
        <v>3359970000</v>
      </c>
      <c r="J790" s="3437"/>
      <c r="K790" s="3437"/>
      <c r="L790" s="3437"/>
      <c r="M790" s="3437"/>
      <c r="N790" s="831"/>
      <c r="O790" s="831"/>
      <c r="P790" s="831"/>
      <c r="Q790" s="831"/>
      <c r="R790" s="831"/>
      <c r="S790" s="830"/>
      <c r="T790" s="831"/>
      <c r="U790" s="834"/>
      <c r="V790" s="834"/>
      <c r="W790" s="839"/>
      <c r="X790" s="3488">
        <f>I790+N790-S790</f>
        <v>3359970000</v>
      </c>
      <c r="Y790" s="3438"/>
      <c r="Z790" s="3438"/>
      <c r="AA790" s="3438"/>
      <c r="AB790" s="3489"/>
      <c r="AC790" s="3437">
        <f>N790+AS790-AS790</f>
        <v>0</v>
      </c>
      <c r="AD790" s="3437"/>
      <c r="AE790" s="3437"/>
      <c r="AF790" s="3437"/>
      <c r="AG790" s="3437"/>
      <c r="AH790" s="3453">
        <f>S790+AT790</f>
        <v>0</v>
      </c>
      <c r="AI790" s="3454"/>
      <c r="AJ790" s="3454"/>
      <c r="AK790" s="3454"/>
      <c r="AL790" s="3455"/>
      <c r="AM790" s="649"/>
      <c r="AN790" s="649"/>
      <c r="AO790" s="649"/>
      <c r="AP790" s="640" t="s">
        <v>744</v>
      </c>
      <c r="AQ790" s="678"/>
      <c r="AS790" s="3320">
        <f>AS847</f>
        <v>0</v>
      </c>
      <c r="AT790" s="3320">
        <f>AT847</f>
        <v>0</v>
      </c>
    </row>
    <row r="791" spans="1:46" ht="13.5" outlineLevel="1" thickBot="1" x14ac:dyDescent="0.4">
      <c r="C791" s="677"/>
      <c r="D791" s="648"/>
      <c r="E791" s="649"/>
      <c r="F791" s="649"/>
      <c r="G791" s="649"/>
      <c r="H791" s="665"/>
      <c r="I791" s="830"/>
      <c r="J791" s="831"/>
      <c r="K791" s="831"/>
      <c r="L791" s="831"/>
      <c r="M791" s="832"/>
      <c r="N791" s="831"/>
      <c r="O791" s="831"/>
      <c r="P791" s="831"/>
      <c r="Q791" s="831"/>
      <c r="R791" s="831"/>
      <c r="S791" s="830"/>
      <c r="T791" s="831"/>
      <c r="U791" s="834"/>
      <c r="V791" s="834"/>
      <c r="W791" s="839"/>
      <c r="X791" s="834"/>
      <c r="Y791" s="834"/>
      <c r="Z791" s="831"/>
      <c r="AA791" s="831"/>
      <c r="AB791" s="831"/>
      <c r="AC791" s="830"/>
      <c r="AD791" s="831"/>
      <c r="AE791" s="831"/>
      <c r="AF791" s="831"/>
      <c r="AG791" s="832"/>
      <c r="AH791" s="831"/>
      <c r="AI791" s="831"/>
      <c r="AJ791" s="831"/>
      <c r="AK791" s="831"/>
      <c r="AL791" s="832"/>
      <c r="AM791" s="649"/>
      <c r="AN791" s="649"/>
      <c r="AO791" s="649"/>
      <c r="AP791" s="640"/>
      <c r="AQ791" s="678"/>
      <c r="AS791" s="3320"/>
      <c r="AT791" s="3320"/>
    </row>
    <row r="792" spans="1:46" ht="13.5" outlineLevel="1" thickBot="1" x14ac:dyDescent="0.4">
      <c r="C792" s="846"/>
      <c r="D792" s="776"/>
      <c r="E792" s="689"/>
      <c r="F792" s="689"/>
      <c r="G792" s="689"/>
      <c r="H792" s="847"/>
      <c r="I792" s="3451">
        <f>SUM(I789:M791)</f>
        <v>6438063087</v>
      </c>
      <c r="J792" s="3451"/>
      <c r="K792" s="3451"/>
      <c r="L792" s="3451"/>
      <c r="M792" s="3451"/>
      <c r="N792" s="3451">
        <f>SUM(N789:R791)</f>
        <v>0</v>
      </c>
      <c r="O792" s="3451"/>
      <c r="P792" s="3451"/>
      <c r="Q792" s="3451"/>
      <c r="R792" s="3451"/>
      <c r="S792" s="3451">
        <f>SUM(S789:W791)</f>
        <v>0</v>
      </c>
      <c r="T792" s="3451"/>
      <c r="U792" s="3451"/>
      <c r="V792" s="3451"/>
      <c r="W792" s="3451"/>
      <c r="X792" s="3451">
        <f>SUM(X789:AB791)</f>
        <v>6438063087</v>
      </c>
      <c r="Y792" s="3451"/>
      <c r="Z792" s="3451"/>
      <c r="AA792" s="3451"/>
      <c r="AB792" s="3451"/>
      <c r="AC792" s="3451">
        <f>AC789</f>
        <v>0</v>
      </c>
      <c r="AD792" s="3451"/>
      <c r="AE792" s="3451"/>
      <c r="AF792" s="3451"/>
      <c r="AG792" s="3451"/>
      <c r="AH792" s="3451">
        <f>AH789</f>
        <v>0</v>
      </c>
      <c r="AI792" s="3451"/>
      <c r="AJ792" s="3451"/>
      <c r="AK792" s="3451"/>
      <c r="AL792" s="3451"/>
      <c r="AM792" s="689"/>
      <c r="AN792" s="689"/>
      <c r="AO792" s="689"/>
      <c r="AP792" s="848"/>
      <c r="AQ792" s="779"/>
      <c r="AS792" s="3326">
        <f>SUM(AS789:AS791)</f>
        <v>0</v>
      </c>
      <c r="AT792" s="3326">
        <f>SUM(AT789:AT791)</f>
        <v>0</v>
      </c>
    </row>
    <row r="793" spans="1:46" ht="13.5" outlineLevel="1" thickBot="1" x14ac:dyDescent="0.4">
      <c r="C793" s="677"/>
      <c r="D793" s="648"/>
      <c r="E793" s="649"/>
      <c r="F793" s="649"/>
      <c r="G793" s="649"/>
      <c r="H793" s="665"/>
      <c r="I793" s="841"/>
      <c r="J793" s="842"/>
      <c r="K793" s="842"/>
      <c r="L793" s="842"/>
      <c r="M793" s="843"/>
      <c r="N793" s="842"/>
      <c r="O793" s="842"/>
      <c r="P793" s="842"/>
      <c r="Q793" s="842"/>
      <c r="R793" s="842"/>
      <c r="S793" s="841"/>
      <c r="T793" s="842"/>
      <c r="U793" s="844"/>
      <c r="V793" s="844"/>
      <c r="W793" s="845"/>
      <c r="X793" s="3450"/>
      <c r="Y793" s="3450"/>
      <c r="Z793" s="3450"/>
      <c r="AA793" s="3450"/>
      <c r="AB793" s="843"/>
      <c r="AC793" s="841"/>
      <c r="AD793" s="842"/>
      <c r="AE793" s="842"/>
      <c r="AF793" s="842"/>
      <c r="AG793" s="843"/>
      <c r="AH793" s="842"/>
      <c r="AI793" s="842"/>
      <c r="AJ793" s="842"/>
      <c r="AK793" s="842"/>
      <c r="AL793" s="832"/>
      <c r="AM793" s="649"/>
      <c r="AN793" s="649"/>
      <c r="AO793" s="649"/>
      <c r="AP793" s="649"/>
      <c r="AQ793" s="684"/>
      <c r="AS793" s="3326"/>
      <c r="AT793" s="3327"/>
    </row>
    <row r="794" spans="1:46" ht="13.5" outlineLevel="1" thickBot="1" x14ac:dyDescent="0.4">
      <c r="C794" s="849" t="s">
        <v>1023</v>
      </c>
      <c r="D794" s="850"/>
      <c r="E794" s="850"/>
      <c r="F794" s="850"/>
      <c r="G794" s="850"/>
      <c r="H794" s="847"/>
      <c r="I794" s="3446">
        <f>I792+I785</f>
        <v>6789285787</v>
      </c>
      <c r="J794" s="3446"/>
      <c r="K794" s="3446"/>
      <c r="L794" s="3446"/>
      <c r="M794" s="3446"/>
      <c r="N794" s="3446">
        <f>N792+N785</f>
        <v>500000</v>
      </c>
      <c r="O794" s="3446"/>
      <c r="P794" s="3446"/>
      <c r="Q794" s="3446"/>
      <c r="R794" s="3446"/>
      <c r="S794" s="3446">
        <f>S792+S785</f>
        <v>14078200</v>
      </c>
      <c r="T794" s="3446"/>
      <c r="U794" s="3446"/>
      <c r="V794" s="3446"/>
      <c r="W794" s="3446"/>
      <c r="X794" s="3446">
        <f>X792+X785</f>
        <v>6775707587</v>
      </c>
      <c r="Y794" s="3446"/>
      <c r="Z794" s="3446"/>
      <c r="AA794" s="3446"/>
      <c r="AB794" s="3446"/>
      <c r="AC794" s="3446">
        <f>AC792+AC785</f>
        <v>3278325944</v>
      </c>
      <c r="AD794" s="3446"/>
      <c r="AE794" s="3446"/>
      <c r="AF794" s="3446"/>
      <c r="AG794" s="3446"/>
      <c r="AH794" s="3446">
        <f>AH792+AH785</f>
        <v>3012830744</v>
      </c>
      <c r="AI794" s="3446"/>
      <c r="AJ794" s="3446"/>
      <c r="AK794" s="3446"/>
      <c r="AL794" s="3446"/>
      <c r="AM794" s="688"/>
      <c r="AN794" s="688"/>
      <c r="AO794" s="688"/>
      <c r="AP794" s="689"/>
      <c r="AQ794" s="690" t="s">
        <v>1024</v>
      </c>
      <c r="AS794" s="3326">
        <f>AS785+AS792</f>
        <v>3277825944</v>
      </c>
      <c r="AT794" s="3326">
        <f>AT785+AT792</f>
        <v>2998752544</v>
      </c>
    </row>
    <row r="795" spans="1:46" ht="15" customHeight="1" outlineLevel="1" x14ac:dyDescent="0.35">
      <c r="C795" s="851"/>
      <c r="D795" s="851"/>
      <c r="E795" s="851"/>
      <c r="F795" s="851"/>
      <c r="G795" s="851"/>
      <c r="H795" s="644"/>
      <c r="I795" s="852"/>
      <c r="J795" s="852"/>
      <c r="K795" s="852"/>
      <c r="L795" s="852"/>
      <c r="M795" s="852"/>
      <c r="N795" s="852"/>
      <c r="O795" s="852"/>
      <c r="P795" s="852"/>
      <c r="Q795" s="852"/>
      <c r="R795" s="852"/>
      <c r="S795" s="852"/>
      <c r="T795" s="852"/>
      <c r="U795" s="852"/>
      <c r="V795" s="852"/>
      <c r="W795" s="852"/>
      <c r="X795" s="852"/>
      <c r="Y795" s="852"/>
      <c r="Z795" s="852"/>
      <c r="AA795" s="852"/>
      <c r="AB795" s="852"/>
      <c r="AC795" s="852"/>
      <c r="AD795" s="852"/>
      <c r="AE795" s="852"/>
      <c r="AF795" s="852"/>
      <c r="AG795" s="852"/>
      <c r="AH795" s="852"/>
      <c r="AI795" s="852"/>
      <c r="AJ795" s="852"/>
      <c r="AK795" s="852"/>
      <c r="AL795" s="852"/>
      <c r="AM795" s="853"/>
      <c r="AN795" s="853"/>
      <c r="AO795" s="853"/>
      <c r="AP795" s="644"/>
      <c r="AQ795" s="854"/>
      <c r="AS795" s="503"/>
      <c r="AT795" s="85"/>
    </row>
    <row r="796" spans="1:46" ht="15" customHeight="1" outlineLevel="1" x14ac:dyDescent="0.35">
      <c r="C796" s="790"/>
      <c r="D796" s="790"/>
      <c r="E796" s="790"/>
      <c r="F796" s="790"/>
      <c r="G796" s="790"/>
      <c r="H796" s="649"/>
      <c r="I796" s="672"/>
      <c r="J796" s="672"/>
      <c r="K796" s="672"/>
      <c r="L796" s="672"/>
      <c r="M796" s="672"/>
      <c r="N796" s="672"/>
      <c r="O796" s="672"/>
      <c r="P796" s="672"/>
      <c r="Q796" s="672"/>
      <c r="R796" s="672"/>
      <c r="S796" s="672"/>
      <c r="T796" s="672"/>
      <c r="U796" s="672"/>
      <c r="V796" s="672"/>
      <c r="W796" s="672"/>
      <c r="X796" s="672"/>
      <c r="Y796" s="672"/>
      <c r="Z796" s="672"/>
      <c r="AA796" s="672"/>
      <c r="AB796" s="672"/>
      <c r="AC796" s="672"/>
      <c r="AD796" s="672"/>
      <c r="AE796" s="672"/>
      <c r="AF796" s="672"/>
      <c r="AG796" s="672"/>
      <c r="AH796" s="672"/>
      <c r="AI796" s="672"/>
      <c r="AJ796" s="672"/>
      <c r="AK796" s="672"/>
      <c r="AL796" s="672"/>
      <c r="AM796" s="673"/>
      <c r="AN796" s="673"/>
      <c r="AO796" s="673"/>
      <c r="AP796" s="649"/>
      <c r="AQ796" s="674"/>
      <c r="AS796" s="503"/>
      <c r="AT796" s="85"/>
    </row>
    <row r="797" spans="1:46" ht="15" customHeight="1" outlineLevel="1" x14ac:dyDescent="0.35">
      <c r="C797" s="790"/>
      <c r="D797" s="790"/>
      <c r="E797" s="790"/>
      <c r="F797" s="790"/>
      <c r="G797" s="790"/>
      <c r="H797" s="649"/>
      <c r="I797" s="672"/>
      <c r="J797" s="672"/>
      <c r="K797" s="672"/>
      <c r="L797" s="672"/>
      <c r="M797" s="672"/>
      <c r="N797" s="672"/>
      <c r="O797" s="672"/>
      <c r="P797" s="672"/>
      <c r="Q797" s="672"/>
      <c r="R797" s="672"/>
      <c r="S797" s="672"/>
      <c r="T797" s="672"/>
      <c r="U797" s="672"/>
      <c r="V797" s="672"/>
      <c r="W797" s="672"/>
      <c r="X797" s="672"/>
      <c r="Y797" s="672"/>
      <c r="Z797" s="672"/>
      <c r="AA797" s="672"/>
      <c r="AB797" s="672"/>
      <c r="AC797" s="672"/>
      <c r="AD797" s="672"/>
      <c r="AE797" s="672"/>
      <c r="AF797" s="672"/>
      <c r="AG797" s="672"/>
      <c r="AH797" s="672"/>
      <c r="AI797" s="672"/>
      <c r="AJ797" s="672"/>
      <c r="AK797" s="672"/>
      <c r="AL797" s="672"/>
      <c r="AM797" s="673"/>
      <c r="AN797" s="673"/>
      <c r="AO797" s="673"/>
      <c r="AP797" s="649"/>
      <c r="AQ797" s="674"/>
      <c r="AS797" s="548"/>
    </row>
    <row r="798" spans="1:46" s="634" customFormat="1" ht="15.5" hidden="1" outlineLevel="2" x14ac:dyDescent="0.35">
      <c r="A798" s="634" t="s">
        <v>614</v>
      </c>
      <c r="B798" s="587"/>
      <c r="C798" s="513" t="s">
        <v>1025</v>
      </c>
      <c r="D798" s="544"/>
      <c r="E798" s="588"/>
      <c r="F798" s="588"/>
      <c r="G798" s="588"/>
      <c r="H798" s="588"/>
      <c r="I798" s="588"/>
      <c r="J798" s="588"/>
      <c r="K798" s="588"/>
      <c r="L798" s="588"/>
      <c r="M798" s="588"/>
      <c r="N798" s="588"/>
      <c r="O798" s="588"/>
      <c r="P798" s="588"/>
      <c r="Q798" s="589"/>
      <c r="R798" s="589"/>
      <c r="S798" s="589"/>
      <c r="T798" s="589"/>
      <c r="U798" s="589"/>
      <c r="V798" s="589"/>
      <c r="W798" s="590"/>
      <c r="X798" s="855"/>
      <c r="Y798" s="855"/>
      <c r="Z798" s="589"/>
      <c r="AA798" s="589"/>
      <c r="AB798" s="589"/>
      <c r="AC798" s="589"/>
      <c r="AD798" s="513"/>
      <c r="AE798" s="513"/>
      <c r="AF798" s="513"/>
      <c r="AG798" s="513"/>
      <c r="AH798" s="513"/>
      <c r="AI798" s="513"/>
      <c r="AJ798" s="513"/>
      <c r="AK798" s="513"/>
      <c r="AL798" s="513"/>
      <c r="AM798" s="513"/>
      <c r="AN798" s="513"/>
      <c r="AO798" s="513"/>
      <c r="AP798" s="856"/>
      <c r="AQ798" s="512" t="s">
        <v>1026</v>
      </c>
      <c r="AS798" s="857"/>
      <c r="AT798" s="858"/>
    </row>
    <row r="799" spans="1:46" s="527" customFormat="1" ht="15.5" hidden="1" outlineLevel="2" x14ac:dyDescent="0.35">
      <c r="B799" s="130"/>
      <c r="C799" s="181"/>
      <c r="D799" s="64"/>
      <c r="E799" s="555"/>
      <c r="F799" s="555"/>
      <c r="G799" s="555"/>
      <c r="H799" s="555"/>
      <c r="I799" s="555"/>
      <c r="J799" s="555"/>
      <c r="K799" s="555"/>
      <c r="L799" s="555"/>
      <c r="M799" s="555"/>
      <c r="N799" s="555"/>
      <c r="O799" s="555"/>
      <c r="P799" s="555"/>
      <c r="Q799" s="578"/>
      <c r="R799" s="578"/>
      <c r="S799" s="578"/>
      <c r="T799" s="578"/>
      <c r="U799" s="578"/>
      <c r="V799" s="578"/>
      <c r="W799" s="577"/>
      <c r="X799" s="554"/>
      <c r="Y799" s="554"/>
      <c r="Z799" s="578"/>
      <c r="AA799" s="578"/>
      <c r="AB799" s="578"/>
      <c r="AC799" s="578"/>
      <c r="AD799" s="181"/>
      <c r="AE799" s="181"/>
      <c r="AF799" s="181"/>
      <c r="AG799" s="181"/>
      <c r="AH799" s="181"/>
      <c r="AI799" s="181"/>
      <c r="AJ799" s="181"/>
      <c r="AK799" s="181"/>
      <c r="AL799" s="181"/>
      <c r="AM799" s="181"/>
      <c r="AN799" s="181"/>
      <c r="AO799" s="181"/>
      <c r="AP799" s="557"/>
      <c r="AQ799" s="87"/>
      <c r="AS799" s="503"/>
      <c r="AT799" s="85"/>
    </row>
    <row r="800" spans="1:46" s="527" customFormat="1" ht="15.5" hidden="1" outlineLevel="2" x14ac:dyDescent="0.35">
      <c r="B800" s="130"/>
      <c r="C800" s="181"/>
      <c r="D800" s="64"/>
      <c r="E800" s="555"/>
      <c r="F800" s="555"/>
      <c r="G800" s="555"/>
      <c r="H800" s="555"/>
      <c r="I800" s="555"/>
      <c r="J800" s="555"/>
      <c r="K800" s="555"/>
      <c r="L800" s="555"/>
      <c r="M800" s="555"/>
      <c r="N800" s="555"/>
      <c r="O800" s="555"/>
      <c r="P800" s="555"/>
      <c r="Q800" s="578"/>
      <c r="R800" s="578"/>
      <c r="S800" s="578"/>
      <c r="T800" s="578"/>
      <c r="U800" s="578"/>
      <c r="V800" s="578"/>
      <c r="W800" s="577"/>
      <c r="X800" s="554"/>
      <c r="Y800" s="554"/>
      <c r="Z800" s="578"/>
      <c r="AA800" s="578"/>
      <c r="AB800" s="578"/>
      <c r="AC800" s="578"/>
      <c r="AD800" s="181"/>
      <c r="AE800" s="181"/>
      <c r="AF800" s="181"/>
      <c r="AG800" s="181"/>
      <c r="AH800" s="181"/>
      <c r="AI800" s="181"/>
      <c r="AJ800" s="181"/>
      <c r="AK800" s="181"/>
      <c r="AL800" s="181"/>
      <c r="AM800" s="181"/>
      <c r="AN800" s="181"/>
      <c r="AO800" s="181"/>
      <c r="AP800" s="557"/>
      <c r="AQ800" s="87"/>
      <c r="AS800" s="503"/>
      <c r="AT800" s="85"/>
    </row>
    <row r="801" spans="2:46" s="527" customFormat="1" ht="15.5" hidden="1" outlineLevel="2" x14ac:dyDescent="0.35">
      <c r="B801" s="130"/>
      <c r="C801" s="181"/>
      <c r="D801" s="64"/>
      <c r="E801" s="555"/>
      <c r="F801" s="555"/>
      <c r="G801" s="555"/>
      <c r="H801" s="555"/>
      <c r="I801" s="555"/>
      <c r="J801" s="555"/>
      <c r="K801" s="555"/>
      <c r="L801" s="555"/>
      <c r="M801" s="555"/>
      <c r="N801" s="555"/>
      <c r="O801" s="555"/>
      <c r="P801" s="555"/>
      <c r="Q801" s="578"/>
      <c r="R801" s="578"/>
      <c r="S801" s="578"/>
      <c r="T801" s="578"/>
      <c r="U801" s="578"/>
      <c r="V801" s="578"/>
      <c r="W801" s="577"/>
      <c r="X801" s="554"/>
      <c r="Y801" s="554"/>
      <c r="Z801" s="578"/>
      <c r="AA801" s="578"/>
      <c r="AB801" s="578"/>
      <c r="AC801" s="578"/>
      <c r="AD801" s="181"/>
      <c r="AE801" s="181"/>
      <c r="AF801" s="181"/>
      <c r="AG801" s="181"/>
      <c r="AH801" s="181"/>
      <c r="AI801" s="181"/>
      <c r="AJ801" s="181"/>
      <c r="AK801" s="181"/>
      <c r="AL801" s="181"/>
      <c r="AM801" s="181"/>
      <c r="AN801" s="181"/>
      <c r="AO801" s="181"/>
      <c r="AP801" s="557"/>
      <c r="AQ801" s="87"/>
      <c r="AS801" s="503"/>
      <c r="AT801" s="85"/>
    </row>
    <row r="802" spans="2:46" s="527" customFormat="1" ht="15.5" hidden="1" outlineLevel="2" x14ac:dyDescent="0.35">
      <c r="B802" s="130"/>
      <c r="C802" s="181"/>
      <c r="D802" s="64"/>
      <c r="E802" s="555"/>
      <c r="F802" s="555"/>
      <c r="G802" s="555"/>
      <c r="H802" s="555"/>
      <c r="I802" s="555"/>
      <c r="J802" s="555"/>
      <c r="K802" s="555"/>
      <c r="L802" s="555"/>
      <c r="M802" s="555"/>
      <c r="N802" s="555"/>
      <c r="O802" s="555"/>
      <c r="P802" s="555"/>
      <c r="Q802" s="578"/>
      <c r="R802" s="578"/>
      <c r="S802" s="578"/>
      <c r="T802" s="578"/>
      <c r="U802" s="578"/>
      <c r="V802" s="578"/>
      <c r="W802" s="577"/>
      <c r="X802" s="554"/>
      <c r="Y802" s="554"/>
      <c r="Z802" s="578"/>
      <c r="AA802" s="578"/>
      <c r="AB802" s="578"/>
      <c r="AC802" s="578"/>
      <c r="AD802" s="181"/>
      <c r="AE802" s="181"/>
      <c r="AF802" s="181"/>
      <c r="AG802" s="181"/>
      <c r="AH802" s="181"/>
      <c r="AI802" s="181"/>
      <c r="AJ802" s="181"/>
      <c r="AK802" s="181"/>
      <c r="AL802" s="181"/>
      <c r="AM802" s="181"/>
      <c r="AN802" s="181"/>
      <c r="AO802" s="181"/>
      <c r="AP802" s="557"/>
      <c r="AQ802" s="87"/>
      <c r="AS802" s="503"/>
      <c r="AT802" s="85"/>
    </row>
    <row r="803" spans="2:46" s="527" customFormat="1" ht="15.5" hidden="1" outlineLevel="2" x14ac:dyDescent="0.35">
      <c r="B803" s="130"/>
      <c r="C803" s="181"/>
      <c r="D803" s="64"/>
      <c r="E803" s="555"/>
      <c r="F803" s="555"/>
      <c r="G803" s="555"/>
      <c r="H803" s="555"/>
      <c r="I803" s="555"/>
      <c r="J803" s="555"/>
      <c r="K803" s="555"/>
      <c r="L803" s="555"/>
      <c r="M803" s="555"/>
      <c r="N803" s="555"/>
      <c r="O803" s="555"/>
      <c r="P803" s="555"/>
      <c r="Q803" s="578"/>
      <c r="R803" s="578"/>
      <c r="S803" s="578"/>
      <c r="T803" s="578"/>
      <c r="U803" s="578"/>
      <c r="V803" s="578"/>
      <c r="W803" s="577"/>
      <c r="X803" s="554"/>
      <c r="Y803" s="554"/>
      <c r="Z803" s="578"/>
      <c r="AA803" s="578"/>
      <c r="AB803" s="578"/>
      <c r="AC803" s="578"/>
      <c r="AD803" s="181"/>
      <c r="AE803" s="181"/>
      <c r="AF803" s="181"/>
      <c r="AG803" s="181"/>
      <c r="AH803" s="181"/>
      <c r="AI803" s="181"/>
      <c r="AJ803" s="181"/>
      <c r="AK803" s="181"/>
      <c r="AL803" s="181"/>
      <c r="AM803" s="181"/>
      <c r="AN803" s="181"/>
      <c r="AO803" s="181"/>
      <c r="AP803" s="557"/>
      <c r="AQ803" s="87"/>
      <c r="AS803" s="503"/>
      <c r="AT803" s="85"/>
    </row>
    <row r="804" spans="2:46" s="527" customFormat="1" ht="15.5" hidden="1" outlineLevel="2" x14ac:dyDescent="0.35">
      <c r="B804" s="130"/>
      <c r="C804" s="181"/>
      <c r="D804" s="64"/>
      <c r="E804" s="555"/>
      <c r="F804" s="555"/>
      <c r="G804" s="555"/>
      <c r="H804" s="555"/>
      <c r="I804" s="555"/>
      <c r="J804" s="555"/>
      <c r="K804" s="555"/>
      <c r="L804" s="555"/>
      <c r="M804" s="555"/>
      <c r="N804" s="555"/>
      <c r="O804" s="555"/>
      <c r="P804" s="555"/>
      <c r="Q804" s="578"/>
      <c r="R804" s="578"/>
      <c r="S804" s="578"/>
      <c r="T804" s="578"/>
      <c r="U804" s="578"/>
      <c r="V804" s="578"/>
      <c r="W804" s="577"/>
      <c r="X804" s="554"/>
      <c r="Y804" s="554"/>
      <c r="Z804" s="578"/>
      <c r="AA804" s="578"/>
      <c r="AB804" s="578"/>
      <c r="AC804" s="578"/>
      <c r="AD804" s="181"/>
      <c r="AE804" s="181"/>
      <c r="AF804" s="181"/>
      <c r="AG804" s="181"/>
      <c r="AH804" s="181"/>
      <c r="AI804" s="181"/>
      <c r="AJ804" s="181"/>
      <c r="AK804" s="181"/>
      <c r="AL804" s="181"/>
      <c r="AM804" s="181"/>
      <c r="AN804" s="181"/>
      <c r="AO804" s="181"/>
      <c r="AP804" s="557"/>
      <c r="AQ804" s="87"/>
      <c r="AS804" s="503"/>
      <c r="AT804" s="85"/>
    </row>
    <row r="805" spans="2:46" s="527" customFormat="1" ht="15.5" hidden="1" outlineLevel="2" x14ac:dyDescent="0.35">
      <c r="B805" s="130"/>
      <c r="C805" s="181"/>
      <c r="D805" s="64"/>
      <c r="E805" s="555"/>
      <c r="F805" s="555"/>
      <c r="G805" s="555"/>
      <c r="H805" s="555"/>
      <c r="I805" s="555"/>
      <c r="J805" s="555"/>
      <c r="K805" s="555"/>
      <c r="L805" s="555"/>
      <c r="M805" s="555"/>
      <c r="N805" s="555"/>
      <c r="O805" s="555"/>
      <c r="P805" s="555"/>
      <c r="Q805" s="578"/>
      <c r="R805" s="578"/>
      <c r="S805" s="578"/>
      <c r="T805" s="578"/>
      <c r="U805" s="578"/>
      <c r="V805" s="578"/>
      <c r="W805" s="577"/>
      <c r="X805" s="554"/>
      <c r="Y805" s="554"/>
      <c r="Z805" s="578"/>
      <c r="AA805" s="578"/>
      <c r="AB805" s="578"/>
      <c r="AC805" s="578"/>
      <c r="AD805" s="181"/>
      <c r="AE805" s="181"/>
      <c r="AF805" s="181"/>
      <c r="AG805" s="181"/>
      <c r="AH805" s="181"/>
      <c r="AI805" s="181"/>
      <c r="AJ805" s="181"/>
      <c r="AK805" s="181"/>
      <c r="AL805" s="181"/>
      <c r="AM805" s="181"/>
      <c r="AN805" s="181"/>
      <c r="AO805" s="181"/>
      <c r="AP805" s="557"/>
      <c r="AQ805" s="87"/>
      <c r="AS805" s="503"/>
      <c r="AT805" s="85"/>
    </row>
    <row r="806" spans="2:46" hidden="1" outlineLevel="2" collapsed="1" x14ac:dyDescent="0.35">
      <c r="B806" s="457" t="s">
        <v>409</v>
      </c>
      <c r="C806" s="84"/>
      <c r="D806" s="84"/>
      <c r="E806" s="363"/>
      <c r="F806" s="63"/>
      <c r="G806" s="363"/>
      <c r="H806" s="87"/>
      <c r="I806" s="87"/>
      <c r="J806" s="365"/>
      <c r="L806" s="365"/>
      <c r="N806" s="365"/>
      <c r="AP806" s="181"/>
      <c r="AQ806" s="365" t="s">
        <v>410</v>
      </c>
      <c r="AS806" s="548"/>
    </row>
    <row r="807" spans="2:46" outlineLevel="1" collapsed="1" x14ac:dyDescent="0.35">
      <c r="B807" s="86"/>
      <c r="C807" s="84"/>
      <c r="D807" s="84"/>
      <c r="E807" s="363"/>
      <c r="F807" s="86"/>
      <c r="G807" s="363"/>
      <c r="H807" s="87"/>
      <c r="I807" s="87"/>
      <c r="J807" s="142"/>
      <c r="AP807" s="181"/>
      <c r="AQ807" s="181"/>
      <c r="AS807" s="548"/>
    </row>
    <row r="808" spans="2:46" s="564" customFormat="1" ht="16.5" outlineLevel="1" x14ac:dyDescent="0.35">
      <c r="B808" s="561" t="str">
        <f>IN!C4</f>
        <v>Laporan Keuangan June 2026</v>
      </c>
      <c r="C808" s="561"/>
      <c r="D808" s="561"/>
      <c r="E808" s="561"/>
      <c r="F808" s="561"/>
      <c r="G808" s="561"/>
      <c r="H808" s="561"/>
      <c r="I808" s="561"/>
      <c r="J808" s="561"/>
      <c r="K808" s="561"/>
      <c r="L808" s="561"/>
      <c r="M808" s="561"/>
      <c r="N808" s="561"/>
      <c r="O808" s="561"/>
      <c r="P808" s="561"/>
      <c r="Q808" s="561"/>
      <c r="R808" s="561"/>
      <c r="S808" s="561"/>
      <c r="T808" s="561"/>
      <c r="U808" s="561"/>
      <c r="V808" s="691"/>
      <c r="W808" s="692" t="s">
        <v>1027</v>
      </c>
      <c r="X808" s="561"/>
      <c r="Y808" s="561"/>
      <c r="Z808" s="561"/>
      <c r="AA808" s="561"/>
      <c r="AB808" s="561"/>
      <c r="AC808" s="561"/>
      <c r="AD808" s="561"/>
      <c r="AE808" s="561"/>
      <c r="AF808" s="561"/>
      <c r="AG808" s="561"/>
      <c r="AH808" s="561"/>
      <c r="AI808" s="561"/>
      <c r="AJ808" s="561"/>
      <c r="AK808" s="561"/>
      <c r="AL808" s="561"/>
      <c r="AM808" s="561"/>
      <c r="AN808" s="561"/>
      <c r="AO808" s="561"/>
      <c r="AP808" s="561"/>
      <c r="AQ808" s="563" t="str">
        <f>IN!D4</f>
        <v>Financial Statement Jun 2026</v>
      </c>
      <c r="AS808" s="565"/>
    </row>
    <row r="809" spans="2:46" s="634" customFormat="1" ht="15.5" outlineLevel="1" collapsed="1" x14ac:dyDescent="0.35">
      <c r="B809" s="739" t="s">
        <v>875</v>
      </c>
      <c r="C809" s="536" t="s">
        <v>1028</v>
      </c>
      <c r="D809" s="536"/>
      <c r="E809" s="537"/>
      <c r="F809" s="537"/>
      <c r="G809" s="537"/>
      <c r="H809" s="537"/>
      <c r="I809" s="537"/>
      <c r="J809" s="537"/>
      <c r="K809" s="537"/>
      <c r="L809" s="537"/>
      <c r="M809" s="537"/>
      <c r="N809" s="537"/>
      <c r="O809" s="537"/>
      <c r="P809" s="537"/>
      <c r="Q809" s="635"/>
      <c r="R809" s="635"/>
      <c r="S809" s="635"/>
      <c r="T809" s="635"/>
      <c r="U809" s="635"/>
      <c r="V809" s="635"/>
      <c r="W809" s="636"/>
      <c r="X809" s="539" t="str">
        <f>B809</f>
        <v>12.</v>
      </c>
      <c r="Y809" s="539" t="s">
        <v>1029</v>
      </c>
      <c r="Z809" s="635"/>
      <c r="AA809" s="635"/>
      <c r="AB809" s="635"/>
      <c r="AC809" s="635"/>
      <c r="AD809" s="637"/>
      <c r="AE809" s="637"/>
      <c r="AF809" s="637"/>
      <c r="AG809" s="637"/>
      <c r="AH809" s="637"/>
      <c r="AI809" s="637"/>
      <c r="AJ809" s="637"/>
      <c r="AK809" s="637"/>
      <c r="AL809" s="637"/>
      <c r="AM809" s="637"/>
      <c r="AN809" s="637"/>
      <c r="AO809" s="637"/>
      <c r="AP809" s="638"/>
      <c r="AQ809" s="638"/>
      <c r="AS809" s="639"/>
    </row>
    <row r="810" spans="2:46" ht="15.75" customHeight="1" outlineLevel="1" thickBot="1" x14ac:dyDescent="0.4">
      <c r="C810" s="3482" t="str">
        <f>IN!C8</f>
        <v>31 May 2026</v>
      </c>
      <c r="D810" s="3482"/>
      <c r="E810" s="3482"/>
      <c r="F810" s="3482"/>
      <c r="G810" s="3482"/>
      <c r="H810" s="3482"/>
      <c r="I810" s="3482"/>
      <c r="J810" s="3482"/>
      <c r="K810" s="3482"/>
      <c r="L810" s="3482"/>
      <c r="M810" s="3482"/>
      <c r="N810" s="3482"/>
      <c r="O810" s="3482"/>
      <c r="P810" s="3482"/>
      <c r="Q810" s="3482"/>
      <c r="R810" s="3482"/>
      <c r="S810" s="3482"/>
      <c r="T810" s="3482"/>
      <c r="U810" s="3482"/>
      <c r="V810" s="3482"/>
      <c r="W810" s="3482"/>
      <c r="X810" s="3482"/>
      <c r="Y810" s="3482"/>
      <c r="Z810" s="3482"/>
      <c r="AA810" s="3482"/>
      <c r="AB810" s="3482"/>
      <c r="AC810" s="3482"/>
      <c r="AD810" s="3482"/>
      <c r="AE810" s="3482"/>
      <c r="AF810" s="3482"/>
      <c r="AG810" s="3482"/>
      <c r="AH810" s="3482"/>
      <c r="AI810" s="3482"/>
      <c r="AJ810" s="3482"/>
      <c r="AK810" s="3482"/>
      <c r="AL810" s="3482"/>
      <c r="AM810" s="3482"/>
      <c r="AN810" s="3482"/>
      <c r="AO810" s="3482"/>
      <c r="AP810" s="3482"/>
      <c r="AQ810" s="3482"/>
      <c r="AS810" s="548"/>
    </row>
    <row r="811" spans="2:46" ht="13.5" outlineLevel="1" thickBot="1" x14ac:dyDescent="0.4">
      <c r="C811" s="3483" t="s">
        <v>446</v>
      </c>
      <c r="D811" s="3483"/>
      <c r="E811" s="3483"/>
      <c r="F811" s="3483"/>
      <c r="G811" s="3483"/>
      <c r="H811" s="3483"/>
      <c r="I811" s="3484" t="s">
        <v>925</v>
      </c>
      <c r="J811" s="3484"/>
      <c r="K811" s="3484"/>
      <c r="L811" s="3484"/>
      <c r="M811" s="3484"/>
      <c r="N811" s="3485" t="s">
        <v>981</v>
      </c>
      <c r="O811" s="3485"/>
      <c r="P811" s="3485"/>
      <c r="Q811" s="3485"/>
      <c r="R811" s="3485"/>
      <c r="S811" s="3485" t="s">
        <v>982</v>
      </c>
      <c r="T811" s="3485"/>
      <c r="U811" s="3485"/>
      <c r="V811" s="3485"/>
      <c r="W811" s="3485"/>
      <c r="X811" s="3485" t="s">
        <v>925</v>
      </c>
      <c r="Y811" s="3485"/>
      <c r="Z811" s="3485"/>
      <c r="AA811" s="3485"/>
      <c r="AB811" s="3485"/>
      <c r="AC811" s="3485" t="str">
        <f>"Sd " &amp; C810</f>
        <v>Sd 31 May 2026</v>
      </c>
      <c r="AD811" s="3485"/>
      <c r="AE811" s="3485"/>
      <c r="AF811" s="3485"/>
      <c r="AG811" s="3485"/>
      <c r="AH811" s="3485"/>
      <c r="AI811" s="3485"/>
      <c r="AJ811" s="3485"/>
      <c r="AK811" s="3485"/>
      <c r="AL811" s="3485"/>
      <c r="AM811" s="3486" t="s">
        <v>738</v>
      </c>
      <c r="AN811" s="3486"/>
      <c r="AO811" s="3486"/>
      <c r="AP811" s="3486"/>
      <c r="AQ811" s="3486"/>
      <c r="AS811" s="503"/>
    </row>
    <row r="812" spans="2:46" ht="14" outlineLevel="1" thickBot="1" x14ac:dyDescent="0.4">
      <c r="C812" s="3483"/>
      <c r="D812" s="3483"/>
      <c r="E812" s="3483"/>
      <c r="F812" s="3483"/>
      <c r="G812" s="3483"/>
      <c r="H812" s="3483"/>
      <c r="I812" s="3487" t="s">
        <v>927</v>
      </c>
      <c r="J812" s="3487"/>
      <c r="K812" s="3487"/>
      <c r="L812" s="3487"/>
      <c r="M812" s="3487"/>
      <c r="N812" s="3477" t="s">
        <v>983</v>
      </c>
      <c r="O812" s="3477"/>
      <c r="P812" s="3477"/>
      <c r="Q812" s="3477"/>
      <c r="R812" s="3477"/>
      <c r="S812" s="3476" t="s">
        <v>984</v>
      </c>
      <c r="T812" s="3476"/>
      <c r="U812" s="3476"/>
      <c r="V812" s="3476"/>
      <c r="W812" s="3476"/>
      <c r="X812" s="3477" t="s">
        <v>927</v>
      </c>
      <c r="Y812" s="3477"/>
      <c r="Z812" s="3477"/>
      <c r="AA812" s="3477"/>
      <c r="AB812" s="3477"/>
      <c r="AC812" s="3478" t="str">
        <f>"sd "&amp;IN!$C$8</f>
        <v>sd 31 May 2026</v>
      </c>
      <c r="AD812" s="3478"/>
      <c r="AE812" s="3478"/>
      <c r="AF812" s="3478"/>
      <c r="AG812" s="3478"/>
      <c r="AH812" s="3478"/>
      <c r="AI812" s="3478"/>
      <c r="AJ812" s="3478"/>
      <c r="AK812" s="3478"/>
      <c r="AL812" s="3478"/>
      <c r="AM812" s="3486"/>
      <c r="AN812" s="3486"/>
      <c r="AO812" s="3486"/>
      <c r="AP812" s="3486"/>
      <c r="AQ812" s="3486"/>
      <c r="AS812" s="548"/>
    </row>
    <row r="813" spans="2:46" ht="14" outlineLevel="1" thickBot="1" x14ac:dyDescent="0.4">
      <c r="C813" s="3483"/>
      <c r="D813" s="3483"/>
      <c r="E813" s="3483"/>
      <c r="F813" s="3483"/>
      <c r="G813" s="3483"/>
      <c r="H813" s="3483"/>
      <c r="I813" s="3479">
        <f>I364</f>
        <v>46173</v>
      </c>
      <c r="J813" s="3479"/>
      <c r="K813" s="3479"/>
      <c r="L813" s="3479"/>
      <c r="M813" s="3479"/>
      <c r="N813" s="3480"/>
      <c r="O813" s="3480"/>
      <c r="P813" s="3480"/>
      <c r="Q813" s="3480"/>
      <c r="R813" s="3480"/>
      <c r="S813" s="3477" t="s">
        <v>987</v>
      </c>
      <c r="T813" s="3477"/>
      <c r="U813" s="3477"/>
      <c r="V813" s="3477"/>
      <c r="W813" s="3477"/>
      <c r="X813" s="3481" t="str">
        <f>[8]IN!G26</f>
        <v>30 June 2023 /</v>
      </c>
      <c r="Y813" s="3480"/>
      <c r="Z813" s="3480"/>
      <c r="AA813" s="3480"/>
      <c r="AB813" s="3480"/>
      <c r="AC813" s="3476" t="s">
        <v>981</v>
      </c>
      <c r="AD813" s="3476"/>
      <c r="AE813" s="3476"/>
      <c r="AF813" s="3476"/>
      <c r="AG813" s="3476"/>
      <c r="AH813" s="3476" t="s">
        <v>988</v>
      </c>
      <c r="AI813" s="3476"/>
      <c r="AJ813" s="3476"/>
      <c r="AK813" s="3476"/>
      <c r="AL813" s="3476"/>
      <c r="AM813" s="3486"/>
      <c r="AN813" s="3486"/>
      <c r="AO813" s="3486"/>
      <c r="AP813" s="3486"/>
      <c r="AQ813" s="3486"/>
      <c r="AS813" s="548"/>
    </row>
    <row r="814" spans="2:46" ht="14" outlineLevel="1" thickBot="1" x14ac:dyDescent="0.4">
      <c r="C814" s="3483"/>
      <c r="D814" s="3483"/>
      <c r="E814" s="3483"/>
      <c r="F814" s="3483"/>
      <c r="G814" s="3483"/>
      <c r="H814" s="3483"/>
      <c r="I814" s="3471">
        <f>I365</f>
        <v>46173</v>
      </c>
      <c r="J814" s="3472"/>
      <c r="K814" s="3472"/>
      <c r="L814" s="3472"/>
      <c r="M814" s="3473"/>
      <c r="N814" s="3474"/>
      <c r="O814" s="3474"/>
      <c r="P814" s="3474"/>
      <c r="Q814" s="3474"/>
      <c r="R814" s="3474"/>
      <c r="S814" s="3475" t="s">
        <v>989</v>
      </c>
      <c r="T814" s="3475"/>
      <c r="U814" s="3475"/>
      <c r="V814" s="3475"/>
      <c r="W814" s="3475"/>
      <c r="X814" s="3471">
        <f>NRC!G10</f>
        <v>46173</v>
      </c>
      <c r="Y814" s="3471"/>
      <c r="Z814" s="3471"/>
      <c r="AA814" s="3471"/>
      <c r="AB814" s="3471"/>
      <c r="AC814" s="3475" t="s">
        <v>983</v>
      </c>
      <c r="AD814" s="3475"/>
      <c r="AE814" s="3475"/>
      <c r="AF814" s="3475"/>
      <c r="AG814" s="3475"/>
      <c r="AH814" s="3475" t="s">
        <v>990</v>
      </c>
      <c r="AI814" s="3475"/>
      <c r="AJ814" s="3475"/>
      <c r="AK814" s="3475"/>
      <c r="AL814" s="3475"/>
      <c r="AM814" s="3486"/>
      <c r="AN814" s="3486"/>
      <c r="AO814" s="3486"/>
      <c r="AP814" s="3486"/>
      <c r="AQ814" s="3486"/>
      <c r="AS814" s="548"/>
    </row>
    <row r="815" spans="2:46" outlineLevel="1" x14ac:dyDescent="0.35">
      <c r="C815" s="859"/>
      <c r="D815" s="64"/>
      <c r="E815" s="64"/>
      <c r="F815" s="64"/>
      <c r="G815" s="64"/>
      <c r="H815" s="860"/>
      <c r="I815" s="682"/>
      <c r="J815" s="672"/>
      <c r="K815" s="672"/>
      <c r="L815" s="672"/>
      <c r="M815" s="683"/>
      <c r="N815" s="672"/>
      <c r="O815" s="672"/>
      <c r="P815" s="672"/>
      <c r="Q815" s="672"/>
      <c r="R815" s="672"/>
      <c r="S815" s="682"/>
      <c r="T815" s="672"/>
      <c r="U815" s="672"/>
      <c r="V815" s="672"/>
      <c r="W815" s="683"/>
      <c r="X815" s="672"/>
      <c r="Y815" s="672"/>
      <c r="Z815" s="672"/>
      <c r="AA815" s="672"/>
      <c r="AB815" s="672"/>
      <c r="AC815" s="682"/>
      <c r="AD815" s="672"/>
      <c r="AE815" s="672"/>
      <c r="AF815" s="672"/>
      <c r="AG815" s="683"/>
      <c r="AH815" s="672"/>
      <c r="AI815" s="672"/>
      <c r="AJ815" s="672"/>
      <c r="AK815" s="672"/>
      <c r="AL815" s="683"/>
      <c r="AM815" s="673"/>
      <c r="AN815" s="673"/>
      <c r="AO815" s="673"/>
      <c r="AP815" s="649"/>
      <c r="AQ815" s="827"/>
      <c r="AS815" s="548"/>
    </row>
    <row r="816" spans="2:46" outlineLevel="1" x14ac:dyDescent="0.35">
      <c r="C816" s="859" t="s">
        <v>991</v>
      </c>
      <c r="E816" s="861"/>
      <c r="F816" s="861"/>
      <c r="G816" s="861"/>
      <c r="H816" s="860"/>
      <c r="I816" s="650"/>
      <c r="J816" s="649"/>
      <c r="K816" s="649"/>
      <c r="L816" s="649"/>
      <c r="M816" s="665"/>
      <c r="N816" s="649"/>
      <c r="O816" s="649"/>
      <c r="P816" s="649"/>
      <c r="Q816" s="649"/>
      <c r="R816" s="649"/>
      <c r="S816" s="650"/>
      <c r="T816" s="649"/>
      <c r="U816" s="649"/>
      <c r="V816" s="649"/>
      <c r="W816" s="665"/>
      <c r="X816" s="649"/>
      <c r="Y816" s="649"/>
      <c r="Z816" s="649"/>
      <c r="AA816" s="649"/>
      <c r="AB816" s="649"/>
      <c r="AC816" s="650"/>
      <c r="AD816" s="649"/>
      <c r="AE816" s="649"/>
      <c r="AF816" s="649"/>
      <c r="AG816" s="665"/>
      <c r="AH816" s="649"/>
      <c r="AI816" s="649"/>
      <c r="AJ816" s="649"/>
      <c r="AK816" s="649"/>
      <c r="AL816" s="665"/>
      <c r="AM816" s="649"/>
      <c r="AN816" s="649"/>
      <c r="AO816" s="649"/>
      <c r="AP816" s="649"/>
      <c r="AQ816" s="827" t="s">
        <v>992</v>
      </c>
      <c r="AS816" s="548"/>
    </row>
    <row r="817" spans="1:47" s="64" customFormat="1" outlineLevel="1" x14ac:dyDescent="0.35">
      <c r="A817" s="181"/>
      <c r="B817" s="130"/>
      <c r="C817" s="859" t="s">
        <v>993</v>
      </c>
      <c r="D817" s="181"/>
      <c r="E817" s="861"/>
      <c r="F817" s="861"/>
      <c r="G817" s="861"/>
      <c r="H817" s="860"/>
      <c r="I817" s="650"/>
      <c r="J817" s="649"/>
      <c r="K817" s="649"/>
      <c r="L817" s="649"/>
      <c r="M817" s="649"/>
      <c r="N817" s="649"/>
      <c r="O817" s="649"/>
      <c r="P817" s="649"/>
      <c r="Q817" s="649"/>
      <c r="R817" s="649"/>
      <c r="S817" s="650"/>
      <c r="T817" s="649"/>
      <c r="U817" s="649"/>
      <c r="V817" s="649"/>
      <c r="W817" s="665"/>
      <c r="X817" s="649"/>
      <c r="Y817" s="649"/>
      <c r="Z817" s="649"/>
      <c r="AA817" s="649"/>
      <c r="AB817" s="649"/>
      <c r="AC817" s="650"/>
      <c r="AD817" s="649"/>
      <c r="AE817" s="649"/>
      <c r="AF817" s="649"/>
      <c r="AG817" s="649"/>
      <c r="AH817" s="649"/>
      <c r="AI817" s="649"/>
      <c r="AJ817" s="649"/>
      <c r="AK817" s="649"/>
      <c r="AL817" s="665"/>
      <c r="AM817" s="649"/>
      <c r="AN817" s="649"/>
      <c r="AO817" s="649"/>
      <c r="AP817" s="649"/>
      <c r="AQ817" s="827" t="s">
        <v>994</v>
      </c>
      <c r="AR817" s="181"/>
      <c r="AS817" s="523"/>
    </row>
    <row r="818" spans="1:47" outlineLevel="1" x14ac:dyDescent="0.35">
      <c r="A818" s="64"/>
      <c r="C818" s="862" t="s">
        <v>995</v>
      </c>
      <c r="D818" s="64"/>
      <c r="E818" s="861"/>
      <c r="F818" s="861"/>
      <c r="G818" s="861"/>
      <c r="H818" s="860"/>
      <c r="I818" s="830"/>
      <c r="J818" s="831"/>
      <c r="K818" s="831"/>
      <c r="L818" s="831"/>
      <c r="M818" s="831"/>
      <c r="N818" s="830"/>
      <c r="O818" s="831"/>
      <c r="P818" s="831"/>
      <c r="Q818" s="831"/>
      <c r="R818" s="832"/>
      <c r="S818" s="831"/>
      <c r="T818" s="831"/>
      <c r="U818" s="831"/>
      <c r="V818" s="831"/>
      <c r="W818" s="831"/>
      <c r="X818" s="830"/>
      <c r="Y818" s="831"/>
      <c r="Z818" s="831"/>
      <c r="AA818" s="831"/>
      <c r="AB818" s="831"/>
      <c r="AC818" s="830"/>
      <c r="AD818" s="831"/>
      <c r="AE818" s="831"/>
      <c r="AF818" s="831"/>
      <c r="AG818" s="831"/>
      <c r="AH818" s="830"/>
      <c r="AI818" s="831"/>
      <c r="AJ818" s="831"/>
      <c r="AK818" s="831"/>
      <c r="AL818" s="832"/>
      <c r="AM818" s="649"/>
      <c r="AN818" s="649"/>
      <c r="AO818" s="649"/>
      <c r="AP818" s="674"/>
      <c r="AQ818" s="769" t="s">
        <v>360</v>
      </c>
      <c r="AR818" s="64"/>
      <c r="AS818" s="548"/>
    </row>
    <row r="819" spans="1:47" outlineLevel="1" x14ac:dyDescent="0.35">
      <c r="C819" s="863" t="s">
        <v>373</v>
      </c>
      <c r="E819" s="861"/>
      <c r="F819" s="861"/>
      <c r="G819" s="861"/>
      <c r="H819" s="860"/>
      <c r="I819" s="830"/>
      <c r="J819" s="831"/>
      <c r="K819" s="831"/>
      <c r="L819" s="831"/>
      <c r="M819" s="831"/>
      <c r="N819" s="830"/>
      <c r="O819" s="831"/>
      <c r="P819" s="831"/>
      <c r="Q819" s="831"/>
      <c r="R819" s="832"/>
      <c r="S819" s="831"/>
      <c r="T819" s="831"/>
      <c r="U819" s="834"/>
      <c r="V819" s="834"/>
      <c r="W819" s="834"/>
      <c r="X819" s="835"/>
      <c r="Y819" s="834"/>
      <c r="Z819" s="831"/>
      <c r="AA819" s="831"/>
      <c r="AB819" s="831"/>
      <c r="AC819" s="830"/>
      <c r="AD819" s="831"/>
      <c r="AE819" s="831"/>
      <c r="AF819" s="831"/>
      <c r="AG819" s="831"/>
      <c r="AH819" s="830"/>
      <c r="AI819" s="831"/>
      <c r="AJ819" s="831"/>
      <c r="AK819" s="831"/>
      <c r="AL819" s="832"/>
      <c r="AM819" s="649"/>
      <c r="AN819" s="649"/>
      <c r="AO819" s="649"/>
      <c r="AP819" s="640"/>
      <c r="AQ819" s="836" t="s">
        <v>374</v>
      </c>
      <c r="AS819" s="3317"/>
      <c r="AT819" s="3318"/>
    </row>
    <row r="820" spans="1:47" outlineLevel="1" x14ac:dyDescent="0.35">
      <c r="C820" s="864" t="s">
        <v>190</v>
      </c>
      <c r="D820" s="181" t="s">
        <v>996</v>
      </c>
      <c r="E820" s="861"/>
      <c r="F820" s="861"/>
      <c r="G820" s="861"/>
      <c r="H820" s="860"/>
      <c r="I820" s="3452">
        <v>0</v>
      </c>
      <c r="J820" s="3452"/>
      <c r="K820" s="3452"/>
      <c r="L820" s="3452"/>
      <c r="M820" s="3452"/>
      <c r="N820" s="3453">
        <v>0</v>
      </c>
      <c r="O820" s="3454"/>
      <c r="P820" s="3454"/>
      <c r="Q820" s="3454"/>
      <c r="R820" s="3455"/>
      <c r="S820" s="3453">
        <v>0</v>
      </c>
      <c r="T820" s="3454"/>
      <c r="U820" s="3454"/>
      <c r="V820" s="3454"/>
      <c r="W820" s="3455"/>
      <c r="X820" s="3437">
        <f>I820+N820-S820</f>
        <v>0</v>
      </c>
      <c r="Y820" s="3437"/>
      <c r="Z820" s="3437"/>
      <c r="AA820" s="3437"/>
      <c r="AB820" s="3437"/>
      <c r="AC820" s="3437">
        <v>0</v>
      </c>
      <c r="AD820" s="3437"/>
      <c r="AE820" s="3437"/>
      <c r="AF820" s="3437"/>
      <c r="AG820" s="3437"/>
      <c r="AH820" s="3452">
        <v>0</v>
      </c>
      <c r="AI820" s="3452"/>
      <c r="AJ820" s="3452"/>
      <c r="AK820" s="3452"/>
      <c r="AL820" s="3452"/>
      <c r="AM820" s="649"/>
      <c r="AN820" s="649"/>
      <c r="AO820" s="649"/>
      <c r="AP820" s="364" t="s">
        <v>996</v>
      </c>
      <c r="AQ820" s="678" t="s">
        <v>190</v>
      </c>
      <c r="AS820" s="3306">
        <f>AC820</f>
        <v>0</v>
      </c>
      <c r="AT820" s="3306">
        <f>AH820</f>
        <v>0</v>
      </c>
    </row>
    <row r="821" spans="1:47" outlineLevel="1" x14ac:dyDescent="0.35">
      <c r="C821" s="864" t="s">
        <v>190</v>
      </c>
      <c r="D821" s="181" t="s">
        <v>997</v>
      </c>
      <c r="E821" s="861"/>
      <c r="F821" s="861"/>
      <c r="G821" s="861"/>
      <c r="H821" s="860"/>
      <c r="I821" s="3452">
        <v>196146500</v>
      </c>
      <c r="J821" s="3452"/>
      <c r="K821" s="3452"/>
      <c r="L821" s="3452"/>
      <c r="M821" s="3452"/>
      <c r="N821" s="3453">
        <v>80000</v>
      </c>
      <c r="O821" s="3454"/>
      <c r="P821" s="3454"/>
      <c r="Q821" s="3454"/>
      <c r="R821" s="3455"/>
      <c r="S821" s="3453">
        <v>13209900</v>
      </c>
      <c r="T821" s="3454"/>
      <c r="U821" s="3454"/>
      <c r="V821" s="3454"/>
      <c r="W821" s="3455"/>
      <c r="X821" s="3437">
        <f>I821+N821-S821</f>
        <v>183016600</v>
      </c>
      <c r="Y821" s="3437"/>
      <c r="Z821" s="3437"/>
      <c r="AA821" s="3437"/>
      <c r="AB821" s="3437"/>
      <c r="AC821" s="3437">
        <v>232080000</v>
      </c>
      <c r="AD821" s="3437"/>
      <c r="AE821" s="3437"/>
      <c r="AF821" s="3437"/>
      <c r="AG821" s="3437"/>
      <c r="AH821" s="3452">
        <v>98045000</v>
      </c>
      <c r="AI821" s="3452"/>
      <c r="AJ821" s="3452"/>
      <c r="AK821" s="3452"/>
      <c r="AL821" s="3452"/>
      <c r="AM821" s="649"/>
      <c r="AN821" s="649"/>
      <c r="AO821" s="649"/>
      <c r="AP821" s="364" t="s">
        <v>997</v>
      </c>
      <c r="AQ821" s="678" t="s">
        <v>190</v>
      </c>
      <c r="AS821" s="3306">
        <f t="shared" ref="AS821:AS822" si="16">AC821</f>
        <v>232080000</v>
      </c>
      <c r="AT821" s="3306">
        <f t="shared" ref="AT821:AT822" si="17">AH821</f>
        <v>98045000</v>
      </c>
      <c r="AU821" s="735"/>
    </row>
    <row r="822" spans="1:47" outlineLevel="1" x14ac:dyDescent="0.35">
      <c r="C822" s="864" t="s">
        <v>190</v>
      </c>
      <c r="D822" s="181" t="s">
        <v>998</v>
      </c>
      <c r="E822" s="861"/>
      <c r="F822" s="861"/>
      <c r="G822" s="861"/>
      <c r="H822" s="860"/>
      <c r="I822" s="3452">
        <v>85311000</v>
      </c>
      <c r="J822" s="3452"/>
      <c r="K822" s="3452"/>
      <c r="L822" s="3452"/>
      <c r="M822" s="3452"/>
      <c r="N822" s="3465">
        <v>123305000</v>
      </c>
      <c r="O822" s="3466"/>
      <c r="P822" s="3466"/>
      <c r="Q822" s="3466"/>
      <c r="R822" s="3467"/>
      <c r="S822" s="3468">
        <v>40409900</v>
      </c>
      <c r="T822" s="3469"/>
      <c r="U822" s="3469"/>
      <c r="V822" s="3469"/>
      <c r="W822" s="3470"/>
      <c r="X822" s="3437">
        <f>I822+N822-S822</f>
        <v>168206100</v>
      </c>
      <c r="Y822" s="3437"/>
      <c r="Z822" s="3437"/>
      <c r="AA822" s="3437"/>
      <c r="AB822" s="3437"/>
      <c r="AC822" s="3437">
        <v>296996100</v>
      </c>
      <c r="AD822" s="3437"/>
      <c r="AE822" s="3437"/>
      <c r="AF822" s="3437"/>
      <c r="AG822" s="3437"/>
      <c r="AH822" s="3452">
        <v>151957700</v>
      </c>
      <c r="AI822" s="3452"/>
      <c r="AJ822" s="3452"/>
      <c r="AK822" s="3452"/>
      <c r="AL822" s="3452"/>
      <c r="AM822" s="649"/>
      <c r="AN822" s="649"/>
      <c r="AO822" s="649"/>
      <c r="AP822" s="364" t="s">
        <v>998</v>
      </c>
      <c r="AQ822" s="678" t="s">
        <v>190</v>
      </c>
      <c r="AS822" s="3306">
        <f t="shared" si="16"/>
        <v>296996100</v>
      </c>
      <c r="AT822" s="3306">
        <f t="shared" si="17"/>
        <v>151957700</v>
      </c>
      <c r="AU822" s="735"/>
    </row>
    <row r="823" spans="1:47" outlineLevel="1" x14ac:dyDescent="0.35">
      <c r="C823" s="864"/>
      <c r="E823" s="861"/>
      <c r="F823" s="861"/>
      <c r="G823" s="861"/>
      <c r="H823" s="860"/>
      <c r="I823" s="3464">
        <f>SUM(I820:M822)</f>
        <v>281457500</v>
      </c>
      <c r="J823" s="3464"/>
      <c r="K823" s="3464"/>
      <c r="L823" s="3464"/>
      <c r="M823" s="3464"/>
      <c r="N823" s="3458">
        <f>SUM(N820:R822)</f>
        <v>123385000</v>
      </c>
      <c r="O823" s="3458"/>
      <c r="P823" s="3458"/>
      <c r="Q823" s="3458"/>
      <c r="R823" s="3458"/>
      <c r="S823" s="3458">
        <v>8746900</v>
      </c>
      <c r="T823" s="3458"/>
      <c r="U823" s="3458"/>
      <c r="V823" s="3458"/>
      <c r="W823" s="3458"/>
      <c r="X823" s="3464">
        <f>SUM(X820:AB822)</f>
        <v>351222700</v>
      </c>
      <c r="Y823" s="3464"/>
      <c r="Z823" s="3464"/>
      <c r="AA823" s="3464"/>
      <c r="AB823" s="3464"/>
      <c r="AC823" s="3458">
        <f>SUM(AC820:AG822)</f>
        <v>529076100</v>
      </c>
      <c r="AD823" s="3458"/>
      <c r="AE823" s="3458"/>
      <c r="AF823" s="3458"/>
      <c r="AG823" s="3458"/>
      <c r="AH823" s="3464">
        <f>SUM(AH820:AL822)</f>
        <v>250002700</v>
      </c>
      <c r="AI823" s="3464"/>
      <c r="AJ823" s="3464"/>
      <c r="AK823" s="3464"/>
      <c r="AL823" s="3464"/>
      <c r="AM823" s="649"/>
      <c r="AN823" s="649"/>
      <c r="AO823" s="649"/>
      <c r="AP823" s="640"/>
      <c r="AQ823" s="678"/>
      <c r="AS823" s="3307">
        <f>SUM(AS820:AS822)</f>
        <v>529076100</v>
      </c>
      <c r="AT823" s="3307">
        <f>SUM(AT820:AT822)</f>
        <v>250002700</v>
      </c>
      <c r="AU823" s="735"/>
    </row>
    <row r="824" spans="1:47" outlineLevel="1" x14ac:dyDescent="0.35">
      <c r="C824" s="863" t="s">
        <v>999</v>
      </c>
      <c r="E824" s="861"/>
      <c r="F824" s="861"/>
      <c r="G824" s="861"/>
      <c r="H824" s="860"/>
      <c r="I824" s="834"/>
      <c r="J824" s="834"/>
      <c r="K824" s="834"/>
      <c r="L824" s="834"/>
      <c r="M824" s="834"/>
      <c r="N824" s="835"/>
      <c r="O824" s="834"/>
      <c r="P824" s="831"/>
      <c r="Q824" s="831"/>
      <c r="R824" s="832"/>
      <c r="S824" s="831"/>
      <c r="T824" s="831"/>
      <c r="U824" s="834"/>
      <c r="V824" s="834"/>
      <c r="W824" s="834"/>
      <c r="X824" s="835"/>
      <c r="Y824" s="834"/>
      <c r="Z824" s="834"/>
      <c r="AA824" s="834"/>
      <c r="AB824" s="839"/>
      <c r="AC824" s="834"/>
      <c r="AD824" s="834"/>
      <c r="AE824" s="834"/>
      <c r="AF824" s="834"/>
      <c r="AG824" s="834"/>
      <c r="AH824" s="835"/>
      <c r="AI824" s="834"/>
      <c r="AJ824" s="834"/>
      <c r="AK824" s="834"/>
      <c r="AL824" s="834"/>
      <c r="AM824" s="650"/>
      <c r="AN824" s="649"/>
      <c r="AO824" s="649"/>
      <c r="AP824" s="640"/>
      <c r="AQ824" s="838" t="s">
        <v>376</v>
      </c>
      <c r="AS824" s="3306"/>
      <c r="AT824" s="3308"/>
    </row>
    <row r="825" spans="1:47" outlineLevel="1" x14ac:dyDescent="0.35">
      <c r="C825" s="864" t="s">
        <v>190</v>
      </c>
      <c r="D825" s="181" t="s">
        <v>1000</v>
      </c>
      <c r="E825" s="861"/>
      <c r="F825" s="861"/>
      <c r="G825" s="861"/>
      <c r="H825" s="860"/>
      <c r="I825" s="3452">
        <v>32150000</v>
      </c>
      <c r="J825" s="3452"/>
      <c r="K825" s="3452"/>
      <c r="L825" s="3452"/>
      <c r="M825" s="3452"/>
      <c r="N825" s="3452">
        <v>37350000</v>
      </c>
      <c r="O825" s="3452"/>
      <c r="P825" s="3452"/>
      <c r="Q825" s="3452"/>
      <c r="R825" s="3452"/>
      <c r="S825" s="3452">
        <v>69500000</v>
      </c>
      <c r="T825" s="3452"/>
      <c r="U825" s="3452"/>
      <c r="V825" s="3452"/>
      <c r="W825" s="3452"/>
      <c r="X825" s="3437">
        <f>I825+N825-S825</f>
        <v>0</v>
      </c>
      <c r="Y825" s="3437"/>
      <c r="Z825" s="3437"/>
      <c r="AA825" s="3437"/>
      <c r="AB825" s="3437"/>
      <c r="AC825" s="3437">
        <v>69500000</v>
      </c>
      <c r="AD825" s="3437"/>
      <c r="AE825" s="3437"/>
      <c r="AF825" s="3437"/>
      <c r="AG825" s="3437"/>
      <c r="AH825" s="3452">
        <v>69500000</v>
      </c>
      <c r="AI825" s="3452"/>
      <c r="AJ825" s="3452"/>
      <c r="AK825" s="3452"/>
      <c r="AL825" s="3452"/>
      <c r="AM825" s="649"/>
      <c r="AN825" s="649"/>
      <c r="AO825" s="649"/>
      <c r="AP825" s="640" t="s">
        <v>1001</v>
      </c>
      <c r="AQ825" s="678" t="s">
        <v>190</v>
      </c>
      <c r="AS825" s="3306">
        <f>AC825</f>
        <v>69500000</v>
      </c>
      <c r="AT825" s="3308">
        <f>AH825</f>
        <v>69500000</v>
      </c>
    </row>
    <row r="826" spans="1:47" outlineLevel="1" x14ac:dyDescent="0.35">
      <c r="C826" s="864" t="s">
        <v>190</v>
      </c>
      <c r="D826" s="181" t="s">
        <v>1002</v>
      </c>
      <c r="E826" s="861"/>
      <c r="F826" s="861"/>
      <c r="G826" s="861"/>
      <c r="H826" s="860"/>
      <c r="I826" s="3452">
        <v>0</v>
      </c>
      <c r="J826" s="3452"/>
      <c r="K826" s="3452"/>
      <c r="L826" s="3452"/>
      <c r="M826" s="3452"/>
      <c r="N826" s="3452">
        <v>0</v>
      </c>
      <c r="O826" s="3452"/>
      <c r="P826" s="3452"/>
      <c r="Q826" s="3452"/>
      <c r="R826" s="3452"/>
      <c r="S826" s="3452">
        <v>0</v>
      </c>
      <c r="T826" s="3452"/>
      <c r="U826" s="3452"/>
      <c r="V826" s="3452"/>
      <c r="W826" s="3452"/>
      <c r="X826" s="3437">
        <f t="shared" ref="X826:X828" si="18">I826+N826-S826</f>
        <v>0</v>
      </c>
      <c r="Y826" s="3437"/>
      <c r="Z826" s="3437"/>
      <c r="AA826" s="3437"/>
      <c r="AB826" s="3437"/>
      <c r="AC826" s="3437">
        <v>5000000</v>
      </c>
      <c r="AD826" s="3437"/>
      <c r="AE826" s="3437"/>
      <c r="AF826" s="3437"/>
      <c r="AG826" s="3437"/>
      <c r="AH826" s="3452">
        <v>5000000</v>
      </c>
      <c r="AI826" s="3452"/>
      <c r="AJ826" s="3452"/>
      <c r="AK826" s="3452"/>
      <c r="AL826" s="3452"/>
      <c r="AM826" s="649"/>
      <c r="AN826" s="649"/>
      <c r="AO826" s="649"/>
      <c r="AP826" s="640" t="s">
        <v>1002</v>
      </c>
      <c r="AQ826" s="678" t="s">
        <v>190</v>
      </c>
      <c r="AS826" s="3306">
        <f t="shared" ref="AS826:AS828" si="19">AC826</f>
        <v>5000000</v>
      </c>
      <c r="AT826" s="3308">
        <f t="shared" ref="AT826:AT828" si="20">AH826</f>
        <v>5000000</v>
      </c>
    </row>
    <row r="827" spans="1:47" outlineLevel="1" x14ac:dyDescent="0.35">
      <c r="C827" s="864" t="s">
        <v>190</v>
      </c>
      <c r="D827" s="181" t="s">
        <v>1003</v>
      </c>
      <c r="E827" s="861"/>
      <c r="F827" s="861"/>
      <c r="G827" s="861"/>
      <c r="H827" s="860"/>
      <c r="I827" s="3452">
        <v>0</v>
      </c>
      <c r="J827" s="3452"/>
      <c r="K827" s="3452"/>
      <c r="L827" s="3452"/>
      <c r="M827" s="3452"/>
      <c r="N827" s="3452">
        <v>0</v>
      </c>
      <c r="O827" s="3452"/>
      <c r="P827" s="3452"/>
      <c r="Q827" s="3452"/>
      <c r="R827" s="3452"/>
      <c r="S827" s="3452">
        <v>0</v>
      </c>
      <c r="T827" s="3452"/>
      <c r="U827" s="3452"/>
      <c r="V827" s="3452"/>
      <c r="W827" s="3452"/>
      <c r="X827" s="3437">
        <f t="shared" si="18"/>
        <v>0</v>
      </c>
      <c r="Y827" s="3437"/>
      <c r="Z827" s="3437"/>
      <c r="AA827" s="3437"/>
      <c r="AB827" s="3437"/>
      <c r="AC827" s="3437">
        <v>22200000</v>
      </c>
      <c r="AD827" s="3437"/>
      <c r="AE827" s="3437"/>
      <c r="AF827" s="3437"/>
      <c r="AG827" s="3437"/>
      <c r="AH827" s="3452">
        <v>22200000</v>
      </c>
      <c r="AI827" s="3452"/>
      <c r="AJ827" s="3452"/>
      <c r="AK827" s="3452"/>
      <c r="AL827" s="3452"/>
      <c r="AM827" s="649"/>
      <c r="AN827" s="649"/>
      <c r="AO827" s="649"/>
      <c r="AP827" s="640" t="s">
        <v>1004</v>
      </c>
      <c r="AQ827" s="678" t="s">
        <v>190</v>
      </c>
      <c r="AS827" s="3306">
        <f t="shared" si="19"/>
        <v>22200000</v>
      </c>
      <c r="AT827" s="3308">
        <f t="shared" si="20"/>
        <v>22200000</v>
      </c>
    </row>
    <row r="828" spans="1:47" outlineLevel="1" x14ac:dyDescent="0.35">
      <c r="C828" s="864" t="s">
        <v>190</v>
      </c>
      <c r="D828" s="181" t="s">
        <v>1005</v>
      </c>
      <c r="E828" s="861"/>
      <c r="F828" s="861"/>
      <c r="G828" s="861"/>
      <c r="H828" s="860"/>
      <c r="I828" s="3452">
        <v>0</v>
      </c>
      <c r="J828" s="3452"/>
      <c r="K828" s="3452"/>
      <c r="L828" s="3452"/>
      <c r="M828" s="3452"/>
      <c r="N828" s="3452">
        <v>0</v>
      </c>
      <c r="O828" s="3452"/>
      <c r="P828" s="3452"/>
      <c r="Q828" s="3452"/>
      <c r="R828" s="3452"/>
      <c r="S828" s="3452">
        <v>0</v>
      </c>
      <c r="T828" s="3452"/>
      <c r="U828" s="3452"/>
      <c r="V828" s="3452"/>
      <c r="W828" s="3452"/>
      <c r="X828" s="3437">
        <f t="shared" si="18"/>
        <v>0</v>
      </c>
      <c r="Y828" s="3437"/>
      <c r="Z828" s="3437"/>
      <c r="AA828" s="3437"/>
      <c r="AB828" s="3437"/>
      <c r="AC828" s="3437">
        <v>11963300</v>
      </c>
      <c r="AD828" s="3437"/>
      <c r="AE828" s="3437"/>
      <c r="AF828" s="3437"/>
      <c r="AG828" s="3437"/>
      <c r="AH828" s="3452">
        <v>11963300</v>
      </c>
      <c r="AI828" s="3452"/>
      <c r="AJ828" s="3452"/>
      <c r="AK828" s="3452"/>
      <c r="AL828" s="3452"/>
      <c r="AM828" s="649"/>
      <c r="AN828" s="649"/>
      <c r="AO828" s="649"/>
      <c r="AP828" s="640" t="s">
        <v>1006</v>
      </c>
      <c r="AQ828" s="678" t="s">
        <v>190</v>
      </c>
      <c r="AS828" s="3306">
        <f t="shared" si="19"/>
        <v>11963300</v>
      </c>
      <c r="AT828" s="3308">
        <f t="shared" si="20"/>
        <v>11963300</v>
      </c>
    </row>
    <row r="829" spans="1:47" outlineLevel="1" x14ac:dyDescent="0.35">
      <c r="C829" s="864"/>
      <c r="E829" s="861"/>
      <c r="F829" s="861"/>
      <c r="G829" s="861"/>
      <c r="H829" s="860"/>
      <c r="I829" s="3464">
        <f>SUM(I825:M828)</f>
        <v>32150000</v>
      </c>
      <c r="J829" s="3464"/>
      <c r="K829" s="3464"/>
      <c r="L829" s="3464"/>
      <c r="M829" s="3464"/>
      <c r="N829" s="3458">
        <f>SUM(N825:R828)</f>
        <v>37350000</v>
      </c>
      <c r="O829" s="3458"/>
      <c r="P829" s="3458"/>
      <c r="Q829" s="3458"/>
      <c r="R829" s="3458"/>
      <c r="S829" s="3458">
        <f>SUM(S825:W828)</f>
        <v>69500000</v>
      </c>
      <c r="T829" s="3458"/>
      <c r="U829" s="3458"/>
      <c r="V829" s="3458"/>
      <c r="W829" s="3458"/>
      <c r="X829" s="3458">
        <f>SUM(X825:AB828)</f>
        <v>0</v>
      </c>
      <c r="Y829" s="3458"/>
      <c r="Z829" s="3458"/>
      <c r="AA829" s="3458"/>
      <c r="AB829" s="3458"/>
      <c r="AC829" s="3458">
        <f>SUM(AC825:AG828)</f>
        <v>108663300</v>
      </c>
      <c r="AD829" s="3458"/>
      <c r="AE829" s="3458"/>
      <c r="AF829" s="3458"/>
      <c r="AG829" s="3458"/>
      <c r="AH829" s="3464">
        <f>SUM(AH825:AL828)</f>
        <v>108663300</v>
      </c>
      <c r="AI829" s="3464"/>
      <c r="AJ829" s="3464"/>
      <c r="AK829" s="3464"/>
      <c r="AL829" s="3464"/>
      <c r="AM829" s="649"/>
      <c r="AN829" s="649"/>
      <c r="AO829" s="649"/>
      <c r="AP829" s="640"/>
      <c r="AQ829" s="678"/>
      <c r="AS829" s="3309">
        <f>SUM(AS825:AS828)</f>
        <v>108663300</v>
      </c>
      <c r="AT829" s="3309">
        <f>SUM(AT825:AT828)</f>
        <v>108663300</v>
      </c>
    </row>
    <row r="830" spans="1:47" outlineLevel="1" x14ac:dyDescent="0.35">
      <c r="C830" s="863" t="s">
        <v>1007</v>
      </c>
      <c r="E830" s="861"/>
      <c r="F830" s="861"/>
      <c r="G830" s="861"/>
      <c r="H830" s="860"/>
      <c r="I830" s="830"/>
      <c r="J830" s="831"/>
      <c r="K830" s="831"/>
      <c r="L830" s="831"/>
      <c r="M830" s="832"/>
      <c r="N830" s="831"/>
      <c r="O830" s="831"/>
      <c r="P830" s="831"/>
      <c r="Q830" s="831"/>
      <c r="R830" s="831"/>
      <c r="S830" s="830"/>
      <c r="T830" s="831"/>
      <c r="U830" s="834"/>
      <c r="V830" s="834"/>
      <c r="W830" s="839"/>
      <c r="X830" s="834"/>
      <c r="Y830" s="834"/>
      <c r="Z830" s="831"/>
      <c r="AA830" s="831"/>
      <c r="AB830" s="831"/>
      <c r="AC830" s="830"/>
      <c r="AD830" s="831"/>
      <c r="AE830" s="831"/>
      <c r="AF830" s="831"/>
      <c r="AG830" s="832"/>
      <c r="AH830" s="831"/>
      <c r="AI830" s="831"/>
      <c r="AJ830" s="831"/>
      <c r="AK830" s="831"/>
      <c r="AL830" s="832"/>
      <c r="AM830" s="649"/>
      <c r="AN830" s="649"/>
      <c r="AO830" s="649"/>
      <c r="AP830" s="640"/>
      <c r="AQ830" s="838" t="s">
        <v>386</v>
      </c>
      <c r="AS830" s="3310"/>
      <c r="AT830" s="3308"/>
    </row>
    <row r="831" spans="1:47" outlineLevel="1" x14ac:dyDescent="0.35">
      <c r="C831" s="864" t="s">
        <v>190</v>
      </c>
      <c r="D831" s="181" t="s">
        <v>1008</v>
      </c>
      <c r="E831" s="861"/>
      <c r="F831" s="861"/>
      <c r="G831" s="861"/>
      <c r="H831" s="860"/>
      <c r="I831" s="3452">
        <v>0</v>
      </c>
      <c r="J831" s="3452"/>
      <c r="K831" s="3452"/>
      <c r="L831" s="3452"/>
      <c r="M831" s="3452"/>
      <c r="N831" s="3452">
        <v>0</v>
      </c>
      <c r="O831" s="3452"/>
      <c r="P831" s="3452"/>
      <c r="Q831" s="3452"/>
      <c r="R831" s="3452"/>
      <c r="S831" s="3452">
        <v>0</v>
      </c>
      <c r="T831" s="3452"/>
      <c r="U831" s="3452"/>
      <c r="V831" s="3452"/>
      <c r="W831" s="3452"/>
      <c r="X831" s="3437">
        <v>0</v>
      </c>
      <c r="Y831" s="3437"/>
      <c r="Z831" s="3437"/>
      <c r="AA831" s="3437"/>
      <c r="AB831" s="3437"/>
      <c r="AC831" s="3437">
        <v>0</v>
      </c>
      <c r="AD831" s="3437"/>
      <c r="AE831" s="3437"/>
      <c r="AF831" s="3437"/>
      <c r="AG831" s="3437"/>
      <c r="AH831" s="3452">
        <v>0</v>
      </c>
      <c r="AI831" s="3452"/>
      <c r="AJ831" s="3452"/>
      <c r="AK831" s="3452"/>
      <c r="AL831" s="3452"/>
      <c r="AM831" s="649"/>
      <c r="AN831" s="649"/>
      <c r="AO831" s="649"/>
      <c r="AP831" s="640" t="s">
        <v>1009</v>
      </c>
      <c r="AQ831" s="678" t="s">
        <v>190</v>
      </c>
      <c r="AS831" s="3310">
        <f>AC831</f>
        <v>0</v>
      </c>
      <c r="AT831" s="3308">
        <f>AH831</f>
        <v>0</v>
      </c>
    </row>
    <row r="832" spans="1:47" outlineLevel="1" x14ac:dyDescent="0.35">
      <c r="C832" s="864" t="s">
        <v>190</v>
      </c>
      <c r="D832" s="181" t="s">
        <v>1010</v>
      </c>
      <c r="E832" s="861"/>
      <c r="F832" s="861"/>
      <c r="G832" s="861"/>
      <c r="H832" s="860"/>
      <c r="I832" s="3452">
        <v>0</v>
      </c>
      <c r="J832" s="3452"/>
      <c r="K832" s="3452"/>
      <c r="L832" s="3452"/>
      <c r="M832" s="3452"/>
      <c r="N832" s="3452">
        <v>0</v>
      </c>
      <c r="O832" s="3452"/>
      <c r="P832" s="3452"/>
      <c r="Q832" s="3452"/>
      <c r="R832" s="3452"/>
      <c r="S832" s="3452">
        <v>0</v>
      </c>
      <c r="T832" s="3452"/>
      <c r="U832" s="3452"/>
      <c r="V832" s="3452"/>
      <c r="W832" s="3452"/>
      <c r="X832" s="3437">
        <v>0</v>
      </c>
      <c r="Y832" s="3437"/>
      <c r="Z832" s="3437"/>
      <c r="AA832" s="3437"/>
      <c r="AB832" s="3437"/>
      <c r="AC832" s="3437">
        <v>0</v>
      </c>
      <c r="AD832" s="3437"/>
      <c r="AE832" s="3437"/>
      <c r="AF832" s="3437"/>
      <c r="AG832" s="3437"/>
      <c r="AH832" s="3452">
        <v>0</v>
      </c>
      <c r="AI832" s="3452"/>
      <c r="AJ832" s="3452"/>
      <c r="AK832" s="3452"/>
      <c r="AL832" s="3452"/>
      <c r="AM832" s="649"/>
      <c r="AN832" s="649"/>
      <c r="AO832" s="649"/>
      <c r="AP832" s="640" t="s">
        <v>1011</v>
      </c>
      <c r="AQ832" s="678" t="s">
        <v>190</v>
      </c>
      <c r="AS832" s="3310">
        <f>AC832</f>
        <v>0</v>
      </c>
      <c r="AT832" s="3308">
        <f>AH832</f>
        <v>0</v>
      </c>
    </row>
    <row r="833" spans="1:46" hidden="1" outlineLevel="2" x14ac:dyDescent="0.35">
      <c r="C833" s="864"/>
      <c r="E833" s="861"/>
      <c r="F833" s="861"/>
      <c r="G833" s="861"/>
      <c r="H833" s="860"/>
      <c r="I833" s="3463">
        <v>0</v>
      </c>
      <c r="J833" s="3463"/>
      <c r="K833" s="3463"/>
      <c r="L833" s="3463"/>
      <c r="M833" s="3463"/>
      <c r="N833" s="3457"/>
      <c r="O833" s="3457"/>
      <c r="P833" s="3457"/>
      <c r="Q833" s="3457"/>
      <c r="R833" s="3457"/>
      <c r="S833" s="3457"/>
      <c r="T833" s="3457"/>
      <c r="U833" s="3457"/>
      <c r="V833" s="3457"/>
      <c r="W833" s="3457"/>
      <c r="X833" s="3437"/>
      <c r="Y833" s="3437"/>
      <c r="Z833" s="3437"/>
      <c r="AA833" s="3437"/>
      <c r="AB833" s="3437"/>
      <c r="AC833" s="3437">
        <f>N833+AS833</f>
        <v>0</v>
      </c>
      <c r="AD833" s="3437"/>
      <c r="AE833" s="3437"/>
      <c r="AF833" s="3437"/>
      <c r="AG833" s="3437"/>
      <c r="AH833" s="3452">
        <f>S833+AT833</f>
        <v>0</v>
      </c>
      <c r="AI833" s="3452"/>
      <c r="AJ833" s="3452"/>
      <c r="AK833" s="3452"/>
      <c r="AL833" s="3452"/>
      <c r="AM833" s="649"/>
      <c r="AN833" s="649"/>
      <c r="AO833" s="649"/>
      <c r="AP833" s="640" t="s">
        <v>1012</v>
      </c>
      <c r="AQ833" s="678"/>
      <c r="AS833" s="3311"/>
      <c r="AT833" s="3312"/>
    </row>
    <row r="834" spans="1:46" outlineLevel="1" collapsed="1" x14ac:dyDescent="0.35">
      <c r="C834" s="864"/>
      <c r="E834" s="861"/>
      <c r="F834" s="861"/>
      <c r="G834" s="861"/>
      <c r="H834" s="860"/>
      <c r="I834" s="3462">
        <f>SUM(I831:M833)</f>
        <v>0</v>
      </c>
      <c r="J834" s="3462"/>
      <c r="K834" s="3462"/>
      <c r="L834" s="3462"/>
      <c r="M834" s="3462"/>
      <c r="N834" s="3462">
        <f>SUM(N831:R833)</f>
        <v>0</v>
      </c>
      <c r="O834" s="3462"/>
      <c r="P834" s="3462"/>
      <c r="Q834" s="3462"/>
      <c r="R834" s="3462"/>
      <c r="S834" s="3462">
        <f>SUM(S831:W833)</f>
        <v>0</v>
      </c>
      <c r="T834" s="3462"/>
      <c r="U834" s="3462"/>
      <c r="V834" s="3462"/>
      <c r="W834" s="3462"/>
      <c r="X834" s="3462">
        <f>SUM(X831:AB832)</f>
        <v>0</v>
      </c>
      <c r="Y834" s="3462"/>
      <c r="Z834" s="3462"/>
      <c r="AA834" s="3462"/>
      <c r="AB834" s="3462"/>
      <c r="AC834" s="3462">
        <f>SUM(AC831:AG833)</f>
        <v>0</v>
      </c>
      <c r="AD834" s="3462"/>
      <c r="AE834" s="3462"/>
      <c r="AF834" s="3462"/>
      <c r="AG834" s="3462"/>
      <c r="AH834" s="3462">
        <f>SUM(AH831:AL833)</f>
        <v>0</v>
      </c>
      <c r="AI834" s="3462"/>
      <c r="AJ834" s="3462"/>
      <c r="AK834" s="3462"/>
      <c r="AL834" s="3462"/>
      <c r="AM834" s="649"/>
      <c r="AN834" s="649"/>
      <c r="AO834" s="649"/>
      <c r="AP834" s="640"/>
      <c r="AQ834" s="678"/>
      <c r="AS834" s="3311">
        <f>SUM(AS831:AS833)</f>
        <v>0</v>
      </c>
      <c r="AT834" s="3311">
        <f>SUM(AT831:AT833)</f>
        <v>0</v>
      </c>
    </row>
    <row r="835" spans="1:46" s="64" customFormat="1" outlineLevel="1" x14ac:dyDescent="0.35">
      <c r="A835" s="181"/>
      <c r="B835" s="130"/>
      <c r="C835" s="864"/>
      <c r="D835" s="181"/>
      <c r="E835" s="861"/>
      <c r="F835" s="861"/>
      <c r="G835" s="861"/>
      <c r="H835" s="860"/>
      <c r="I835" s="830"/>
      <c r="J835" s="831"/>
      <c r="K835" s="831"/>
      <c r="L835" s="831"/>
      <c r="M835" s="832"/>
      <c r="N835" s="831"/>
      <c r="O835" s="831"/>
      <c r="P835" s="831"/>
      <c r="Q835" s="831"/>
      <c r="R835" s="831"/>
      <c r="S835" s="830"/>
      <c r="T835" s="831"/>
      <c r="U835" s="834"/>
      <c r="V835" s="834"/>
      <c r="W835" s="839"/>
      <c r="X835" s="834"/>
      <c r="Y835" s="834"/>
      <c r="Z835" s="831"/>
      <c r="AA835" s="831"/>
      <c r="AB835" s="831"/>
      <c r="AC835" s="830"/>
      <c r="AD835" s="831"/>
      <c r="AE835" s="831"/>
      <c r="AF835" s="831"/>
      <c r="AG835" s="832"/>
      <c r="AH835" s="831"/>
      <c r="AI835" s="831"/>
      <c r="AJ835" s="831"/>
      <c r="AK835" s="831"/>
      <c r="AL835" s="832"/>
      <c r="AM835" s="649"/>
      <c r="AN835" s="649"/>
      <c r="AO835" s="649"/>
      <c r="AP835" s="640"/>
      <c r="AQ835" s="678"/>
      <c r="AR835" s="181"/>
      <c r="AS835" s="3306"/>
      <c r="AT835" s="3308"/>
    </row>
    <row r="836" spans="1:46" outlineLevel="1" x14ac:dyDescent="0.35">
      <c r="A836" s="64"/>
      <c r="C836" s="862" t="s">
        <v>1030</v>
      </c>
      <c r="D836" s="64"/>
      <c r="E836" s="861"/>
      <c r="F836" s="861"/>
      <c r="G836" s="861"/>
      <c r="H836" s="860"/>
      <c r="I836" s="830"/>
      <c r="J836" s="831"/>
      <c r="K836" s="831"/>
      <c r="L836" s="831"/>
      <c r="M836" s="831"/>
      <c r="N836" s="830"/>
      <c r="O836" s="831"/>
      <c r="P836" s="831"/>
      <c r="Q836" s="831"/>
      <c r="R836" s="832"/>
      <c r="S836" s="831"/>
      <c r="T836" s="831"/>
      <c r="U836" s="831"/>
      <c r="V836" s="831"/>
      <c r="W836" s="831"/>
      <c r="X836" s="830"/>
      <c r="Y836" s="831"/>
      <c r="Z836" s="831"/>
      <c r="AA836" s="831"/>
      <c r="AB836" s="831"/>
      <c r="AC836" s="830"/>
      <c r="AD836" s="831"/>
      <c r="AE836" s="831"/>
      <c r="AF836" s="831"/>
      <c r="AG836" s="831"/>
      <c r="AH836" s="830"/>
      <c r="AI836" s="831"/>
      <c r="AJ836" s="831"/>
      <c r="AK836" s="831"/>
      <c r="AL836" s="832"/>
      <c r="AM836" s="649"/>
      <c r="AN836" s="649"/>
      <c r="AO836" s="649"/>
      <c r="AP836" s="674"/>
      <c r="AQ836" s="769" t="s">
        <v>1014</v>
      </c>
      <c r="AR836" s="64"/>
      <c r="AS836" s="3306"/>
      <c r="AT836" s="3308"/>
    </row>
    <row r="837" spans="1:46" outlineLevel="1" x14ac:dyDescent="0.35">
      <c r="C837" s="864"/>
      <c r="D837" s="181" t="s">
        <v>1015</v>
      </c>
      <c r="E837" s="861"/>
      <c r="F837" s="861"/>
      <c r="G837" s="861"/>
      <c r="H837" s="860"/>
      <c r="I837" s="3452">
        <v>0</v>
      </c>
      <c r="J837" s="3452"/>
      <c r="K837" s="3452"/>
      <c r="L837" s="3452"/>
      <c r="M837" s="3452"/>
      <c r="N837" s="3452"/>
      <c r="O837" s="3452"/>
      <c r="P837" s="3452"/>
      <c r="Q837" s="3452"/>
      <c r="R837" s="3452"/>
      <c r="S837" s="3452"/>
      <c r="T837" s="3452"/>
      <c r="U837" s="3452"/>
      <c r="V837" s="3452"/>
      <c r="W837" s="3452"/>
      <c r="X837" s="3437">
        <v>0</v>
      </c>
      <c r="Y837" s="3437"/>
      <c r="Z837" s="3437"/>
      <c r="AA837" s="3437"/>
      <c r="AB837" s="3437"/>
      <c r="AC837" s="3437">
        <v>215150000</v>
      </c>
      <c r="AD837" s="3437"/>
      <c r="AE837" s="3437"/>
      <c r="AF837" s="3437"/>
      <c r="AG837" s="3437"/>
      <c r="AH837" s="3452">
        <v>215150000</v>
      </c>
      <c r="AI837" s="3452"/>
      <c r="AJ837" s="3452"/>
      <c r="AK837" s="3452"/>
      <c r="AL837" s="3452"/>
      <c r="AM837" s="649"/>
      <c r="AN837" s="649"/>
      <c r="AO837" s="649"/>
      <c r="AP837" s="640" t="s">
        <v>1016</v>
      </c>
      <c r="AQ837" s="678"/>
      <c r="AS837" s="3306">
        <f>AC837</f>
        <v>215150000</v>
      </c>
      <c r="AT837" s="3308">
        <f>AH837</f>
        <v>215150000</v>
      </c>
    </row>
    <row r="838" spans="1:46" outlineLevel="1" x14ac:dyDescent="0.35">
      <c r="C838" s="864"/>
      <c r="D838" s="181" t="s">
        <v>1017</v>
      </c>
      <c r="E838" s="861"/>
      <c r="F838" s="861"/>
      <c r="G838" s="861"/>
      <c r="H838" s="860"/>
      <c r="I838" s="3460">
        <v>0</v>
      </c>
      <c r="J838" s="3460"/>
      <c r="K838" s="3460"/>
      <c r="L838" s="3460"/>
      <c r="M838" s="3460"/>
      <c r="N838" s="3452">
        <v>0</v>
      </c>
      <c r="O838" s="3452"/>
      <c r="P838" s="3452"/>
      <c r="Q838" s="3452"/>
      <c r="R838" s="3452"/>
      <c r="S838" s="3461">
        <v>0</v>
      </c>
      <c r="T838" s="3461"/>
      <c r="U838" s="3461"/>
      <c r="V838" s="3461"/>
      <c r="W838" s="3461"/>
      <c r="X838" s="3437">
        <v>0</v>
      </c>
      <c r="Y838" s="3437"/>
      <c r="Z838" s="3437"/>
      <c r="AA838" s="3437"/>
      <c r="AB838" s="3437"/>
      <c r="AC838" s="3452">
        <v>2424936544</v>
      </c>
      <c r="AD838" s="3452"/>
      <c r="AE838" s="3452"/>
      <c r="AF838" s="3452"/>
      <c r="AG838" s="3452"/>
      <c r="AH838" s="3452">
        <v>2424936544</v>
      </c>
      <c r="AI838" s="3452"/>
      <c r="AJ838" s="3452"/>
      <c r="AK838" s="3452"/>
      <c r="AL838" s="3452"/>
      <c r="AM838" s="649"/>
      <c r="AN838" s="649"/>
      <c r="AO838" s="649"/>
      <c r="AP838" s="640" t="s">
        <v>1018</v>
      </c>
      <c r="AQ838" s="678"/>
      <c r="AS838" s="3306">
        <f>AC838</f>
        <v>2424936544</v>
      </c>
      <c r="AT838" s="3308">
        <f>AH838</f>
        <v>2424936544</v>
      </c>
    </row>
    <row r="839" spans="1:46" outlineLevel="1" x14ac:dyDescent="0.35">
      <c r="C839" s="864"/>
      <c r="E839" s="861"/>
      <c r="F839" s="861"/>
      <c r="G839" s="861"/>
      <c r="H839" s="860"/>
      <c r="I839" s="3457">
        <f>SUM(I837:M838)</f>
        <v>0</v>
      </c>
      <c r="J839" s="3457"/>
      <c r="K839" s="3457"/>
      <c r="L839" s="3457"/>
      <c r="M839" s="3457"/>
      <c r="N839" s="3458">
        <f>SUM(N837:R838)</f>
        <v>0</v>
      </c>
      <c r="O839" s="3458"/>
      <c r="P839" s="3458"/>
      <c r="Q839" s="3458"/>
      <c r="R839" s="3458"/>
      <c r="S839" s="3459">
        <f>SUM(S837:W838)</f>
        <v>0</v>
      </c>
      <c r="T839" s="3459"/>
      <c r="U839" s="3459"/>
      <c r="V839" s="3459"/>
      <c r="W839" s="3459"/>
      <c r="X839" s="3458">
        <f>SUM(X837:AB838)</f>
        <v>0</v>
      </c>
      <c r="Y839" s="3458"/>
      <c r="Z839" s="3458"/>
      <c r="AA839" s="3458"/>
      <c r="AB839" s="3458"/>
      <c r="AC839" s="3458">
        <f>SUM(AC837:AG838)</f>
        <v>2640086544</v>
      </c>
      <c r="AD839" s="3458"/>
      <c r="AE839" s="3458"/>
      <c r="AF839" s="3458"/>
      <c r="AG839" s="3458"/>
      <c r="AH839" s="3458">
        <f>SUM(AH837:AL838)</f>
        <v>2640086544</v>
      </c>
      <c r="AI839" s="3458"/>
      <c r="AJ839" s="3458"/>
      <c r="AK839" s="3458"/>
      <c r="AL839" s="3458"/>
      <c r="AM839" s="649"/>
      <c r="AN839" s="649"/>
      <c r="AO839" s="649"/>
      <c r="AP839" s="640"/>
      <c r="AQ839" s="678"/>
      <c r="AS839" s="3311">
        <f>SUM(AS837:AS838)</f>
        <v>2640086544</v>
      </c>
      <c r="AT839" s="3311">
        <f>SUM(AT837:AT838)</f>
        <v>2640086544</v>
      </c>
    </row>
    <row r="840" spans="1:46" ht="13.5" outlineLevel="1" thickBot="1" x14ac:dyDescent="0.4">
      <c r="C840" s="864"/>
      <c r="E840" s="861"/>
      <c r="F840" s="861"/>
      <c r="G840" s="861"/>
      <c r="H840" s="860"/>
      <c r="I840" s="830"/>
      <c r="J840" s="831"/>
      <c r="K840" s="831"/>
      <c r="L840" s="831"/>
      <c r="M840" s="832"/>
      <c r="N840" s="831"/>
      <c r="O840" s="831"/>
      <c r="P840" s="831"/>
      <c r="Q840" s="831"/>
      <c r="R840" s="831"/>
      <c r="S840" s="830"/>
      <c r="T840" s="831"/>
      <c r="U840" s="834"/>
      <c r="V840" s="834"/>
      <c r="W840" s="839"/>
      <c r="X840" s="834"/>
      <c r="Y840" s="834"/>
      <c r="Z840" s="831"/>
      <c r="AA840" s="831"/>
      <c r="AB840" s="831"/>
      <c r="AC840" s="830"/>
      <c r="AD840" s="831"/>
      <c r="AE840" s="831"/>
      <c r="AF840" s="831"/>
      <c r="AG840" s="832"/>
      <c r="AH840" s="831"/>
      <c r="AI840" s="831"/>
      <c r="AJ840" s="831"/>
      <c r="AK840" s="831"/>
      <c r="AL840" s="832"/>
      <c r="AM840" s="649"/>
      <c r="AN840" s="649"/>
      <c r="AO840" s="649"/>
      <c r="AP840" s="640"/>
      <c r="AQ840" s="678"/>
      <c r="AS840" s="3306"/>
      <c r="AT840" s="3308"/>
    </row>
    <row r="841" spans="1:46" ht="13.5" outlineLevel="1" thickBot="1" x14ac:dyDescent="0.4">
      <c r="C841" s="865"/>
      <c r="D841" s="866"/>
      <c r="E841" s="867"/>
      <c r="F841" s="867"/>
      <c r="G841" s="867"/>
      <c r="H841" s="868"/>
      <c r="I841" s="3446">
        <f>I839+I834+I829+I823</f>
        <v>313607500</v>
      </c>
      <c r="J841" s="3446"/>
      <c r="K841" s="3446"/>
      <c r="L841" s="3446"/>
      <c r="M841" s="3446"/>
      <c r="N841" s="3446">
        <f>N839+N834+N829+N823</f>
        <v>160735000</v>
      </c>
      <c r="O841" s="3446"/>
      <c r="P841" s="3446"/>
      <c r="Q841" s="3446"/>
      <c r="R841" s="3446"/>
      <c r="S841" s="3446">
        <f>S839+S834+S829+S823</f>
        <v>78246900</v>
      </c>
      <c r="T841" s="3446"/>
      <c r="U841" s="3446"/>
      <c r="V841" s="3446"/>
      <c r="W841" s="3446"/>
      <c r="X841" s="3446">
        <f>X839+X834+X829+X823</f>
        <v>351222700</v>
      </c>
      <c r="Y841" s="3446"/>
      <c r="Z841" s="3446"/>
      <c r="AA841" s="3446"/>
      <c r="AB841" s="3446"/>
      <c r="AC841" s="3446">
        <f>AC839+AC834+AC829+AC823</f>
        <v>3277825944</v>
      </c>
      <c r="AD841" s="3446"/>
      <c r="AE841" s="3446"/>
      <c r="AF841" s="3446"/>
      <c r="AG841" s="3446"/>
      <c r="AH841" s="3446">
        <f>AH839+AH834+AH829+AH823</f>
        <v>2998752544</v>
      </c>
      <c r="AI841" s="3446"/>
      <c r="AJ841" s="3446"/>
      <c r="AK841" s="3446"/>
      <c r="AL841" s="3446"/>
      <c r="AM841" s="689"/>
      <c r="AN841" s="689"/>
      <c r="AO841" s="689"/>
      <c r="AP841" s="848"/>
      <c r="AQ841" s="779"/>
      <c r="AS841" s="3313">
        <f>AS823+AS829+AS839</f>
        <v>3277825944</v>
      </c>
      <c r="AT841" s="3314">
        <f>AT823+AT829+AT839</f>
        <v>2998752544</v>
      </c>
    </row>
    <row r="842" spans="1:46" outlineLevel="1" x14ac:dyDescent="0.35">
      <c r="C842" s="228"/>
      <c r="D842" s="63"/>
      <c r="E842" s="63"/>
      <c r="F842" s="63"/>
      <c r="G842" s="63"/>
      <c r="H842" s="99"/>
      <c r="I842" s="869"/>
      <c r="J842" s="870"/>
      <c r="K842" s="870"/>
      <c r="L842" s="870"/>
      <c r="M842" s="871"/>
      <c r="N842" s="870"/>
      <c r="O842" s="870"/>
      <c r="P842" s="870"/>
      <c r="Q842" s="870"/>
      <c r="R842" s="870"/>
      <c r="S842" s="869"/>
      <c r="T842" s="870"/>
      <c r="U842" s="870"/>
      <c r="V842" s="870"/>
      <c r="W842" s="871"/>
      <c r="X842" s="870"/>
      <c r="Y842" s="870"/>
      <c r="Z842" s="870"/>
      <c r="AA842" s="870"/>
      <c r="AB842" s="870"/>
      <c r="AC842" s="869"/>
      <c r="AD842" s="870"/>
      <c r="AE842" s="870"/>
      <c r="AF842" s="870"/>
      <c r="AG842" s="871"/>
      <c r="AH842" s="870"/>
      <c r="AI842" s="870"/>
      <c r="AJ842" s="870"/>
      <c r="AK842" s="870"/>
      <c r="AL842" s="871"/>
      <c r="AM842" s="872"/>
      <c r="AN842" s="872"/>
      <c r="AO842" s="872"/>
      <c r="AP842" s="872"/>
      <c r="AQ842" s="873"/>
      <c r="AS842" s="3315"/>
      <c r="AT842" s="3316"/>
    </row>
    <row r="843" spans="1:46" outlineLevel="1" x14ac:dyDescent="0.35">
      <c r="C843" s="859" t="s">
        <v>1019</v>
      </c>
      <c r="E843" s="861"/>
      <c r="F843" s="861"/>
      <c r="G843" s="861"/>
      <c r="H843" s="860"/>
      <c r="I843" s="830"/>
      <c r="J843" s="831"/>
      <c r="K843" s="831"/>
      <c r="L843" s="831"/>
      <c r="M843" s="832"/>
      <c r="N843" s="831"/>
      <c r="O843" s="831"/>
      <c r="P843" s="831"/>
      <c r="Q843" s="831"/>
      <c r="R843" s="831"/>
      <c r="S843" s="830"/>
      <c r="T843" s="831"/>
      <c r="U843" s="831"/>
      <c r="V843" s="831"/>
      <c r="W843" s="832"/>
      <c r="X843" s="831"/>
      <c r="Y843" s="831"/>
      <c r="Z843" s="831"/>
      <c r="AA843" s="831"/>
      <c r="AB843" s="831"/>
      <c r="AC843" s="830"/>
      <c r="AD843" s="831"/>
      <c r="AE843" s="831"/>
      <c r="AF843" s="831"/>
      <c r="AG843" s="832"/>
      <c r="AH843" s="831"/>
      <c r="AI843" s="831"/>
      <c r="AJ843" s="831"/>
      <c r="AK843" s="831"/>
      <c r="AL843" s="832"/>
      <c r="AM843" s="649"/>
      <c r="AN843" s="649"/>
      <c r="AO843" s="649"/>
      <c r="AP843" s="649"/>
      <c r="AQ843" s="827" t="s">
        <v>1020</v>
      </c>
      <c r="AS843" s="3306"/>
      <c r="AT843" s="3308"/>
    </row>
    <row r="844" spans="1:46" outlineLevel="1" x14ac:dyDescent="0.35">
      <c r="C844" s="859" t="s">
        <v>1021</v>
      </c>
      <c r="E844" s="861"/>
      <c r="F844" s="861"/>
      <c r="G844" s="861"/>
      <c r="H844" s="860"/>
      <c r="I844" s="830"/>
      <c r="J844" s="831"/>
      <c r="K844" s="831"/>
      <c r="L844" s="831"/>
      <c r="M844" s="832"/>
      <c r="N844" s="831"/>
      <c r="O844" s="831"/>
      <c r="P844" s="831"/>
      <c r="Q844" s="831"/>
      <c r="R844" s="831"/>
      <c r="S844" s="830"/>
      <c r="T844" s="831"/>
      <c r="U844" s="831"/>
      <c r="V844" s="831"/>
      <c r="W844" s="832"/>
      <c r="X844" s="831"/>
      <c r="Y844" s="831"/>
      <c r="Z844" s="831"/>
      <c r="AA844" s="831"/>
      <c r="AB844" s="831"/>
      <c r="AC844" s="830"/>
      <c r="AD844" s="831"/>
      <c r="AE844" s="831"/>
      <c r="AF844" s="831"/>
      <c r="AG844" s="832"/>
      <c r="AH844" s="831"/>
      <c r="AI844" s="831"/>
      <c r="AJ844" s="831"/>
      <c r="AK844" s="831"/>
      <c r="AL844" s="832"/>
      <c r="AM844" s="649"/>
      <c r="AN844" s="649"/>
      <c r="AO844" s="649"/>
      <c r="AP844" s="649"/>
      <c r="AQ844" s="827" t="s">
        <v>1022</v>
      </c>
      <c r="AS844" s="3306"/>
      <c r="AT844" s="3308"/>
    </row>
    <row r="845" spans="1:46" outlineLevel="1" x14ac:dyDescent="0.35">
      <c r="C845" s="874"/>
      <c r="E845" s="861"/>
      <c r="F845" s="861"/>
      <c r="G845" s="861"/>
      <c r="H845" s="860"/>
      <c r="I845" s="831"/>
      <c r="J845" s="831"/>
      <c r="K845" s="831"/>
      <c r="L845" s="831"/>
      <c r="M845" s="831"/>
      <c r="N845" s="830"/>
      <c r="O845" s="831"/>
      <c r="P845" s="831"/>
      <c r="Q845" s="831"/>
      <c r="R845" s="831"/>
      <c r="S845" s="830"/>
      <c r="T845" s="831"/>
      <c r="U845" s="831"/>
      <c r="V845" s="831"/>
      <c r="W845" s="832"/>
      <c r="X845" s="831"/>
      <c r="Y845" s="831"/>
      <c r="Z845" s="831"/>
      <c r="AA845" s="831"/>
      <c r="AB845" s="831"/>
      <c r="AC845" s="830"/>
      <c r="AD845" s="831"/>
      <c r="AE845" s="831"/>
      <c r="AF845" s="831"/>
      <c r="AG845" s="832"/>
      <c r="AH845" s="3452"/>
      <c r="AI845" s="3452"/>
      <c r="AJ845" s="3452"/>
      <c r="AK845" s="3452"/>
      <c r="AL845" s="3452"/>
      <c r="AM845" s="649"/>
      <c r="AN845" s="649"/>
      <c r="AO845" s="649"/>
      <c r="AP845" s="640"/>
      <c r="AQ845" s="678"/>
      <c r="AS845" s="3306"/>
      <c r="AT845" s="3308"/>
    </row>
    <row r="846" spans="1:46" outlineLevel="1" x14ac:dyDescent="0.35">
      <c r="C846" s="864"/>
      <c r="D846" s="181" t="s">
        <v>3252</v>
      </c>
      <c r="E846" s="861"/>
      <c r="F846" s="861"/>
      <c r="G846" s="861"/>
      <c r="H846" s="860"/>
      <c r="I846" s="3453">
        <v>3078093087</v>
      </c>
      <c r="J846" s="3454"/>
      <c r="K846" s="3454"/>
      <c r="L846" s="3454"/>
      <c r="M846" s="3455"/>
      <c r="N846" s="3453"/>
      <c r="O846" s="3454"/>
      <c r="P846" s="3454"/>
      <c r="Q846" s="3454"/>
      <c r="R846" s="3455"/>
      <c r="S846" s="3453">
        <v>0</v>
      </c>
      <c r="T846" s="3454"/>
      <c r="U846" s="3454"/>
      <c r="V846" s="3454"/>
      <c r="W846" s="3455"/>
      <c r="X846" s="3434">
        <v>3078093087</v>
      </c>
      <c r="Y846" s="3435"/>
      <c r="Z846" s="3435"/>
      <c r="AA846" s="3435"/>
      <c r="AB846" s="3456"/>
      <c r="AC846" s="3434">
        <v>0</v>
      </c>
      <c r="AD846" s="3435"/>
      <c r="AE846" s="3435"/>
      <c r="AF846" s="3435"/>
      <c r="AG846" s="3456"/>
      <c r="AH846" s="3452">
        <v>0</v>
      </c>
      <c r="AI846" s="3452"/>
      <c r="AJ846" s="3452"/>
      <c r="AK846" s="3452"/>
      <c r="AL846" s="3452"/>
      <c r="AM846" s="649"/>
      <c r="AN846" s="649"/>
      <c r="AO846" s="649"/>
      <c r="AP846" s="640" t="s">
        <v>558</v>
      </c>
      <c r="AQ846" s="678"/>
      <c r="AS846" s="3306">
        <f>AC846</f>
        <v>0</v>
      </c>
      <c r="AT846" s="3308">
        <f>AH846</f>
        <v>0</v>
      </c>
    </row>
    <row r="847" spans="1:46" outlineLevel="1" x14ac:dyDescent="0.35">
      <c r="C847" s="864"/>
      <c r="D847" s="181" t="s">
        <v>3255</v>
      </c>
      <c r="E847" s="861"/>
      <c r="F847" s="861"/>
      <c r="G847" s="861"/>
      <c r="H847" s="860"/>
      <c r="I847" s="3453">
        <v>3359970000</v>
      </c>
      <c r="J847" s="3454"/>
      <c r="K847" s="3454"/>
      <c r="L847" s="3454"/>
      <c r="M847" s="3455"/>
      <c r="N847" s="3453"/>
      <c r="O847" s="3454"/>
      <c r="P847" s="3454"/>
      <c r="Q847" s="3454"/>
      <c r="R847" s="3455"/>
      <c r="S847" s="3453">
        <v>0</v>
      </c>
      <c r="T847" s="3454"/>
      <c r="U847" s="3454"/>
      <c r="V847" s="3454"/>
      <c r="W847" s="3455"/>
      <c r="X847" s="3434">
        <v>3359970000</v>
      </c>
      <c r="Y847" s="3435"/>
      <c r="Z847" s="3435"/>
      <c r="AA847" s="3435"/>
      <c r="AB847" s="3456"/>
      <c r="AC847" s="3434">
        <v>0</v>
      </c>
      <c r="AD847" s="3435"/>
      <c r="AE847" s="3435"/>
      <c r="AF847" s="3435"/>
      <c r="AG847" s="3456"/>
      <c r="AH847" s="3452">
        <v>0</v>
      </c>
      <c r="AI847" s="3452"/>
      <c r="AJ847" s="3452"/>
      <c r="AK847" s="3452"/>
      <c r="AL847" s="3452"/>
      <c r="AM847" s="649"/>
      <c r="AN847" s="649"/>
      <c r="AO847" s="649"/>
      <c r="AP847" s="640" t="s">
        <v>744</v>
      </c>
      <c r="AQ847" s="678"/>
      <c r="AS847" s="3306">
        <f>AC847</f>
        <v>0</v>
      </c>
      <c r="AT847" s="3308">
        <f>AH847</f>
        <v>0</v>
      </c>
    </row>
    <row r="848" spans="1:46" ht="13.5" outlineLevel="1" thickBot="1" x14ac:dyDescent="0.4">
      <c r="C848" s="864"/>
      <c r="E848" s="861"/>
      <c r="F848" s="861"/>
      <c r="G848" s="861"/>
      <c r="H848" s="860"/>
      <c r="I848" s="830"/>
      <c r="J848" s="831"/>
      <c r="K848" s="831"/>
      <c r="L848" s="831"/>
      <c r="M848" s="832"/>
      <c r="N848" s="831"/>
      <c r="O848" s="831"/>
      <c r="P848" s="831"/>
      <c r="Q848" s="831"/>
      <c r="R848" s="831"/>
      <c r="S848" s="830"/>
      <c r="T848" s="831"/>
      <c r="U848" s="834"/>
      <c r="V848" s="834"/>
      <c r="W848" s="839"/>
      <c r="X848" s="834"/>
      <c r="Y848" s="834"/>
      <c r="Z848" s="831"/>
      <c r="AA848" s="831"/>
      <c r="AB848" s="831"/>
      <c r="AC848" s="830"/>
      <c r="AD848" s="831"/>
      <c r="AE848" s="831"/>
      <c r="AF848" s="831"/>
      <c r="AG848" s="832"/>
      <c r="AH848" s="831"/>
      <c r="AI848" s="831"/>
      <c r="AJ848" s="831"/>
      <c r="AK848" s="831"/>
      <c r="AL848" s="832"/>
      <c r="AM848" s="649"/>
      <c r="AN848" s="649"/>
      <c r="AO848" s="649"/>
      <c r="AP848" s="640"/>
      <c r="AQ848" s="678"/>
      <c r="AS848" s="3306"/>
      <c r="AT848" s="3308"/>
    </row>
    <row r="849" spans="1:46" ht="13.5" outlineLevel="1" thickBot="1" x14ac:dyDescent="0.4">
      <c r="C849" s="865"/>
      <c r="D849" s="866"/>
      <c r="E849" s="867"/>
      <c r="F849" s="867"/>
      <c r="G849" s="867"/>
      <c r="H849" s="868"/>
      <c r="I849" s="3451">
        <f>SUM(I846:M848)</f>
        <v>6438063087</v>
      </c>
      <c r="J849" s="3451"/>
      <c r="K849" s="3451"/>
      <c r="L849" s="3451"/>
      <c r="M849" s="3451"/>
      <c r="N849" s="3451">
        <f>SUM(N846:R848)</f>
        <v>0</v>
      </c>
      <c r="O849" s="3451"/>
      <c r="P849" s="3451"/>
      <c r="Q849" s="3451"/>
      <c r="R849" s="3451"/>
      <c r="S849" s="3451">
        <f>SUM(S846:W848)</f>
        <v>0</v>
      </c>
      <c r="T849" s="3451"/>
      <c r="U849" s="3451"/>
      <c r="V849" s="3451"/>
      <c r="W849" s="3451"/>
      <c r="X849" s="3451">
        <f>SUM(X846:AB848)</f>
        <v>6438063087</v>
      </c>
      <c r="Y849" s="3451"/>
      <c r="Z849" s="3451"/>
      <c r="AA849" s="3451"/>
      <c r="AB849" s="3451"/>
      <c r="AC849" s="3451">
        <f>AC846</f>
        <v>0</v>
      </c>
      <c r="AD849" s="3451"/>
      <c r="AE849" s="3451"/>
      <c r="AF849" s="3451"/>
      <c r="AG849" s="3451"/>
      <c r="AH849" s="3451">
        <f>AH846</f>
        <v>0</v>
      </c>
      <c r="AI849" s="3451"/>
      <c r="AJ849" s="3451"/>
      <c r="AK849" s="3451"/>
      <c r="AL849" s="3451"/>
      <c r="AM849" s="689"/>
      <c r="AN849" s="689"/>
      <c r="AO849" s="689"/>
      <c r="AP849" s="848"/>
      <c r="AQ849" s="779"/>
      <c r="AS849" s="3330">
        <f>SUM(AS846:AS848)</f>
        <v>0</v>
      </c>
      <c r="AT849" s="3331">
        <f>SUM(AT846:AT848)</f>
        <v>0</v>
      </c>
    </row>
    <row r="850" spans="1:46" ht="13.5" outlineLevel="1" thickBot="1" x14ac:dyDescent="0.4">
      <c r="C850" s="864"/>
      <c r="E850" s="861"/>
      <c r="F850" s="861"/>
      <c r="G850" s="861"/>
      <c r="H850" s="860"/>
      <c r="I850" s="841"/>
      <c r="J850" s="842"/>
      <c r="K850" s="842"/>
      <c r="L850" s="842"/>
      <c r="M850" s="843"/>
      <c r="N850" s="842"/>
      <c r="O850" s="842"/>
      <c r="P850" s="842"/>
      <c r="Q850" s="842"/>
      <c r="R850" s="842"/>
      <c r="S850" s="841"/>
      <c r="T850" s="842"/>
      <c r="U850" s="844"/>
      <c r="V850" s="844"/>
      <c r="W850" s="845"/>
      <c r="X850" s="3450"/>
      <c r="Y850" s="3450"/>
      <c r="Z850" s="3450"/>
      <c r="AA850" s="3450"/>
      <c r="AB850" s="843"/>
      <c r="AC850" s="841"/>
      <c r="AD850" s="842"/>
      <c r="AE850" s="842"/>
      <c r="AF850" s="842"/>
      <c r="AG850" s="843"/>
      <c r="AH850" s="842"/>
      <c r="AI850" s="842"/>
      <c r="AJ850" s="842"/>
      <c r="AK850" s="842"/>
      <c r="AL850" s="832"/>
      <c r="AM850" s="649"/>
      <c r="AN850" s="649"/>
      <c r="AO850" s="649"/>
      <c r="AP850" s="649"/>
      <c r="AQ850" s="684"/>
      <c r="AS850" s="3306"/>
      <c r="AT850" s="3308"/>
    </row>
    <row r="851" spans="1:46" ht="13.5" outlineLevel="1" thickBot="1" x14ac:dyDescent="0.4">
      <c r="C851" s="875" t="s">
        <v>1023</v>
      </c>
      <c r="D851" s="876"/>
      <c r="E851" s="876"/>
      <c r="F851" s="876"/>
      <c r="G851" s="876"/>
      <c r="H851" s="868"/>
      <c r="I851" s="3446">
        <f>I849+I841</f>
        <v>6751670587</v>
      </c>
      <c r="J851" s="3446"/>
      <c r="K851" s="3446"/>
      <c r="L851" s="3446"/>
      <c r="M851" s="3446"/>
      <c r="N851" s="3446">
        <f>N849+N841</f>
        <v>160735000</v>
      </c>
      <c r="O851" s="3446"/>
      <c r="P851" s="3446"/>
      <c r="Q851" s="3446"/>
      <c r="R851" s="3446"/>
      <c r="S851" s="3446">
        <f>S849+S841</f>
        <v>78246900</v>
      </c>
      <c r="T851" s="3446"/>
      <c r="U851" s="3446"/>
      <c r="V851" s="3446"/>
      <c r="W851" s="3446"/>
      <c r="X851" s="3446">
        <f>X849+X841</f>
        <v>6789285787</v>
      </c>
      <c r="Y851" s="3446"/>
      <c r="Z851" s="3446"/>
      <c r="AA851" s="3446"/>
      <c r="AB851" s="3446"/>
      <c r="AC851" s="3446">
        <f>AC849+AC841</f>
        <v>3277825944</v>
      </c>
      <c r="AD851" s="3446"/>
      <c r="AE851" s="3446"/>
      <c r="AF851" s="3446"/>
      <c r="AG851" s="3446"/>
      <c r="AH851" s="3446">
        <f>AH849+AH841</f>
        <v>2998752544</v>
      </c>
      <c r="AI851" s="3446"/>
      <c r="AJ851" s="3446"/>
      <c r="AK851" s="3446"/>
      <c r="AL851" s="3446"/>
      <c r="AM851" s="688"/>
      <c r="AN851" s="688"/>
      <c r="AO851" s="688"/>
      <c r="AP851" s="689"/>
      <c r="AQ851" s="690" t="s">
        <v>1024</v>
      </c>
      <c r="AS851" s="3330">
        <f>AS841+AS849</f>
        <v>3277825944</v>
      </c>
      <c r="AT851" s="3331">
        <f>AT841+AT849</f>
        <v>2998752544</v>
      </c>
    </row>
    <row r="852" spans="1:46" outlineLevel="1" x14ac:dyDescent="0.35">
      <c r="C852" s="790"/>
      <c r="D852" s="790"/>
      <c r="E852" s="790"/>
      <c r="F852" s="790"/>
      <c r="G852" s="790"/>
      <c r="H852" s="649"/>
      <c r="I852" s="672"/>
      <c r="J852" s="672"/>
      <c r="K852" s="672"/>
      <c r="L852" s="672"/>
      <c r="M852" s="672"/>
      <c r="N852" s="672"/>
      <c r="O852" s="672"/>
      <c r="P852" s="672"/>
      <c r="Q852" s="672"/>
      <c r="R852" s="672"/>
      <c r="S852" s="672"/>
      <c r="T852" s="672"/>
      <c r="U852" s="672"/>
      <c r="V852" s="672"/>
      <c r="W852" s="672"/>
      <c r="X852" s="672"/>
      <c r="Y852" s="672"/>
      <c r="Z852" s="672"/>
      <c r="AA852" s="672"/>
      <c r="AB852" s="672"/>
      <c r="AC852" s="3447"/>
      <c r="AD852" s="3447"/>
      <c r="AE852" s="3447"/>
      <c r="AF852" s="3447"/>
      <c r="AG852" s="3447"/>
      <c r="AH852" s="672"/>
      <c r="AI852" s="672"/>
      <c r="AJ852" s="672"/>
      <c r="AK852" s="672"/>
      <c r="AL852" s="672"/>
      <c r="AM852" s="673"/>
      <c r="AN852" s="673"/>
      <c r="AO852" s="673"/>
      <c r="AP852" s="649"/>
      <c r="AQ852" s="674"/>
      <c r="AS852" s="503"/>
      <c r="AT852" s="85"/>
    </row>
    <row r="853" spans="1:46" s="612" customFormat="1" ht="15" x14ac:dyDescent="0.35">
      <c r="A853" s="544"/>
      <c r="B853" s="739" t="s">
        <v>1031</v>
      </c>
      <c r="C853" s="536" t="s">
        <v>1032</v>
      </c>
      <c r="D853" s="535"/>
      <c r="E853" s="537"/>
      <c r="F853" s="537"/>
      <c r="G853" s="537"/>
      <c r="H853" s="537"/>
      <c r="I853" s="537"/>
      <c r="J853" s="537"/>
      <c r="K853" s="537"/>
      <c r="L853" s="537"/>
      <c r="M853" s="537"/>
      <c r="N853" s="537"/>
      <c r="O853" s="537"/>
      <c r="P853" s="537"/>
      <c r="Q853" s="537"/>
      <c r="R853" s="537"/>
      <c r="S853" s="537"/>
      <c r="T853" s="537"/>
      <c r="U853" s="537"/>
      <c r="V853" s="538"/>
      <c r="W853" s="537"/>
      <c r="X853" s="539" t="str">
        <f>B853</f>
        <v>14.</v>
      </c>
      <c r="Y853" s="539" t="s">
        <v>1033</v>
      </c>
      <c r="Z853" s="539"/>
      <c r="AA853" s="539"/>
      <c r="AB853" s="539"/>
      <c r="AC853" s="539"/>
      <c r="AD853" s="539"/>
      <c r="AE853" s="539"/>
      <c r="AF853" s="539"/>
      <c r="AG853" s="539"/>
      <c r="AH853" s="539"/>
      <c r="AI853" s="539"/>
      <c r="AJ853" s="539"/>
      <c r="AK853" s="539"/>
      <c r="AL853" s="539"/>
      <c r="AM853" s="539"/>
      <c r="AN853" s="539"/>
      <c r="AO853" s="539"/>
      <c r="AP853" s="566"/>
      <c r="AQ853" s="567"/>
      <c r="AR853" s="544"/>
      <c r="AS853" s="613"/>
    </row>
    <row r="854" spans="1:46" ht="15.5" x14ac:dyDescent="0.35">
      <c r="A854" s="376"/>
      <c r="B854" s="529"/>
      <c r="C854" s="376"/>
      <c r="D854" s="529"/>
      <c r="E854" s="877"/>
      <c r="F854" s="877"/>
      <c r="G854" s="877"/>
      <c r="H854" s="877"/>
      <c r="I854" s="877"/>
      <c r="J854" s="877"/>
      <c r="K854" s="877"/>
      <c r="L854" s="877"/>
      <c r="M854" s="877"/>
      <c r="N854" s="877"/>
      <c r="O854" s="877"/>
      <c r="P854" s="877"/>
      <c r="Q854" s="877"/>
      <c r="R854" s="877"/>
      <c r="S854" s="877"/>
      <c r="T854" s="877"/>
      <c r="U854" s="877"/>
      <c r="V854" s="878"/>
      <c r="W854" s="877"/>
      <c r="X854" s="879"/>
      <c r="Y854" s="879"/>
      <c r="Z854" s="879"/>
      <c r="AA854" s="879"/>
      <c r="AB854" s="879"/>
      <c r="AC854" s="879"/>
      <c r="AD854" s="879"/>
      <c r="AE854" s="879"/>
      <c r="AF854" s="879"/>
      <c r="AG854" s="879"/>
      <c r="AH854" s="879"/>
      <c r="AI854" s="879"/>
      <c r="AJ854" s="879"/>
      <c r="AK854" s="879"/>
      <c r="AL854" s="879"/>
      <c r="AM854" s="879"/>
      <c r="AN854" s="879"/>
      <c r="AO854" s="879"/>
      <c r="AP854" s="880"/>
      <c r="AQ854" s="531"/>
      <c r="AR854" s="376"/>
      <c r="AS854" s="548"/>
    </row>
    <row r="855" spans="1:46" s="648" customFormat="1" ht="11.5" x14ac:dyDescent="0.35">
      <c r="B855" s="671"/>
      <c r="C855" s="648" t="s">
        <v>1034</v>
      </c>
      <c r="D855" s="771"/>
      <c r="E855" s="881"/>
      <c r="F855" s="881"/>
      <c r="G855" s="881"/>
      <c r="H855" s="881"/>
      <c r="I855" s="881"/>
      <c r="J855" s="881"/>
      <c r="K855" s="881"/>
      <c r="L855" s="881"/>
      <c r="M855" s="881"/>
      <c r="N855" s="881"/>
      <c r="O855" s="881"/>
      <c r="P855" s="881"/>
      <c r="Q855" s="881"/>
      <c r="R855" s="881"/>
      <c r="S855" s="881"/>
      <c r="T855" s="881"/>
      <c r="U855" s="881"/>
      <c r="V855" s="767"/>
      <c r="W855" s="881"/>
      <c r="X855" s="881"/>
      <c r="Y855" s="881"/>
      <c r="Z855" s="881"/>
      <c r="AA855" s="881"/>
      <c r="AB855" s="881"/>
      <c r="AC855" s="881"/>
      <c r="AP855" s="768"/>
      <c r="AQ855" s="364" t="s">
        <v>1035</v>
      </c>
      <c r="AS855" s="762"/>
    </row>
    <row r="856" spans="1:46" s="648" customFormat="1" ht="11.5" x14ac:dyDescent="0.35">
      <c r="B856" s="671"/>
      <c r="C856" s="648" t="s">
        <v>1036</v>
      </c>
      <c r="D856" s="771"/>
      <c r="E856" s="881"/>
      <c r="F856" s="881"/>
      <c r="G856" s="881"/>
      <c r="H856" s="881"/>
      <c r="I856" s="881"/>
      <c r="J856" s="881"/>
      <c r="K856" s="881"/>
      <c r="L856" s="881"/>
      <c r="M856" s="881"/>
      <c r="N856" s="881"/>
      <c r="O856" s="881"/>
      <c r="P856" s="881"/>
      <c r="Q856" s="881"/>
      <c r="R856" s="881"/>
      <c r="S856" s="881"/>
      <c r="T856" s="881"/>
      <c r="U856" s="881"/>
      <c r="V856" s="767"/>
      <c r="W856" s="881"/>
      <c r="X856" s="881"/>
      <c r="Y856" s="881"/>
      <c r="Z856" s="881"/>
      <c r="AA856" s="881"/>
      <c r="AB856" s="881"/>
      <c r="AC856" s="881"/>
      <c r="AP856" s="768"/>
      <c r="AQ856" s="364" t="s">
        <v>1037</v>
      </c>
      <c r="AS856" s="762"/>
    </row>
    <row r="857" spans="1:46" x14ac:dyDescent="0.35">
      <c r="D857" s="84"/>
      <c r="E857" s="546"/>
      <c r="F857" s="546"/>
      <c r="G857" s="546"/>
      <c r="H857" s="546"/>
      <c r="I857" s="546"/>
      <c r="J857" s="546"/>
      <c r="K857" s="546"/>
      <c r="L857" s="546"/>
      <c r="M857" s="546"/>
      <c r="N857" s="546"/>
      <c r="O857" s="546"/>
      <c r="P857" s="546"/>
      <c r="Q857" s="546"/>
      <c r="R857" s="546"/>
      <c r="S857" s="546"/>
      <c r="T857" s="546"/>
      <c r="U857" s="546"/>
      <c r="V857" s="547"/>
      <c r="W857" s="546"/>
      <c r="X857" s="546"/>
      <c r="Y857" s="546"/>
      <c r="Z857" s="546"/>
      <c r="AA857" s="546"/>
      <c r="AB857" s="546"/>
      <c r="AC857" s="546"/>
      <c r="AQ857" s="87"/>
      <c r="AS857" s="548"/>
    </row>
    <row r="858" spans="1:46" s="142" customFormat="1" ht="13.5" x14ac:dyDescent="0.35">
      <c r="A858" s="181"/>
      <c r="B858" s="130"/>
      <c r="C858" s="64"/>
      <c r="D858" s="84"/>
      <c r="E858" s="546"/>
      <c r="F858" s="546"/>
      <c r="G858" s="546"/>
      <c r="H858" s="546"/>
      <c r="I858" s="546"/>
      <c r="J858" s="546"/>
      <c r="K858" s="546"/>
      <c r="L858" s="546"/>
      <c r="M858" s="546"/>
      <c r="N858" s="546"/>
      <c r="O858" s="546"/>
      <c r="P858" s="546"/>
      <c r="Q858" s="3448" t="str">
        <f>NRC!E9</f>
        <v>30 June 2026/</v>
      </c>
      <c r="R858" s="3448" t="str">
        <f>[8]IN!$G$23</f>
        <v>31 July 2023 /</v>
      </c>
      <c r="S858" s="3448" t="str">
        <f>[8]IN!$G$23</f>
        <v>31 July 2023 /</v>
      </c>
      <c r="T858" s="3448" t="str">
        <f>[8]IN!$G$23</f>
        <v>31 July 2023 /</v>
      </c>
      <c r="U858" s="3448" t="str">
        <f>[8]IN!$G$23</f>
        <v>31 July 2023 /</v>
      </c>
      <c r="V858" s="3448" t="str">
        <f>[8]IN!$G$23</f>
        <v>31 July 2023 /</v>
      </c>
      <c r="W858" s="546"/>
      <c r="X858" s="3448" t="str">
        <f>NRC!G9</f>
        <v>31 May 2026/</v>
      </c>
      <c r="Y858" s="3448" t="str">
        <f>[8]IN!$G$26</f>
        <v>30 June 2023 /</v>
      </c>
      <c r="Z858" s="3448" t="str">
        <f>[8]IN!$G$26</f>
        <v>30 June 2023 /</v>
      </c>
      <c r="AA858" s="3448" t="str">
        <f>[8]IN!$G$26</f>
        <v>30 June 2023 /</v>
      </c>
      <c r="AB858" s="3448" t="str">
        <f>[8]IN!$G$26</f>
        <v>30 June 2023 /</v>
      </c>
      <c r="AC858" s="3448" t="str">
        <f>[8]IN!$G$26</f>
        <v>30 June 2023 /</v>
      </c>
      <c r="AD858" s="181"/>
      <c r="AE858" s="181"/>
      <c r="AF858" s="181"/>
      <c r="AG858" s="181"/>
      <c r="AH858" s="181"/>
      <c r="AI858" s="181"/>
      <c r="AJ858" s="181"/>
      <c r="AK858" s="181"/>
      <c r="AL858" s="181"/>
      <c r="AM858" s="181"/>
      <c r="AN858" s="181"/>
      <c r="AO858" s="181"/>
      <c r="AP858" s="179"/>
      <c r="AQ858" s="88"/>
      <c r="AR858" s="181"/>
      <c r="AS858" s="570"/>
    </row>
    <row r="859" spans="1:46" ht="14" thickBot="1" x14ac:dyDescent="0.4">
      <c r="A859" s="142"/>
      <c r="B859" s="559"/>
      <c r="C859" s="142"/>
      <c r="D859" s="568"/>
      <c r="E859" s="553"/>
      <c r="F859" s="553"/>
      <c r="G859" s="553"/>
      <c r="H859" s="553"/>
      <c r="I859" s="553"/>
      <c r="J859" s="553"/>
      <c r="K859" s="553"/>
      <c r="L859" s="553"/>
      <c r="M859" s="553"/>
      <c r="N859" s="553"/>
      <c r="O859" s="553"/>
      <c r="P859" s="553"/>
      <c r="Q859" s="3449">
        <f>NRC!E10</f>
        <v>46203</v>
      </c>
      <c r="R859" s="3449" t="e">
        <f>[8]IN!$I$23</f>
        <v>#N/A</v>
      </c>
      <c r="S859" s="3449" t="e">
        <f>[8]IN!$I$23</f>
        <v>#N/A</v>
      </c>
      <c r="T859" s="3449" t="e">
        <f>[8]IN!$I$23</f>
        <v>#N/A</v>
      </c>
      <c r="U859" s="3449" t="e">
        <f>[8]IN!$I$23</f>
        <v>#N/A</v>
      </c>
      <c r="V859" s="3449" t="e">
        <f>[8]IN!$I$23</f>
        <v>#N/A</v>
      </c>
      <c r="W859" s="553"/>
      <c r="X859" s="3449">
        <f>NRC!G10</f>
        <v>46173</v>
      </c>
      <c r="Y859" s="3449" t="e">
        <f>[8]IN!$I$26</f>
        <v>#N/A</v>
      </c>
      <c r="Z859" s="3449" t="e">
        <f>[8]IN!$I$26</f>
        <v>#N/A</v>
      </c>
      <c r="AA859" s="3449" t="e">
        <f>[8]IN!$I$26</f>
        <v>#N/A</v>
      </c>
      <c r="AB859" s="3449" t="e">
        <f>[8]IN!$I$26</f>
        <v>#N/A</v>
      </c>
      <c r="AC859" s="3449" t="e">
        <f>[8]IN!$I$26</f>
        <v>#N/A</v>
      </c>
      <c r="AD859" s="142"/>
      <c r="AE859" s="142"/>
      <c r="AF859" s="142"/>
      <c r="AG859" s="142"/>
      <c r="AH859" s="142"/>
      <c r="AI859" s="142"/>
      <c r="AJ859" s="142"/>
      <c r="AK859" s="142"/>
      <c r="AL859" s="142"/>
      <c r="AM859" s="142"/>
      <c r="AN859" s="142"/>
      <c r="AO859" s="142"/>
      <c r="AP859" s="87"/>
      <c r="AQ859" s="87"/>
      <c r="AR859" s="142"/>
      <c r="AS859" s="548"/>
    </row>
    <row r="860" spans="1:46" ht="13.5" x14ac:dyDescent="0.35">
      <c r="C860" s="130"/>
      <c r="D860" s="130"/>
      <c r="E860" s="546"/>
      <c r="F860" s="546"/>
      <c r="G860" s="546"/>
      <c r="H860" s="546"/>
      <c r="I860" s="546"/>
      <c r="J860" s="546"/>
      <c r="K860" s="546"/>
      <c r="L860" s="546"/>
      <c r="M860" s="546"/>
      <c r="N860" s="546"/>
      <c r="O860" s="546"/>
      <c r="P860" s="546"/>
      <c r="Q860" s="558"/>
      <c r="R860" s="558"/>
      <c r="S860" s="558"/>
      <c r="T860" s="558"/>
      <c r="U860" s="558"/>
      <c r="V860" s="558"/>
      <c r="W860" s="546"/>
      <c r="X860" s="558"/>
      <c r="Y860" s="558"/>
      <c r="Z860" s="558"/>
      <c r="AA860" s="558"/>
      <c r="AB860" s="558"/>
      <c r="AC860" s="558"/>
      <c r="AP860" s="557"/>
      <c r="AQ860" s="88"/>
      <c r="AS860" s="548"/>
    </row>
    <row r="861" spans="1:46" x14ac:dyDescent="0.35">
      <c r="C861" s="181" t="str">
        <f>'[9]11'!A19</f>
        <v>Gaji</v>
      </c>
      <c r="E861" s="546"/>
      <c r="F861" s="546"/>
      <c r="G861" s="546"/>
      <c r="H861" s="546"/>
      <c r="I861" s="546"/>
      <c r="J861" s="546"/>
      <c r="K861" s="546"/>
      <c r="L861" s="546"/>
      <c r="M861" s="546"/>
      <c r="N861" s="546"/>
      <c r="O861" s="546"/>
      <c r="P861" s="546"/>
      <c r="Q861" s="3444">
        <f>IF(AR861&lt;&gt;"",SUMIF('11'!AA19:AA153,CLK!AR861,'11'!R19:R153),0)</f>
        <v>246488430</v>
      </c>
      <c r="R861" s="3444"/>
      <c r="S861" s="3444"/>
      <c r="T861" s="3444"/>
      <c r="U861" s="3444"/>
      <c r="V861" s="3444"/>
      <c r="W861" s="579"/>
      <c r="X861" s="3444">
        <f>'11'!T24</f>
        <v>239926951.83000001</v>
      </c>
      <c r="Y861" s="3444"/>
      <c r="Z861" s="3444"/>
      <c r="AA861" s="3444"/>
      <c r="AB861" s="3444"/>
      <c r="AC861" s="3444"/>
      <c r="AE861" s="3445">
        <f>Q861-X861</f>
        <v>6561478.1699999869</v>
      </c>
      <c r="AF861" s="3445"/>
      <c r="AG861" s="3445"/>
      <c r="AH861" s="3445"/>
      <c r="AI861" s="3445"/>
      <c r="AJ861" s="3445"/>
      <c r="AP861" s="87"/>
      <c r="AQ861" s="87" t="str">
        <f>'[9]11'!Z19</f>
        <v>Salaries</v>
      </c>
      <c r="AR861" s="2480" t="s">
        <v>2581</v>
      </c>
      <c r="AS861" s="548"/>
    </row>
    <row r="862" spans="1:46" x14ac:dyDescent="0.35">
      <c r="B862" s="84"/>
      <c r="C862" s="84" t="str">
        <f>'[9]11'!A25</f>
        <v>Tunjangan</v>
      </c>
      <c r="E862" s="546"/>
      <c r="F862" s="546"/>
      <c r="G862" s="546"/>
      <c r="H862" s="546"/>
      <c r="I862" s="546"/>
      <c r="J862" s="546"/>
      <c r="K862" s="546"/>
      <c r="L862" s="546"/>
      <c r="M862" s="546"/>
      <c r="N862" s="546"/>
      <c r="O862" s="546"/>
      <c r="P862" s="546"/>
      <c r="Q862" s="3444">
        <f>IF(AR862&lt;&gt;"",SUMIF('11'!AA20:AA154,CLK!AR862,'11'!R20:R154),0)</f>
        <v>25234770.670000002</v>
      </c>
      <c r="R862" s="3444"/>
      <c r="S862" s="3444"/>
      <c r="T862" s="3444"/>
      <c r="U862" s="3444"/>
      <c r="V862" s="3444"/>
      <c r="W862" s="579"/>
      <c r="X862" s="3444">
        <f>'11'!T35</f>
        <v>27227190.670000002</v>
      </c>
      <c r="Y862" s="3444"/>
      <c r="Z862" s="3444"/>
      <c r="AA862" s="3444"/>
      <c r="AB862" s="3444"/>
      <c r="AC862" s="3444"/>
      <c r="AE862" s="3445">
        <f t="shared" ref="AE862:AE878" si="21">Q862-X862</f>
        <v>-1992420</v>
      </c>
      <c r="AF862" s="3445"/>
      <c r="AG862" s="3445"/>
      <c r="AH862" s="3445"/>
      <c r="AI862" s="3445"/>
      <c r="AJ862" s="3445"/>
      <c r="AP862" s="87"/>
      <c r="AQ862" s="87" t="str">
        <f>'[9]11'!Z25</f>
        <v>Allowance</v>
      </c>
      <c r="AR862" s="2480" t="s">
        <v>6687</v>
      </c>
      <c r="AS862" s="548"/>
    </row>
    <row r="863" spans="1:46" x14ac:dyDescent="0.35">
      <c r="B863" s="84"/>
      <c r="C863" s="84" t="str">
        <f>'[9]11'!A36</f>
        <v>Keperluan kantor</v>
      </c>
      <c r="E863" s="546"/>
      <c r="F863" s="546"/>
      <c r="G863" s="546"/>
      <c r="H863" s="546"/>
      <c r="I863" s="546"/>
      <c r="J863" s="546"/>
      <c r="K863" s="546"/>
      <c r="L863" s="546"/>
      <c r="M863" s="546"/>
      <c r="N863" s="546"/>
      <c r="O863" s="546"/>
      <c r="P863" s="546"/>
      <c r="Q863" s="3444">
        <f>IF(AR863&lt;&gt;"",SUMIF('11'!AA21:AA155,CLK!AR863,'11'!R21:R155),0)</f>
        <v>25467480</v>
      </c>
      <c r="R863" s="3444"/>
      <c r="S863" s="3444"/>
      <c r="T863" s="3444"/>
      <c r="U863" s="3444"/>
      <c r="V863" s="3444"/>
      <c r="W863" s="579"/>
      <c r="X863" s="3444">
        <f>'11'!T42</f>
        <v>37189700</v>
      </c>
      <c r="Y863" s="3444"/>
      <c r="Z863" s="3444"/>
      <c r="AA863" s="3444"/>
      <c r="AB863" s="3444"/>
      <c r="AC863" s="3444"/>
      <c r="AE863" s="3445">
        <f>Q863-X863</f>
        <v>-11722220</v>
      </c>
      <c r="AF863" s="3445"/>
      <c r="AG863" s="3445"/>
      <c r="AH863" s="3445"/>
      <c r="AI863" s="3445"/>
      <c r="AJ863" s="3445"/>
      <c r="AP863" s="87"/>
      <c r="AQ863" s="87" t="str">
        <f>'[9]11'!Z36</f>
        <v>Office supplies</v>
      </c>
      <c r="AR863" s="2480" t="s">
        <v>6688</v>
      </c>
      <c r="AS863" s="548"/>
    </row>
    <row r="864" spans="1:46" x14ac:dyDescent="0.35">
      <c r="B864" s="84"/>
      <c r="C864" s="84" t="str">
        <f>'[9]11'!A43</f>
        <v>Media pembelajaran</v>
      </c>
      <c r="E864" s="546"/>
      <c r="F864" s="546"/>
      <c r="G864" s="546"/>
      <c r="H864" s="546"/>
      <c r="I864" s="546"/>
      <c r="J864" s="546"/>
      <c r="K864" s="546"/>
      <c r="L864" s="546"/>
      <c r="M864" s="546"/>
      <c r="N864" s="546"/>
      <c r="O864" s="546"/>
      <c r="P864" s="546"/>
      <c r="Q864" s="3444">
        <f>IF(AR864&lt;&gt;"",SUMIF('11'!AA22:AA156,CLK!AR864,'11'!R22:R156),0)</f>
        <v>4761000</v>
      </c>
      <c r="R864" s="3444"/>
      <c r="S864" s="3444"/>
      <c r="T864" s="3444"/>
      <c r="U864" s="3444"/>
      <c r="V864" s="3444"/>
      <c r="W864" s="579"/>
      <c r="X864" s="3444">
        <f>'11'!T52</f>
        <v>23755300</v>
      </c>
      <c r="Y864" s="3444"/>
      <c r="Z864" s="3444"/>
      <c r="AA864" s="3444"/>
      <c r="AB864" s="3444"/>
      <c r="AC864" s="3444"/>
      <c r="AE864" s="3445">
        <f t="shared" si="21"/>
        <v>-18994300</v>
      </c>
      <c r="AF864" s="3445"/>
      <c r="AG864" s="3445"/>
      <c r="AH864" s="3445"/>
      <c r="AI864" s="3445"/>
      <c r="AJ864" s="3445"/>
      <c r="AP864" s="87"/>
      <c r="AQ864" s="87" t="str">
        <f>'[9]11'!Z43</f>
        <v>Learning media</v>
      </c>
      <c r="AR864" s="2480" t="s">
        <v>6689</v>
      </c>
      <c r="AS864" s="548"/>
    </row>
    <row r="865" spans="2:45" x14ac:dyDescent="0.35">
      <c r="B865" s="84"/>
      <c r="C865" s="84" t="str">
        <f>'[9]11'!A53</f>
        <v>Keperluan dapur</v>
      </c>
      <c r="E865" s="546"/>
      <c r="F865" s="546"/>
      <c r="G865" s="546"/>
      <c r="H865" s="546"/>
      <c r="I865" s="546"/>
      <c r="J865" s="546"/>
      <c r="K865" s="546"/>
      <c r="L865" s="546"/>
      <c r="M865" s="546"/>
      <c r="N865" s="546"/>
      <c r="O865" s="546"/>
      <c r="P865" s="546"/>
      <c r="Q865" s="3444">
        <f>IF(AR865&lt;&gt;"",SUMIF('11'!AA23:AA157,CLK!AR865,'11'!R23:R157),0)</f>
        <v>100351243</v>
      </c>
      <c r="R865" s="3444"/>
      <c r="S865" s="3444"/>
      <c r="T865" s="3444"/>
      <c r="U865" s="3444"/>
      <c r="V865" s="3444"/>
      <c r="W865" s="579"/>
      <c r="X865" s="3444">
        <f>'11'!T62</f>
        <v>289035178</v>
      </c>
      <c r="Y865" s="3444"/>
      <c r="Z865" s="3444"/>
      <c r="AA865" s="3444"/>
      <c r="AB865" s="3444"/>
      <c r="AC865" s="3444"/>
      <c r="AE865" s="3445">
        <f t="shared" si="21"/>
        <v>-188683935</v>
      </c>
      <c r="AF865" s="3445"/>
      <c r="AG865" s="3445"/>
      <c r="AH865" s="3445"/>
      <c r="AI865" s="3445"/>
      <c r="AJ865" s="3445"/>
      <c r="AP865" s="87"/>
      <c r="AQ865" s="87" t="str">
        <f>'[9]11'!Z53</f>
        <v>Kitchen supplies</v>
      </c>
      <c r="AR865" s="2480" t="s">
        <v>6690</v>
      </c>
      <c r="AS865" s="548"/>
    </row>
    <row r="866" spans="2:45" outlineLevel="1" x14ac:dyDescent="0.35">
      <c r="B866" s="84"/>
      <c r="C866" s="84" t="str">
        <f>'[9]11'!A63</f>
        <v>Keperluan laundry</v>
      </c>
      <c r="E866" s="546"/>
      <c r="F866" s="546"/>
      <c r="G866" s="546"/>
      <c r="H866" s="546"/>
      <c r="I866" s="546"/>
      <c r="J866" s="546"/>
      <c r="K866" s="546"/>
      <c r="L866" s="546"/>
      <c r="M866" s="546"/>
      <c r="N866" s="546"/>
      <c r="O866" s="546"/>
      <c r="P866" s="546"/>
      <c r="Q866" s="3444">
        <f>IF(AR866&lt;&gt;"",SUMIF('11'!AA24:AA158,CLK!AR866,'11'!R24:R158),0)</f>
        <v>0</v>
      </c>
      <c r="R866" s="3444"/>
      <c r="S866" s="3444"/>
      <c r="T866" s="3444"/>
      <c r="U866" s="3444"/>
      <c r="V866" s="3444"/>
      <c r="W866" s="579"/>
      <c r="X866" s="3444">
        <f>'11'!T68</f>
        <v>0</v>
      </c>
      <c r="Y866" s="3444"/>
      <c r="Z866" s="3444"/>
      <c r="AA866" s="3444"/>
      <c r="AB866" s="3444"/>
      <c r="AC866" s="3444"/>
      <c r="AE866" s="3445">
        <f t="shared" si="21"/>
        <v>0</v>
      </c>
      <c r="AF866" s="3445"/>
      <c r="AG866" s="3445"/>
      <c r="AH866" s="3445"/>
      <c r="AI866" s="3445"/>
      <c r="AJ866" s="3445"/>
      <c r="AP866" s="87"/>
      <c r="AQ866" s="87" t="str">
        <f>'[9]11'!Z63</f>
        <v>Laundry supplies</v>
      </c>
      <c r="AR866" s="2480" t="s">
        <v>6691</v>
      </c>
      <c r="AS866" s="548"/>
    </row>
    <row r="867" spans="2:45" x14ac:dyDescent="0.35">
      <c r="B867" s="84"/>
      <c r="C867" s="84" t="str">
        <f>'[9]11'!A69</f>
        <v>Keperluan klinik</v>
      </c>
      <c r="E867" s="546"/>
      <c r="F867" s="546"/>
      <c r="G867" s="546"/>
      <c r="H867" s="546"/>
      <c r="I867" s="546"/>
      <c r="J867" s="546"/>
      <c r="K867" s="546"/>
      <c r="L867" s="546"/>
      <c r="M867" s="546"/>
      <c r="N867" s="546"/>
      <c r="O867" s="546"/>
      <c r="P867" s="546"/>
      <c r="Q867" s="3444">
        <f>IF(AR867&lt;&gt;"",SUMIF('11'!AA25:AA159,CLK!AR867,'11'!R25:R159),0)</f>
        <v>2438600</v>
      </c>
      <c r="R867" s="3444"/>
      <c r="S867" s="3444"/>
      <c r="T867" s="3444"/>
      <c r="U867" s="3444"/>
      <c r="V867" s="3444"/>
      <c r="W867" s="579"/>
      <c r="X867" s="3444">
        <f>'11'!T72</f>
        <v>1509500</v>
      </c>
      <c r="Y867" s="3444"/>
      <c r="Z867" s="3444"/>
      <c r="AA867" s="3444"/>
      <c r="AB867" s="3444"/>
      <c r="AC867" s="3444"/>
      <c r="AE867" s="3445">
        <f t="shared" si="21"/>
        <v>929100</v>
      </c>
      <c r="AF867" s="3445"/>
      <c r="AG867" s="3445"/>
      <c r="AH867" s="3445"/>
      <c r="AI867" s="3445"/>
      <c r="AJ867" s="3445"/>
      <c r="AP867" s="87"/>
      <c r="AQ867" s="87" t="str">
        <f>'[9]11'!Z69</f>
        <v>Clinic supplies</v>
      </c>
      <c r="AR867" s="2480" t="s">
        <v>6692</v>
      </c>
      <c r="AS867" s="548"/>
    </row>
    <row r="868" spans="2:45" outlineLevel="1" x14ac:dyDescent="0.35">
      <c r="B868" s="84"/>
      <c r="C868" s="84" t="str">
        <f>'[9]11'!A73</f>
        <v>Keperluan kebersihan</v>
      </c>
      <c r="E868" s="546"/>
      <c r="F868" s="546"/>
      <c r="G868" s="546"/>
      <c r="H868" s="546"/>
      <c r="I868" s="546"/>
      <c r="J868" s="546"/>
      <c r="K868" s="546"/>
      <c r="L868" s="546"/>
      <c r="M868" s="546"/>
      <c r="N868" s="546"/>
      <c r="O868" s="546"/>
      <c r="P868" s="546"/>
      <c r="Q868" s="3444">
        <f>IF(AR868&lt;&gt;"",SUMIF('11'!AA26:AA160,CLK!AR868,'11'!R26:R160),0)</f>
        <v>5024000</v>
      </c>
      <c r="R868" s="3444"/>
      <c r="S868" s="3444"/>
      <c r="T868" s="3444"/>
      <c r="U868" s="3444"/>
      <c r="V868" s="3444"/>
      <c r="W868" s="579"/>
      <c r="X868" s="3444">
        <f>'11'!T81</f>
        <v>6909400</v>
      </c>
      <c r="Y868" s="3444"/>
      <c r="Z868" s="3444"/>
      <c r="AA868" s="3444"/>
      <c r="AB868" s="3444"/>
      <c r="AC868" s="3444"/>
      <c r="AE868" s="3445">
        <f t="shared" si="21"/>
        <v>-1885400</v>
      </c>
      <c r="AF868" s="3445"/>
      <c r="AG868" s="3445"/>
      <c r="AH868" s="3445"/>
      <c r="AI868" s="3445"/>
      <c r="AJ868" s="3445"/>
      <c r="AP868" s="87"/>
      <c r="AQ868" s="87" t="str">
        <f>'[9]11'!Z73</f>
        <v>Cleaning supplies</v>
      </c>
      <c r="AR868" s="2480" t="s">
        <v>6693</v>
      </c>
      <c r="AS868" s="548"/>
    </row>
    <row r="869" spans="2:45" outlineLevel="1" x14ac:dyDescent="0.35">
      <c r="B869" s="84"/>
      <c r="C869" s="84" t="str">
        <f>'[9]11'!A84</f>
        <v>Keperluan asrama</v>
      </c>
      <c r="E869" s="546"/>
      <c r="F869" s="546"/>
      <c r="G869" s="546"/>
      <c r="H869" s="546"/>
      <c r="I869" s="546"/>
      <c r="J869" s="546"/>
      <c r="K869" s="546"/>
      <c r="L869" s="546"/>
      <c r="M869" s="546"/>
      <c r="N869" s="546"/>
      <c r="O869" s="546"/>
      <c r="P869" s="546"/>
      <c r="Q869" s="3444">
        <f>IF(AR869&lt;&gt;"",SUMIF('11'!AA27:AA161,CLK!AR869,'11'!R27:R161),0)</f>
        <v>0</v>
      </c>
      <c r="R869" s="3444"/>
      <c r="S869" s="3444"/>
      <c r="T869" s="3444"/>
      <c r="U869" s="3444"/>
      <c r="V869" s="3444"/>
      <c r="W869" s="579"/>
      <c r="X869" s="3444">
        <f>'11'!T89</f>
        <v>0</v>
      </c>
      <c r="Y869" s="3444"/>
      <c r="Z869" s="3444"/>
      <c r="AA869" s="3444"/>
      <c r="AB869" s="3444"/>
      <c r="AC869" s="3444"/>
      <c r="AE869" s="3445">
        <f t="shared" si="21"/>
        <v>0</v>
      </c>
      <c r="AF869" s="3445"/>
      <c r="AG869" s="3445"/>
      <c r="AH869" s="3445"/>
      <c r="AI869" s="3445"/>
      <c r="AJ869" s="3445"/>
      <c r="AP869" s="87"/>
      <c r="AQ869" s="87" t="str">
        <f>'[9]11'!Z84</f>
        <v>Boarding supplies</v>
      </c>
      <c r="AR869" s="2480" t="s">
        <v>6694</v>
      </c>
      <c r="AS869" s="548"/>
    </row>
    <row r="870" spans="2:45" outlineLevel="1" x14ac:dyDescent="0.35">
      <c r="B870" s="84"/>
      <c r="C870" s="84" t="str">
        <f>'[9]11'!A92</f>
        <v>Keperluan lain lain</v>
      </c>
      <c r="E870" s="546"/>
      <c r="F870" s="546"/>
      <c r="G870" s="546"/>
      <c r="H870" s="546"/>
      <c r="I870" s="546"/>
      <c r="J870" s="546"/>
      <c r="K870" s="546"/>
      <c r="L870" s="546"/>
      <c r="M870" s="546"/>
      <c r="N870" s="546"/>
      <c r="O870" s="546"/>
      <c r="P870" s="546"/>
      <c r="Q870" s="3444">
        <f>IF(AR870&lt;&gt;"",SUMIF('11'!AA28:AA162,CLK!AR870,'11'!R28:R162),0)</f>
        <v>0</v>
      </c>
      <c r="R870" s="3444"/>
      <c r="S870" s="3444"/>
      <c r="T870" s="3444"/>
      <c r="U870" s="3444"/>
      <c r="V870" s="3444"/>
      <c r="W870" s="579"/>
      <c r="X870" s="3444">
        <f>'11'!T96</f>
        <v>0</v>
      </c>
      <c r="Y870" s="3444"/>
      <c r="Z870" s="3444"/>
      <c r="AA870" s="3444"/>
      <c r="AB870" s="3444"/>
      <c r="AC870" s="3444"/>
      <c r="AE870" s="3445">
        <f t="shared" si="21"/>
        <v>0</v>
      </c>
      <c r="AF870" s="3445"/>
      <c r="AG870" s="3445"/>
      <c r="AH870" s="3445"/>
      <c r="AI870" s="3445"/>
      <c r="AJ870" s="3445"/>
      <c r="AP870" s="87"/>
      <c r="AQ870" s="87" t="str">
        <f>'[9]11'!Z92</f>
        <v>Other supplies</v>
      </c>
      <c r="AR870" s="2480" t="s">
        <v>6695</v>
      </c>
      <c r="AS870" s="548"/>
    </row>
    <row r="871" spans="2:45" x14ac:dyDescent="0.35">
      <c r="B871" s="84"/>
      <c r="C871" s="883" t="str">
        <f>'[9]11'!A100</f>
        <v>Transportasi dan perjalanan</v>
      </c>
      <c r="E871" s="546"/>
      <c r="F871" s="546"/>
      <c r="G871" s="546"/>
      <c r="H871" s="546"/>
      <c r="I871" s="546"/>
      <c r="J871" s="546"/>
      <c r="K871" s="546"/>
      <c r="L871" s="546"/>
      <c r="M871" s="546"/>
      <c r="N871" s="546"/>
      <c r="O871" s="546"/>
      <c r="P871" s="546"/>
      <c r="Q871" s="3444">
        <f>IF(AR871&lt;&gt;"",SUMIF('11'!AA29:AA163,CLK!AR871,'11'!R29:R163),0)</f>
        <v>11613100</v>
      </c>
      <c r="R871" s="3444"/>
      <c r="S871" s="3444"/>
      <c r="T871" s="3444"/>
      <c r="U871" s="3444"/>
      <c r="V871" s="3444"/>
      <c r="W871" s="579"/>
      <c r="X871" s="3444">
        <f>'11'!T104</f>
        <v>18124100</v>
      </c>
      <c r="Y871" s="3444"/>
      <c r="Z871" s="3444"/>
      <c r="AA871" s="3444"/>
      <c r="AB871" s="3444"/>
      <c r="AC871" s="3444"/>
      <c r="AE871" s="3445">
        <f t="shared" si="21"/>
        <v>-6511000</v>
      </c>
      <c r="AF871" s="3445"/>
      <c r="AG871" s="3445"/>
      <c r="AH871" s="3445"/>
      <c r="AI871" s="3445"/>
      <c r="AJ871" s="3445"/>
      <c r="AP871" s="87"/>
      <c r="AQ871" s="87" t="str">
        <f>'[9]11'!Z100</f>
        <v>Trasnportation and traveling</v>
      </c>
      <c r="AR871" s="2480" t="s">
        <v>6696</v>
      </c>
      <c r="AS871" s="548"/>
    </row>
    <row r="872" spans="2:45" x14ac:dyDescent="0.35">
      <c r="B872" s="84"/>
      <c r="C872" s="84" t="str">
        <f>'[9]11'!A108</f>
        <v>Pos dan telekomunikasi</v>
      </c>
      <c r="E872" s="546"/>
      <c r="F872" s="546"/>
      <c r="G872" s="546"/>
      <c r="H872" s="546"/>
      <c r="I872" s="546"/>
      <c r="J872" s="546"/>
      <c r="K872" s="546"/>
      <c r="L872" s="546"/>
      <c r="M872" s="546"/>
      <c r="N872" s="546"/>
      <c r="O872" s="546"/>
      <c r="P872" s="546"/>
      <c r="Q872" s="3444">
        <f>IF(AR872&lt;&gt;"",SUMIF('11'!AA30:AA164,CLK!AR872,'11'!R30:R164),0)</f>
        <v>2395750</v>
      </c>
      <c r="R872" s="3444"/>
      <c r="S872" s="3444"/>
      <c r="T872" s="3444"/>
      <c r="U872" s="3444"/>
      <c r="V872" s="3444"/>
      <c r="W872" s="579"/>
      <c r="X872" s="3444">
        <f>'11'!T110</f>
        <v>3829450</v>
      </c>
      <c r="Y872" s="3444"/>
      <c r="Z872" s="3444"/>
      <c r="AA872" s="3444"/>
      <c r="AB872" s="3444"/>
      <c r="AC872" s="3444"/>
      <c r="AE872" s="3445">
        <f t="shared" si="21"/>
        <v>-1433700</v>
      </c>
      <c r="AF872" s="3445"/>
      <c r="AG872" s="3445"/>
      <c r="AH872" s="3445"/>
      <c r="AI872" s="3445"/>
      <c r="AJ872" s="3445"/>
      <c r="AP872" s="87"/>
      <c r="AQ872" s="87" t="str">
        <f>'[9]11'!Z108</f>
        <v>Post and telecomunication</v>
      </c>
      <c r="AR872" s="2480" t="s">
        <v>6697</v>
      </c>
      <c r="AS872" s="548"/>
    </row>
    <row r="873" spans="2:45" x14ac:dyDescent="0.35">
      <c r="B873" s="84"/>
      <c r="C873" s="84" t="str">
        <f>'[9]11'!A114</f>
        <v>Perbaikan dan pemeliharaan</v>
      </c>
      <c r="E873" s="546"/>
      <c r="F873" s="546"/>
      <c r="G873" s="546"/>
      <c r="H873" s="546"/>
      <c r="I873" s="546"/>
      <c r="J873" s="546"/>
      <c r="K873" s="546"/>
      <c r="L873" s="546"/>
      <c r="M873" s="546"/>
      <c r="N873" s="546"/>
      <c r="O873" s="546"/>
      <c r="P873" s="546"/>
      <c r="Q873" s="3444">
        <f>IF(AR873&lt;&gt;"",SUMIF('11'!AA31:AA165,CLK!AR873,'11'!R31:R165),0)</f>
        <v>62137000</v>
      </c>
      <c r="R873" s="3444"/>
      <c r="S873" s="3444"/>
      <c r="T873" s="3444"/>
      <c r="U873" s="3444"/>
      <c r="V873" s="3444"/>
      <c r="W873" s="579"/>
      <c r="X873" s="3444">
        <f>'11'!T119</f>
        <v>53707300</v>
      </c>
      <c r="Y873" s="3444"/>
      <c r="Z873" s="3444"/>
      <c r="AA873" s="3444"/>
      <c r="AB873" s="3444"/>
      <c r="AC873" s="3444"/>
      <c r="AE873" s="3445">
        <f t="shared" si="21"/>
        <v>8429700</v>
      </c>
      <c r="AF873" s="3445"/>
      <c r="AG873" s="3445"/>
      <c r="AH873" s="3445"/>
      <c r="AI873" s="3445"/>
      <c r="AJ873" s="3445"/>
      <c r="AP873" s="87"/>
      <c r="AQ873" s="87" t="str">
        <f>'[9]11'!Z114</f>
        <v>Repair and maintenance</v>
      </c>
      <c r="AR873" s="2480" t="s">
        <v>6698</v>
      </c>
      <c r="AS873" s="548"/>
    </row>
    <row r="874" spans="2:45" x14ac:dyDescent="0.35">
      <c r="B874" s="84"/>
      <c r="C874" s="883" t="str">
        <f>'[9]11'!A123</f>
        <v>Listrik  &amp; air</v>
      </c>
      <c r="E874" s="546"/>
      <c r="F874" s="546"/>
      <c r="G874" s="546"/>
      <c r="H874" s="546"/>
      <c r="I874" s="546"/>
      <c r="J874" s="546"/>
      <c r="K874" s="546"/>
      <c r="L874" s="546"/>
      <c r="M874" s="546"/>
      <c r="N874" s="546"/>
      <c r="O874" s="546"/>
      <c r="P874" s="546"/>
      <c r="Q874" s="3444">
        <f>IF(AR874&lt;&gt;"",SUMIF('11'!AA32:AA166,CLK!AR874,'11'!R32:R166),0)</f>
        <v>8074100</v>
      </c>
      <c r="R874" s="3444"/>
      <c r="S874" s="3444"/>
      <c r="T874" s="3444"/>
      <c r="U874" s="3444"/>
      <c r="V874" s="3444"/>
      <c r="W874" s="579"/>
      <c r="X874" s="3444">
        <f>'11'!T124</f>
        <v>6989900</v>
      </c>
      <c r="Y874" s="3444"/>
      <c r="Z874" s="3444"/>
      <c r="AA874" s="3444"/>
      <c r="AB874" s="3444"/>
      <c r="AC874" s="3444"/>
      <c r="AE874" s="3445">
        <f t="shared" si="21"/>
        <v>1084200</v>
      </c>
      <c r="AF874" s="3445"/>
      <c r="AG874" s="3445"/>
      <c r="AH874" s="3445"/>
      <c r="AI874" s="3445"/>
      <c r="AJ874" s="3445"/>
      <c r="AP874" s="87"/>
      <c r="AQ874" s="87" t="str">
        <f>'[9]11'!Z123</f>
        <v>Electrycity and water</v>
      </c>
      <c r="AR874" s="2480" t="s">
        <v>6699</v>
      </c>
      <c r="AS874" s="548"/>
    </row>
    <row r="875" spans="2:45" outlineLevel="1" x14ac:dyDescent="0.35">
      <c r="B875" s="84"/>
      <c r="C875" s="84" t="str">
        <f>'[9]11'!A128</f>
        <v>Sumbangan, iuran &amp; pajak</v>
      </c>
      <c r="E875" s="546"/>
      <c r="F875" s="546"/>
      <c r="G875" s="546"/>
      <c r="H875" s="546"/>
      <c r="I875" s="546"/>
      <c r="J875" s="546"/>
      <c r="K875" s="546"/>
      <c r="L875" s="546"/>
      <c r="M875" s="546"/>
      <c r="N875" s="546"/>
      <c r="O875" s="546"/>
      <c r="P875" s="546"/>
      <c r="Q875" s="3444">
        <f>IF(AR875&lt;&gt;"",SUMIF('11'!AA33:AA167,CLK!AR875,'11'!R33:R167),0)</f>
        <v>1719300</v>
      </c>
      <c r="R875" s="3444"/>
      <c r="S875" s="3444"/>
      <c r="T875" s="3444"/>
      <c r="U875" s="3444"/>
      <c r="V875" s="3444"/>
      <c r="W875" s="579"/>
      <c r="X875" s="3444">
        <f>'11'!T130</f>
        <v>9186700</v>
      </c>
      <c r="Y875" s="3444"/>
      <c r="Z875" s="3444"/>
      <c r="AA875" s="3444"/>
      <c r="AB875" s="3444"/>
      <c r="AC875" s="3444"/>
      <c r="AE875" s="3445">
        <f t="shared" si="21"/>
        <v>-7467400</v>
      </c>
      <c r="AF875" s="3445"/>
      <c r="AG875" s="3445"/>
      <c r="AH875" s="3445"/>
      <c r="AI875" s="3445"/>
      <c r="AJ875" s="3445"/>
      <c r="AP875" s="87"/>
      <c r="AQ875" s="87" t="str">
        <f>'[9]11'!Z128</f>
        <v>Contribution, dues &amp; taxes</v>
      </c>
      <c r="AR875" s="2480" t="s">
        <v>6683</v>
      </c>
      <c r="AS875" s="548"/>
    </row>
    <row r="876" spans="2:45" x14ac:dyDescent="0.35">
      <c r="B876" s="84"/>
      <c r="C876" s="84" t="str">
        <f>'[9]11'!A134</f>
        <v>Legal dan profesional</v>
      </c>
      <c r="E876" s="546"/>
      <c r="F876" s="546"/>
      <c r="G876" s="546"/>
      <c r="H876" s="546"/>
      <c r="I876" s="546"/>
      <c r="J876" s="546"/>
      <c r="K876" s="546"/>
      <c r="L876" s="546"/>
      <c r="M876" s="546"/>
      <c r="N876" s="546"/>
      <c r="O876" s="546"/>
      <c r="P876" s="546"/>
      <c r="Q876" s="3444">
        <f>IF(AR876&lt;&gt;"",SUMIF('11'!AA34:AA168,CLK!AR876,'11'!R34:R168),0)</f>
        <v>4594500</v>
      </c>
      <c r="R876" s="3444"/>
      <c r="S876" s="3444"/>
      <c r="T876" s="3444"/>
      <c r="U876" s="3444"/>
      <c r="V876" s="3444"/>
      <c r="W876" s="579"/>
      <c r="X876" s="3444">
        <f>'11'!T137</f>
        <v>18998000</v>
      </c>
      <c r="Y876" s="3444"/>
      <c r="Z876" s="3444"/>
      <c r="AA876" s="3444"/>
      <c r="AB876" s="3444"/>
      <c r="AC876" s="3444"/>
      <c r="AE876" s="3440">
        <f t="shared" si="21"/>
        <v>-14403500</v>
      </c>
      <c r="AF876" s="3440"/>
      <c r="AG876" s="3440"/>
      <c r="AH876" s="3440"/>
      <c r="AI876" s="3440"/>
      <c r="AJ876" s="3440"/>
      <c r="AP876" s="87"/>
      <c r="AQ876" s="87" t="str">
        <f>'[9]11'!Z134</f>
        <v>Legal and professional</v>
      </c>
      <c r="AR876" s="2480" t="s">
        <v>6700</v>
      </c>
      <c r="AS876" s="548"/>
    </row>
    <row r="877" spans="2:45" outlineLevel="1" x14ac:dyDescent="0.35">
      <c r="B877" s="84"/>
      <c r="C877" s="84" t="str">
        <f>'[9]11'!A141</f>
        <v>Harga pokok penjualan</v>
      </c>
      <c r="E877" s="546"/>
      <c r="F877" s="546"/>
      <c r="G877" s="546"/>
      <c r="H877" s="546"/>
      <c r="I877" s="546"/>
      <c r="J877" s="546"/>
      <c r="K877" s="546"/>
      <c r="L877" s="546"/>
      <c r="M877" s="546"/>
      <c r="N877" s="546"/>
      <c r="O877" s="546"/>
      <c r="P877" s="546"/>
      <c r="Q877" s="3444">
        <f>IF(AR877&lt;&gt;"",SUMIF('11'!AA35:AA169,CLK!AR877,'11'!R35:R169),0)</f>
        <v>77754211.716666669</v>
      </c>
      <c r="R877" s="3444"/>
      <c r="S877" s="3444"/>
      <c r="T877" s="3444"/>
      <c r="U877" s="3444"/>
      <c r="V877" s="3444"/>
      <c r="W877" s="579"/>
      <c r="X877" s="3444">
        <f>'11'!T147</f>
        <v>123886795.71666667</v>
      </c>
      <c r="Y877" s="3444"/>
      <c r="Z877" s="3444"/>
      <c r="AA877" s="3444"/>
      <c r="AB877" s="3444"/>
      <c r="AC877" s="3444"/>
      <c r="AE877" s="3445">
        <f t="shared" si="21"/>
        <v>-46132584</v>
      </c>
      <c r="AF877" s="3445"/>
      <c r="AG877" s="3445"/>
      <c r="AH877" s="3445"/>
      <c r="AI877" s="3445"/>
      <c r="AJ877" s="3445"/>
      <c r="AP877" s="87"/>
      <c r="AQ877" s="87" t="str">
        <f>'[9]11'!Z141</f>
        <v>Cost of good sold</v>
      </c>
      <c r="AR877" s="2480" t="s">
        <v>6701</v>
      </c>
      <c r="AS877" s="548"/>
    </row>
    <row r="878" spans="2:45" outlineLevel="1" x14ac:dyDescent="0.35">
      <c r="B878" s="84"/>
      <c r="C878" s="84" t="str">
        <f>'[9]11'!A152</f>
        <v>Bantuan keuangan santri</v>
      </c>
      <c r="E878" s="546"/>
      <c r="F878" s="546"/>
      <c r="G878" s="546"/>
      <c r="H878" s="546"/>
      <c r="I878" s="546"/>
      <c r="J878" s="546"/>
      <c r="K878" s="546"/>
      <c r="L878" s="546"/>
      <c r="M878" s="546"/>
      <c r="N878" s="546"/>
      <c r="O878" s="546"/>
      <c r="P878" s="546"/>
      <c r="Q878" s="3444">
        <f>IF(AR878&lt;&gt;"",SUMIF('11'!AA36:AA170,CLK!AR878,'11'!R36:R170),0)</f>
        <v>0</v>
      </c>
      <c r="R878" s="3444"/>
      <c r="S878" s="3444"/>
      <c r="T878" s="3444"/>
      <c r="U878" s="3444"/>
      <c r="V878" s="3444"/>
      <c r="W878" s="579"/>
      <c r="X878" s="3444">
        <f>'11'!T148</f>
        <v>0</v>
      </c>
      <c r="Y878" s="3444"/>
      <c r="Z878" s="3444"/>
      <c r="AA878" s="3444"/>
      <c r="AB878" s="3444"/>
      <c r="AC878" s="3444"/>
      <c r="AE878" s="3445">
        <f t="shared" si="21"/>
        <v>0</v>
      </c>
      <c r="AF878" s="3445"/>
      <c r="AG878" s="3445"/>
      <c r="AH878" s="3445"/>
      <c r="AI878" s="3445"/>
      <c r="AJ878" s="3445"/>
      <c r="AP878" s="87"/>
      <c r="AQ878" s="87" t="str">
        <f>'[9]11'!Z152</f>
        <v>Student financial aid</v>
      </c>
      <c r="AR878" s="2480" t="s">
        <v>6572</v>
      </c>
      <c r="AS878" s="548"/>
    </row>
    <row r="879" spans="2:45" x14ac:dyDescent="0.35">
      <c r="B879" s="84"/>
      <c r="C879" s="84" t="str">
        <f>'[9]11'!A153</f>
        <v>Penyusutan</v>
      </c>
      <c r="E879" s="546"/>
      <c r="F879" s="546"/>
      <c r="G879" s="546"/>
      <c r="H879" s="546"/>
      <c r="I879" s="546"/>
      <c r="J879" s="546"/>
      <c r="K879" s="546"/>
      <c r="L879" s="546"/>
      <c r="M879" s="546"/>
      <c r="N879" s="546"/>
      <c r="O879" s="546"/>
      <c r="P879" s="546"/>
      <c r="Q879" s="3444">
        <f>IF(AR879&lt;&gt;"",SUMIF('11'!AA37:AA171,CLK!AR879,'11'!R37:R171),0)</f>
        <v>91820732.989999995</v>
      </c>
      <c r="R879" s="3444"/>
      <c r="S879" s="3444"/>
      <c r="T879" s="3444"/>
      <c r="U879" s="3444"/>
      <c r="V879" s="3444"/>
      <c r="W879" s="579"/>
      <c r="X879" s="3444">
        <f>'11'!T149</f>
        <v>93437188.909999996</v>
      </c>
      <c r="Y879" s="3444"/>
      <c r="Z879" s="3444"/>
      <c r="AA879" s="3444"/>
      <c r="AB879" s="3444"/>
      <c r="AC879" s="3444"/>
      <c r="AE879" s="3440">
        <f>Q879-X879</f>
        <v>-1616455.9200000018</v>
      </c>
      <c r="AF879" s="3440"/>
      <c r="AG879" s="3440"/>
      <c r="AH879" s="3440"/>
      <c r="AI879" s="3440"/>
      <c r="AJ879" s="3440"/>
      <c r="AP879" s="87"/>
      <c r="AQ879" s="87" t="str">
        <f>'[9]11'!Z153</f>
        <v>Depreciation</v>
      </c>
      <c r="AR879" s="2480" t="s">
        <v>6571</v>
      </c>
      <c r="AS879" s="548"/>
    </row>
    <row r="880" spans="2:45" outlineLevel="1" x14ac:dyDescent="0.35">
      <c r="B880" s="84"/>
      <c r="C880" s="84" t="str">
        <f>'[9]11'!A154</f>
        <v>Beban lain lain &amp; kerugian</v>
      </c>
      <c r="E880" s="546"/>
      <c r="F880" s="546"/>
      <c r="G880" s="546"/>
      <c r="H880" s="546"/>
      <c r="I880" s="546"/>
      <c r="J880" s="546"/>
      <c r="K880" s="546"/>
      <c r="L880" s="546"/>
      <c r="M880" s="546"/>
      <c r="N880" s="546"/>
      <c r="O880" s="546"/>
      <c r="P880" s="546"/>
      <c r="Q880" s="3444">
        <f>IF(AR880&lt;&gt;"",SUMIF('11'!AA38:AA172,CLK!AR880,'11'!R38:R172),0)</f>
        <v>0</v>
      </c>
      <c r="R880" s="3444"/>
      <c r="S880" s="3444"/>
      <c r="T880" s="3444"/>
      <c r="U880" s="3444"/>
      <c r="V880" s="3444"/>
      <c r="W880" s="579"/>
      <c r="X880" s="3444">
        <f>'11'!T150</f>
        <v>0</v>
      </c>
      <c r="Y880" s="3444"/>
      <c r="Z880" s="3444"/>
      <c r="AA880" s="3444"/>
      <c r="AB880" s="3444"/>
      <c r="AC880" s="3444"/>
      <c r="AE880" s="3440">
        <f>Q880-X880</f>
        <v>0</v>
      </c>
      <c r="AF880" s="3440"/>
      <c r="AG880" s="3440"/>
      <c r="AH880" s="3440"/>
      <c r="AI880" s="3440"/>
      <c r="AJ880" s="3440"/>
      <c r="AP880" s="87"/>
      <c r="AQ880" s="87" t="str">
        <f>'[9]11'!Z154</f>
        <v>Other expenses and losses</v>
      </c>
      <c r="AR880" s="2480" t="s">
        <v>6702</v>
      </c>
      <c r="AS880" s="548"/>
    </row>
    <row r="881" spans="1:51" x14ac:dyDescent="0.35">
      <c r="B881" s="84"/>
      <c r="C881" s="84"/>
      <c r="E881" s="546"/>
      <c r="F881" s="546"/>
      <c r="G881" s="546"/>
      <c r="H881" s="546"/>
      <c r="I881" s="546"/>
      <c r="J881" s="546"/>
      <c r="K881" s="546"/>
      <c r="L881" s="546"/>
      <c r="M881" s="546"/>
      <c r="N881" s="546"/>
      <c r="O881" s="546"/>
      <c r="P881" s="546"/>
      <c r="Q881" s="579"/>
      <c r="R881" s="579"/>
      <c r="S881" s="579"/>
      <c r="T881" s="579"/>
      <c r="U881" s="579"/>
      <c r="V881" s="579"/>
      <c r="W881" s="579"/>
      <c r="X881" s="579"/>
      <c r="Y881" s="579"/>
      <c r="Z881" s="579"/>
      <c r="AA881" s="579"/>
      <c r="AB881" s="579"/>
      <c r="AC881" s="579"/>
      <c r="AE881" s="3440">
        <f>Q881-X881</f>
        <v>0</v>
      </c>
      <c r="AF881" s="3440"/>
      <c r="AG881" s="3440"/>
      <c r="AH881" s="3440"/>
      <c r="AI881" s="3440"/>
      <c r="AJ881" s="3440"/>
      <c r="AP881" s="87"/>
      <c r="AQ881" s="87"/>
      <c r="AS881" s="548"/>
      <c r="AT881" s="734"/>
      <c r="AU881" s="734"/>
      <c r="AV881" s="734"/>
      <c r="AW881" s="734"/>
      <c r="AX881" s="734"/>
      <c r="AY881" s="734"/>
    </row>
    <row r="882" spans="1:51" ht="14" thickBot="1" x14ac:dyDescent="0.4">
      <c r="C882" s="64" t="s">
        <v>396</v>
      </c>
      <c r="D882" s="64"/>
      <c r="E882" s="555"/>
      <c r="F882" s="555"/>
      <c r="G882" s="555"/>
      <c r="H882" s="555"/>
      <c r="I882" s="555"/>
      <c r="J882" s="555"/>
      <c r="K882" s="555"/>
      <c r="L882" s="555"/>
      <c r="M882" s="555"/>
      <c r="N882" s="555"/>
      <c r="O882" s="555"/>
      <c r="P882" s="555"/>
      <c r="Q882" s="3442">
        <f>SUM(Q861:V880)</f>
        <v>669874218.37666667</v>
      </c>
      <c r="R882" s="3442"/>
      <c r="S882" s="3442"/>
      <c r="T882" s="3442"/>
      <c r="U882" s="3442"/>
      <c r="V882" s="3442"/>
      <c r="W882" s="577"/>
      <c r="X882" s="3442">
        <f>SUM(X861:AC880)</f>
        <v>953712655.12666667</v>
      </c>
      <c r="Y882" s="3442"/>
      <c r="Z882" s="3442"/>
      <c r="AA882" s="3442"/>
      <c r="AB882" s="3442"/>
      <c r="AC882" s="3442"/>
      <c r="AE882" s="3440">
        <f>Q882-X882</f>
        <v>-283838436.75</v>
      </c>
      <c r="AF882" s="3440"/>
      <c r="AG882" s="3440"/>
      <c r="AH882" s="3440"/>
      <c r="AI882" s="3440"/>
      <c r="AJ882" s="3440"/>
      <c r="AP882" s="557"/>
      <c r="AQ882" s="88" t="s">
        <v>1039</v>
      </c>
      <c r="AS882" s="548"/>
    </row>
    <row r="883" spans="1:51" s="49" customFormat="1" ht="13.5" thickTop="1" x14ac:dyDescent="0.35">
      <c r="B883" s="742"/>
      <c r="E883" s="752"/>
      <c r="F883" s="752"/>
      <c r="G883" s="752"/>
      <c r="H883" s="752"/>
      <c r="I883" s="752"/>
      <c r="J883" s="752"/>
      <c r="K883" s="752"/>
      <c r="L883" s="752"/>
      <c r="M883" s="752"/>
      <c r="N883" s="752"/>
      <c r="O883" s="752"/>
      <c r="P883" s="752"/>
      <c r="Q883" s="3443">
        <f>Q882-LR!E75</f>
        <v>0</v>
      </c>
      <c r="R883" s="3443"/>
      <c r="S883" s="3443"/>
      <c r="T883" s="3443"/>
      <c r="U883" s="3443"/>
      <c r="V883" s="3443"/>
      <c r="W883" s="752"/>
      <c r="X883" s="3443">
        <f>X882-LR!H75</f>
        <v>0</v>
      </c>
      <c r="Y883" s="3443"/>
      <c r="Z883" s="3443"/>
      <c r="AA883" s="3443"/>
      <c r="AB883" s="3443"/>
      <c r="AC883" s="3443"/>
      <c r="AP883" s="746"/>
      <c r="AQ883" s="746"/>
      <c r="AS883" s="798"/>
    </row>
    <row r="884" spans="1:51" x14ac:dyDescent="0.35">
      <c r="E884" s="547"/>
      <c r="F884" s="547"/>
      <c r="G884" s="547"/>
      <c r="H884" s="547"/>
      <c r="I884" s="547"/>
      <c r="J884" s="547"/>
      <c r="K884" s="547"/>
      <c r="L884" s="547"/>
      <c r="M884" s="547"/>
      <c r="N884" s="547"/>
      <c r="O884" s="547"/>
      <c r="P884" s="547"/>
      <c r="Q884" s="884"/>
      <c r="R884" s="884"/>
      <c r="S884" s="884"/>
      <c r="T884" s="884"/>
      <c r="U884" s="884"/>
      <c r="V884" s="884"/>
      <c r="W884" s="884"/>
      <c r="X884" s="884"/>
      <c r="Y884" s="884"/>
      <c r="Z884" s="884"/>
      <c r="AA884" s="884"/>
      <c r="AB884" s="884"/>
      <c r="AC884" s="884"/>
      <c r="AS884" s="548"/>
    </row>
    <row r="885" spans="1:51" s="648" customFormat="1" ht="11.5" x14ac:dyDescent="0.35">
      <c r="A885" s="648" t="s">
        <v>614</v>
      </c>
      <c r="B885" s="885" t="s">
        <v>1040</v>
      </c>
      <c r="E885" s="767"/>
      <c r="F885" s="767"/>
      <c r="G885" s="767"/>
      <c r="H885" s="767"/>
      <c r="I885" s="767"/>
      <c r="J885" s="767"/>
      <c r="K885" s="767"/>
      <c r="L885" s="767"/>
      <c r="M885" s="767"/>
      <c r="N885" s="767"/>
      <c r="O885" s="767"/>
      <c r="P885" s="767"/>
      <c r="Q885" s="767"/>
      <c r="R885" s="767"/>
      <c r="S885" s="767"/>
      <c r="T885" s="767"/>
      <c r="U885" s="767"/>
      <c r="V885" s="767"/>
      <c r="W885" s="767"/>
      <c r="X885" s="767"/>
      <c r="Y885" s="767"/>
      <c r="Z885" s="767"/>
      <c r="AA885" s="767"/>
      <c r="AB885" s="767"/>
      <c r="AC885" s="767"/>
      <c r="AP885" s="768"/>
      <c r="AQ885" s="886" t="s">
        <v>1041</v>
      </c>
      <c r="AS885" s="762"/>
    </row>
    <row r="886" spans="1:51" s="887" customFormat="1" ht="11.5" x14ac:dyDescent="0.35">
      <c r="B886" s="888"/>
      <c r="E886" s="889"/>
      <c r="F886" s="889"/>
      <c r="G886" s="889"/>
      <c r="H886" s="889"/>
      <c r="I886" s="889"/>
      <c r="J886" s="889"/>
      <c r="K886" s="889"/>
      <c r="L886" s="889"/>
      <c r="M886" s="889"/>
      <c r="N886" s="889"/>
      <c r="O886" s="889"/>
      <c r="P886" s="889"/>
      <c r="Q886" s="889"/>
      <c r="R886" s="889"/>
      <c r="S886" s="889"/>
      <c r="T886" s="889"/>
      <c r="U886" s="889"/>
      <c r="V886" s="889"/>
      <c r="W886" s="889"/>
      <c r="X886" s="889"/>
      <c r="Y886" s="889"/>
      <c r="Z886" s="889"/>
      <c r="AA886" s="889"/>
      <c r="AB886" s="889"/>
      <c r="AC886" s="889"/>
      <c r="AP886" s="890"/>
      <c r="AQ886" s="891"/>
      <c r="AS886" s="892"/>
    </row>
    <row r="887" spans="1:51" s="887" customFormat="1" ht="195" hidden="1" customHeight="1" x14ac:dyDescent="0.35">
      <c r="B887" s="888"/>
      <c r="E887" s="889"/>
      <c r="F887" s="889"/>
      <c r="G887" s="889"/>
      <c r="H887" s="889"/>
      <c r="I887" s="889"/>
      <c r="J887" s="889"/>
      <c r="K887" s="889"/>
      <c r="L887" s="889"/>
      <c r="M887" s="889"/>
      <c r="N887" s="889"/>
      <c r="O887" s="889"/>
      <c r="P887" s="889"/>
      <c r="Q887" s="889"/>
      <c r="R887" s="889"/>
      <c r="S887" s="889"/>
      <c r="T887" s="889"/>
      <c r="U887" s="889"/>
      <c r="V887" s="889"/>
      <c r="W887" s="889"/>
      <c r="X887" s="889"/>
      <c r="Y887" s="889"/>
      <c r="Z887" s="889"/>
      <c r="AA887" s="889"/>
      <c r="AB887" s="889"/>
      <c r="AC887" s="889"/>
      <c r="AP887" s="890"/>
      <c r="AQ887" s="891"/>
      <c r="AS887" s="892"/>
    </row>
    <row r="888" spans="1:51" outlineLevel="1" x14ac:dyDescent="0.35">
      <c r="B888" s="457" t="s">
        <v>409</v>
      </c>
      <c r="C888" s="84"/>
      <c r="D888" s="84"/>
      <c r="E888" s="363"/>
      <c r="F888" s="63"/>
      <c r="G888" s="363"/>
      <c r="H888" s="87"/>
      <c r="I888" s="87"/>
      <c r="J888" s="365"/>
      <c r="L888" s="365"/>
      <c r="N888" s="365"/>
      <c r="AP888" s="181"/>
      <c r="AQ888" s="365" t="s">
        <v>410</v>
      </c>
    </row>
    <row r="889" spans="1:51" outlineLevel="1" x14ac:dyDescent="0.35">
      <c r="B889" s="86"/>
      <c r="C889" s="84"/>
      <c r="D889" s="84"/>
      <c r="E889" s="363"/>
      <c r="F889" s="86"/>
      <c r="G889" s="363"/>
      <c r="H889" s="87"/>
      <c r="I889" s="87"/>
      <c r="J889" s="142"/>
      <c r="AP889" s="181"/>
      <c r="AQ889" s="181"/>
    </row>
    <row r="890" spans="1:51" s="564" customFormat="1" ht="16.5" outlineLevel="1" x14ac:dyDescent="0.35">
      <c r="B890" s="561" t="str">
        <f>IN!C4</f>
        <v>Laporan Keuangan June 2026</v>
      </c>
      <c r="C890" s="561"/>
      <c r="D890" s="561"/>
      <c r="E890" s="561"/>
      <c r="F890" s="561"/>
      <c r="G890" s="561"/>
      <c r="H890" s="561"/>
      <c r="I890" s="561"/>
      <c r="J890" s="561"/>
      <c r="K890" s="561"/>
      <c r="L890" s="561"/>
      <c r="M890" s="561"/>
      <c r="N890" s="561"/>
      <c r="O890" s="561"/>
      <c r="P890" s="561"/>
      <c r="Q890" s="561"/>
      <c r="R890" s="561"/>
      <c r="S890" s="561"/>
      <c r="T890" s="561"/>
      <c r="U890" s="561"/>
      <c r="V890" s="562"/>
      <c r="W890" s="610" t="s">
        <v>1027</v>
      </c>
      <c r="X890" s="561"/>
      <c r="Y890" s="561"/>
      <c r="Z890" s="561"/>
      <c r="AA890" s="561"/>
      <c r="AB890" s="561"/>
      <c r="AC890" s="561"/>
      <c r="AD890" s="561"/>
      <c r="AE890" s="561"/>
      <c r="AF890" s="561"/>
      <c r="AG890" s="561"/>
      <c r="AH890" s="561"/>
      <c r="AI890" s="561"/>
      <c r="AJ890" s="561"/>
      <c r="AK890" s="561"/>
      <c r="AL890" s="561"/>
      <c r="AM890" s="561"/>
      <c r="AN890" s="561"/>
      <c r="AO890" s="561"/>
      <c r="AP890" s="561"/>
      <c r="AQ890" s="563" t="str">
        <f>IN!D4</f>
        <v>Financial Statement Jun 2026</v>
      </c>
      <c r="AS890" s="565"/>
    </row>
    <row r="891" spans="1:51" x14ac:dyDescent="0.35">
      <c r="E891" s="547"/>
      <c r="F891" s="547"/>
      <c r="G891" s="547"/>
      <c r="H891" s="547"/>
      <c r="I891" s="547"/>
      <c r="J891" s="547"/>
      <c r="K891" s="547"/>
      <c r="L891" s="547"/>
      <c r="M891" s="547"/>
      <c r="N891" s="547"/>
      <c r="O891" s="547"/>
      <c r="P891" s="547"/>
      <c r="Q891" s="547"/>
      <c r="R891" s="547"/>
      <c r="S891" s="547"/>
      <c r="T891" s="547"/>
      <c r="U891" s="547"/>
      <c r="V891" s="547"/>
      <c r="W891" s="547"/>
      <c r="X891" s="547"/>
      <c r="Y891" s="547"/>
      <c r="Z891" s="547"/>
      <c r="AA891" s="547"/>
      <c r="AB891" s="547"/>
      <c r="AC891" s="547"/>
    </row>
    <row r="892" spans="1:51" x14ac:dyDescent="0.35">
      <c r="E892" s="547"/>
      <c r="F892" s="547"/>
      <c r="G892" s="547"/>
      <c r="H892" s="547"/>
      <c r="I892" s="547"/>
      <c r="J892" s="547"/>
      <c r="K892" s="547"/>
      <c r="L892" s="547"/>
      <c r="M892" s="547"/>
      <c r="N892" s="547"/>
      <c r="O892" s="547"/>
      <c r="P892" s="547"/>
      <c r="Q892" s="547"/>
      <c r="R892" s="547"/>
      <c r="S892" s="547"/>
      <c r="T892" s="547"/>
      <c r="U892" s="547"/>
      <c r="V892" s="547"/>
      <c r="W892" s="547"/>
      <c r="X892" s="547"/>
      <c r="Y892" s="547"/>
      <c r="Z892" s="547"/>
      <c r="AA892" s="547"/>
      <c r="AB892" s="547"/>
      <c r="AC892" s="547"/>
    </row>
    <row r="893" spans="1:51" x14ac:dyDescent="0.35">
      <c r="E893" s="547"/>
      <c r="F893" s="547"/>
      <c r="G893" s="547"/>
      <c r="H893" s="547"/>
      <c r="I893" s="547"/>
      <c r="J893" s="547"/>
      <c r="K893" s="547"/>
      <c r="L893" s="547"/>
      <c r="M893" s="547"/>
      <c r="N893" s="547"/>
      <c r="O893" s="547"/>
      <c r="P893" s="547"/>
      <c r="Q893" s="547"/>
      <c r="R893" s="547"/>
      <c r="S893" s="547"/>
      <c r="T893" s="547"/>
      <c r="U893" s="547"/>
      <c r="V893" s="547"/>
      <c r="W893" s="547"/>
      <c r="X893" s="547"/>
      <c r="Y893" s="547"/>
      <c r="Z893" s="547"/>
      <c r="AA893" s="547"/>
      <c r="AB893" s="547"/>
      <c r="AC893" s="547"/>
    </row>
    <row r="894" spans="1:51" x14ac:dyDescent="0.35">
      <c r="E894" s="547"/>
      <c r="F894" s="547"/>
      <c r="G894" s="547"/>
      <c r="H894" s="547"/>
      <c r="I894" s="547"/>
      <c r="J894" s="547"/>
      <c r="K894" s="547"/>
      <c r="L894" s="547"/>
      <c r="M894" s="547"/>
      <c r="N894" s="547"/>
      <c r="O894" s="547"/>
      <c r="P894" s="547"/>
      <c r="Q894" s="547"/>
      <c r="R894" s="547"/>
      <c r="S894" s="547"/>
      <c r="T894" s="547"/>
      <c r="U894" s="547"/>
      <c r="V894" s="547"/>
      <c r="W894" s="547"/>
      <c r="X894" s="547"/>
      <c r="Y894" s="547"/>
      <c r="Z894" s="547"/>
      <c r="AA894" s="547"/>
      <c r="AB894" s="547"/>
      <c r="AC894" s="547"/>
    </row>
    <row r="895" spans="1:51" x14ac:dyDescent="0.35">
      <c r="E895" s="547"/>
      <c r="F895" s="547"/>
      <c r="G895" s="547"/>
      <c r="H895" s="547"/>
      <c r="I895" s="547"/>
      <c r="J895" s="547"/>
      <c r="K895" s="547"/>
      <c r="L895" s="547"/>
      <c r="M895" s="547"/>
      <c r="N895" s="547"/>
      <c r="O895" s="547"/>
      <c r="P895" s="547"/>
      <c r="Q895" s="547"/>
      <c r="R895" s="547"/>
      <c r="S895" s="547"/>
      <c r="T895" s="547"/>
      <c r="U895" s="547"/>
      <c r="V895" s="547"/>
      <c r="W895" s="547"/>
      <c r="X895" s="547"/>
      <c r="Y895" s="547"/>
      <c r="Z895" s="547"/>
      <c r="AA895" s="547"/>
      <c r="AB895" s="547"/>
      <c r="AC895" s="547"/>
    </row>
    <row r="896" spans="1:51" x14ac:dyDescent="0.35">
      <c r="E896" s="547"/>
      <c r="F896" s="547"/>
      <c r="G896" s="547"/>
      <c r="H896" s="547"/>
      <c r="I896" s="547"/>
      <c r="J896" s="547"/>
      <c r="K896" s="547"/>
      <c r="L896" s="547"/>
      <c r="M896" s="547"/>
      <c r="N896" s="547"/>
      <c r="O896" s="547"/>
      <c r="P896" s="547"/>
      <c r="Q896" s="547"/>
      <c r="R896" s="547"/>
      <c r="S896" s="547"/>
      <c r="T896" s="547"/>
      <c r="U896" s="547"/>
      <c r="V896" s="547"/>
      <c r="W896" s="547"/>
      <c r="X896" s="547"/>
      <c r="Y896" s="547"/>
      <c r="Z896" s="547"/>
      <c r="AA896" s="547"/>
      <c r="AB896" s="547"/>
      <c r="AC896" s="547"/>
    </row>
    <row r="897" spans="2:43" x14ac:dyDescent="0.35">
      <c r="E897" s="547"/>
      <c r="F897" s="547"/>
      <c r="G897" s="547"/>
      <c r="H897" s="547"/>
      <c r="I897" s="547"/>
      <c r="J897" s="547"/>
      <c r="K897" s="547"/>
      <c r="L897" s="547"/>
      <c r="M897" s="547"/>
      <c r="N897" s="547"/>
      <c r="O897" s="547"/>
      <c r="P897" s="547"/>
      <c r="Q897" s="547"/>
      <c r="R897" s="547"/>
      <c r="S897" s="547"/>
      <c r="T897" s="547"/>
      <c r="U897" s="547"/>
      <c r="V897" s="547"/>
      <c r="W897" s="547"/>
      <c r="X897" s="547"/>
      <c r="Y897" s="547"/>
      <c r="Z897" s="547"/>
      <c r="AA897" s="547"/>
      <c r="AB897" s="547"/>
      <c r="AC897" s="547"/>
    </row>
    <row r="898" spans="2:43" x14ac:dyDescent="0.35">
      <c r="E898" s="547"/>
      <c r="F898" s="547"/>
      <c r="G898" s="547"/>
      <c r="H898" s="547"/>
      <c r="I898" s="547"/>
      <c r="J898" s="547"/>
      <c r="K898" s="547"/>
      <c r="L898" s="547"/>
      <c r="M898" s="547"/>
      <c r="N898" s="547"/>
      <c r="O898" s="547"/>
      <c r="P898" s="547"/>
      <c r="Q898" s="547"/>
      <c r="R898" s="547"/>
      <c r="S898" s="547"/>
      <c r="T898" s="547"/>
      <c r="U898" s="547"/>
      <c r="V898" s="547"/>
      <c r="W898" s="547"/>
      <c r="X898" s="547"/>
      <c r="Y898" s="547"/>
      <c r="Z898" s="547"/>
      <c r="AA898" s="547"/>
      <c r="AB898" s="547"/>
      <c r="AC898" s="547"/>
    </row>
    <row r="899" spans="2:43" x14ac:dyDescent="0.35">
      <c r="E899" s="547"/>
      <c r="F899" s="547"/>
      <c r="G899" s="547"/>
      <c r="H899" s="547"/>
      <c r="I899" s="547"/>
      <c r="J899" s="547"/>
      <c r="K899" s="547"/>
      <c r="L899" s="547"/>
      <c r="M899" s="547"/>
      <c r="N899" s="547"/>
      <c r="O899" s="547"/>
      <c r="P899" s="547"/>
      <c r="Q899" s="547"/>
      <c r="R899" s="547"/>
      <c r="S899" s="547"/>
      <c r="T899" s="547"/>
      <c r="U899" s="547"/>
      <c r="V899" s="547"/>
      <c r="W899" s="547"/>
      <c r="X899" s="547"/>
      <c r="Y899" s="547"/>
      <c r="Z899" s="547"/>
      <c r="AA899" s="547"/>
      <c r="AB899" s="547"/>
      <c r="AC899" s="547"/>
    </row>
    <row r="900" spans="2:43" x14ac:dyDescent="0.35">
      <c r="E900" s="547"/>
      <c r="F900" s="547"/>
      <c r="G900" s="547"/>
      <c r="H900" s="547"/>
      <c r="I900" s="547"/>
      <c r="J900" s="547"/>
      <c r="K900" s="547"/>
      <c r="L900" s="547"/>
      <c r="M900" s="547"/>
      <c r="N900" s="547"/>
      <c r="O900" s="547"/>
      <c r="P900" s="547"/>
      <c r="Q900" s="547"/>
      <c r="R900" s="547"/>
      <c r="S900" s="547"/>
      <c r="T900" s="547"/>
      <c r="U900" s="547"/>
      <c r="V900" s="547"/>
      <c r="W900" s="547"/>
      <c r="X900" s="547"/>
      <c r="Y900" s="547"/>
      <c r="Z900" s="547"/>
      <c r="AA900" s="547"/>
      <c r="AB900" s="547"/>
      <c r="AC900" s="547"/>
    </row>
    <row r="901" spans="2:43" x14ac:dyDescent="0.35">
      <c r="E901" s="547"/>
      <c r="F901" s="547"/>
      <c r="G901" s="547"/>
      <c r="H901" s="547"/>
      <c r="I901" s="547"/>
      <c r="J901" s="547"/>
      <c r="K901" s="547"/>
      <c r="L901" s="547"/>
      <c r="M901" s="547"/>
      <c r="N901" s="547"/>
      <c r="O901" s="547"/>
      <c r="P901" s="547"/>
      <c r="Q901" s="547"/>
      <c r="R901" s="547"/>
      <c r="S901" s="547"/>
      <c r="T901" s="547"/>
      <c r="U901" s="547"/>
      <c r="V901" s="547"/>
      <c r="W901" s="547"/>
      <c r="X901" s="547"/>
      <c r="Y901" s="547"/>
      <c r="Z901" s="547"/>
      <c r="AA901" s="547"/>
      <c r="AB901" s="547"/>
      <c r="AC901" s="547"/>
    </row>
    <row r="902" spans="2:43" x14ac:dyDescent="0.35">
      <c r="E902" s="547"/>
      <c r="F902" s="547"/>
      <c r="G902" s="547"/>
      <c r="H902" s="547"/>
      <c r="I902" s="547"/>
      <c r="J902" s="547"/>
      <c r="K902" s="547"/>
      <c r="L902" s="547"/>
      <c r="M902" s="547"/>
      <c r="N902" s="547"/>
      <c r="O902" s="547"/>
      <c r="P902" s="547"/>
      <c r="Q902" s="547"/>
      <c r="R902" s="547"/>
      <c r="S902" s="547"/>
      <c r="T902" s="547"/>
      <c r="U902" s="547"/>
      <c r="V902" s="547"/>
      <c r="W902" s="547"/>
      <c r="X902" s="547"/>
      <c r="Y902" s="547"/>
      <c r="Z902" s="547"/>
      <c r="AA902" s="547"/>
      <c r="AB902" s="547"/>
      <c r="AC902" s="547"/>
    </row>
    <row r="903" spans="2:43" x14ac:dyDescent="0.35">
      <c r="B903" s="181"/>
      <c r="E903" s="547"/>
      <c r="F903" s="547"/>
      <c r="G903" s="547"/>
      <c r="H903" s="547"/>
      <c r="I903" s="547"/>
      <c r="J903" s="547"/>
      <c r="K903" s="547"/>
      <c r="L903" s="547"/>
      <c r="M903" s="547"/>
      <c r="N903" s="547"/>
      <c r="O903" s="547"/>
      <c r="P903" s="547"/>
      <c r="Q903" s="547"/>
      <c r="R903" s="547"/>
      <c r="S903" s="547"/>
      <c r="T903" s="547"/>
      <c r="U903" s="547"/>
      <c r="V903" s="547"/>
      <c r="W903" s="547"/>
      <c r="X903" s="547"/>
      <c r="Y903" s="547"/>
      <c r="Z903" s="547"/>
      <c r="AA903" s="547"/>
      <c r="AB903" s="547"/>
      <c r="AC903" s="547"/>
      <c r="AP903" s="181"/>
      <c r="AQ903" s="181"/>
    </row>
    <row r="904" spans="2:43" x14ac:dyDescent="0.35">
      <c r="B904" s="181"/>
      <c r="E904" s="547"/>
      <c r="F904" s="547"/>
      <c r="G904" s="547"/>
      <c r="H904" s="547"/>
      <c r="I904" s="547"/>
      <c r="J904" s="547"/>
      <c r="K904" s="547"/>
      <c r="L904" s="547"/>
      <c r="M904" s="547"/>
      <c r="N904" s="547"/>
      <c r="O904" s="547"/>
      <c r="P904" s="547"/>
      <c r="Q904" s="547"/>
      <c r="R904" s="547"/>
      <c r="S904" s="547"/>
      <c r="T904" s="547"/>
      <c r="U904" s="547"/>
      <c r="V904" s="547"/>
      <c r="W904" s="547"/>
      <c r="X904" s="547"/>
      <c r="Y904" s="547"/>
      <c r="Z904" s="547"/>
      <c r="AA904" s="547"/>
      <c r="AB904" s="547"/>
      <c r="AC904" s="547"/>
      <c r="AP904" s="181"/>
      <c r="AQ904" s="181"/>
    </row>
    <row r="905" spans="2:43" x14ac:dyDescent="0.35">
      <c r="B905" s="181"/>
      <c r="E905" s="547"/>
      <c r="F905" s="547"/>
      <c r="G905" s="547"/>
      <c r="H905" s="547"/>
      <c r="I905" s="547"/>
      <c r="J905" s="547"/>
      <c r="K905" s="547"/>
      <c r="L905" s="547"/>
      <c r="M905" s="547"/>
      <c r="N905" s="547"/>
      <c r="O905" s="547"/>
      <c r="P905" s="547"/>
      <c r="Q905" s="547"/>
      <c r="R905" s="547"/>
      <c r="S905" s="547"/>
      <c r="T905" s="547"/>
      <c r="U905" s="547"/>
      <c r="V905" s="547"/>
      <c r="W905" s="547"/>
      <c r="X905" s="547"/>
      <c r="Y905" s="547"/>
      <c r="Z905" s="547"/>
      <c r="AA905" s="547"/>
      <c r="AB905" s="547"/>
      <c r="AC905" s="547"/>
      <c r="AP905" s="181"/>
      <c r="AQ905" s="181"/>
    </row>
    <row r="906" spans="2:43" x14ac:dyDescent="0.35">
      <c r="B906" s="181"/>
      <c r="E906" s="547"/>
      <c r="F906" s="547"/>
      <c r="G906" s="547"/>
      <c r="H906" s="547"/>
      <c r="I906" s="547"/>
      <c r="J906" s="547"/>
      <c r="K906" s="547"/>
      <c r="L906" s="547"/>
      <c r="M906" s="547"/>
      <c r="N906" s="547"/>
      <c r="O906" s="547"/>
      <c r="P906" s="547"/>
      <c r="Q906" s="547"/>
      <c r="R906" s="547"/>
      <c r="S906" s="547"/>
      <c r="T906" s="547"/>
      <c r="U906" s="547"/>
      <c r="V906" s="547"/>
      <c r="W906" s="547"/>
      <c r="X906" s="547"/>
      <c r="Y906" s="547"/>
      <c r="Z906" s="547"/>
      <c r="AA906" s="547"/>
      <c r="AB906" s="547"/>
      <c r="AC906" s="547"/>
      <c r="AP906" s="181"/>
      <c r="AQ906" s="181"/>
    </row>
    <row r="907" spans="2:43" x14ac:dyDescent="0.35">
      <c r="B907" s="181"/>
      <c r="E907" s="547"/>
      <c r="F907" s="547"/>
      <c r="G907" s="547"/>
      <c r="H907" s="547"/>
      <c r="I907" s="547"/>
      <c r="J907" s="547"/>
      <c r="K907" s="547"/>
      <c r="L907" s="547"/>
      <c r="M907" s="547"/>
      <c r="N907" s="547"/>
      <c r="O907" s="547"/>
      <c r="P907" s="547"/>
      <c r="Q907" s="547"/>
      <c r="R907" s="547"/>
      <c r="S907" s="547"/>
      <c r="T907" s="547"/>
      <c r="U907" s="547"/>
      <c r="V907" s="547"/>
      <c r="W907" s="547"/>
      <c r="X907" s="547"/>
      <c r="Y907" s="547"/>
      <c r="Z907" s="547"/>
      <c r="AA907" s="547"/>
      <c r="AB907" s="547"/>
      <c r="AC907" s="547"/>
      <c r="AP907" s="181"/>
      <c r="AQ907" s="181"/>
    </row>
    <row r="908" spans="2:43" x14ac:dyDescent="0.35">
      <c r="B908" s="181"/>
      <c r="E908" s="547"/>
      <c r="F908" s="547"/>
      <c r="G908" s="547"/>
      <c r="H908" s="547"/>
      <c r="I908" s="547"/>
      <c r="J908" s="547"/>
      <c r="K908" s="547"/>
      <c r="L908" s="547"/>
      <c r="M908" s="547"/>
      <c r="N908" s="547"/>
      <c r="O908" s="547"/>
      <c r="P908" s="547"/>
      <c r="Q908" s="547"/>
      <c r="R908" s="547"/>
      <c r="S908" s="547"/>
      <c r="T908" s="547"/>
      <c r="U908" s="547"/>
      <c r="V908" s="547"/>
      <c r="W908" s="547"/>
      <c r="X908" s="547"/>
      <c r="Y908" s="547"/>
      <c r="Z908" s="547"/>
      <c r="AA908" s="547"/>
      <c r="AB908" s="547"/>
      <c r="AC908" s="547"/>
      <c r="AP908" s="181"/>
      <c r="AQ908" s="181"/>
    </row>
    <row r="909" spans="2:43" x14ac:dyDescent="0.35">
      <c r="B909" s="181"/>
      <c r="E909" s="547"/>
      <c r="F909" s="547"/>
      <c r="G909" s="547"/>
      <c r="H909" s="547"/>
      <c r="I909" s="547"/>
      <c r="J909" s="547"/>
      <c r="K909" s="547"/>
      <c r="L909" s="547"/>
      <c r="M909" s="547"/>
      <c r="N909" s="547"/>
      <c r="O909" s="547"/>
      <c r="P909" s="547"/>
      <c r="Q909" s="547"/>
      <c r="R909" s="547"/>
      <c r="S909" s="547"/>
      <c r="T909" s="547"/>
      <c r="U909" s="547"/>
      <c r="V909" s="547"/>
      <c r="W909" s="547"/>
      <c r="X909" s="547"/>
      <c r="Y909" s="547"/>
      <c r="Z909" s="547"/>
      <c r="AA909" s="547"/>
      <c r="AB909" s="547"/>
      <c r="AC909" s="547"/>
      <c r="AP909" s="181"/>
      <c r="AQ909" s="181"/>
    </row>
    <row r="910" spans="2:43" x14ac:dyDescent="0.35">
      <c r="B910" s="181"/>
      <c r="E910" s="547"/>
      <c r="F910" s="547"/>
      <c r="G910" s="547"/>
      <c r="H910" s="547"/>
      <c r="I910" s="547"/>
      <c r="J910" s="547"/>
      <c r="K910" s="547"/>
      <c r="L910" s="547"/>
      <c r="M910" s="547"/>
      <c r="N910" s="547"/>
      <c r="O910" s="547"/>
      <c r="P910" s="547"/>
      <c r="Q910" s="547"/>
      <c r="R910" s="547"/>
      <c r="S910" s="547"/>
      <c r="T910" s="547"/>
      <c r="U910" s="547"/>
      <c r="V910" s="547"/>
      <c r="W910" s="547"/>
      <c r="X910" s="547"/>
      <c r="Y910" s="547"/>
      <c r="Z910" s="547"/>
      <c r="AA910" s="547"/>
      <c r="AB910" s="547"/>
      <c r="AC910" s="547"/>
      <c r="AP910" s="181"/>
      <c r="AQ910" s="181"/>
    </row>
    <row r="911" spans="2:43" x14ac:dyDescent="0.35">
      <c r="B911" s="181"/>
      <c r="E911" s="547"/>
      <c r="F911" s="547"/>
      <c r="G911" s="547"/>
      <c r="H911" s="547"/>
      <c r="I911" s="547"/>
      <c r="J911" s="547"/>
      <c r="K911" s="547"/>
      <c r="L911" s="547"/>
      <c r="M911" s="547"/>
      <c r="N911" s="547"/>
      <c r="O911" s="547"/>
      <c r="P911" s="547"/>
      <c r="Q911" s="547"/>
      <c r="R911" s="547"/>
      <c r="S911" s="547"/>
      <c r="T911" s="547"/>
      <c r="U911" s="547"/>
      <c r="V911" s="547"/>
      <c r="W911" s="547"/>
      <c r="X911" s="547"/>
      <c r="Y911" s="547"/>
      <c r="Z911" s="547"/>
      <c r="AA911" s="547"/>
      <c r="AB911" s="547"/>
      <c r="AC911" s="547"/>
      <c r="AP911" s="181"/>
      <c r="AQ911" s="181"/>
    </row>
    <row r="912" spans="2:43" x14ac:dyDescent="0.35">
      <c r="B912" s="181"/>
      <c r="E912" s="547"/>
      <c r="F912" s="547"/>
      <c r="G912" s="547"/>
      <c r="H912" s="547"/>
      <c r="I912" s="547"/>
      <c r="J912" s="547"/>
      <c r="K912" s="547"/>
      <c r="L912" s="547"/>
      <c r="M912" s="547"/>
      <c r="N912" s="547"/>
      <c r="O912" s="547"/>
      <c r="P912" s="547"/>
      <c r="Q912" s="547"/>
      <c r="R912" s="547"/>
      <c r="S912" s="547"/>
      <c r="T912" s="547"/>
      <c r="U912" s="547"/>
      <c r="V912" s="547"/>
      <c r="W912" s="547"/>
      <c r="X912" s="547"/>
      <c r="Y912" s="547"/>
      <c r="Z912" s="547"/>
      <c r="AA912" s="547"/>
      <c r="AB912" s="547"/>
      <c r="AC912" s="547"/>
      <c r="AP912" s="181"/>
      <c r="AQ912" s="181"/>
    </row>
    <row r="913" spans="2:43" x14ac:dyDescent="0.35">
      <c r="B913" s="181"/>
      <c r="E913" s="547"/>
      <c r="F913" s="547"/>
      <c r="G913" s="547"/>
      <c r="H913" s="547"/>
      <c r="I913" s="547"/>
      <c r="J913" s="547"/>
      <c r="K913" s="547"/>
      <c r="L913" s="547"/>
      <c r="M913" s="547"/>
      <c r="N913" s="547"/>
      <c r="O913" s="547"/>
      <c r="P913" s="547"/>
      <c r="Q913" s="547"/>
      <c r="R913" s="547"/>
      <c r="S913" s="547"/>
      <c r="T913" s="547"/>
      <c r="U913" s="547"/>
      <c r="V913" s="547"/>
      <c r="W913" s="547"/>
      <c r="X913" s="547"/>
      <c r="Y913" s="547"/>
      <c r="Z913" s="547"/>
      <c r="AA913" s="547"/>
      <c r="AB913" s="547"/>
      <c r="AC913" s="547"/>
      <c r="AP913" s="181"/>
      <c r="AQ913" s="181"/>
    </row>
    <row r="914" spans="2:43" x14ac:dyDescent="0.35">
      <c r="B914" s="181"/>
      <c r="E914" s="547"/>
      <c r="F914" s="547"/>
      <c r="G914" s="547"/>
      <c r="H914" s="547"/>
      <c r="I914" s="547"/>
      <c r="J914" s="547"/>
      <c r="K914" s="547"/>
      <c r="L914" s="547"/>
      <c r="M914" s="547"/>
      <c r="N914" s="547"/>
      <c r="O914" s="547"/>
      <c r="P914" s="547"/>
      <c r="Q914" s="547"/>
      <c r="R914" s="547"/>
      <c r="S914" s="547"/>
      <c r="T914" s="547"/>
      <c r="U914" s="547"/>
      <c r="V914" s="547"/>
      <c r="W914" s="547"/>
      <c r="X914" s="547"/>
      <c r="Y914" s="547"/>
      <c r="Z914" s="547"/>
      <c r="AA914" s="547"/>
      <c r="AB914" s="547"/>
      <c r="AC914" s="547"/>
      <c r="AP914" s="181"/>
      <c r="AQ914" s="181"/>
    </row>
    <row r="915" spans="2:43" x14ac:dyDescent="0.35">
      <c r="B915" s="181"/>
      <c r="E915" s="547"/>
      <c r="F915" s="547"/>
      <c r="G915" s="547"/>
      <c r="H915" s="547"/>
      <c r="I915" s="547"/>
      <c r="J915" s="547"/>
      <c r="K915" s="547"/>
      <c r="L915" s="547"/>
      <c r="M915" s="547"/>
      <c r="N915" s="547"/>
      <c r="O915" s="547"/>
      <c r="P915" s="547"/>
      <c r="Q915" s="547"/>
      <c r="R915" s="547"/>
      <c r="S915" s="547"/>
      <c r="T915" s="547"/>
      <c r="U915" s="547"/>
      <c r="V915" s="547"/>
      <c r="W915" s="547"/>
      <c r="X915" s="547"/>
      <c r="Y915" s="547"/>
      <c r="Z915" s="547"/>
      <c r="AA915" s="547"/>
      <c r="AB915" s="547"/>
      <c r="AC915" s="547"/>
      <c r="AP915" s="181"/>
      <c r="AQ915" s="181"/>
    </row>
    <row r="916" spans="2:43" x14ac:dyDescent="0.35">
      <c r="B916" s="181"/>
      <c r="E916" s="547"/>
      <c r="F916" s="547"/>
      <c r="G916" s="547"/>
      <c r="H916" s="547"/>
      <c r="I916" s="547"/>
      <c r="J916" s="547"/>
      <c r="K916" s="547"/>
      <c r="L916" s="547"/>
      <c r="M916" s="547"/>
      <c r="N916" s="547"/>
      <c r="O916" s="547"/>
      <c r="P916" s="547"/>
      <c r="Q916" s="547"/>
      <c r="R916" s="547"/>
      <c r="S916" s="547"/>
      <c r="T916" s="547"/>
      <c r="U916" s="547"/>
      <c r="V916" s="547"/>
      <c r="W916" s="547"/>
      <c r="X916" s="547"/>
      <c r="Y916" s="547"/>
      <c r="Z916" s="547"/>
      <c r="AA916" s="547"/>
      <c r="AB916" s="547"/>
      <c r="AC916" s="547"/>
      <c r="AP916" s="181"/>
      <c r="AQ916" s="181"/>
    </row>
    <row r="917" spans="2:43" x14ac:dyDescent="0.35">
      <c r="B917" s="181"/>
      <c r="E917" s="547"/>
      <c r="F917" s="547"/>
      <c r="G917" s="547"/>
      <c r="H917" s="547"/>
      <c r="I917" s="547"/>
      <c r="J917" s="547"/>
      <c r="K917" s="547"/>
      <c r="L917" s="547"/>
      <c r="M917" s="547"/>
      <c r="N917" s="547"/>
      <c r="O917" s="547"/>
      <c r="P917" s="547"/>
      <c r="Q917" s="547"/>
      <c r="R917" s="547"/>
      <c r="S917" s="547"/>
      <c r="T917" s="547"/>
      <c r="U917" s="547"/>
      <c r="V917" s="547"/>
      <c r="W917" s="547"/>
      <c r="X917" s="547"/>
      <c r="Y917" s="547"/>
      <c r="Z917" s="547"/>
      <c r="AA917" s="547"/>
      <c r="AB917" s="547"/>
      <c r="AC917" s="547"/>
      <c r="AP917" s="181"/>
      <c r="AQ917" s="181"/>
    </row>
    <row r="918" spans="2:43" x14ac:dyDescent="0.35">
      <c r="B918" s="181"/>
      <c r="E918" s="547"/>
      <c r="F918" s="547"/>
      <c r="G918" s="547"/>
      <c r="H918" s="547"/>
      <c r="I918" s="547"/>
      <c r="J918" s="547"/>
      <c r="K918" s="547"/>
      <c r="L918" s="547"/>
      <c r="M918" s="547"/>
      <c r="N918" s="547"/>
      <c r="O918" s="547"/>
      <c r="P918" s="547"/>
      <c r="Q918" s="547"/>
      <c r="R918" s="547"/>
      <c r="S918" s="547"/>
      <c r="T918" s="547"/>
      <c r="U918" s="547"/>
      <c r="V918" s="547"/>
      <c r="W918" s="547"/>
      <c r="X918" s="547"/>
      <c r="Y918" s="547"/>
      <c r="Z918" s="547"/>
      <c r="AA918" s="547"/>
      <c r="AB918" s="547"/>
      <c r="AC918" s="547"/>
      <c r="AP918" s="181"/>
      <c r="AQ918" s="181"/>
    </row>
    <row r="919" spans="2:43" x14ac:dyDescent="0.35">
      <c r="B919" s="181"/>
      <c r="E919" s="547"/>
      <c r="F919" s="547"/>
      <c r="G919" s="547"/>
      <c r="H919" s="547"/>
      <c r="I919" s="547"/>
      <c r="J919" s="547"/>
      <c r="K919" s="547"/>
      <c r="L919" s="547"/>
      <c r="M919" s="547"/>
      <c r="N919" s="547"/>
      <c r="O919" s="547"/>
      <c r="P919" s="547"/>
      <c r="Q919" s="547"/>
      <c r="R919" s="547"/>
      <c r="S919" s="547"/>
      <c r="T919" s="547"/>
      <c r="U919" s="547"/>
      <c r="V919" s="547"/>
      <c r="W919" s="547"/>
      <c r="X919" s="547"/>
      <c r="Y919" s="547"/>
      <c r="Z919" s="547"/>
      <c r="AA919" s="547"/>
      <c r="AB919" s="547"/>
      <c r="AC919" s="547"/>
      <c r="AP919" s="181"/>
      <c r="AQ919" s="181"/>
    </row>
    <row r="920" spans="2:43" x14ac:dyDescent="0.35">
      <c r="B920" s="181"/>
      <c r="E920" s="547"/>
      <c r="F920" s="547"/>
      <c r="G920" s="547"/>
      <c r="H920" s="547"/>
      <c r="I920" s="547"/>
      <c r="J920" s="547"/>
      <c r="K920" s="547"/>
      <c r="L920" s="547"/>
      <c r="M920" s="547"/>
      <c r="N920" s="547"/>
      <c r="O920" s="547"/>
      <c r="P920" s="547"/>
      <c r="Q920" s="547"/>
      <c r="R920" s="547"/>
      <c r="S920" s="547"/>
      <c r="T920" s="547"/>
      <c r="U920" s="547"/>
      <c r="V920" s="547"/>
      <c r="W920" s="547"/>
      <c r="X920" s="547"/>
      <c r="Y920" s="547"/>
      <c r="Z920" s="547"/>
      <c r="AA920" s="547"/>
      <c r="AB920" s="547"/>
      <c r="AC920" s="547"/>
      <c r="AP920" s="181"/>
      <c r="AQ920" s="181"/>
    </row>
    <row r="921" spans="2:43" x14ac:dyDescent="0.35">
      <c r="B921" s="181"/>
      <c r="E921" s="547"/>
      <c r="F921" s="547"/>
      <c r="G921" s="547"/>
      <c r="H921" s="547"/>
      <c r="I921" s="547"/>
      <c r="J921" s="547"/>
      <c r="K921" s="547"/>
      <c r="L921" s="547"/>
      <c r="M921" s="547"/>
      <c r="N921" s="547"/>
      <c r="O921" s="547"/>
      <c r="P921" s="547"/>
      <c r="Q921" s="547"/>
      <c r="R921" s="547"/>
      <c r="S921" s="547"/>
      <c r="T921" s="547"/>
      <c r="U921" s="547"/>
      <c r="V921" s="547"/>
      <c r="W921" s="547"/>
      <c r="X921" s="547"/>
      <c r="Y921" s="547"/>
      <c r="Z921" s="547"/>
      <c r="AA921" s="547"/>
      <c r="AB921" s="547"/>
      <c r="AC921" s="547"/>
      <c r="AP921" s="181"/>
      <c r="AQ921" s="181"/>
    </row>
    <row r="922" spans="2:43" x14ac:dyDescent="0.35">
      <c r="B922" s="181"/>
      <c r="E922" s="547"/>
      <c r="F922" s="547"/>
      <c r="G922" s="547"/>
      <c r="H922" s="547"/>
      <c r="I922" s="547"/>
      <c r="J922" s="547"/>
      <c r="K922" s="547"/>
      <c r="L922" s="547"/>
      <c r="M922" s="547"/>
      <c r="N922" s="547"/>
      <c r="O922" s="547"/>
      <c r="P922" s="547"/>
      <c r="Q922" s="547"/>
      <c r="R922" s="547"/>
      <c r="S922" s="547"/>
      <c r="T922" s="547"/>
      <c r="U922" s="547"/>
      <c r="V922" s="547"/>
      <c r="W922" s="547"/>
      <c r="X922" s="547"/>
      <c r="Y922" s="547"/>
      <c r="Z922" s="547"/>
      <c r="AA922" s="547"/>
      <c r="AB922" s="547"/>
      <c r="AC922" s="547"/>
      <c r="AP922" s="181"/>
      <c r="AQ922" s="181"/>
    </row>
    <row r="923" spans="2:43" x14ac:dyDescent="0.35">
      <c r="B923" s="181"/>
      <c r="E923" s="547"/>
      <c r="F923" s="547"/>
      <c r="G923" s="547"/>
      <c r="H923" s="547"/>
      <c r="I923" s="547"/>
      <c r="J923" s="547"/>
      <c r="K923" s="547"/>
      <c r="L923" s="547"/>
      <c r="M923" s="547"/>
      <c r="N923" s="547"/>
      <c r="O923" s="547"/>
      <c r="P923" s="547"/>
      <c r="Q923" s="547"/>
      <c r="R923" s="547"/>
      <c r="S923" s="547"/>
      <c r="T923" s="547"/>
      <c r="U923" s="547"/>
      <c r="V923" s="547"/>
      <c r="W923" s="547"/>
      <c r="X923" s="547"/>
      <c r="Y923" s="547"/>
      <c r="Z923" s="547"/>
      <c r="AA923" s="547"/>
      <c r="AB923" s="547"/>
      <c r="AC923" s="547"/>
      <c r="AP923" s="181"/>
      <c r="AQ923" s="181"/>
    </row>
    <row r="924" spans="2:43" x14ac:dyDescent="0.35">
      <c r="B924" s="181"/>
      <c r="E924" s="547"/>
      <c r="F924" s="547"/>
      <c r="G924" s="547"/>
      <c r="H924" s="547"/>
      <c r="I924" s="547"/>
      <c r="J924" s="547"/>
      <c r="K924" s="547"/>
      <c r="L924" s="547"/>
      <c r="M924" s="547"/>
      <c r="N924" s="547"/>
      <c r="O924" s="547"/>
      <c r="P924" s="547"/>
      <c r="Q924" s="547"/>
      <c r="R924" s="547"/>
      <c r="S924" s="547"/>
      <c r="T924" s="547"/>
      <c r="U924" s="547"/>
      <c r="V924" s="547"/>
      <c r="W924" s="547"/>
      <c r="X924" s="547"/>
      <c r="Y924" s="547"/>
      <c r="Z924" s="547"/>
      <c r="AA924" s="547"/>
      <c r="AB924" s="547"/>
      <c r="AC924" s="547"/>
      <c r="AP924" s="181"/>
      <c r="AQ924" s="181"/>
    </row>
    <row r="925" spans="2:43" x14ac:dyDescent="0.35">
      <c r="B925" s="181"/>
      <c r="E925" s="547"/>
      <c r="F925" s="547"/>
      <c r="G925" s="547"/>
      <c r="H925" s="547"/>
      <c r="I925" s="547"/>
      <c r="J925" s="547"/>
      <c r="K925" s="547"/>
      <c r="L925" s="547"/>
      <c r="M925" s="547"/>
      <c r="N925" s="547"/>
      <c r="O925" s="547"/>
      <c r="P925" s="547"/>
      <c r="Q925" s="547"/>
      <c r="R925" s="547"/>
      <c r="S925" s="547"/>
      <c r="T925" s="547"/>
      <c r="U925" s="547"/>
      <c r="V925" s="547"/>
      <c r="W925" s="547"/>
      <c r="X925" s="547"/>
      <c r="Y925" s="547"/>
      <c r="Z925" s="547"/>
      <c r="AA925" s="547"/>
      <c r="AB925" s="547"/>
      <c r="AC925" s="547"/>
      <c r="AP925" s="181"/>
      <c r="AQ925" s="181"/>
    </row>
    <row r="926" spans="2:43" x14ac:dyDescent="0.35">
      <c r="B926" s="181"/>
      <c r="E926" s="547"/>
      <c r="F926" s="547"/>
      <c r="G926" s="547"/>
      <c r="H926" s="547"/>
      <c r="I926" s="547"/>
      <c r="J926" s="547"/>
      <c r="K926" s="547"/>
      <c r="L926" s="547"/>
      <c r="M926" s="547"/>
      <c r="N926" s="547"/>
      <c r="O926" s="547"/>
      <c r="P926" s="547"/>
      <c r="Q926" s="547"/>
      <c r="R926" s="547"/>
      <c r="S926" s="547"/>
      <c r="T926" s="547"/>
      <c r="U926" s="547"/>
      <c r="V926" s="547"/>
      <c r="W926" s="547"/>
      <c r="X926" s="547"/>
      <c r="Y926" s="547"/>
      <c r="Z926" s="547"/>
      <c r="AA926" s="547"/>
      <c r="AB926" s="547"/>
      <c r="AC926" s="547"/>
      <c r="AP926" s="181"/>
      <c r="AQ926" s="181"/>
    </row>
    <row r="927" spans="2:43" x14ac:dyDescent="0.35">
      <c r="B927" s="181"/>
      <c r="E927" s="547"/>
      <c r="F927" s="547"/>
      <c r="G927" s="547"/>
      <c r="H927" s="547"/>
      <c r="I927" s="547"/>
      <c r="J927" s="547"/>
      <c r="K927" s="547"/>
      <c r="L927" s="547"/>
      <c r="M927" s="547"/>
      <c r="N927" s="547"/>
      <c r="O927" s="547"/>
      <c r="P927" s="547"/>
      <c r="Q927" s="547"/>
      <c r="R927" s="547"/>
      <c r="S927" s="547"/>
      <c r="T927" s="547"/>
      <c r="U927" s="547"/>
      <c r="V927" s="547"/>
      <c r="W927" s="547"/>
      <c r="X927" s="547"/>
      <c r="Y927" s="547"/>
      <c r="Z927" s="547"/>
      <c r="AA927" s="547"/>
      <c r="AB927" s="547"/>
      <c r="AC927" s="547"/>
      <c r="AP927" s="181"/>
      <c r="AQ927" s="181"/>
    </row>
    <row r="928" spans="2:43" x14ac:dyDescent="0.35">
      <c r="B928" s="181"/>
      <c r="E928" s="547"/>
      <c r="F928" s="547"/>
      <c r="G928" s="547"/>
      <c r="H928" s="547"/>
      <c r="I928" s="547"/>
      <c r="J928" s="547"/>
      <c r="K928" s="547"/>
      <c r="L928" s="547"/>
      <c r="M928" s="547"/>
      <c r="N928" s="547"/>
      <c r="O928" s="547"/>
      <c r="P928" s="547"/>
      <c r="Q928" s="547"/>
      <c r="R928" s="547"/>
      <c r="S928" s="547"/>
      <c r="T928" s="547"/>
      <c r="U928" s="547"/>
      <c r="V928" s="547"/>
      <c r="W928" s="547"/>
      <c r="X928" s="547"/>
      <c r="Y928" s="547"/>
      <c r="Z928" s="547"/>
      <c r="AA928" s="547"/>
      <c r="AB928" s="547"/>
      <c r="AC928" s="547"/>
      <c r="AP928" s="181"/>
      <c r="AQ928" s="181"/>
    </row>
    <row r="929" spans="2:43" x14ac:dyDescent="0.35">
      <c r="B929" s="181"/>
      <c r="E929" s="547"/>
      <c r="F929" s="547"/>
      <c r="G929" s="547"/>
      <c r="H929" s="547"/>
      <c r="I929" s="547"/>
      <c r="J929" s="547"/>
      <c r="K929" s="547"/>
      <c r="L929" s="547"/>
      <c r="M929" s="547"/>
      <c r="N929" s="547"/>
      <c r="O929" s="547"/>
      <c r="P929" s="547"/>
      <c r="Q929" s="547"/>
      <c r="R929" s="547"/>
      <c r="S929" s="547"/>
      <c r="T929" s="547"/>
      <c r="U929" s="547"/>
      <c r="V929" s="547"/>
      <c r="W929" s="547"/>
      <c r="X929" s="547"/>
      <c r="Y929" s="547"/>
      <c r="Z929" s="547"/>
      <c r="AA929" s="547"/>
      <c r="AB929" s="547"/>
      <c r="AC929" s="547"/>
      <c r="AP929" s="181"/>
      <c r="AQ929" s="181"/>
    </row>
    <row r="930" spans="2:43" x14ac:dyDescent="0.35">
      <c r="B930" s="181"/>
      <c r="E930" s="547"/>
      <c r="F930" s="547"/>
      <c r="G930" s="547"/>
      <c r="H930" s="547"/>
      <c r="I930" s="547"/>
      <c r="J930" s="547"/>
      <c r="K930" s="547"/>
      <c r="L930" s="547"/>
      <c r="M930" s="547"/>
      <c r="N930" s="547"/>
      <c r="O930" s="547"/>
      <c r="P930" s="547"/>
      <c r="Q930" s="547"/>
      <c r="R930" s="547"/>
      <c r="S930" s="547"/>
      <c r="T930" s="547"/>
      <c r="U930" s="547"/>
      <c r="V930" s="547"/>
      <c r="W930" s="547"/>
      <c r="X930" s="547"/>
      <c r="Y930" s="547"/>
      <c r="Z930" s="547"/>
      <c r="AA930" s="547"/>
      <c r="AB930" s="547"/>
      <c r="AC930" s="547"/>
      <c r="AP930" s="181"/>
      <c r="AQ930" s="181"/>
    </row>
    <row r="931" spans="2:43" x14ac:dyDescent="0.35">
      <c r="B931" s="181"/>
      <c r="E931" s="547"/>
      <c r="F931" s="547"/>
      <c r="G931" s="547"/>
      <c r="H931" s="547"/>
      <c r="I931" s="547"/>
      <c r="J931" s="547"/>
      <c r="K931" s="547"/>
      <c r="L931" s="547"/>
      <c r="M931" s="547"/>
      <c r="N931" s="547"/>
      <c r="O931" s="547"/>
      <c r="P931" s="547"/>
      <c r="Q931" s="547"/>
      <c r="R931" s="547"/>
      <c r="S931" s="547"/>
      <c r="T931" s="547"/>
      <c r="U931" s="547"/>
      <c r="V931" s="547"/>
      <c r="W931" s="547"/>
      <c r="X931" s="547"/>
      <c r="Y931" s="547"/>
      <c r="Z931" s="547"/>
      <c r="AA931" s="547"/>
      <c r="AB931" s="547"/>
      <c r="AC931" s="547"/>
      <c r="AP931" s="181"/>
      <c r="AQ931" s="181"/>
    </row>
    <row r="932" spans="2:43" x14ac:dyDescent="0.35">
      <c r="B932" s="181"/>
      <c r="E932" s="547"/>
      <c r="F932" s="547"/>
      <c r="G932" s="547"/>
      <c r="H932" s="547"/>
      <c r="I932" s="547"/>
      <c r="J932" s="547"/>
      <c r="K932" s="547"/>
      <c r="L932" s="547"/>
      <c r="M932" s="547"/>
      <c r="N932" s="547"/>
      <c r="O932" s="547"/>
      <c r="P932" s="547"/>
      <c r="Q932" s="547"/>
      <c r="R932" s="547"/>
      <c r="S932" s="547"/>
      <c r="T932" s="547"/>
      <c r="U932" s="547"/>
      <c r="V932" s="547"/>
      <c r="W932" s="547"/>
      <c r="X932" s="547"/>
      <c r="Y932" s="547"/>
      <c r="Z932" s="547"/>
      <c r="AA932" s="547"/>
      <c r="AB932" s="547"/>
      <c r="AC932" s="547"/>
      <c r="AP932" s="181"/>
      <c r="AQ932" s="181"/>
    </row>
    <row r="933" spans="2:43" x14ac:dyDescent="0.35">
      <c r="B933" s="181"/>
      <c r="E933" s="547"/>
      <c r="F933" s="547"/>
      <c r="G933" s="547"/>
      <c r="H933" s="547"/>
      <c r="I933" s="547"/>
      <c r="J933" s="547"/>
      <c r="K933" s="547"/>
      <c r="L933" s="547"/>
      <c r="M933" s="547"/>
      <c r="N933" s="547"/>
      <c r="O933" s="547"/>
      <c r="P933" s="547"/>
      <c r="Q933" s="547"/>
      <c r="R933" s="547"/>
      <c r="S933" s="547"/>
      <c r="T933" s="547"/>
      <c r="U933" s="547"/>
      <c r="V933" s="547"/>
      <c r="W933" s="547"/>
      <c r="X933" s="547"/>
      <c r="Y933" s="547"/>
      <c r="Z933" s="547"/>
      <c r="AA933" s="547"/>
      <c r="AB933" s="547"/>
      <c r="AC933" s="547"/>
      <c r="AP933" s="181"/>
      <c r="AQ933" s="181"/>
    </row>
    <row r="934" spans="2:43" x14ac:dyDescent="0.35">
      <c r="B934" s="181"/>
      <c r="E934" s="547"/>
      <c r="F934" s="547"/>
      <c r="G934" s="547"/>
      <c r="H934" s="547"/>
      <c r="I934" s="547"/>
      <c r="J934" s="547"/>
      <c r="K934" s="547"/>
      <c r="L934" s="547"/>
      <c r="M934" s="547"/>
      <c r="N934" s="547"/>
      <c r="O934" s="547"/>
      <c r="P934" s="547"/>
      <c r="Q934" s="547"/>
      <c r="R934" s="547"/>
      <c r="S934" s="547"/>
      <c r="T934" s="547"/>
      <c r="U934" s="547"/>
      <c r="V934" s="547"/>
      <c r="W934" s="547"/>
      <c r="X934" s="547"/>
      <c r="Y934" s="547"/>
      <c r="Z934" s="547"/>
      <c r="AA934" s="547"/>
      <c r="AB934" s="547"/>
      <c r="AC934" s="547"/>
      <c r="AP934" s="181"/>
      <c r="AQ934" s="181"/>
    </row>
    <row r="935" spans="2:43" x14ac:dyDescent="0.35">
      <c r="B935" s="181"/>
      <c r="E935" s="547"/>
      <c r="F935" s="547"/>
      <c r="G935" s="547"/>
      <c r="H935" s="547"/>
      <c r="I935" s="547"/>
      <c r="J935" s="547"/>
      <c r="K935" s="547"/>
      <c r="L935" s="547"/>
      <c r="M935" s="547"/>
      <c r="N935" s="547"/>
      <c r="O935" s="547"/>
      <c r="P935" s="547"/>
      <c r="Q935" s="547"/>
      <c r="R935" s="547"/>
      <c r="S935" s="547"/>
      <c r="T935" s="547"/>
      <c r="U935" s="547"/>
      <c r="V935" s="547"/>
      <c r="W935" s="547"/>
      <c r="X935" s="547"/>
      <c r="Y935" s="547"/>
      <c r="Z935" s="547"/>
      <c r="AA935" s="547"/>
      <c r="AB935" s="547"/>
      <c r="AC935" s="547"/>
      <c r="AP935" s="181"/>
      <c r="AQ935" s="181"/>
    </row>
    <row r="936" spans="2:43" x14ac:dyDescent="0.35">
      <c r="B936" s="181"/>
      <c r="E936" s="547"/>
      <c r="F936" s="547"/>
      <c r="G936" s="547"/>
      <c r="H936" s="547"/>
      <c r="I936" s="547"/>
      <c r="J936" s="547"/>
      <c r="K936" s="547"/>
      <c r="L936" s="547"/>
      <c r="M936" s="547"/>
      <c r="N936" s="547"/>
      <c r="O936" s="547"/>
      <c r="P936" s="547"/>
      <c r="Q936" s="547"/>
      <c r="R936" s="547"/>
      <c r="S936" s="547"/>
      <c r="T936" s="547"/>
      <c r="U936" s="547"/>
      <c r="V936" s="547"/>
      <c r="W936" s="547"/>
      <c r="X936" s="547"/>
      <c r="Y936" s="547"/>
      <c r="Z936" s="547"/>
      <c r="AA936" s="547"/>
      <c r="AB936" s="547"/>
      <c r="AC936" s="547"/>
      <c r="AP936" s="181"/>
      <c r="AQ936" s="181"/>
    </row>
    <row r="937" spans="2:43" x14ac:dyDescent="0.35">
      <c r="B937" s="181"/>
      <c r="E937" s="547"/>
      <c r="F937" s="547"/>
      <c r="G937" s="547"/>
      <c r="H937" s="547"/>
      <c r="I937" s="547"/>
      <c r="J937" s="547"/>
      <c r="K937" s="547"/>
      <c r="L937" s="547"/>
      <c r="M937" s="547"/>
      <c r="N937" s="547"/>
      <c r="O937" s="547"/>
      <c r="P937" s="547"/>
      <c r="Q937" s="547"/>
      <c r="R937" s="547"/>
      <c r="S937" s="547"/>
      <c r="T937" s="547"/>
      <c r="U937" s="547"/>
      <c r="V937" s="547"/>
      <c r="W937" s="547"/>
      <c r="X937" s="547"/>
      <c r="Y937" s="547"/>
      <c r="Z937" s="547"/>
      <c r="AA937" s="547"/>
      <c r="AB937" s="547"/>
      <c r="AC937" s="547"/>
      <c r="AP937" s="181"/>
      <c r="AQ937" s="181"/>
    </row>
    <row r="938" spans="2:43" x14ac:dyDescent="0.35">
      <c r="B938" s="181"/>
      <c r="E938" s="547"/>
      <c r="F938" s="547"/>
      <c r="G938" s="547"/>
      <c r="H938" s="547"/>
      <c r="I938" s="547"/>
      <c r="J938" s="547"/>
      <c r="K938" s="547"/>
      <c r="L938" s="547"/>
      <c r="M938" s="547"/>
      <c r="N938" s="547"/>
      <c r="O938" s="547"/>
      <c r="P938" s="547"/>
      <c r="Q938" s="547"/>
      <c r="R938" s="547"/>
      <c r="S938" s="547"/>
      <c r="T938" s="547"/>
      <c r="U938" s="547"/>
      <c r="V938" s="547"/>
      <c r="W938" s="547"/>
      <c r="X938" s="547"/>
      <c r="Y938" s="547"/>
      <c r="Z938" s="547"/>
      <c r="AA938" s="547"/>
      <c r="AB938" s="547"/>
      <c r="AC938" s="547"/>
      <c r="AP938" s="181"/>
      <c r="AQ938" s="181"/>
    </row>
  </sheetData>
  <mergeCells count="1486">
    <mergeCell ref="U709:Z709"/>
    <mergeCell ref="U710:Z710"/>
    <mergeCell ref="O710:T710"/>
    <mergeCell ref="AA710:AF710"/>
    <mergeCell ref="Q297:V297"/>
    <mergeCell ref="Q321:V321"/>
    <mergeCell ref="X321:AC321"/>
    <mergeCell ref="Q160:V160"/>
    <mergeCell ref="X160:AC160"/>
    <mergeCell ref="Q163:V163"/>
    <mergeCell ref="X163:AC163"/>
    <mergeCell ref="Q164:V164"/>
    <mergeCell ref="X164:AC164"/>
    <mergeCell ref="Q150:V150"/>
    <mergeCell ref="X150:AC150"/>
    <mergeCell ref="Q152:V152"/>
    <mergeCell ref="X152:AC152"/>
    <mergeCell ref="Q153:V153"/>
    <mergeCell ref="Q159:V159"/>
    <mergeCell ref="X159:AC159"/>
    <mergeCell ref="Q181:V181"/>
    <mergeCell ref="X181:AC181"/>
    <mergeCell ref="Q182:V182"/>
    <mergeCell ref="X182:AC182"/>
    <mergeCell ref="Q184:V184"/>
    <mergeCell ref="X184:AC184"/>
    <mergeCell ref="Q168:V168"/>
    <mergeCell ref="X168:AC168"/>
    <mergeCell ref="Q170:V170"/>
    <mergeCell ref="X170:AC170"/>
    <mergeCell ref="Q180:V180"/>
    <mergeCell ref="X180:AC180"/>
    <mergeCell ref="Q165:V165"/>
    <mergeCell ref="X165:AC165"/>
    <mergeCell ref="Q166:V166"/>
    <mergeCell ref="X166:AC166"/>
    <mergeCell ref="B3:AQ3"/>
    <mergeCell ref="B6:K6"/>
    <mergeCell ref="AJ6:AQ6"/>
    <mergeCell ref="T67:Z67"/>
    <mergeCell ref="T68:Z68"/>
    <mergeCell ref="T70:Z70"/>
    <mergeCell ref="Q138:V138"/>
    <mergeCell ref="X138:AC138"/>
    <mergeCell ref="Q140:V140"/>
    <mergeCell ref="X140:AC140"/>
    <mergeCell ref="Q149:V149"/>
    <mergeCell ref="X149:AC149"/>
    <mergeCell ref="Q128:V128"/>
    <mergeCell ref="X128:AC128"/>
    <mergeCell ref="Q129:V129"/>
    <mergeCell ref="X129:AC129"/>
    <mergeCell ref="Q124:V124"/>
    <mergeCell ref="X124:AC124"/>
    <mergeCell ref="Q125:V125"/>
    <mergeCell ref="X125:AC125"/>
    <mergeCell ref="Q127:V127"/>
    <mergeCell ref="X127:AC127"/>
    <mergeCell ref="Q141:V141"/>
    <mergeCell ref="Q142:V142"/>
    <mergeCell ref="X146:AC146"/>
    <mergeCell ref="X130:AC130"/>
    <mergeCell ref="X131:AC131"/>
    <mergeCell ref="X132:AC132"/>
    <mergeCell ref="X133:AC133"/>
    <mergeCell ref="X134:AC134"/>
    <mergeCell ref="T71:Z71"/>
    <mergeCell ref="T72:Z72"/>
    <mergeCell ref="T73:Z73"/>
    <mergeCell ref="T74:Z74"/>
    <mergeCell ref="T75:Z75"/>
    <mergeCell ref="T76:Z76"/>
    <mergeCell ref="Q147:V147"/>
    <mergeCell ref="X147:AC147"/>
    <mergeCell ref="Q148:V148"/>
    <mergeCell ref="X148:AC148"/>
    <mergeCell ref="Q143:V143"/>
    <mergeCell ref="Q144:V144"/>
    <mergeCell ref="Q145:V145"/>
    <mergeCell ref="Q146:V146"/>
    <mergeCell ref="X141:AC141"/>
    <mergeCell ref="X142:AC142"/>
    <mergeCell ref="X143:AC143"/>
    <mergeCell ref="X144:AC144"/>
    <mergeCell ref="X145:AC145"/>
    <mergeCell ref="Q130:V130"/>
    <mergeCell ref="Q131:V131"/>
    <mergeCell ref="Q132:V132"/>
    <mergeCell ref="Q133:V133"/>
    <mergeCell ref="Q134:V134"/>
    <mergeCell ref="Q135:V135"/>
    <mergeCell ref="Q137:V137"/>
    <mergeCell ref="X137:AC137"/>
    <mergeCell ref="Q167:V167"/>
    <mergeCell ref="X167:AC167"/>
    <mergeCell ref="Q194:V194"/>
    <mergeCell ref="X194:AC194"/>
    <mergeCell ref="Q196:V196"/>
    <mergeCell ref="X196:AC196"/>
    <mergeCell ref="Q197:V197"/>
    <mergeCell ref="X197:AC197"/>
    <mergeCell ref="Q191:V191"/>
    <mergeCell ref="X191:AC191"/>
    <mergeCell ref="Q192:V192"/>
    <mergeCell ref="X192:AC192"/>
    <mergeCell ref="Q193:V193"/>
    <mergeCell ref="X193:AC193"/>
    <mergeCell ref="Q187:V187"/>
    <mergeCell ref="X187:AC187"/>
    <mergeCell ref="Q188:V188"/>
    <mergeCell ref="X188:AC188"/>
    <mergeCell ref="Q190:V190"/>
    <mergeCell ref="X190:AC190"/>
    <mergeCell ref="Q210:V210"/>
    <mergeCell ref="X210:AC210"/>
    <mergeCell ref="Q212:V212"/>
    <mergeCell ref="X212:AC212"/>
    <mergeCell ref="Q213:V213"/>
    <mergeCell ref="X213:AC213"/>
    <mergeCell ref="Q202:V202"/>
    <mergeCell ref="X202:AC202"/>
    <mergeCell ref="Q204:V204"/>
    <mergeCell ref="X204:AC204"/>
    <mergeCell ref="Q209:V209"/>
    <mergeCell ref="X209:AC209"/>
    <mergeCell ref="Q198:V198"/>
    <mergeCell ref="X198:AC198"/>
    <mergeCell ref="Q199:V199"/>
    <mergeCell ref="AE199:AJ199"/>
    <mergeCell ref="Q200:V200"/>
    <mergeCell ref="X200:AC200"/>
    <mergeCell ref="Q220:V220"/>
    <mergeCell ref="X220:AC220"/>
    <mergeCell ref="Q222:V222"/>
    <mergeCell ref="X222:AC222"/>
    <mergeCell ref="Q231:V231"/>
    <mergeCell ref="X231:AC231"/>
    <mergeCell ref="Q217:V217"/>
    <mergeCell ref="X217:AC217"/>
    <mergeCell ref="Q218:V218"/>
    <mergeCell ref="X218:AC218"/>
    <mergeCell ref="Q219:V219"/>
    <mergeCell ref="X219:AC219"/>
    <mergeCell ref="Q214:V214"/>
    <mergeCell ref="X214:AC214"/>
    <mergeCell ref="Q215:V215"/>
    <mergeCell ref="X215:AC215"/>
    <mergeCell ref="Q216:V216"/>
    <mergeCell ref="X216:AC216"/>
    <mergeCell ref="Q241:V241"/>
    <mergeCell ref="X241:AC241"/>
    <mergeCell ref="Q242:V242"/>
    <mergeCell ref="X242:AC242"/>
    <mergeCell ref="Q243:V243"/>
    <mergeCell ref="X243:AC243"/>
    <mergeCell ref="Q236:V236"/>
    <mergeCell ref="X236:AC236"/>
    <mergeCell ref="Q238:V238"/>
    <mergeCell ref="X238:AC238"/>
    <mergeCell ref="Q239:V239"/>
    <mergeCell ref="X239:AC239"/>
    <mergeCell ref="Q237:V237"/>
    <mergeCell ref="X237:AC237"/>
    <mergeCell ref="Q240:V240"/>
    <mergeCell ref="X240:AC240"/>
    <mergeCell ref="Q232:V232"/>
    <mergeCell ref="X232:AC232"/>
    <mergeCell ref="Q234:V234"/>
    <mergeCell ref="X234:AC234"/>
    <mergeCell ref="Q235:V235"/>
    <mergeCell ref="X235:AC235"/>
    <mergeCell ref="Q258:V258"/>
    <mergeCell ref="X258:AC258"/>
    <mergeCell ref="Q260:V260"/>
    <mergeCell ref="X260:AC260"/>
    <mergeCell ref="Q261:V261"/>
    <mergeCell ref="X261:AC261"/>
    <mergeCell ref="Q247:V247"/>
    <mergeCell ref="X247:AC247"/>
    <mergeCell ref="Q249:V249"/>
    <mergeCell ref="X249:AC249"/>
    <mergeCell ref="Q257:V257"/>
    <mergeCell ref="X257:AC257"/>
    <mergeCell ref="Q244:V244"/>
    <mergeCell ref="X244:AC244"/>
    <mergeCell ref="Q245:V245"/>
    <mergeCell ref="X245:AC245"/>
    <mergeCell ref="Q246:V246"/>
    <mergeCell ref="X246:AC246"/>
    <mergeCell ref="Q289:V289"/>
    <mergeCell ref="X289:AC289"/>
    <mergeCell ref="Q291:V291"/>
    <mergeCell ref="X291:AC291"/>
    <mergeCell ref="Q299:V299"/>
    <mergeCell ref="X299:AC299"/>
    <mergeCell ref="Q285:V285"/>
    <mergeCell ref="X285:AC285"/>
    <mergeCell ref="Q286:V286"/>
    <mergeCell ref="X286:AC286"/>
    <mergeCell ref="Q288:V288"/>
    <mergeCell ref="X288:AC288"/>
    <mergeCell ref="Q280:V280"/>
    <mergeCell ref="X280:AC280"/>
    <mergeCell ref="Q283:V283"/>
    <mergeCell ref="X283:AC283"/>
    <mergeCell ref="Q262:V262"/>
    <mergeCell ref="X262:AC262"/>
    <mergeCell ref="Q264:V264"/>
    <mergeCell ref="X264:AC264"/>
    <mergeCell ref="Q279:V279"/>
    <mergeCell ref="X279:AC279"/>
    <mergeCell ref="X292:AC292"/>
    <mergeCell ref="X293:AC293"/>
    <mergeCell ref="X294:AC294"/>
    <mergeCell ref="X295:AC295"/>
    <mergeCell ref="X296:AC296"/>
    <mergeCell ref="Q292:V292"/>
    <mergeCell ref="Q293:V293"/>
    <mergeCell ref="Q294:V294"/>
    <mergeCell ref="Q295:V295"/>
    <mergeCell ref="Q296:V296"/>
    <mergeCell ref="Q317:V317"/>
    <mergeCell ref="X317:AC317"/>
    <mergeCell ref="Q318:V318"/>
    <mergeCell ref="X318:AC318"/>
    <mergeCell ref="Q320:V320"/>
    <mergeCell ref="X320:AC320"/>
    <mergeCell ref="Q305:V305"/>
    <mergeCell ref="X305:AC305"/>
    <mergeCell ref="Q306:V306"/>
    <mergeCell ref="X306:AC306"/>
    <mergeCell ref="Q308:V308"/>
    <mergeCell ref="X308:AC308"/>
    <mergeCell ref="Q301:V301"/>
    <mergeCell ref="X301:AC301"/>
    <mergeCell ref="Q302:V302"/>
    <mergeCell ref="X302:AC302"/>
    <mergeCell ref="Q304:V304"/>
    <mergeCell ref="X304:AC304"/>
    <mergeCell ref="I330:N330"/>
    <mergeCell ref="O330:T330"/>
    <mergeCell ref="U330:Y330"/>
    <mergeCell ref="Z330:AE330"/>
    <mergeCell ref="AF330:AK330"/>
    <mergeCell ref="I331:N331"/>
    <mergeCell ref="O331:T331"/>
    <mergeCell ref="U331:Y331"/>
    <mergeCell ref="Z331:AE331"/>
    <mergeCell ref="AF331:AK331"/>
    <mergeCell ref="Q322:V322"/>
    <mergeCell ref="X322:AC322"/>
    <mergeCell ref="C328:AQ328"/>
    <mergeCell ref="C329:H330"/>
    <mergeCell ref="I329:N329"/>
    <mergeCell ref="O329:T329"/>
    <mergeCell ref="U329:Y329"/>
    <mergeCell ref="Z329:AE329"/>
    <mergeCell ref="AF329:AK329"/>
    <mergeCell ref="AL329:AQ330"/>
    <mergeCell ref="I334:N334"/>
    <mergeCell ref="O334:T334"/>
    <mergeCell ref="U334:Y334"/>
    <mergeCell ref="Z334:AE334"/>
    <mergeCell ref="AF334:AK334"/>
    <mergeCell ref="I335:N335"/>
    <mergeCell ref="O335:T335"/>
    <mergeCell ref="U335:Y335"/>
    <mergeCell ref="Z335:AE335"/>
    <mergeCell ref="AF335:AK335"/>
    <mergeCell ref="I332:N332"/>
    <mergeCell ref="O332:T332"/>
    <mergeCell ref="U332:Y332"/>
    <mergeCell ref="Z332:AE332"/>
    <mergeCell ref="AF332:AK332"/>
    <mergeCell ref="I333:N333"/>
    <mergeCell ref="O333:T333"/>
    <mergeCell ref="U333:Y333"/>
    <mergeCell ref="Z333:AE333"/>
    <mergeCell ref="AF333:AK333"/>
    <mergeCell ref="I338:N338"/>
    <mergeCell ref="O338:T338"/>
    <mergeCell ref="U338:Y338"/>
    <mergeCell ref="Z338:AE338"/>
    <mergeCell ref="AF338:AK338"/>
    <mergeCell ref="I339:N339"/>
    <mergeCell ref="O339:T339"/>
    <mergeCell ref="U339:Y339"/>
    <mergeCell ref="Z339:AE339"/>
    <mergeCell ref="AF339:AK339"/>
    <mergeCell ref="I336:N336"/>
    <mergeCell ref="O336:T336"/>
    <mergeCell ref="U336:Y336"/>
    <mergeCell ref="Z336:AE336"/>
    <mergeCell ref="AF336:AK336"/>
    <mergeCell ref="I337:N337"/>
    <mergeCell ref="O337:T337"/>
    <mergeCell ref="U337:Y337"/>
    <mergeCell ref="Z337:AE337"/>
    <mergeCell ref="AF337:AK337"/>
    <mergeCell ref="I342:N342"/>
    <mergeCell ref="O342:T342"/>
    <mergeCell ref="U342:Y342"/>
    <mergeCell ref="Z342:AE342"/>
    <mergeCell ref="AF342:AK342"/>
    <mergeCell ref="I343:N343"/>
    <mergeCell ref="O343:T343"/>
    <mergeCell ref="U343:Y343"/>
    <mergeCell ref="Z343:AE343"/>
    <mergeCell ref="AF343:AK343"/>
    <mergeCell ref="I340:N340"/>
    <mergeCell ref="O340:T340"/>
    <mergeCell ref="U340:Y340"/>
    <mergeCell ref="Z340:AE340"/>
    <mergeCell ref="AF340:AK340"/>
    <mergeCell ref="I341:N341"/>
    <mergeCell ref="O341:T341"/>
    <mergeCell ref="U341:Y341"/>
    <mergeCell ref="Z341:AE341"/>
    <mergeCell ref="AF341:AK341"/>
    <mergeCell ref="I346:N346"/>
    <mergeCell ref="O346:T346"/>
    <mergeCell ref="U346:Y346"/>
    <mergeCell ref="Z346:AE346"/>
    <mergeCell ref="AF346:AK346"/>
    <mergeCell ref="I347:N347"/>
    <mergeCell ref="O347:T347"/>
    <mergeCell ref="U347:Y347"/>
    <mergeCell ref="Z347:AE347"/>
    <mergeCell ref="AF347:AK347"/>
    <mergeCell ref="I344:N344"/>
    <mergeCell ref="O344:T344"/>
    <mergeCell ref="U344:Y344"/>
    <mergeCell ref="Z344:AE344"/>
    <mergeCell ref="AF344:AK344"/>
    <mergeCell ref="I345:N345"/>
    <mergeCell ref="O345:T345"/>
    <mergeCell ref="U345:Y345"/>
    <mergeCell ref="Z345:AE345"/>
    <mergeCell ref="AF345:AK345"/>
    <mergeCell ref="I350:N350"/>
    <mergeCell ref="O350:T350"/>
    <mergeCell ref="U350:Y350"/>
    <mergeCell ref="Z350:AE350"/>
    <mergeCell ref="AF350:AK350"/>
    <mergeCell ref="I351:N351"/>
    <mergeCell ref="O351:T351"/>
    <mergeCell ref="U351:Y351"/>
    <mergeCell ref="Z351:AE351"/>
    <mergeCell ref="AF351:AK351"/>
    <mergeCell ref="I348:N348"/>
    <mergeCell ref="O348:T348"/>
    <mergeCell ref="U348:Y348"/>
    <mergeCell ref="Z348:AE348"/>
    <mergeCell ref="AF348:AK348"/>
    <mergeCell ref="I349:N349"/>
    <mergeCell ref="O349:T349"/>
    <mergeCell ref="U349:Y349"/>
    <mergeCell ref="Z349:AE349"/>
    <mergeCell ref="AF349:AK349"/>
    <mergeCell ref="I354:N354"/>
    <mergeCell ref="O354:T354"/>
    <mergeCell ref="U354:Y354"/>
    <mergeCell ref="Z354:AE354"/>
    <mergeCell ref="AF354:AK354"/>
    <mergeCell ref="I355:N355"/>
    <mergeCell ref="O355:T355"/>
    <mergeCell ref="U355:Y355"/>
    <mergeCell ref="Z355:AE355"/>
    <mergeCell ref="AF355:AK355"/>
    <mergeCell ref="I352:N352"/>
    <mergeCell ref="O352:T352"/>
    <mergeCell ref="U352:Y352"/>
    <mergeCell ref="Z352:AE352"/>
    <mergeCell ref="AF352:AK352"/>
    <mergeCell ref="I353:N353"/>
    <mergeCell ref="O353:T353"/>
    <mergeCell ref="U353:Y353"/>
    <mergeCell ref="Z353:AE353"/>
    <mergeCell ref="AF353:AK353"/>
    <mergeCell ref="C360:H360"/>
    <mergeCell ref="I360:N360"/>
    <mergeCell ref="O360:T360"/>
    <mergeCell ref="U360:Y360"/>
    <mergeCell ref="Z360:AE360"/>
    <mergeCell ref="AF360:AK360"/>
    <mergeCell ref="I358:N358"/>
    <mergeCell ref="O358:T358"/>
    <mergeCell ref="U358:Y358"/>
    <mergeCell ref="Z358:AE358"/>
    <mergeCell ref="AF358:AK358"/>
    <mergeCell ref="I359:N359"/>
    <mergeCell ref="O359:T359"/>
    <mergeCell ref="U359:Y359"/>
    <mergeCell ref="Z359:AE359"/>
    <mergeCell ref="AF359:AK359"/>
    <mergeCell ref="I356:N356"/>
    <mergeCell ref="O356:T356"/>
    <mergeCell ref="U356:Y356"/>
    <mergeCell ref="Z356:AE356"/>
    <mergeCell ref="AF356:AK356"/>
    <mergeCell ref="I357:N357"/>
    <mergeCell ref="O357:T357"/>
    <mergeCell ref="U357:Y357"/>
    <mergeCell ref="Z357:AE357"/>
    <mergeCell ref="AF357:AK357"/>
    <mergeCell ref="U365:Y365"/>
    <mergeCell ref="Z365:AE365"/>
    <mergeCell ref="AF365:AK365"/>
    <mergeCell ref="I366:N366"/>
    <mergeCell ref="O366:T366"/>
    <mergeCell ref="U366:Y366"/>
    <mergeCell ref="Z366:AE366"/>
    <mergeCell ref="AF366:AK366"/>
    <mergeCell ref="C363:AQ363"/>
    <mergeCell ref="C364:H365"/>
    <mergeCell ref="I364:N364"/>
    <mergeCell ref="O364:T364"/>
    <mergeCell ref="U364:Y364"/>
    <mergeCell ref="Z364:AE364"/>
    <mergeCell ref="AF364:AK364"/>
    <mergeCell ref="AL364:AQ365"/>
    <mergeCell ref="I365:N365"/>
    <mergeCell ref="O365:T365"/>
    <mergeCell ref="I369:N369"/>
    <mergeCell ref="O369:T369"/>
    <mergeCell ref="U369:Y369"/>
    <mergeCell ref="Z369:AE369"/>
    <mergeCell ref="AF369:AK369"/>
    <mergeCell ref="I370:N370"/>
    <mergeCell ref="O370:T370"/>
    <mergeCell ref="U370:Y370"/>
    <mergeCell ref="Z370:AE370"/>
    <mergeCell ref="AF370:AK370"/>
    <mergeCell ref="I367:N367"/>
    <mergeCell ref="O367:T367"/>
    <mergeCell ref="U367:Y367"/>
    <mergeCell ref="Z367:AE367"/>
    <mergeCell ref="AF367:AK367"/>
    <mergeCell ref="I368:N368"/>
    <mergeCell ref="O368:T368"/>
    <mergeCell ref="U368:Y368"/>
    <mergeCell ref="Z368:AE368"/>
    <mergeCell ref="AF368:AK368"/>
    <mergeCell ref="I373:N373"/>
    <mergeCell ref="O373:T373"/>
    <mergeCell ref="U373:Y373"/>
    <mergeCell ref="Z373:AE373"/>
    <mergeCell ref="AF373:AK373"/>
    <mergeCell ref="I374:N374"/>
    <mergeCell ref="O374:T374"/>
    <mergeCell ref="U374:Y374"/>
    <mergeCell ref="Z374:AE374"/>
    <mergeCell ref="AF374:AK374"/>
    <mergeCell ref="I371:N371"/>
    <mergeCell ref="O371:T371"/>
    <mergeCell ref="U371:Y371"/>
    <mergeCell ref="Z371:AE371"/>
    <mergeCell ref="AF371:AK371"/>
    <mergeCell ref="I372:N372"/>
    <mergeCell ref="O372:T372"/>
    <mergeCell ref="U372:Y372"/>
    <mergeCell ref="Z372:AE372"/>
    <mergeCell ref="AF372:AK372"/>
    <mergeCell ref="I377:N377"/>
    <mergeCell ref="O377:T377"/>
    <mergeCell ref="U377:Y377"/>
    <mergeCell ref="Z377:AE377"/>
    <mergeCell ref="AF377:AK377"/>
    <mergeCell ref="I378:N378"/>
    <mergeCell ref="O378:T378"/>
    <mergeCell ref="U378:Y378"/>
    <mergeCell ref="Z378:AE378"/>
    <mergeCell ref="AF378:AK378"/>
    <mergeCell ref="I375:N375"/>
    <mergeCell ref="O375:T375"/>
    <mergeCell ref="U375:Y375"/>
    <mergeCell ref="Z375:AE375"/>
    <mergeCell ref="AF375:AK375"/>
    <mergeCell ref="I376:N376"/>
    <mergeCell ref="O376:T376"/>
    <mergeCell ref="U376:Y376"/>
    <mergeCell ref="Z376:AE376"/>
    <mergeCell ref="AF376:AK376"/>
    <mergeCell ref="I381:N381"/>
    <mergeCell ref="O381:T381"/>
    <mergeCell ref="U381:Y381"/>
    <mergeCell ref="Z381:AE381"/>
    <mergeCell ref="AF381:AK381"/>
    <mergeCell ref="I382:N382"/>
    <mergeCell ref="O382:T382"/>
    <mergeCell ref="U382:Y382"/>
    <mergeCell ref="Z382:AE382"/>
    <mergeCell ref="AF382:AK382"/>
    <mergeCell ref="I379:N379"/>
    <mergeCell ref="O379:T379"/>
    <mergeCell ref="U379:Y379"/>
    <mergeCell ref="Z379:AE379"/>
    <mergeCell ref="AF379:AK379"/>
    <mergeCell ref="I380:N380"/>
    <mergeCell ref="O380:T380"/>
    <mergeCell ref="U380:Y380"/>
    <mergeCell ref="Z380:AE380"/>
    <mergeCell ref="AF380:AK380"/>
    <mergeCell ref="I386:N386"/>
    <mergeCell ref="O386:T386"/>
    <mergeCell ref="U386:Y386"/>
    <mergeCell ref="Z386:AE386"/>
    <mergeCell ref="AF386:AK386"/>
    <mergeCell ref="I387:N387"/>
    <mergeCell ref="O387:T387"/>
    <mergeCell ref="U387:Y387"/>
    <mergeCell ref="Z387:AE387"/>
    <mergeCell ref="AF387:AK387"/>
    <mergeCell ref="I384:N384"/>
    <mergeCell ref="O384:T384"/>
    <mergeCell ref="U384:Y384"/>
    <mergeCell ref="Z384:AE384"/>
    <mergeCell ref="AF384:AK384"/>
    <mergeCell ref="I385:N385"/>
    <mergeCell ref="O385:T385"/>
    <mergeCell ref="U385:Y385"/>
    <mergeCell ref="Z385:AE385"/>
    <mergeCell ref="AF385:AK385"/>
    <mergeCell ref="I390:N390"/>
    <mergeCell ref="O390:T390"/>
    <mergeCell ref="U390:Y390"/>
    <mergeCell ref="Z390:AE390"/>
    <mergeCell ref="AF390:AK390"/>
    <mergeCell ref="I391:N391"/>
    <mergeCell ref="O391:T391"/>
    <mergeCell ref="U391:Y391"/>
    <mergeCell ref="Z391:AE391"/>
    <mergeCell ref="AF391:AK391"/>
    <mergeCell ref="I388:N388"/>
    <mergeCell ref="O388:T388"/>
    <mergeCell ref="U388:Y388"/>
    <mergeCell ref="Z388:AE388"/>
    <mergeCell ref="AF388:AK388"/>
    <mergeCell ref="I389:N389"/>
    <mergeCell ref="O389:T389"/>
    <mergeCell ref="U389:Y389"/>
    <mergeCell ref="Z389:AE389"/>
    <mergeCell ref="AF389:AK389"/>
    <mergeCell ref="C396:H396"/>
    <mergeCell ref="I396:N396"/>
    <mergeCell ref="O396:T396"/>
    <mergeCell ref="U396:Y396"/>
    <mergeCell ref="Z396:AE396"/>
    <mergeCell ref="AF396:AK396"/>
    <mergeCell ref="I394:N394"/>
    <mergeCell ref="O394:T394"/>
    <mergeCell ref="U394:Y394"/>
    <mergeCell ref="Z394:AE394"/>
    <mergeCell ref="AF394:AK394"/>
    <mergeCell ref="I395:N395"/>
    <mergeCell ref="O395:T395"/>
    <mergeCell ref="U395:Y395"/>
    <mergeCell ref="Z395:AE395"/>
    <mergeCell ref="AF395:AK395"/>
    <mergeCell ref="I392:N392"/>
    <mergeCell ref="O392:T392"/>
    <mergeCell ref="U392:Y392"/>
    <mergeCell ref="Z392:AE392"/>
    <mergeCell ref="AF392:AK392"/>
    <mergeCell ref="I393:N393"/>
    <mergeCell ref="O393:T393"/>
    <mergeCell ref="U393:Y393"/>
    <mergeCell ref="Z393:AE393"/>
    <mergeCell ref="AF393:AK393"/>
    <mergeCell ref="Q428:V428"/>
    <mergeCell ref="X428:AC428"/>
    <mergeCell ref="Q430:V430"/>
    <mergeCell ref="X430:AC430"/>
    <mergeCell ref="Q431:V431"/>
    <mergeCell ref="X431:AC431"/>
    <mergeCell ref="Q422:V422"/>
    <mergeCell ref="X422:AC422"/>
    <mergeCell ref="Q424:V424"/>
    <mergeCell ref="X424:AC424"/>
    <mergeCell ref="Q427:V427"/>
    <mergeCell ref="X427:AC427"/>
    <mergeCell ref="Q418:V418"/>
    <mergeCell ref="X418:AC418"/>
    <mergeCell ref="Q419:V419"/>
    <mergeCell ref="X419:AC419"/>
    <mergeCell ref="Q421:V421"/>
    <mergeCell ref="X421:AC421"/>
    <mergeCell ref="Q446:V446"/>
    <mergeCell ref="X446:AC446"/>
    <mergeCell ref="Q447:V447"/>
    <mergeCell ref="X447:AC447"/>
    <mergeCell ref="Q441:V441"/>
    <mergeCell ref="X441:AC441"/>
    <mergeCell ref="Q444:V444"/>
    <mergeCell ref="X444:AC444"/>
    <mergeCell ref="Q445:V445"/>
    <mergeCell ref="X445:AC445"/>
    <mergeCell ref="Q432:V432"/>
    <mergeCell ref="X432:AC432"/>
    <mergeCell ref="Q434:V434"/>
    <mergeCell ref="X434:AC434"/>
    <mergeCell ref="Q436:V436"/>
    <mergeCell ref="Q440:V440"/>
    <mergeCell ref="X440:AC440"/>
    <mergeCell ref="Q453:V453"/>
    <mergeCell ref="X453:AC453"/>
    <mergeCell ref="Q454:V454"/>
    <mergeCell ref="X454:AC454"/>
    <mergeCell ref="Q456:V456"/>
    <mergeCell ref="X456:AC456"/>
    <mergeCell ref="Q450:V450"/>
    <mergeCell ref="X450:AC450"/>
    <mergeCell ref="Q451:V451"/>
    <mergeCell ref="X451:AC451"/>
    <mergeCell ref="Q452:V452"/>
    <mergeCell ref="X452:AC452"/>
    <mergeCell ref="Q448:V448"/>
    <mergeCell ref="X448:AC448"/>
    <mergeCell ref="Q467:V467"/>
    <mergeCell ref="X467:AC467"/>
    <mergeCell ref="Q469:V469"/>
    <mergeCell ref="X469:AC469"/>
    <mergeCell ref="Q470:V470"/>
    <mergeCell ref="X470:AC470"/>
    <mergeCell ref="Q462:V462"/>
    <mergeCell ref="X462:AC462"/>
    <mergeCell ref="Q463:V463"/>
    <mergeCell ref="X463:AC463"/>
    <mergeCell ref="Q464:V464"/>
    <mergeCell ref="X464:AC464"/>
    <mergeCell ref="Q459:V459"/>
    <mergeCell ref="X459:AC459"/>
    <mergeCell ref="Q460:V460"/>
    <mergeCell ref="X460:AC460"/>
    <mergeCell ref="Q461:V461"/>
    <mergeCell ref="X461:AC461"/>
    <mergeCell ref="Q474:V474"/>
    <mergeCell ref="X474:AC474"/>
    <mergeCell ref="Q481:V481"/>
    <mergeCell ref="X481:AC481"/>
    <mergeCell ref="Q482:V482"/>
    <mergeCell ref="X482:AC482"/>
    <mergeCell ref="Q472:V472"/>
    <mergeCell ref="X472:AC472"/>
    <mergeCell ref="Q471:V471"/>
    <mergeCell ref="X471:AC471"/>
    <mergeCell ref="Q494:V494"/>
    <mergeCell ref="X494:AC494"/>
    <mergeCell ref="Q495:V495"/>
    <mergeCell ref="X495:AC495"/>
    <mergeCell ref="Q496:V496"/>
    <mergeCell ref="X496:AC496"/>
    <mergeCell ref="Q487:V487"/>
    <mergeCell ref="X487:AC487"/>
    <mergeCell ref="Q488:V488"/>
    <mergeCell ref="X488:AC488"/>
    <mergeCell ref="Q491:V491"/>
    <mergeCell ref="X491:AC491"/>
    <mergeCell ref="Q484:V484"/>
    <mergeCell ref="X484:AC484"/>
    <mergeCell ref="Q485:V485"/>
    <mergeCell ref="X485:AC485"/>
    <mergeCell ref="Q486:V486"/>
    <mergeCell ref="X486:AC486"/>
    <mergeCell ref="Q504:V504"/>
    <mergeCell ref="X504:AC504"/>
    <mergeCell ref="Q505:V505"/>
    <mergeCell ref="X505:AC505"/>
    <mergeCell ref="Q506:V506"/>
    <mergeCell ref="X506:AC506"/>
    <mergeCell ref="Q501:V501"/>
    <mergeCell ref="X501:AC501"/>
    <mergeCell ref="Q502:V502"/>
    <mergeCell ref="X502:AC502"/>
    <mergeCell ref="Q503:V503"/>
    <mergeCell ref="X503:AC503"/>
    <mergeCell ref="Q497:V497"/>
    <mergeCell ref="X497:AC497"/>
    <mergeCell ref="Q498:V498"/>
    <mergeCell ref="X498:AC498"/>
    <mergeCell ref="Q500:V500"/>
    <mergeCell ref="X500:AC500"/>
    <mergeCell ref="Q524:V524"/>
    <mergeCell ref="X524:AC524"/>
    <mergeCell ref="Q525:V525"/>
    <mergeCell ref="X525:AC525"/>
    <mergeCell ref="Q527:V527"/>
    <mergeCell ref="X527:AC527"/>
    <mergeCell ref="Q521:V521"/>
    <mergeCell ref="X521:AC521"/>
    <mergeCell ref="Q522:V522"/>
    <mergeCell ref="X522:AC522"/>
    <mergeCell ref="Q523:V523"/>
    <mergeCell ref="X523:AC523"/>
    <mergeCell ref="Q509:V509"/>
    <mergeCell ref="X509:AC509"/>
    <mergeCell ref="Q518:V518"/>
    <mergeCell ref="X518:AC518"/>
    <mergeCell ref="Q519:V519"/>
    <mergeCell ref="X519:AC519"/>
    <mergeCell ref="AX546:AY546"/>
    <mergeCell ref="AZ546:BA546"/>
    <mergeCell ref="Q547:V547"/>
    <mergeCell ref="X547:AC547"/>
    <mergeCell ref="Q549:V549"/>
    <mergeCell ref="X549:AC549"/>
    <mergeCell ref="Q538:V538"/>
    <mergeCell ref="X538:AC538"/>
    <mergeCell ref="Q540:V540"/>
    <mergeCell ref="X540:AC540"/>
    <mergeCell ref="Q546:V546"/>
    <mergeCell ref="X546:AC546"/>
    <mergeCell ref="Q534:V534"/>
    <mergeCell ref="X534:AC534"/>
    <mergeCell ref="Q535:V535"/>
    <mergeCell ref="X535:AC535"/>
    <mergeCell ref="Q537:V537"/>
    <mergeCell ref="X537:AC537"/>
    <mergeCell ref="Q564:V564"/>
    <mergeCell ref="X564:AC564"/>
    <mergeCell ref="Q566:V566"/>
    <mergeCell ref="X566:AC566"/>
    <mergeCell ref="Q571:V571"/>
    <mergeCell ref="X571:AC571"/>
    <mergeCell ref="Q553:V553"/>
    <mergeCell ref="X553:AC553"/>
    <mergeCell ref="Q555:V555"/>
    <mergeCell ref="X555:AC555"/>
    <mergeCell ref="Q563:V563"/>
    <mergeCell ref="X563:AC563"/>
    <mergeCell ref="Q550:V550"/>
    <mergeCell ref="X550:AC550"/>
    <mergeCell ref="Q551:V551"/>
    <mergeCell ref="X551:AC551"/>
    <mergeCell ref="Q552:V552"/>
    <mergeCell ref="X552:AC552"/>
    <mergeCell ref="Q567:V567"/>
    <mergeCell ref="X567:AC567"/>
    <mergeCell ref="Q568:V568"/>
    <mergeCell ref="X568:AC568"/>
    <mergeCell ref="Q569:V569"/>
    <mergeCell ref="X569:AC569"/>
    <mergeCell ref="Q570:V570"/>
    <mergeCell ref="X570:AC570"/>
    <mergeCell ref="Q554:V554"/>
    <mergeCell ref="X554:AC554"/>
    <mergeCell ref="AA593:AF593"/>
    <mergeCell ref="O594:T594"/>
    <mergeCell ref="U594:Z594"/>
    <mergeCell ref="AA594:AF594"/>
    <mergeCell ref="O595:T595"/>
    <mergeCell ref="U595:Z595"/>
    <mergeCell ref="AA595:AF595"/>
    <mergeCell ref="Q572:V572"/>
    <mergeCell ref="X572:AC572"/>
    <mergeCell ref="C590:AQ590"/>
    <mergeCell ref="C592:N595"/>
    <mergeCell ref="O592:T592"/>
    <mergeCell ref="U592:Z592"/>
    <mergeCell ref="AA592:AF592"/>
    <mergeCell ref="AG592:AQ595"/>
    <mergeCell ref="O593:T593"/>
    <mergeCell ref="U593:Z593"/>
    <mergeCell ref="C580:J580"/>
    <mergeCell ref="Q578:V578"/>
    <mergeCell ref="X578:AC578"/>
    <mergeCell ref="Q579:V579"/>
    <mergeCell ref="X579:AC579"/>
    <mergeCell ref="Q581:V581"/>
    <mergeCell ref="X581:AC581"/>
    <mergeCell ref="Q583:V583"/>
    <mergeCell ref="X583:AC583"/>
    <mergeCell ref="O600:T600"/>
    <mergeCell ref="U600:Z600"/>
    <mergeCell ref="AA600:AF600"/>
    <mergeCell ref="O601:T601"/>
    <mergeCell ref="U601:Z601"/>
    <mergeCell ref="AA601:AF601"/>
    <mergeCell ref="O598:T598"/>
    <mergeCell ref="U598:Z598"/>
    <mergeCell ref="AA598:AF598"/>
    <mergeCell ref="O599:T599"/>
    <mergeCell ref="U599:Z599"/>
    <mergeCell ref="AA599:AF599"/>
    <mergeCell ref="O596:T596"/>
    <mergeCell ref="U596:Z596"/>
    <mergeCell ref="AA596:AF596"/>
    <mergeCell ref="O597:T597"/>
    <mergeCell ref="U597:Z597"/>
    <mergeCell ref="AA597:AF597"/>
    <mergeCell ref="AA615:AF615"/>
    <mergeCell ref="O616:T616"/>
    <mergeCell ref="U616:Z616"/>
    <mergeCell ref="AA616:AF616"/>
    <mergeCell ref="O605:T605"/>
    <mergeCell ref="U605:Z605"/>
    <mergeCell ref="AA605:AF605"/>
    <mergeCell ref="O606:T606"/>
    <mergeCell ref="U606:Z606"/>
    <mergeCell ref="AA606:AF606"/>
    <mergeCell ref="O603:T603"/>
    <mergeCell ref="U603:Z603"/>
    <mergeCell ref="AA603:AF603"/>
    <mergeCell ref="O604:T604"/>
    <mergeCell ref="U604:Z604"/>
    <mergeCell ref="AA604:AF604"/>
    <mergeCell ref="O602:T602"/>
    <mergeCell ref="U602:Z602"/>
    <mergeCell ref="AA602:AF602"/>
    <mergeCell ref="O611:T611"/>
    <mergeCell ref="U611:Z611"/>
    <mergeCell ref="AA611:AF611"/>
    <mergeCell ref="O614:T614"/>
    <mergeCell ref="AA614:AF614"/>
    <mergeCell ref="U613:Z613"/>
    <mergeCell ref="U614:Z614"/>
    <mergeCell ref="O621:T621"/>
    <mergeCell ref="U621:Z621"/>
    <mergeCell ref="AA621:AF621"/>
    <mergeCell ref="O622:T622"/>
    <mergeCell ref="U622:Z622"/>
    <mergeCell ref="AA622:AF622"/>
    <mergeCell ref="O612:T612"/>
    <mergeCell ref="U612:Z612"/>
    <mergeCell ref="AA612:AF612"/>
    <mergeCell ref="O610:T610"/>
    <mergeCell ref="U610:Z610"/>
    <mergeCell ref="AA610:AF610"/>
    <mergeCell ref="O607:T607"/>
    <mergeCell ref="U607:Z607"/>
    <mergeCell ref="AA607:AF607"/>
    <mergeCell ref="O609:T609"/>
    <mergeCell ref="U609:Z609"/>
    <mergeCell ref="AA609:AF609"/>
    <mergeCell ref="O619:T619"/>
    <mergeCell ref="U619:Z619"/>
    <mergeCell ref="AA619:AF619"/>
    <mergeCell ref="O620:T620"/>
    <mergeCell ref="U620:Z620"/>
    <mergeCell ref="AA620:AF620"/>
    <mergeCell ref="O617:T617"/>
    <mergeCell ref="U617:Z617"/>
    <mergeCell ref="AA617:AF617"/>
    <mergeCell ref="O618:T618"/>
    <mergeCell ref="U618:Z618"/>
    <mergeCell ref="AA618:AF618"/>
    <mergeCell ref="O615:T615"/>
    <mergeCell ref="U615:Z615"/>
    <mergeCell ref="O630:T630"/>
    <mergeCell ref="U630:Z630"/>
    <mergeCell ref="AA630:AF630"/>
    <mergeCell ref="O640:T640"/>
    <mergeCell ref="U640:Z640"/>
    <mergeCell ref="AA640:AF640"/>
    <mergeCell ref="O628:T628"/>
    <mergeCell ref="U628:Z628"/>
    <mergeCell ref="AA628:AF628"/>
    <mergeCell ref="O629:T629"/>
    <mergeCell ref="U629:Z629"/>
    <mergeCell ref="AA629:AF629"/>
    <mergeCell ref="O624:T624"/>
    <mergeCell ref="U624:Z624"/>
    <mergeCell ref="AA624:AF624"/>
    <mergeCell ref="O626:T626"/>
    <mergeCell ref="U626:Z626"/>
    <mergeCell ref="AA626:AF626"/>
    <mergeCell ref="O635:T635"/>
    <mergeCell ref="U635:Z635"/>
    <mergeCell ref="AA635:AF635"/>
    <mergeCell ref="O636:T636"/>
    <mergeCell ref="U636:Z636"/>
    <mergeCell ref="AA636:AF636"/>
    <mergeCell ref="O633:T633"/>
    <mergeCell ref="U633:Z633"/>
    <mergeCell ref="AA633:AF633"/>
    <mergeCell ref="O634:T634"/>
    <mergeCell ref="U634:Z634"/>
    <mergeCell ref="AA634:AF634"/>
    <mergeCell ref="O631:T631"/>
    <mergeCell ref="U631:Z631"/>
    <mergeCell ref="O644:T644"/>
    <mergeCell ref="U644:Z644"/>
    <mergeCell ref="AA644:AF644"/>
    <mergeCell ref="O645:T645"/>
    <mergeCell ref="U645:Z645"/>
    <mergeCell ref="AA645:AF645"/>
    <mergeCell ref="AA631:AF631"/>
    <mergeCell ref="O632:T632"/>
    <mergeCell ref="U632:Z632"/>
    <mergeCell ref="AA632:AF632"/>
    <mergeCell ref="O642:T642"/>
    <mergeCell ref="U642:Z642"/>
    <mergeCell ref="AA642:AF642"/>
    <mergeCell ref="O643:T643"/>
    <mergeCell ref="U643:Z643"/>
    <mergeCell ref="AA643:AF643"/>
    <mergeCell ref="O641:T641"/>
    <mergeCell ref="U641:Z641"/>
    <mergeCell ref="AA641:AF641"/>
    <mergeCell ref="O637:T637"/>
    <mergeCell ref="U637:Z637"/>
    <mergeCell ref="AA637:AF637"/>
    <mergeCell ref="O638:T638"/>
    <mergeCell ref="U638:Z638"/>
    <mergeCell ref="AA638:AF638"/>
    <mergeCell ref="C653:N653"/>
    <mergeCell ref="O653:T653"/>
    <mergeCell ref="U653:Z653"/>
    <mergeCell ref="AA653:AF653"/>
    <mergeCell ref="AG653:AQ653"/>
    <mergeCell ref="O654:T654"/>
    <mergeCell ref="AA654:AF654"/>
    <mergeCell ref="O649:T649"/>
    <mergeCell ref="U649:Z649"/>
    <mergeCell ref="AA649:AF649"/>
    <mergeCell ref="O650:T650"/>
    <mergeCell ref="U650:Z650"/>
    <mergeCell ref="AA650:AF650"/>
    <mergeCell ref="O646:T646"/>
    <mergeCell ref="U646:Z646"/>
    <mergeCell ref="AA646:AF646"/>
    <mergeCell ref="O647:T647"/>
    <mergeCell ref="U647:Z647"/>
    <mergeCell ref="AA647:AF647"/>
    <mergeCell ref="U689:Z689"/>
    <mergeCell ref="AA689:AF689"/>
    <mergeCell ref="O690:T690"/>
    <mergeCell ref="U690:Z690"/>
    <mergeCell ref="AA690:AF690"/>
    <mergeCell ref="O691:T691"/>
    <mergeCell ref="U691:Z691"/>
    <mergeCell ref="AA691:AF691"/>
    <mergeCell ref="C686:AQ686"/>
    <mergeCell ref="C687:N690"/>
    <mergeCell ref="O687:T687"/>
    <mergeCell ref="U687:Z687"/>
    <mergeCell ref="AA687:AF687"/>
    <mergeCell ref="AG687:AQ690"/>
    <mergeCell ref="O688:T688"/>
    <mergeCell ref="U688:Z688"/>
    <mergeCell ref="AA688:AF688"/>
    <mergeCell ref="O689:T689"/>
    <mergeCell ref="U699:Z699"/>
    <mergeCell ref="AA699:AF699"/>
    <mergeCell ref="O700:T700"/>
    <mergeCell ref="U700:Z700"/>
    <mergeCell ref="AA700:AF700"/>
    <mergeCell ref="O698:T698"/>
    <mergeCell ref="U698:Z698"/>
    <mergeCell ref="AA698:AF698"/>
    <mergeCell ref="O696:T696"/>
    <mergeCell ref="U696:Z696"/>
    <mergeCell ref="AA696:AF696"/>
    <mergeCell ref="O713:T713"/>
    <mergeCell ref="U713:Z713"/>
    <mergeCell ref="AA713:AF713"/>
    <mergeCell ref="O651:T651"/>
    <mergeCell ref="U651:Z651"/>
    <mergeCell ref="AA651:AF651"/>
    <mergeCell ref="O652:T652"/>
    <mergeCell ref="U652:Z652"/>
    <mergeCell ref="AA652:AF652"/>
    <mergeCell ref="O694:T694"/>
    <mergeCell ref="U694:Z694"/>
    <mergeCell ref="AA694:AF694"/>
    <mergeCell ref="O695:T695"/>
    <mergeCell ref="U695:Z695"/>
    <mergeCell ref="AA695:AF695"/>
    <mergeCell ref="O692:T692"/>
    <mergeCell ref="U692:Z692"/>
    <mergeCell ref="AA692:AF692"/>
    <mergeCell ref="O693:T693"/>
    <mergeCell ref="U693:Z693"/>
    <mergeCell ref="AA693:AF693"/>
    <mergeCell ref="O714:T714"/>
    <mergeCell ref="U714:Z714"/>
    <mergeCell ref="AA714:AF714"/>
    <mergeCell ref="O711:T711"/>
    <mergeCell ref="U711:Z711"/>
    <mergeCell ref="AA711:AF711"/>
    <mergeCell ref="O697:T697"/>
    <mergeCell ref="U697:Z697"/>
    <mergeCell ref="AA697:AF697"/>
    <mergeCell ref="O712:T712"/>
    <mergeCell ref="U712:Z712"/>
    <mergeCell ref="AA712:AF712"/>
    <mergeCell ref="O706:T706"/>
    <mergeCell ref="AA706:AF706"/>
    <mergeCell ref="O707:T707"/>
    <mergeCell ref="AA707:AF707"/>
    <mergeCell ref="O708:T708"/>
    <mergeCell ref="U708:Z708"/>
    <mergeCell ref="AA708:AF708"/>
    <mergeCell ref="O704:T704"/>
    <mergeCell ref="U704:Z704"/>
    <mergeCell ref="AA704:AF704"/>
    <mergeCell ref="O705:T705"/>
    <mergeCell ref="U705:Z705"/>
    <mergeCell ref="AA705:AF705"/>
    <mergeCell ref="O701:T701"/>
    <mergeCell ref="U701:Z701"/>
    <mergeCell ref="AA701:AF701"/>
    <mergeCell ref="O702:T702"/>
    <mergeCell ref="U702:Z702"/>
    <mergeCell ref="AA702:AF702"/>
    <mergeCell ref="O699:T699"/>
    <mergeCell ref="O717:T717"/>
    <mergeCell ref="U717:Z717"/>
    <mergeCell ref="AA717:AF717"/>
    <mergeCell ref="O718:T718"/>
    <mergeCell ref="U718:Z718"/>
    <mergeCell ref="AA718:AF718"/>
    <mergeCell ref="O715:T715"/>
    <mergeCell ref="U715:Z715"/>
    <mergeCell ref="AA715:AF715"/>
    <mergeCell ref="O716:T716"/>
    <mergeCell ref="U716:Z716"/>
    <mergeCell ref="AA716:AF716"/>
    <mergeCell ref="O725:T725"/>
    <mergeCell ref="U725:Z725"/>
    <mergeCell ref="AA725:AF725"/>
    <mergeCell ref="O726:T726"/>
    <mergeCell ref="U726:Z726"/>
    <mergeCell ref="AA726:AF726"/>
    <mergeCell ref="O723:T723"/>
    <mergeCell ref="U723:Z723"/>
    <mergeCell ref="AA723:AF723"/>
    <mergeCell ref="O724:T724"/>
    <mergeCell ref="U724:Z724"/>
    <mergeCell ref="AA724:AF724"/>
    <mergeCell ref="O722:T722"/>
    <mergeCell ref="U722:Z722"/>
    <mergeCell ref="AA722:AF722"/>
    <mergeCell ref="O731:T731"/>
    <mergeCell ref="U731:Z731"/>
    <mergeCell ref="AA731:AF731"/>
    <mergeCell ref="O732:T732"/>
    <mergeCell ref="U732:Z732"/>
    <mergeCell ref="AA732:AF732"/>
    <mergeCell ref="O720:T720"/>
    <mergeCell ref="U720:Z720"/>
    <mergeCell ref="AA720:AF720"/>
    <mergeCell ref="O721:T721"/>
    <mergeCell ref="U721:Z721"/>
    <mergeCell ref="AA721:AF721"/>
    <mergeCell ref="O729:T729"/>
    <mergeCell ref="U729:Z729"/>
    <mergeCell ref="AA729:AF729"/>
    <mergeCell ref="O730:T730"/>
    <mergeCell ref="U730:Z730"/>
    <mergeCell ref="AA730:AF730"/>
    <mergeCell ref="O727:T727"/>
    <mergeCell ref="U727:Z727"/>
    <mergeCell ref="AA727:AF727"/>
    <mergeCell ref="O728:T728"/>
    <mergeCell ref="U728:Z728"/>
    <mergeCell ref="AA728:AF728"/>
    <mergeCell ref="I758:M758"/>
    <mergeCell ref="N758:R758"/>
    <mergeCell ref="O738:T738"/>
    <mergeCell ref="U738:Z738"/>
    <mergeCell ref="AA738:AF738"/>
    <mergeCell ref="O739:T739"/>
    <mergeCell ref="U739:Z739"/>
    <mergeCell ref="AA739:AF739"/>
    <mergeCell ref="O736:T736"/>
    <mergeCell ref="U736:Z736"/>
    <mergeCell ref="AA736:AF736"/>
    <mergeCell ref="O737:T737"/>
    <mergeCell ref="U737:Z737"/>
    <mergeCell ref="AA737:AF737"/>
    <mergeCell ref="O734:T734"/>
    <mergeCell ref="U734:Z734"/>
    <mergeCell ref="AA734:AF734"/>
    <mergeCell ref="O735:T735"/>
    <mergeCell ref="U735:Z735"/>
    <mergeCell ref="AA735:AF735"/>
    <mergeCell ref="C755:H758"/>
    <mergeCell ref="I755:M755"/>
    <mergeCell ref="N755:R755"/>
    <mergeCell ref="S755:W755"/>
    <mergeCell ref="X755:AB755"/>
    <mergeCell ref="AM755:AQ758"/>
    <mergeCell ref="S758:W758"/>
    <mergeCell ref="X758:AB758"/>
    <mergeCell ref="AC758:AG758"/>
    <mergeCell ref="AH758:AL758"/>
    <mergeCell ref="AC755:AL755"/>
    <mergeCell ref="O743:T743"/>
    <mergeCell ref="U743:Z743"/>
    <mergeCell ref="AA743:AF743"/>
    <mergeCell ref="I756:M756"/>
    <mergeCell ref="N756:R756"/>
    <mergeCell ref="S756:W756"/>
    <mergeCell ref="X756:AB756"/>
    <mergeCell ref="AC756:AL756"/>
    <mergeCell ref="I757:M757"/>
    <mergeCell ref="N757:R757"/>
    <mergeCell ref="S757:W757"/>
    <mergeCell ref="O744:T744"/>
    <mergeCell ref="U744:Z744"/>
    <mergeCell ref="AA744:AF744"/>
    <mergeCell ref="C746:N746"/>
    <mergeCell ref="O746:T746"/>
    <mergeCell ref="U746:Z746"/>
    <mergeCell ref="AA746:AF746"/>
    <mergeCell ref="X757:AB757"/>
    <mergeCell ref="AC757:AG757"/>
    <mergeCell ref="AH757:AL757"/>
    <mergeCell ref="I765:M765"/>
    <mergeCell ref="N765:R765"/>
    <mergeCell ref="S765:W765"/>
    <mergeCell ref="X765:AB765"/>
    <mergeCell ref="AC765:AG765"/>
    <mergeCell ref="AH765:AL765"/>
    <mergeCell ref="O740:T740"/>
    <mergeCell ref="U740:Z740"/>
    <mergeCell ref="AA740:AF740"/>
    <mergeCell ref="O742:T742"/>
    <mergeCell ref="U742:Z742"/>
    <mergeCell ref="AA742:AF742"/>
    <mergeCell ref="O745:T745"/>
    <mergeCell ref="U745:Z745"/>
    <mergeCell ref="AA745:AF745"/>
    <mergeCell ref="I764:M764"/>
    <mergeCell ref="N764:R764"/>
    <mergeCell ref="S764:W764"/>
    <mergeCell ref="X764:AB764"/>
    <mergeCell ref="AC764:AG764"/>
    <mergeCell ref="AH764:AL764"/>
    <mergeCell ref="I763:M763"/>
    <mergeCell ref="N763:R763"/>
    <mergeCell ref="S763:W763"/>
    <mergeCell ref="X763:AB763"/>
    <mergeCell ref="AC763:AG763"/>
    <mergeCell ref="AH763:AL763"/>
    <mergeCell ref="AG746:AQ746"/>
    <mergeCell ref="O747:T747"/>
    <mergeCell ref="U747:Z747"/>
    <mergeCell ref="AA747:AF747"/>
    <mergeCell ref="C754:AQ754"/>
    <mergeCell ref="I769:M769"/>
    <mergeCell ref="N769:R769"/>
    <mergeCell ref="S769:W769"/>
    <mergeCell ref="X769:AB769"/>
    <mergeCell ref="AC769:AG769"/>
    <mergeCell ref="AH769:AL769"/>
    <mergeCell ref="I768:M768"/>
    <mergeCell ref="N768:R768"/>
    <mergeCell ref="S768:W768"/>
    <mergeCell ref="X768:AB768"/>
    <mergeCell ref="AC768:AG768"/>
    <mergeCell ref="AH768:AL768"/>
    <mergeCell ref="I766:M766"/>
    <mergeCell ref="N766:R766"/>
    <mergeCell ref="S766:W766"/>
    <mergeCell ref="X766:AB766"/>
    <mergeCell ref="AC766:AG766"/>
    <mergeCell ref="AH766:AL766"/>
    <mergeCell ref="I772:M772"/>
    <mergeCell ref="N772:R772"/>
    <mergeCell ref="S772:W772"/>
    <mergeCell ref="X772:AB772"/>
    <mergeCell ref="AC772:AG772"/>
    <mergeCell ref="AH772:AL772"/>
    <mergeCell ref="I771:M771"/>
    <mergeCell ref="N771:R771"/>
    <mergeCell ref="S771:W771"/>
    <mergeCell ref="X771:AB771"/>
    <mergeCell ref="AC771:AG771"/>
    <mergeCell ref="AH771:AL771"/>
    <mergeCell ref="I770:M770"/>
    <mergeCell ref="N770:R770"/>
    <mergeCell ref="S770:W770"/>
    <mergeCell ref="X770:AB770"/>
    <mergeCell ref="AC770:AG770"/>
    <mergeCell ref="AH770:AL770"/>
    <mergeCell ref="I776:M776"/>
    <mergeCell ref="N776:R776"/>
    <mergeCell ref="S776:W776"/>
    <mergeCell ref="X776:AB776"/>
    <mergeCell ref="AC776:AG776"/>
    <mergeCell ref="AH776:AL776"/>
    <mergeCell ref="I775:M775"/>
    <mergeCell ref="N775:R775"/>
    <mergeCell ref="S775:W775"/>
    <mergeCell ref="X775:AB775"/>
    <mergeCell ref="AC775:AG775"/>
    <mergeCell ref="AH775:AL775"/>
    <mergeCell ref="I774:M774"/>
    <mergeCell ref="N774:R774"/>
    <mergeCell ref="S774:W774"/>
    <mergeCell ref="X774:AB774"/>
    <mergeCell ref="AC774:AG774"/>
    <mergeCell ref="AH774:AL774"/>
    <mergeCell ref="I781:M781"/>
    <mergeCell ref="N781:R781"/>
    <mergeCell ref="S781:W781"/>
    <mergeCell ref="X781:AB781"/>
    <mergeCell ref="AC781:AG781"/>
    <mergeCell ref="AH781:AL781"/>
    <mergeCell ref="I779:M779"/>
    <mergeCell ref="N779:R779"/>
    <mergeCell ref="S779:W779"/>
    <mergeCell ref="X779:AB779"/>
    <mergeCell ref="AC779:AG779"/>
    <mergeCell ref="AH779:AL779"/>
    <mergeCell ref="I777:M777"/>
    <mergeCell ref="N777:R777"/>
    <mergeCell ref="S777:W777"/>
    <mergeCell ref="X777:AB777"/>
    <mergeCell ref="AC777:AG777"/>
    <mergeCell ref="AH777:AL777"/>
    <mergeCell ref="I785:M785"/>
    <mergeCell ref="N785:R785"/>
    <mergeCell ref="S785:W785"/>
    <mergeCell ref="X785:AB785"/>
    <mergeCell ref="AC785:AG785"/>
    <mergeCell ref="AH785:AL785"/>
    <mergeCell ref="I783:M783"/>
    <mergeCell ref="N783:R783"/>
    <mergeCell ref="S783:W783"/>
    <mergeCell ref="X783:AB783"/>
    <mergeCell ref="AC783:AG783"/>
    <mergeCell ref="AH783:AL783"/>
    <mergeCell ref="I782:M782"/>
    <mergeCell ref="N782:R782"/>
    <mergeCell ref="S782:W782"/>
    <mergeCell ref="X782:AB782"/>
    <mergeCell ref="AC782:AG782"/>
    <mergeCell ref="AH782:AL782"/>
    <mergeCell ref="AH792:AL792"/>
    <mergeCell ref="X793:AA793"/>
    <mergeCell ref="I794:M794"/>
    <mergeCell ref="N794:R794"/>
    <mergeCell ref="S794:W794"/>
    <mergeCell ref="X794:AB794"/>
    <mergeCell ref="AC794:AG794"/>
    <mergeCell ref="AH794:AL794"/>
    <mergeCell ref="AH788:AL788"/>
    <mergeCell ref="I789:M789"/>
    <mergeCell ref="X789:AB789"/>
    <mergeCell ref="AC789:AG789"/>
    <mergeCell ref="AH789:AL789"/>
    <mergeCell ref="I792:M792"/>
    <mergeCell ref="N792:R792"/>
    <mergeCell ref="S792:W792"/>
    <mergeCell ref="X792:AB792"/>
    <mergeCell ref="AC792:AG792"/>
    <mergeCell ref="I790:M790"/>
    <mergeCell ref="X790:AB790"/>
    <mergeCell ref="AC790:AG790"/>
    <mergeCell ref="AH790:AL790"/>
    <mergeCell ref="S812:W812"/>
    <mergeCell ref="X812:AB812"/>
    <mergeCell ref="AC812:AL812"/>
    <mergeCell ref="I813:M813"/>
    <mergeCell ref="N813:R813"/>
    <mergeCell ref="S813:W813"/>
    <mergeCell ref="X813:AB813"/>
    <mergeCell ref="AC813:AG813"/>
    <mergeCell ref="AH813:AL813"/>
    <mergeCell ref="C810:AQ810"/>
    <mergeCell ref="C811:H814"/>
    <mergeCell ref="I811:M811"/>
    <mergeCell ref="N811:R811"/>
    <mergeCell ref="S811:W811"/>
    <mergeCell ref="X811:AB811"/>
    <mergeCell ref="AC811:AL811"/>
    <mergeCell ref="AM811:AQ814"/>
    <mergeCell ref="I812:M812"/>
    <mergeCell ref="N812:R812"/>
    <mergeCell ref="I821:M821"/>
    <mergeCell ref="N821:R821"/>
    <mergeCell ref="S821:W821"/>
    <mergeCell ref="X821:AB821"/>
    <mergeCell ref="AC821:AG821"/>
    <mergeCell ref="AH821:AL821"/>
    <mergeCell ref="I820:M820"/>
    <mergeCell ref="N820:R820"/>
    <mergeCell ref="S820:W820"/>
    <mergeCell ref="X820:AB820"/>
    <mergeCell ref="AC820:AG820"/>
    <mergeCell ref="AH820:AL820"/>
    <mergeCell ref="I814:M814"/>
    <mergeCell ref="N814:R814"/>
    <mergeCell ref="S814:W814"/>
    <mergeCell ref="X814:AB814"/>
    <mergeCell ref="AC814:AG814"/>
    <mergeCell ref="AH814:AL814"/>
    <mergeCell ref="I825:M825"/>
    <mergeCell ref="N825:R825"/>
    <mergeCell ref="S825:W825"/>
    <mergeCell ref="X825:AB825"/>
    <mergeCell ref="AC825:AG825"/>
    <mergeCell ref="AH825:AL825"/>
    <mergeCell ref="I823:M823"/>
    <mergeCell ref="N823:R823"/>
    <mergeCell ref="S823:W823"/>
    <mergeCell ref="X823:AB823"/>
    <mergeCell ref="AC823:AG823"/>
    <mergeCell ref="AH823:AL823"/>
    <mergeCell ref="I822:M822"/>
    <mergeCell ref="N822:R822"/>
    <mergeCell ref="S822:W822"/>
    <mergeCell ref="X822:AB822"/>
    <mergeCell ref="AC822:AG822"/>
    <mergeCell ref="AH822:AL822"/>
    <mergeCell ref="I828:M828"/>
    <mergeCell ref="N828:R828"/>
    <mergeCell ref="S828:W828"/>
    <mergeCell ref="X828:AB828"/>
    <mergeCell ref="AC828:AG828"/>
    <mergeCell ref="AH828:AL828"/>
    <mergeCell ref="I827:M827"/>
    <mergeCell ref="N827:R827"/>
    <mergeCell ref="S827:W827"/>
    <mergeCell ref="X827:AB827"/>
    <mergeCell ref="AC827:AG827"/>
    <mergeCell ref="AH827:AL827"/>
    <mergeCell ref="I826:M826"/>
    <mergeCell ref="N826:R826"/>
    <mergeCell ref="S826:W826"/>
    <mergeCell ref="X826:AB826"/>
    <mergeCell ref="AC826:AG826"/>
    <mergeCell ref="AH826:AL826"/>
    <mergeCell ref="I832:M832"/>
    <mergeCell ref="N832:R832"/>
    <mergeCell ref="S832:W832"/>
    <mergeCell ref="X832:AB832"/>
    <mergeCell ref="AC832:AG832"/>
    <mergeCell ref="AH832:AL832"/>
    <mergeCell ref="I831:M831"/>
    <mergeCell ref="N831:R831"/>
    <mergeCell ref="S831:W831"/>
    <mergeCell ref="X831:AB831"/>
    <mergeCell ref="AC831:AG831"/>
    <mergeCell ref="AH831:AL831"/>
    <mergeCell ref="I829:M829"/>
    <mergeCell ref="N829:R829"/>
    <mergeCell ref="S829:W829"/>
    <mergeCell ref="X829:AB829"/>
    <mergeCell ref="AC829:AG829"/>
    <mergeCell ref="AH829:AL829"/>
    <mergeCell ref="I837:M837"/>
    <mergeCell ref="N837:R837"/>
    <mergeCell ref="S837:W837"/>
    <mergeCell ref="X837:AB837"/>
    <mergeCell ref="AC837:AG837"/>
    <mergeCell ref="AH837:AL837"/>
    <mergeCell ref="I834:M834"/>
    <mergeCell ref="N834:R834"/>
    <mergeCell ref="S834:W834"/>
    <mergeCell ref="X834:AB834"/>
    <mergeCell ref="AC834:AG834"/>
    <mergeCell ref="AH834:AL834"/>
    <mergeCell ref="I833:M833"/>
    <mergeCell ref="N833:R833"/>
    <mergeCell ref="S833:W833"/>
    <mergeCell ref="X833:AB833"/>
    <mergeCell ref="AC833:AG833"/>
    <mergeCell ref="AH833:AL833"/>
    <mergeCell ref="I841:M841"/>
    <mergeCell ref="N841:R841"/>
    <mergeCell ref="S841:W841"/>
    <mergeCell ref="X841:AB841"/>
    <mergeCell ref="AC841:AG841"/>
    <mergeCell ref="AH841:AL841"/>
    <mergeCell ref="I839:M839"/>
    <mergeCell ref="N839:R839"/>
    <mergeCell ref="S839:W839"/>
    <mergeCell ref="X839:AB839"/>
    <mergeCell ref="AC839:AG839"/>
    <mergeCell ref="AH839:AL839"/>
    <mergeCell ref="I838:M838"/>
    <mergeCell ref="N838:R838"/>
    <mergeCell ref="S838:W838"/>
    <mergeCell ref="X838:AB838"/>
    <mergeCell ref="AC838:AG838"/>
    <mergeCell ref="AH838:AL838"/>
    <mergeCell ref="I849:M849"/>
    <mergeCell ref="N849:R849"/>
    <mergeCell ref="S849:W849"/>
    <mergeCell ref="X849:AB849"/>
    <mergeCell ref="AC849:AG849"/>
    <mergeCell ref="AH849:AL849"/>
    <mergeCell ref="AH845:AL845"/>
    <mergeCell ref="I846:M846"/>
    <mergeCell ref="N846:R846"/>
    <mergeCell ref="S846:W846"/>
    <mergeCell ref="X846:AB846"/>
    <mergeCell ref="AC846:AG846"/>
    <mergeCell ref="AH846:AL846"/>
    <mergeCell ref="I847:M847"/>
    <mergeCell ref="N847:R847"/>
    <mergeCell ref="S847:W847"/>
    <mergeCell ref="X847:AB847"/>
    <mergeCell ref="AC847:AG847"/>
    <mergeCell ref="AH847:AL847"/>
    <mergeCell ref="Q861:V861"/>
    <mergeCell ref="X861:AC861"/>
    <mergeCell ref="AE861:AJ861"/>
    <mergeCell ref="Q862:V862"/>
    <mergeCell ref="X862:AC862"/>
    <mergeCell ref="AE862:AJ862"/>
    <mergeCell ref="AH851:AL851"/>
    <mergeCell ref="AC852:AG852"/>
    <mergeCell ref="Q858:V858"/>
    <mergeCell ref="X858:AC858"/>
    <mergeCell ref="Q859:V859"/>
    <mergeCell ref="X859:AC859"/>
    <mergeCell ref="X850:AA850"/>
    <mergeCell ref="I851:M851"/>
    <mergeCell ref="N851:R851"/>
    <mergeCell ref="S851:W851"/>
    <mergeCell ref="X851:AB851"/>
    <mergeCell ref="AC851:AG851"/>
    <mergeCell ref="Q867:V867"/>
    <mergeCell ref="X867:AC867"/>
    <mergeCell ref="AE867:AJ867"/>
    <mergeCell ref="Q868:V868"/>
    <mergeCell ref="X868:AC868"/>
    <mergeCell ref="AE868:AJ868"/>
    <mergeCell ref="Q865:V865"/>
    <mergeCell ref="X865:AC865"/>
    <mergeCell ref="AE865:AJ865"/>
    <mergeCell ref="Q866:V866"/>
    <mergeCell ref="X866:AC866"/>
    <mergeCell ref="AE866:AJ866"/>
    <mergeCell ref="Q863:V863"/>
    <mergeCell ref="X863:AC863"/>
    <mergeCell ref="AE863:AJ863"/>
    <mergeCell ref="Q864:V864"/>
    <mergeCell ref="X864:AC864"/>
    <mergeCell ref="AE864:AJ864"/>
    <mergeCell ref="AE876:AJ876"/>
    <mergeCell ref="Q873:V873"/>
    <mergeCell ref="X873:AC873"/>
    <mergeCell ref="AE873:AJ873"/>
    <mergeCell ref="Q874:V874"/>
    <mergeCell ref="X874:AC874"/>
    <mergeCell ref="AE874:AJ874"/>
    <mergeCell ref="Q871:V871"/>
    <mergeCell ref="X871:AC871"/>
    <mergeCell ref="AE871:AJ871"/>
    <mergeCell ref="Q872:V872"/>
    <mergeCell ref="X872:AC872"/>
    <mergeCell ref="AE872:AJ872"/>
    <mergeCell ref="Q869:V869"/>
    <mergeCell ref="X869:AC869"/>
    <mergeCell ref="AE869:AJ869"/>
    <mergeCell ref="Q870:V870"/>
    <mergeCell ref="X870:AC870"/>
    <mergeCell ref="AE870:AJ870"/>
    <mergeCell ref="O709:T709"/>
    <mergeCell ref="AA709:AF709"/>
    <mergeCell ref="O613:T613"/>
    <mergeCell ref="AA613:AF613"/>
    <mergeCell ref="Q298:V298"/>
    <mergeCell ref="X298:AC298"/>
    <mergeCell ref="X297:AC297"/>
    <mergeCell ref="AE880:AJ880"/>
    <mergeCell ref="X135:AC135"/>
    <mergeCell ref="X136:AC136"/>
    <mergeCell ref="Q882:V882"/>
    <mergeCell ref="X882:AC882"/>
    <mergeCell ref="AE882:AJ882"/>
    <mergeCell ref="Q883:V883"/>
    <mergeCell ref="X883:AC883"/>
    <mergeCell ref="Q879:V879"/>
    <mergeCell ref="X879:AC879"/>
    <mergeCell ref="AE879:AJ879"/>
    <mergeCell ref="Q880:V880"/>
    <mergeCell ref="X880:AC880"/>
    <mergeCell ref="AE881:AJ881"/>
    <mergeCell ref="Q877:V877"/>
    <mergeCell ref="X877:AC877"/>
    <mergeCell ref="AE877:AJ877"/>
    <mergeCell ref="Q878:V878"/>
    <mergeCell ref="X878:AC878"/>
    <mergeCell ref="AE878:AJ878"/>
    <mergeCell ref="Q875:V875"/>
    <mergeCell ref="X875:AC875"/>
    <mergeCell ref="AE875:AJ875"/>
    <mergeCell ref="Q876:V876"/>
    <mergeCell ref="X876:AC876"/>
  </mergeCells>
  <phoneticPr fontId="174" type="noConversion"/>
  <pageMargins left="0.7" right="0.7" top="0.75" bottom="0.75" header="0.3" footer="0.3"/>
  <pageSetup paperSize="9" orientation="landscape" horizontalDpi="0" verticalDpi="0" r:id="rId1"/>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2722"/>
  <sheetViews>
    <sheetView topLeftCell="A210" zoomScale="90" zoomScaleNormal="90" workbookViewId="0">
      <selection activeCell="I243" sqref="I243"/>
    </sheetView>
  </sheetViews>
  <sheetFormatPr defaultColWidth="9" defaultRowHeight="14.5" x14ac:dyDescent="0.35"/>
  <cols>
    <col min="3" max="3" width="25.81640625" customWidth="1"/>
    <col min="4" max="4" width="9.453125" customWidth="1"/>
    <col min="5" max="5" width="13.7265625" customWidth="1"/>
    <col min="6" max="7" width="12.81640625" customWidth="1"/>
    <col min="8" max="8" width="14.453125" bestFit="1" customWidth="1"/>
    <col min="9" max="9" width="15.7265625" customWidth="1"/>
    <col min="10" max="10" width="12.7265625" bestFit="1" customWidth="1"/>
    <col min="11" max="11" width="15.1796875" customWidth="1"/>
    <col min="12" max="12" width="27" customWidth="1"/>
  </cols>
  <sheetData>
    <row r="1" spans="1:33" x14ac:dyDescent="0.35">
      <c r="C1" s="945">
        <v>2</v>
      </c>
      <c r="D1" s="945">
        <v>3</v>
      </c>
      <c r="E1" s="945">
        <v>4</v>
      </c>
      <c r="F1" s="945">
        <v>5</v>
      </c>
      <c r="G1" s="945">
        <v>6</v>
      </c>
      <c r="H1" s="945">
        <v>7</v>
      </c>
      <c r="I1" s="945">
        <v>8</v>
      </c>
      <c r="J1" s="945">
        <v>9</v>
      </c>
      <c r="K1" s="945">
        <v>10</v>
      </c>
      <c r="L1" s="945">
        <v>11</v>
      </c>
    </row>
    <row r="2" spans="1:33" x14ac:dyDescent="0.35">
      <c r="A2" s="3785" t="str">
        <f>CLK!B3</f>
        <v>PESANTREN ISLAM AL-IRSYAD TENGARAN 6 BONDOWOSO</v>
      </c>
      <c r="B2" s="3785"/>
      <c r="C2" s="3785"/>
      <c r="D2" s="3785"/>
      <c r="E2" s="3785"/>
      <c r="F2" s="3785"/>
      <c r="G2" s="3785"/>
      <c r="H2" s="3785"/>
      <c r="I2" s="3785"/>
      <c r="J2" s="3785"/>
      <c r="K2" s="3785"/>
      <c r="L2" s="3785"/>
    </row>
    <row r="3" spans="1:33" x14ac:dyDescent="0.35">
      <c r="A3" s="946"/>
      <c r="B3" s="947"/>
      <c r="C3" s="947"/>
      <c r="D3" s="948"/>
      <c r="E3" s="949"/>
      <c r="F3" s="949"/>
      <c r="G3" s="949"/>
      <c r="H3" s="949"/>
      <c r="I3" s="949"/>
      <c r="J3" s="949"/>
      <c r="K3" s="949"/>
      <c r="L3" s="950"/>
    </row>
    <row r="4" spans="1:33" x14ac:dyDescent="0.35">
      <c r="A4" s="1142" t="s">
        <v>2423</v>
      </c>
      <c r="B4" s="951"/>
      <c r="C4" s="951"/>
      <c r="D4" s="951"/>
      <c r="E4" s="951"/>
      <c r="F4" s="951"/>
      <c r="G4" s="951"/>
      <c r="H4" s="951"/>
      <c r="I4" s="951"/>
      <c r="J4" s="951"/>
      <c r="K4" s="951"/>
      <c r="L4" s="951"/>
      <c r="M4" s="952"/>
      <c r="N4" s="952"/>
      <c r="O4" s="953"/>
      <c r="P4" s="953"/>
    </row>
    <row r="5" spans="1:33" ht="15.5" x14ac:dyDescent="0.35">
      <c r="A5" s="955" t="s">
        <v>2424</v>
      </c>
      <c r="B5" s="956"/>
      <c r="C5" s="957"/>
      <c r="D5" s="957"/>
      <c r="E5" s="957"/>
      <c r="F5" s="957"/>
      <c r="G5" s="957"/>
      <c r="H5" s="957"/>
      <c r="I5" s="957"/>
      <c r="J5" s="957"/>
      <c r="K5" s="957"/>
      <c r="L5" s="958" t="s">
        <v>2425</v>
      </c>
    </row>
    <row r="6" spans="1:33" ht="15.5" x14ac:dyDescent="0.35">
      <c r="A6" s="959" t="str">
        <f>NRC!B5</f>
        <v>30 June 2026</v>
      </c>
      <c r="B6" s="959"/>
      <c r="C6" s="959"/>
      <c r="D6" s="957"/>
      <c r="E6" s="957"/>
      <c r="F6" s="957"/>
      <c r="G6" s="957"/>
      <c r="H6" s="957"/>
      <c r="I6" s="957"/>
      <c r="J6" s="957"/>
      <c r="K6" s="960"/>
      <c r="L6" s="960">
        <f>NRC!I5</f>
        <v>46203</v>
      </c>
    </row>
    <row r="7" spans="1:33" ht="15.5" x14ac:dyDescent="0.35">
      <c r="A7" s="961" t="str">
        <f>NRC!C6</f>
        <v>(Dengan perbandingan informasi keuangan untuk bulan yang berakhir 31 May 2026 /</v>
      </c>
      <c r="B7" s="962"/>
      <c r="D7" s="963"/>
      <c r="E7" s="961"/>
      <c r="F7" s="961"/>
      <c r="G7" s="961"/>
      <c r="H7" s="961"/>
      <c r="I7" s="961"/>
      <c r="J7" s="961"/>
      <c r="K7" s="961"/>
      <c r="L7" s="964" t="str">
        <f>NRC!K6</f>
        <v>With Comparative financial information for the month ended May 31, 2026 )</v>
      </c>
    </row>
    <row r="8" spans="1:33" ht="15.5" x14ac:dyDescent="0.35">
      <c r="A8" s="965" t="s">
        <v>2426</v>
      </c>
      <c r="B8" s="954"/>
      <c r="C8" s="955"/>
      <c r="D8" s="966"/>
      <c r="E8" s="966"/>
      <c r="F8" s="966"/>
      <c r="G8" s="966"/>
      <c r="H8" s="966"/>
      <c r="I8" s="966"/>
      <c r="J8" s="966"/>
      <c r="K8" s="966"/>
      <c r="L8" s="958" t="s">
        <v>2427</v>
      </c>
    </row>
    <row r="9" spans="1:33" x14ac:dyDescent="0.35">
      <c r="A9" s="967" t="s">
        <v>531</v>
      </c>
      <c r="B9" s="968"/>
      <c r="C9" s="968"/>
      <c r="D9" s="969"/>
      <c r="E9" s="968"/>
      <c r="F9" s="968"/>
      <c r="G9" s="968"/>
      <c r="H9" s="968"/>
      <c r="I9" s="968"/>
      <c r="J9" s="968"/>
      <c r="K9" s="968"/>
      <c r="L9" s="970" t="s">
        <v>532</v>
      </c>
    </row>
    <row r="10" spans="1:33" ht="15" thickBot="1" x14ac:dyDescent="0.4">
      <c r="A10" s="971"/>
      <c r="C10" s="972"/>
      <c r="D10" s="973"/>
      <c r="E10" s="972"/>
      <c r="F10" s="972"/>
      <c r="G10" s="972"/>
      <c r="H10" s="972"/>
      <c r="I10" s="972"/>
      <c r="J10" s="972"/>
      <c r="K10" s="972"/>
      <c r="L10" s="974"/>
    </row>
    <row r="11" spans="1:33" x14ac:dyDescent="0.35">
      <c r="A11" s="975" t="s">
        <v>2428</v>
      </c>
      <c r="B11" s="976" t="s">
        <v>1043</v>
      </c>
      <c r="C11" s="977"/>
      <c r="D11" s="978" t="s">
        <v>2429</v>
      </c>
      <c r="E11" s="3782" t="str">
        <f>NRC!E9 &amp;  (IN!D5)</f>
        <v>30 June 2026/46203</v>
      </c>
      <c r="F11" s="3783"/>
      <c r="G11" s="3783"/>
      <c r="H11" s="3783"/>
      <c r="I11" s="3783"/>
      <c r="J11" s="3783"/>
      <c r="K11" s="3784"/>
      <c r="L11" s="979" t="str">
        <f>NRC!E9</f>
        <v>30 June 2026/</v>
      </c>
      <c r="P11" s="980"/>
      <c r="Q11" s="981"/>
      <c r="R11" s="981"/>
      <c r="S11" s="981" t="s">
        <v>2430</v>
      </c>
      <c r="T11" s="981" t="s">
        <v>2431</v>
      </c>
      <c r="U11" s="981" t="s">
        <v>904</v>
      </c>
      <c r="V11" s="982" t="s">
        <v>2432</v>
      </c>
      <c r="W11" s="983"/>
      <c r="X11" s="984"/>
      <c r="Y11" s="982" t="s">
        <v>2433</v>
      </c>
      <c r="Z11" s="983"/>
      <c r="AA11" s="984"/>
      <c r="AB11" s="982" t="s">
        <v>2434</v>
      </c>
      <c r="AC11" s="983"/>
      <c r="AD11" s="984"/>
      <c r="AE11" s="985"/>
      <c r="AF11" s="985"/>
      <c r="AG11" s="986" t="s">
        <v>904</v>
      </c>
    </row>
    <row r="12" spans="1:33" x14ac:dyDescent="0.35">
      <c r="A12" s="987"/>
      <c r="B12" s="988" t="s">
        <v>447</v>
      </c>
      <c r="C12" s="989"/>
      <c r="D12" s="990" t="s">
        <v>2435</v>
      </c>
      <c r="E12" s="991" t="s">
        <v>2436</v>
      </c>
      <c r="F12" s="991" t="s">
        <v>2437</v>
      </c>
      <c r="G12" s="991" t="s">
        <v>277</v>
      </c>
      <c r="H12" s="991" t="s">
        <v>2438</v>
      </c>
      <c r="I12" s="991" t="s">
        <v>2439</v>
      </c>
      <c r="J12" s="991" t="s">
        <v>2440</v>
      </c>
      <c r="K12" s="991" t="s">
        <v>417</v>
      </c>
      <c r="L12" s="1843">
        <f>NRC!E10</f>
        <v>46203</v>
      </c>
      <c r="P12" s="992"/>
      <c r="Q12" s="993"/>
      <c r="R12" s="993"/>
      <c r="S12" s="993"/>
      <c r="T12" s="993"/>
      <c r="U12" s="993"/>
      <c r="V12" s="994"/>
      <c r="W12" s="994"/>
      <c r="X12" s="994"/>
      <c r="Y12" s="994"/>
      <c r="Z12" s="994"/>
      <c r="AA12" s="994"/>
      <c r="AB12" s="994"/>
      <c r="AC12" s="994"/>
      <c r="AD12" s="994"/>
      <c r="AE12" s="995"/>
      <c r="AF12" s="995"/>
      <c r="AG12" s="996"/>
    </row>
    <row r="13" spans="1:33" ht="15" thickBot="1" x14ac:dyDescent="0.4">
      <c r="A13" s="997"/>
      <c r="B13" s="998"/>
      <c r="C13" s="999"/>
      <c r="D13" s="1000"/>
      <c r="E13" s="1001" t="s">
        <v>302</v>
      </c>
      <c r="F13" s="1001" t="s">
        <v>2441</v>
      </c>
      <c r="G13" s="1001" t="s">
        <v>2442</v>
      </c>
      <c r="H13" s="1001" t="s">
        <v>2443</v>
      </c>
      <c r="I13" s="1001" t="s">
        <v>2444</v>
      </c>
      <c r="J13" s="1001" t="s">
        <v>2445</v>
      </c>
      <c r="K13" s="1001" t="s">
        <v>421</v>
      </c>
      <c r="L13" s="1002"/>
      <c r="P13" s="1003"/>
      <c r="Q13" s="1004"/>
      <c r="R13" s="1004"/>
      <c r="S13" s="1004"/>
      <c r="T13" s="1004"/>
      <c r="U13" s="1004"/>
      <c r="V13" s="1005"/>
      <c r="W13" s="1005"/>
      <c r="X13" s="1005"/>
      <c r="Y13" s="1005"/>
      <c r="Z13" s="1005"/>
      <c r="AA13" s="1005"/>
      <c r="AB13" s="1005"/>
      <c r="AC13" s="1005"/>
      <c r="AD13" s="1005"/>
      <c r="AE13" s="1006"/>
      <c r="AF13" s="1006"/>
      <c r="AG13" s="1007"/>
    </row>
    <row r="14" spans="1:33" x14ac:dyDescent="0.35">
      <c r="A14" s="1008"/>
      <c r="B14" s="1013" t="s">
        <v>2446</v>
      </c>
      <c r="C14" s="1009"/>
      <c r="D14" s="1010"/>
      <c r="E14" s="1009"/>
      <c r="F14" s="1009"/>
      <c r="G14" s="1009"/>
      <c r="H14" s="1009"/>
      <c r="I14" s="1009"/>
      <c r="J14" s="1009"/>
      <c r="K14" s="1009"/>
      <c r="L14" s="1011"/>
      <c r="P14" s="1003"/>
      <c r="Q14" s="1004"/>
      <c r="R14" s="1004"/>
      <c r="S14" s="1004"/>
      <c r="T14" s="1004"/>
      <c r="U14" s="1004"/>
      <c r="V14" s="1005"/>
      <c r="W14" s="1005"/>
      <c r="X14" s="1005"/>
      <c r="Y14" s="1005"/>
      <c r="Z14" s="1005"/>
      <c r="AA14" s="1005"/>
      <c r="AB14" s="1005"/>
      <c r="AC14" s="1005"/>
      <c r="AD14" s="1005"/>
      <c r="AE14" s="1006"/>
      <c r="AF14" s="1006"/>
      <c r="AG14" s="1007"/>
    </row>
    <row r="15" spans="1:33" x14ac:dyDescent="0.35">
      <c r="A15" s="1042"/>
      <c r="B15" s="1031"/>
      <c r="C15" s="1034" t="s">
        <v>2485</v>
      </c>
      <c r="D15" s="1043"/>
      <c r="E15" s="1035"/>
      <c r="F15" s="1035"/>
      <c r="G15" s="1035"/>
      <c r="H15" s="1035"/>
      <c r="I15" s="1035"/>
      <c r="J15" s="1035"/>
      <c r="K15" s="1035"/>
      <c r="L15" s="1038"/>
      <c r="P15" s="1026"/>
      <c r="Q15" s="1027"/>
      <c r="R15" s="1027"/>
      <c r="S15" s="1027"/>
      <c r="T15" s="1028"/>
      <c r="U15" s="1027"/>
      <c r="V15" s="1027"/>
      <c r="W15" s="1027"/>
      <c r="X15" s="1027"/>
      <c r="Y15" s="1027"/>
      <c r="Z15" s="1027"/>
      <c r="AA15" s="1027"/>
      <c r="AB15" s="1027"/>
      <c r="AC15" s="1027"/>
      <c r="AD15" s="1027"/>
      <c r="AE15" s="1029"/>
      <c r="AF15" s="1029"/>
      <c r="AG15" s="1030"/>
    </row>
    <row r="16" spans="1:33" x14ac:dyDescent="0.35">
      <c r="A16" s="1042"/>
      <c r="B16" s="1031"/>
      <c r="C16" s="1034" t="s">
        <v>7329</v>
      </c>
      <c r="D16" s="1043"/>
      <c r="E16" s="1035"/>
      <c r="F16" s="1035"/>
      <c r="G16" s="1035"/>
      <c r="H16" s="1035"/>
      <c r="I16" s="1035"/>
      <c r="J16" s="1035"/>
      <c r="K16" s="1035"/>
      <c r="L16" s="1038"/>
      <c r="P16" s="1026"/>
      <c r="Q16" s="1027"/>
      <c r="R16" s="1027"/>
      <c r="S16" s="1027"/>
      <c r="T16" s="1028"/>
      <c r="U16" s="1027"/>
      <c r="V16" s="1027"/>
      <c r="W16" s="1027"/>
      <c r="X16" s="1027"/>
      <c r="Y16" s="1027"/>
      <c r="Z16" s="1027"/>
      <c r="AA16" s="1027"/>
      <c r="AB16" s="1027"/>
      <c r="AC16" s="1027"/>
      <c r="AD16" s="1027"/>
      <c r="AE16" s="1029"/>
      <c r="AF16" s="1029"/>
      <c r="AG16" s="1030"/>
    </row>
    <row r="17" spans="1:33" x14ac:dyDescent="0.35">
      <c r="A17" s="1020"/>
      <c r="B17" s="1021" t="s">
        <v>2447</v>
      </c>
      <c r="C17" s="1022" t="s">
        <v>7759</v>
      </c>
      <c r="D17" s="2944" t="s">
        <v>7330</v>
      </c>
      <c r="E17" s="1024">
        <v>15900000</v>
      </c>
      <c r="F17" s="1024">
        <v>0</v>
      </c>
      <c r="G17" s="1024">
        <v>15300000</v>
      </c>
      <c r="H17" s="1024">
        <v>0</v>
      </c>
      <c r="I17" s="1024">
        <v>0</v>
      </c>
      <c r="J17" s="1024">
        <v>0</v>
      </c>
      <c r="K17" s="1024">
        <f t="shared" ref="K17:K36" si="0">SUM(E17:J17)</f>
        <v>31200000</v>
      </c>
      <c r="L17" s="1025"/>
      <c r="P17" s="1026"/>
      <c r="Q17" s="1027"/>
      <c r="R17" s="1027"/>
      <c r="S17" s="1027"/>
      <c r="T17" s="1028"/>
      <c r="U17" s="1027"/>
      <c r="V17" s="1027"/>
      <c r="W17" s="1027"/>
      <c r="X17" s="1027"/>
      <c r="Y17" s="1027"/>
      <c r="Z17" s="1027"/>
      <c r="AA17" s="1027"/>
      <c r="AB17" s="1027"/>
      <c r="AC17" s="1027"/>
      <c r="AD17" s="1027"/>
      <c r="AE17" s="1029"/>
      <c r="AF17" s="1029"/>
      <c r="AG17" s="1030"/>
    </row>
    <row r="18" spans="1:33" x14ac:dyDescent="0.35">
      <c r="A18" s="1020"/>
      <c r="B18" s="1021" t="s">
        <v>23</v>
      </c>
      <c r="C18" s="1022" t="s">
        <v>7760</v>
      </c>
      <c r="D18" s="2944" t="s">
        <v>7330</v>
      </c>
      <c r="E18" s="1024">
        <v>0</v>
      </c>
      <c r="F18" s="1024">
        <v>0</v>
      </c>
      <c r="G18" s="1024">
        <v>10500000</v>
      </c>
      <c r="H18" s="1024">
        <v>0</v>
      </c>
      <c r="I18" s="1024">
        <v>0</v>
      </c>
      <c r="J18" s="1024">
        <v>0</v>
      </c>
      <c r="K18" s="1024">
        <f t="shared" si="0"/>
        <v>10500000</v>
      </c>
      <c r="L18" s="1025"/>
      <c r="P18" s="1026"/>
      <c r="Q18" s="1027"/>
      <c r="R18" s="1027"/>
      <c r="S18" s="1027"/>
      <c r="T18" s="1028"/>
      <c r="U18" s="1027"/>
      <c r="V18" s="1027"/>
      <c r="W18" s="1027"/>
      <c r="X18" s="1027"/>
      <c r="Y18" s="1027"/>
      <c r="Z18" s="1027"/>
      <c r="AA18" s="1027"/>
      <c r="AB18" s="1027"/>
      <c r="AC18" s="1027"/>
      <c r="AD18" s="1027"/>
      <c r="AE18" s="1029"/>
      <c r="AF18" s="1029"/>
      <c r="AG18" s="1030"/>
    </row>
    <row r="19" spans="1:33" x14ac:dyDescent="0.35">
      <c r="A19" s="1020"/>
      <c r="B19" s="1021" t="s">
        <v>27</v>
      </c>
      <c r="C19" s="1022" t="s">
        <v>8239</v>
      </c>
      <c r="D19" s="2944" t="s">
        <v>7330</v>
      </c>
      <c r="E19" s="1024">
        <v>500000</v>
      </c>
      <c r="F19" s="1024">
        <v>0</v>
      </c>
      <c r="G19" s="1024">
        <v>0</v>
      </c>
      <c r="H19" s="1024">
        <v>0</v>
      </c>
      <c r="I19" s="1024">
        <v>0</v>
      </c>
      <c r="J19" s="1024">
        <v>0</v>
      </c>
      <c r="K19" s="1024">
        <f t="shared" si="0"/>
        <v>500000</v>
      </c>
      <c r="L19" s="1025"/>
      <c r="P19" s="1026"/>
      <c r="Q19" s="1027"/>
      <c r="R19" s="1027"/>
      <c r="S19" s="1027"/>
      <c r="T19" s="1028"/>
      <c r="U19" s="1027"/>
      <c r="V19" s="1027"/>
      <c r="W19" s="1027"/>
      <c r="X19" s="1027"/>
      <c r="Y19" s="1027"/>
      <c r="Z19" s="1027"/>
      <c r="AA19" s="1027"/>
      <c r="AB19" s="1027"/>
      <c r="AC19" s="1027"/>
      <c r="AD19" s="1027"/>
      <c r="AE19" s="1029"/>
      <c r="AF19" s="1029"/>
      <c r="AG19" s="1030"/>
    </row>
    <row r="20" spans="1:33" x14ac:dyDescent="0.35">
      <c r="A20" s="1020"/>
      <c r="B20" s="1021" t="s">
        <v>31</v>
      </c>
      <c r="C20" s="1022" t="s">
        <v>7761</v>
      </c>
      <c r="D20" s="2944" t="s">
        <v>7330</v>
      </c>
      <c r="E20" s="1024">
        <v>0</v>
      </c>
      <c r="F20" s="1024">
        <v>0</v>
      </c>
      <c r="G20" s="1024">
        <v>4600000</v>
      </c>
      <c r="H20" s="1024">
        <v>0</v>
      </c>
      <c r="I20" s="1024">
        <v>0</v>
      </c>
      <c r="J20" s="1024">
        <v>0</v>
      </c>
      <c r="K20" s="1024">
        <f t="shared" si="0"/>
        <v>4600000</v>
      </c>
      <c r="L20" s="1025"/>
      <c r="P20" s="1026"/>
      <c r="Q20" s="1027"/>
      <c r="R20" s="1027"/>
      <c r="S20" s="1027"/>
      <c r="T20" s="1028"/>
      <c r="U20" s="1027"/>
      <c r="V20" s="1027"/>
      <c r="W20" s="1027"/>
      <c r="X20" s="1027"/>
      <c r="Y20" s="1027"/>
      <c r="Z20" s="1027"/>
      <c r="AA20" s="1027"/>
      <c r="AB20" s="1027"/>
      <c r="AC20" s="1027"/>
      <c r="AD20" s="1027"/>
      <c r="AE20" s="1029"/>
      <c r="AF20" s="1029"/>
      <c r="AG20" s="1030"/>
    </row>
    <row r="21" spans="1:33" hidden="1" x14ac:dyDescent="0.35">
      <c r="A21" s="1020"/>
      <c r="B21" s="1021" t="s">
        <v>36</v>
      </c>
      <c r="C21" s="1022"/>
      <c r="D21" s="2944"/>
      <c r="E21" s="1024"/>
      <c r="F21" s="1024"/>
      <c r="G21" s="1024"/>
      <c r="H21" s="1024"/>
      <c r="I21" s="1024"/>
      <c r="J21" s="1024"/>
      <c r="K21" s="1024">
        <f t="shared" si="0"/>
        <v>0</v>
      </c>
      <c r="L21" s="1025"/>
      <c r="P21" s="1026"/>
      <c r="Q21" s="1027"/>
      <c r="R21" s="1027"/>
      <c r="S21" s="1027"/>
      <c r="T21" s="1028"/>
      <c r="U21" s="1027"/>
      <c r="V21" s="1027"/>
      <c r="W21" s="1027"/>
      <c r="X21" s="1027"/>
      <c r="Y21" s="1027"/>
      <c r="Z21" s="1027"/>
      <c r="AA21" s="1027"/>
      <c r="AB21" s="1027"/>
      <c r="AC21" s="1027"/>
      <c r="AD21" s="1027"/>
      <c r="AE21" s="1029"/>
      <c r="AF21" s="1029"/>
      <c r="AG21" s="1030"/>
    </row>
    <row r="22" spans="1:33" hidden="1" x14ac:dyDescent="0.35">
      <c r="A22" s="1020"/>
      <c r="B22" s="1021" t="s">
        <v>2449</v>
      </c>
      <c r="C22" s="1022"/>
      <c r="D22" s="2944"/>
      <c r="E22" s="1024"/>
      <c r="F22" s="1024"/>
      <c r="G22" s="1024"/>
      <c r="H22" s="1024"/>
      <c r="I22" s="1024"/>
      <c r="J22" s="1024"/>
      <c r="K22" s="1024">
        <f t="shared" si="0"/>
        <v>0</v>
      </c>
      <c r="L22" s="1025"/>
      <c r="P22" s="1026"/>
      <c r="Q22" s="1027"/>
      <c r="R22" s="1027"/>
      <c r="S22" s="1027"/>
      <c r="T22" s="1028"/>
      <c r="U22" s="1027"/>
      <c r="V22" s="1027"/>
      <c r="W22" s="1027"/>
      <c r="X22" s="1027"/>
      <c r="Y22" s="1027"/>
      <c r="Z22" s="1027"/>
      <c r="AA22" s="1027"/>
      <c r="AB22" s="1027"/>
      <c r="AC22" s="1027"/>
      <c r="AD22" s="1027"/>
      <c r="AE22" s="1029"/>
      <c r="AF22" s="1029"/>
      <c r="AG22" s="1030"/>
    </row>
    <row r="23" spans="1:33" hidden="1" x14ac:dyDescent="0.35">
      <c r="A23" s="1020"/>
      <c r="B23" s="1021" t="s">
        <v>759</v>
      </c>
      <c r="C23" s="1022"/>
      <c r="D23" s="2944"/>
      <c r="E23" s="1024"/>
      <c r="F23" s="1024"/>
      <c r="G23" s="1024"/>
      <c r="H23" s="1024"/>
      <c r="I23" s="1024"/>
      <c r="J23" s="1024"/>
      <c r="K23" s="1024">
        <f t="shared" si="0"/>
        <v>0</v>
      </c>
      <c r="L23" s="1025"/>
      <c r="P23" s="1026"/>
      <c r="Q23" s="1027"/>
      <c r="R23" s="1027"/>
      <c r="S23" s="1027"/>
      <c r="T23" s="1028"/>
      <c r="U23" s="1027"/>
      <c r="V23" s="1027"/>
      <c r="W23" s="1027"/>
      <c r="X23" s="1027"/>
      <c r="Y23" s="1027"/>
      <c r="Z23" s="1027"/>
      <c r="AA23" s="1027"/>
      <c r="AB23" s="1027"/>
      <c r="AC23" s="1027"/>
      <c r="AD23" s="1027"/>
      <c r="AE23" s="1029"/>
      <c r="AF23" s="1029"/>
      <c r="AG23" s="1030"/>
    </row>
    <row r="24" spans="1:33" hidden="1" x14ac:dyDescent="0.35">
      <c r="A24" s="1020"/>
      <c r="B24" s="1021" t="s">
        <v>701</v>
      </c>
      <c r="C24" s="1022"/>
      <c r="D24" s="2944"/>
      <c r="E24" s="1024"/>
      <c r="F24" s="1024"/>
      <c r="G24" s="1024"/>
      <c r="H24" s="1024"/>
      <c r="I24" s="1024"/>
      <c r="J24" s="1024"/>
      <c r="K24" s="1024">
        <f t="shared" si="0"/>
        <v>0</v>
      </c>
      <c r="L24" s="1025"/>
      <c r="P24" s="1026"/>
      <c r="Q24" s="1027"/>
      <c r="R24" s="1027"/>
      <c r="S24" s="1027"/>
      <c r="T24" s="1028"/>
      <c r="U24" s="1027"/>
      <c r="V24" s="1027"/>
      <c r="W24" s="1027"/>
      <c r="X24" s="1027"/>
      <c r="Y24" s="1027"/>
      <c r="Z24" s="1027"/>
      <c r="AA24" s="1027"/>
      <c r="AB24" s="1027"/>
      <c r="AC24" s="1027"/>
      <c r="AD24" s="1027"/>
      <c r="AE24" s="1029"/>
      <c r="AF24" s="1029"/>
      <c r="AG24" s="1030"/>
    </row>
    <row r="25" spans="1:33" hidden="1" x14ac:dyDescent="0.35">
      <c r="A25" s="1020"/>
      <c r="B25" s="1021" t="s">
        <v>1027</v>
      </c>
      <c r="C25" s="1022"/>
      <c r="D25" s="2944"/>
      <c r="E25" s="1024"/>
      <c r="F25" s="1024"/>
      <c r="G25" s="1024"/>
      <c r="H25" s="1024"/>
      <c r="I25" s="1024"/>
      <c r="J25" s="1024"/>
      <c r="K25" s="1024">
        <f t="shared" si="0"/>
        <v>0</v>
      </c>
      <c r="L25" s="1025"/>
      <c r="P25" s="1026"/>
      <c r="Q25" s="1027"/>
      <c r="R25" s="1027"/>
      <c r="S25" s="1027"/>
      <c r="T25" s="1028"/>
      <c r="U25" s="1027"/>
      <c r="V25" s="1027"/>
      <c r="W25" s="1027"/>
      <c r="X25" s="1027"/>
      <c r="Y25" s="1027"/>
      <c r="Z25" s="1027"/>
      <c r="AA25" s="1027"/>
      <c r="AB25" s="1027"/>
      <c r="AC25" s="1027"/>
      <c r="AD25" s="1027"/>
      <c r="AE25" s="1029"/>
      <c r="AF25" s="1029"/>
      <c r="AG25" s="1030"/>
    </row>
    <row r="26" spans="1:33" hidden="1" x14ac:dyDescent="0.35">
      <c r="A26" s="1020"/>
      <c r="B26" s="1021" t="s">
        <v>762</v>
      </c>
      <c r="C26" s="1022"/>
      <c r="D26" s="2944"/>
      <c r="E26" s="1024"/>
      <c r="F26" s="1024"/>
      <c r="G26" s="1024"/>
      <c r="H26" s="1024"/>
      <c r="I26" s="1024"/>
      <c r="J26" s="1024"/>
      <c r="K26" s="1024">
        <f t="shared" si="0"/>
        <v>0</v>
      </c>
      <c r="L26" s="1025"/>
      <c r="P26" s="1026"/>
      <c r="Q26" s="1027"/>
      <c r="R26" s="1027"/>
      <c r="S26" s="1027"/>
      <c r="T26" s="1028"/>
      <c r="U26" s="1027"/>
      <c r="V26" s="1027"/>
      <c r="W26" s="1027"/>
      <c r="X26" s="1027"/>
      <c r="Y26" s="1027"/>
      <c r="Z26" s="1027"/>
      <c r="AA26" s="1027"/>
      <c r="AB26" s="1027"/>
      <c r="AC26" s="1027"/>
      <c r="AD26" s="1027"/>
      <c r="AE26" s="1029"/>
      <c r="AF26" s="1029"/>
      <c r="AG26" s="1030"/>
    </row>
    <row r="27" spans="1:33" hidden="1" x14ac:dyDescent="0.35">
      <c r="A27" s="1020"/>
      <c r="B27" s="1021" t="s">
        <v>874</v>
      </c>
      <c r="C27" s="1022"/>
      <c r="D27" s="2944"/>
      <c r="E27" s="1024"/>
      <c r="F27" s="1024"/>
      <c r="G27" s="1024"/>
      <c r="H27" s="1024"/>
      <c r="I27" s="1024"/>
      <c r="J27" s="1024"/>
      <c r="K27" s="1024">
        <f t="shared" si="0"/>
        <v>0</v>
      </c>
      <c r="L27" s="1025"/>
      <c r="P27" s="1026"/>
      <c r="Q27" s="1027"/>
      <c r="R27" s="1027"/>
      <c r="S27" s="1027"/>
      <c r="T27" s="1028"/>
      <c r="U27" s="1027"/>
      <c r="V27" s="1027"/>
      <c r="W27" s="1027"/>
      <c r="X27" s="1027"/>
      <c r="Y27" s="1027"/>
      <c r="Z27" s="1027"/>
      <c r="AA27" s="1027"/>
      <c r="AB27" s="1027"/>
      <c r="AC27" s="1027"/>
      <c r="AD27" s="1027"/>
      <c r="AE27" s="1029"/>
      <c r="AF27" s="1029"/>
      <c r="AG27" s="1030"/>
    </row>
    <row r="28" spans="1:33" hidden="1" x14ac:dyDescent="0.35">
      <c r="A28" s="1020"/>
      <c r="B28" s="1021" t="s">
        <v>2450</v>
      </c>
      <c r="C28" s="1022"/>
      <c r="D28" s="2944"/>
      <c r="E28" s="1024"/>
      <c r="F28" s="1024"/>
      <c r="G28" s="1024"/>
      <c r="H28" s="1024"/>
      <c r="I28" s="1024"/>
      <c r="J28" s="1024"/>
      <c r="K28" s="1024">
        <f t="shared" si="0"/>
        <v>0</v>
      </c>
      <c r="L28" s="1025"/>
      <c r="P28" s="1026"/>
      <c r="Q28" s="1027"/>
      <c r="R28" s="1027"/>
      <c r="S28" s="1027"/>
      <c r="T28" s="1028"/>
      <c r="U28" s="1027"/>
      <c r="V28" s="1027"/>
      <c r="W28" s="1027"/>
      <c r="X28" s="1027"/>
      <c r="Y28" s="1027"/>
      <c r="Z28" s="1027"/>
      <c r="AA28" s="1027"/>
      <c r="AB28" s="1027"/>
      <c r="AC28" s="1027"/>
      <c r="AD28" s="1027"/>
      <c r="AE28" s="1029"/>
      <c r="AF28" s="1029"/>
      <c r="AG28" s="1030"/>
    </row>
    <row r="29" spans="1:33" hidden="1" x14ac:dyDescent="0.35">
      <c r="A29" s="1020"/>
      <c r="B29" s="1021" t="s">
        <v>2451</v>
      </c>
      <c r="C29" s="1022"/>
      <c r="D29" s="2944"/>
      <c r="E29" s="1024"/>
      <c r="F29" s="1024"/>
      <c r="G29" s="1024"/>
      <c r="H29" s="1024"/>
      <c r="I29" s="1024"/>
      <c r="J29" s="1024"/>
      <c r="K29" s="1024">
        <f t="shared" si="0"/>
        <v>0</v>
      </c>
      <c r="L29" s="1025"/>
      <c r="P29" s="1026"/>
      <c r="Q29" s="1027"/>
      <c r="R29" s="1027"/>
      <c r="S29" s="1027"/>
      <c r="T29" s="1028"/>
      <c r="U29" s="1027"/>
      <c r="V29" s="1027"/>
      <c r="W29" s="1027"/>
      <c r="X29" s="1027"/>
      <c r="Y29" s="1027"/>
      <c r="Z29" s="1027"/>
      <c r="AA29" s="1027"/>
      <c r="AB29" s="1027"/>
      <c r="AC29" s="1027"/>
      <c r="AD29" s="1027"/>
      <c r="AE29" s="1029"/>
      <c r="AF29" s="1029"/>
      <c r="AG29" s="1030"/>
    </row>
    <row r="30" spans="1:33" hidden="1" x14ac:dyDescent="0.35">
      <c r="A30" s="1020"/>
      <c r="B30" s="1021" t="s">
        <v>2452</v>
      </c>
      <c r="C30" s="1022"/>
      <c r="D30" s="2944"/>
      <c r="E30" s="1024"/>
      <c r="F30" s="1024"/>
      <c r="G30" s="1024"/>
      <c r="H30" s="1024"/>
      <c r="I30" s="1024"/>
      <c r="J30" s="1024"/>
      <c r="K30" s="1024">
        <f t="shared" si="0"/>
        <v>0</v>
      </c>
      <c r="L30" s="1025"/>
      <c r="P30" s="1026"/>
      <c r="Q30" s="1027"/>
      <c r="R30" s="1027"/>
      <c r="S30" s="1027"/>
      <c r="T30" s="1028"/>
      <c r="U30" s="1027"/>
      <c r="V30" s="1027"/>
      <c r="W30" s="1027"/>
      <c r="X30" s="1027"/>
      <c r="Y30" s="1027"/>
      <c r="Z30" s="1027"/>
      <c r="AA30" s="1027"/>
      <c r="AB30" s="1027"/>
      <c r="AC30" s="1027"/>
      <c r="AD30" s="1027"/>
      <c r="AE30" s="1029"/>
      <c r="AF30" s="1029"/>
      <c r="AG30" s="1030"/>
    </row>
    <row r="31" spans="1:33" hidden="1" x14ac:dyDescent="0.35">
      <c r="A31" s="1020"/>
      <c r="B31" s="1021" t="s">
        <v>2453</v>
      </c>
      <c r="C31" s="1022"/>
      <c r="D31" s="2944"/>
      <c r="E31" s="1024"/>
      <c r="F31" s="1024"/>
      <c r="G31" s="1024"/>
      <c r="H31" s="1024"/>
      <c r="I31" s="1024"/>
      <c r="J31" s="1024"/>
      <c r="K31" s="1024">
        <f t="shared" si="0"/>
        <v>0</v>
      </c>
      <c r="L31" s="1025"/>
      <c r="P31" s="1026"/>
      <c r="Q31" s="1027"/>
      <c r="R31" s="1027"/>
      <c r="S31" s="1027"/>
      <c r="T31" s="1028"/>
      <c r="U31" s="1027"/>
      <c r="V31" s="1027"/>
      <c r="W31" s="1027"/>
      <c r="X31" s="1027"/>
      <c r="Y31" s="1027"/>
      <c r="Z31" s="1027"/>
      <c r="AA31" s="1027"/>
      <c r="AB31" s="1027"/>
      <c r="AC31" s="1027"/>
      <c r="AD31" s="1027"/>
      <c r="AE31" s="1029"/>
      <c r="AF31" s="1029"/>
      <c r="AG31" s="1030"/>
    </row>
    <row r="32" spans="1:33" hidden="1" x14ac:dyDescent="0.35">
      <c r="A32" s="1020"/>
      <c r="B32" s="1021" t="s">
        <v>2454</v>
      </c>
      <c r="C32" s="1022" t="s">
        <v>2448</v>
      </c>
      <c r="D32" s="2944" t="s">
        <v>2448</v>
      </c>
      <c r="E32" s="1024" t="s">
        <v>2448</v>
      </c>
      <c r="F32" s="1024" t="s">
        <v>2448</v>
      </c>
      <c r="G32" s="1024" t="s">
        <v>2448</v>
      </c>
      <c r="H32" s="1024" t="s">
        <v>2448</v>
      </c>
      <c r="I32" s="1024" t="s">
        <v>2448</v>
      </c>
      <c r="J32" s="1024" t="s">
        <v>2448</v>
      </c>
      <c r="K32" s="1024">
        <f t="shared" si="0"/>
        <v>0</v>
      </c>
      <c r="L32" s="1025"/>
      <c r="P32" s="1026"/>
      <c r="Q32" s="1027"/>
      <c r="R32" s="1027"/>
      <c r="S32" s="1027"/>
      <c r="T32" s="1028"/>
      <c r="U32" s="1027"/>
      <c r="V32" s="1027"/>
      <c r="W32" s="1027"/>
      <c r="X32" s="1027"/>
      <c r="Y32" s="1027"/>
      <c r="Z32" s="1027"/>
      <c r="AA32" s="1027"/>
      <c r="AB32" s="1027"/>
      <c r="AC32" s="1027"/>
      <c r="AD32" s="1027"/>
      <c r="AE32" s="1029"/>
      <c r="AF32" s="1029"/>
      <c r="AG32" s="1030"/>
    </row>
    <row r="33" spans="1:33" hidden="1" x14ac:dyDescent="0.35">
      <c r="A33" s="1020"/>
      <c r="B33" s="1021" t="s">
        <v>2455</v>
      </c>
      <c r="C33" s="1022" t="s">
        <v>2448</v>
      </c>
      <c r="D33" s="2944" t="s">
        <v>2448</v>
      </c>
      <c r="E33" s="1024" t="s">
        <v>2448</v>
      </c>
      <c r="F33" s="1024" t="s">
        <v>2448</v>
      </c>
      <c r="G33" s="1024" t="s">
        <v>2448</v>
      </c>
      <c r="H33" s="1024" t="s">
        <v>2448</v>
      </c>
      <c r="I33" s="1024" t="s">
        <v>2448</v>
      </c>
      <c r="J33" s="1024" t="s">
        <v>2448</v>
      </c>
      <c r="K33" s="1024">
        <f t="shared" si="0"/>
        <v>0</v>
      </c>
      <c r="L33" s="1025"/>
      <c r="P33" s="1026"/>
      <c r="Q33" s="1027"/>
      <c r="R33" s="1027"/>
      <c r="S33" s="1027"/>
      <c r="T33" s="1028"/>
      <c r="U33" s="1027"/>
      <c r="V33" s="1027"/>
      <c r="W33" s="1027"/>
      <c r="X33" s="1027"/>
      <c r="Y33" s="1027"/>
      <c r="Z33" s="1027"/>
      <c r="AA33" s="1027"/>
      <c r="AB33" s="1027"/>
      <c r="AC33" s="1027"/>
      <c r="AD33" s="1027"/>
      <c r="AE33" s="1029"/>
      <c r="AF33" s="1029"/>
      <c r="AG33" s="1030"/>
    </row>
    <row r="34" spans="1:33" hidden="1" x14ac:dyDescent="0.35">
      <c r="A34" s="1020"/>
      <c r="B34" s="1021" t="s">
        <v>168</v>
      </c>
      <c r="C34" s="1022" t="s">
        <v>2448</v>
      </c>
      <c r="D34" s="2944" t="s">
        <v>2448</v>
      </c>
      <c r="E34" s="1024" t="s">
        <v>2448</v>
      </c>
      <c r="F34" s="1024" t="s">
        <v>2448</v>
      </c>
      <c r="G34" s="1024" t="s">
        <v>2448</v>
      </c>
      <c r="H34" s="1024" t="s">
        <v>2448</v>
      </c>
      <c r="I34" s="1024" t="s">
        <v>2448</v>
      </c>
      <c r="J34" s="1024" t="s">
        <v>2448</v>
      </c>
      <c r="K34" s="1024">
        <f t="shared" si="0"/>
        <v>0</v>
      </c>
      <c r="L34" s="1025"/>
      <c r="P34" s="1026"/>
      <c r="Q34" s="1027"/>
      <c r="R34" s="1027"/>
      <c r="S34" s="1027"/>
      <c r="T34" s="1028"/>
      <c r="U34" s="1027"/>
      <c r="V34" s="1027"/>
      <c r="W34" s="1027"/>
      <c r="X34" s="1027"/>
      <c r="Y34" s="1027"/>
      <c r="Z34" s="1027"/>
      <c r="AA34" s="1027"/>
      <c r="AB34" s="1027"/>
      <c r="AC34" s="1027"/>
      <c r="AD34" s="1027"/>
      <c r="AE34" s="1029"/>
      <c r="AF34" s="1029"/>
      <c r="AG34" s="1030"/>
    </row>
    <row r="35" spans="1:33" hidden="1" x14ac:dyDescent="0.35">
      <c r="A35" s="1020"/>
      <c r="B35" s="1021" t="s">
        <v>171</v>
      </c>
      <c r="C35" s="1022" t="s">
        <v>2448</v>
      </c>
      <c r="D35" s="1023" t="s">
        <v>2448</v>
      </c>
      <c r="E35" s="1024" t="s">
        <v>2448</v>
      </c>
      <c r="F35" s="1024" t="s">
        <v>2448</v>
      </c>
      <c r="G35" s="1024" t="s">
        <v>2448</v>
      </c>
      <c r="H35" s="1024" t="s">
        <v>2448</v>
      </c>
      <c r="I35" s="1024" t="s">
        <v>2448</v>
      </c>
      <c r="J35" s="1024" t="s">
        <v>2448</v>
      </c>
      <c r="K35" s="1024">
        <f t="shared" si="0"/>
        <v>0</v>
      </c>
      <c r="L35" s="1025"/>
      <c r="P35" s="1026"/>
      <c r="Q35" s="1027"/>
      <c r="R35" s="1027"/>
      <c r="S35" s="1027"/>
      <c r="T35" s="1028"/>
      <c r="U35" s="1027"/>
      <c r="V35" s="1027"/>
      <c r="W35" s="1027"/>
      <c r="X35" s="1027"/>
      <c r="Y35" s="1027"/>
      <c r="Z35" s="1027"/>
      <c r="AA35" s="1027"/>
      <c r="AB35" s="1027"/>
      <c r="AC35" s="1027"/>
      <c r="AD35" s="1027"/>
      <c r="AE35" s="1029"/>
      <c r="AF35" s="1029"/>
      <c r="AG35" s="1030"/>
    </row>
    <row r="36" spans="1:33" hidden="1" x14ac:dyDescent="0.35">
      <c r="A36" s="1020"/>
      <c r="B36" s="1021" t="s">
        <v>173</v>
      </c>
      <c r="C36" s="1022" t="s">
        <v>2448</v>
      </c>
      <c r="D36" s="1023" t="s">
        <v>2448</v>
      </c>
      <c r="E36" s="1024" t="s">
        <v>2448</v>
      </c>
      <c r="F36" s="1024" t="s">
        <v>2448</v>
      </c>
      <c r="G36" s="1024" t="s">
        <v>2448</v>
      </c>
      <c r="H36" s="1024" t="s">
        <v>2448</v>
      </c>
      <c r="I36" s="1024" t="s">
        <v>2448</v>
      </c>
      <c r="J36" s="1024" t="s">
        <v>2448</v>
      </c>
      <c r="K36" s="1024">
        <f t="shared" si="0"/>
        <v>0</v>
      </c>
      <c r="L36" s="1025"/>
      <c r="P36" s="1026"/>
      <c r="Q36" s="1027"/>
      <c r="R36" s="1027"/>
      <c r="S36" s="1027"/>
      <c r="T36" s="1028"/>
      <c r="U36" s="1027"/>
      <c r="V36" s="1027"/>
      <c r="W36" s="1027"/>
      <c r="X36" s="1027"/>
      <c r="Y36" s="1027"/>
      <c r="Z36" s="1027"/>
      <c r="AA36" s="1027"/>
      <c r="AB36" s="1027"/>
      <c r="AC36" s="1027"/>
      <c r="AD36" s="1027"/>
      <c r="AE36" s="1029"/>
      <c r="AF36" s="1029"/>
      <c r="AG36" s="1030"/>
    </row>
    <row r="37" spans="1:33" x14ac:dyDescent="0.35">
      <c r="A37" s="1020"/>
      <c r="B37" s="1031"/>
      <c r="C37" s="1022"/>
      <c r="D37" s="1023"/>
      <c r="E37" s="1032">
        <f t="shared" ref="E37:K37" si="1">SUM(E17:E36)</f>
        <v>16400000</v>
      </c>
      <c r="F37" s="1032">
        <f t="shared" si="1"/>
        <v>0</v>
      </c>
      <c r="G37" s="1032">
        <f t="shared" si="1"/>
        <v>30400000</v>
      </c>
      <c r="H37" s="1032">
        <f t="shared" si="1"/>
        <v>0</v>
      </c>
      <c r="I37" s="1032">
        <f t="shared" si="1"/>
        <v>0</v>
      </c>
      <c r="J37" s="1032">
        <f t="shared" si="1"/>
        <v>0</v>
      </c>
      <c r="K37" s="1032">
        <f t="shared" si="1"/>
        <v>46800000</v>
      </c>
      <c r="L37" s="1033" t="s">
        <v>2448</v>
      </c>
      <c r="P37" s="1026"/>
      <c r="Q37" s="1027"/>
      <c r="R37" s="1027"/>
      <c r="S37" s="1027"/>
      <c r="T37" s="1028"/>
      <c r="U37" s="1027"/>
      <c r="V37" s="1027"/>
      <c r="W37" s="1027"/>
      <c r="X37" s="1027"/>
      <c r="Y37" s="1027"/>
      <c r="Z37" s="1027"/>
      <c r="AA37" s="1027"/>
      <c r="AB37" s="1027"/>
      <c r="AC37" s="1027"/>
      <c r="AD37" s="1027"/>
      <c r="AE37" s="1029"/>
      <c r="AF37" s="1029"/>
      <c r="AG37" s="1030"/>
    </row>
    <row r="38" spans="1:33" x14ac:dyDescent="0.35">
      <c r="A38" s="1020"/>
      <c r="B38" s="1031"/>
      <c r="C38" s="1034" t="s">
        <v>7331</v>
      </c>
      <c r="D38" s="1023"/>
      <c r="E38" s="1035"/>
      <c r="F38" s="1035"/>
      <c r="G38" s="1035"/>
      <c r="H38" s="1035"/>
      <c r="I38" s="1035"/>
      <c r="J38" s="1035"/>
      <c r="K38" s="1035"/>
      <c r="L38" s="1038"/>
      <c r="P38" s="1026"/>
      <c r="Q38" s="1027"/>
      <c r="R38" s="1027"/>
      <c r="S38" s="1027"/>
      <c r="T38" s="1028"/>
      <c r="U38" s="1027"/>
      <c r="V38" s="1027"/>
      <c r="W38" s="1027"/>
      <c r="X38" s="1027"/>
      <c r="Y38" s="1027"/>
      <c r="Z38" s="1027"/>
      <c r="AA38" s="1027"/>
      <c r="AB38" s="1027"/>
      <c r="AC38" s="1027"/>
      <c r="AD38" s="1027"/>
      <c r="AE38" s="1029"/>
      <c r="AF38" s="1029"/>
      <c r="AG38" s="1030"/>
    </row>
    <row r="39" spans="1:33" x14ac:dyDescent="0.35">
      <c r="A39" s="1020"/>
      <c r="B39" s="1021" t="s">
        <v>2447</v>
      </c>
      <c r="C39" s="1022" t="s">
        <v>8015</v>
      </c>
      <c r="D39" s="2944" t="s">
        <v>7332</v>
      </c>
      <c r="E39" s="1024">
        <v>3400000</v>
      </c>
      <c r="F39" s="1024">
        <v>0</v>
      </c>
      <c r="G39" s="1024">
        <v>0</v>
      </c>
      <c r="H39" s="1024">
        <v>0</v>
      </c>
      <c r="I39" s="1024">
        <v>0</v>
      </c>
      <c r="J39" s="1024">
        <v>0</v>
      </c>
      <c r="K39" s="1024">
        <f t="shared" ref="K39:K58" si="2">SUM(E39:J39)</f>
        <v>3400000</v>
      </c>
      <c r="L39" s="1025"/>
      <c r="P39" s="1026"/>
      <c r="Q39" s="1027"/>
      <c r="R39" s="1027"/>
      <c r="S39" s="1027"/>
      <c r="T39" s="1028"/>
      <c r="U39" s="1027"/>
      <c r="V39" s="1027"/>
      <c r="W39" s="1027"/>
      <c r="X39" s="1027"/>
      <c r="Y39" s="1027"/>
      <c r="Z39" s="1027"/>
      <c r="AA39" s="1027"/>
      <c r="AB39" s="1027"/>
      <c r="AC39" s="1027"/>
      <c r="AD39" s="1027"/>
      <c r="AE39" s="1029"/>
      <c r="AF39" s="1029"/>
      <c r="AG39" s="1030"/>
    </row>
    <row r="40" spans="1:33" x14ac:dyDescent="0.35">
      <c r="A40" s="1020"/>
      <c r="B40" s="1021" t="s">
        <v>23</v>
      </c>
      <c r="C40" s="1022" t="s">
        <v>8065</v>
      </c>
      <c r="D40" s="2944" t="s">
        <v>7332</v>
      </c>
      <c r="E40" s="1024">
        <v>4200000</v>
      </c>
      <c r="F40" s="1024">
        <v>0</v>
      </c>
      <c r="G40" s="1024">
        <v>0</v>
      </c>
      <c r="H40" s="1024">
        <v>0</v>
      </c>
      <c r="I40" s="1024">
        <v>0</v>
      </c>
      <c r="J40" s="1024">
        <v>0</v>
      </c>
      <c r="K40" s="1024">
        <f t="shared" si="2"/>
        <v>4200000</v>
      </c>
      <c r="L40" s="1025"/>
      <c r="P40" s="1026"/>
      <c r="Q40" s="1027"/>
      <c r="R40" s="1027"/>
      <c r="S40" s="1027"/>
      <c r="T40" s="1028"/>
      <c r="U40" s="1027"/>
      <c r="V40" s="1027"/>
      <c r="W40" s="1027"/>
      <c r="X40" s="1027"/>
      <c r="Y40" s="1027"/>
      <c r="Z40" s="1027"/>
      <c r="AA40" s="1027"/>
      <c r="AB40" s="1027"/>
      <c r="AC40" s="1027"/>
      <c r="AD40" s="1027"/>
      <c r="AE40" s="1029"/>
      <c r="AF40" s="1029"/>
      <c r="AG40" s="1030"/>
    </row>
    <row r="41" spans="1:33" x14ac:dyDescent="0.35">
      <c r="A41" s="1020"/>
      <c r="B41" s="1021" t="s">
        <v>27</v>
      </c>
      <c r="C41" s="1022" t="s">
        <v>7762</v>
      </c>
      <c r="D41" s="2944" t="s">
        <v>7332</v>
      </c>
      <c r="E41" s="1024">
        <v>0</v>
      </c>
      <c r="F41" s="1024">
        <v>0</v>
      </c>
      <c r="G41" s="1024">
        <v>0</v>
      </c>
      <c r="H41" s="1024">
        <v>0</v>
      </c>
      <c r="I41" s="1024">
        <v>2166000</v>
      </c>
      <c r="J41" s="1024">
        <v>0</v>
      </c>
      <c r="K41" s="1024">
        <f t="shared" si="2"/>
        <v>2166000</v>
      </c>
      <c r="L41" s="1025"/>
      <c r="P41" s="1026"/>
      <c r="Q41" s="1027"/>
      <c r="R41" s="1027"/>
      <c r="S41" s="1027"/>
      <c r="T41" s="1028"/>
      <c r="U41" s="1027"/>
      <c r="V41" s="1027"/>
      <c r="W41" s="1027"/>
      <c r="X41" s="1027"/>
      <c r="Y41" s="1027"/>
      <c r="Z41" s="1027"/>
      <c r="AA41" s="1027"/>
      <c r="AB41" s="1027"/>
      <c r="AC41" s="1027"/>
      <c r="AD41" s="1027"/>
      <c r="AE41" s="1029"/>
      <c r="AF41" s="1029"/>
      <c r="AG41" s="1030"/>
    </row>
    <row r="42" spans="1:33" x14ac:dyDescent="0.35">
      <c r="A42" s="1020"/>
      <c r="B42" s="1021" t="s">
        <v>31</v>
      </c>
      <c r="C42" s="1022" t="s">
        <v>7763</v>
      </c>
      <c r="D42" s="2944" t="s">
        <v>7332</v>
      </c>
      <c r="E42" s="1024">
        <v>600000</v>
      </c>
      <c r="F42" s="1024">
        <v>0</v>
      </c>
      <c r="G42" s="1024">
        <v>0</v>
      </c>
      <c r="H42" s="1024">
        <v>0</v>
      </c>
      <c r="I42" s="1024">
        <v>0</v>
      </c>
      <c r="J42" s="1024">
        <v>0</v>
      </c>
      <c r="K42" s="1024">
        <f t="shared" si="2"/>
        <v>600000</v>
      </c>
      <c r="L42" s="1025"/>
      <c r="P42" s="1026"/>
      <c r="Q42" s="1027"/>
      <c r="R42" s="1027"/>
      <c r="S42" s="1027"/>
      <c r="T42" s="1028"/>
      <c r="U42" s="1027"/>
      <c r="V42" s="1027"/>
      <c r="W42" s="1027"/>
      <c r="X42" s="1027"/>
      <c r="Y42" s="1027"/>
      <c r="Z42" s="1027"/>
      <c r="AA42" s="1027"/>
      <c r="AB42" s="1027"/>
      <c r="AC42" s="1027"/>
      <c r="AD42" s="1027"/>
      <c r="AE42" s="1029"/>
      <c r="AF42" s="1029"/>
      <c r="AG42" s="1030"/>
    </row>
    <row r="43" spans="1:33" x14ac:dyDescent="0.35">
      <c r="A43" s="1020"/>
      <c r="B43" s="1021" t="s">
        <v>36</v>
      </c>
      <c r="C43" s="1022" t="s">
        <v>7374</v>
      </c>
      <c r="D43" s="2944" t="s">
        <v>7332</v>
      </c>
      <c r="E43" s="1024">
        <v>14450000</v>
      </c>
      <c r="F43" s="1024">
        <v>0</v>
      </c>
      <c r="G43" s="1024">
        <v>11300000</v>
      </c>
      <c r="H43" s="1024">
        <v>0</v>
      </c>
      <c r="I43" s="1024">
        <v>1416000</v>
      </c>
      <c r="J43" s="1024">
        <v>0</v>
      </c>
      <c r="K43" s="1024">
        <f t="shared" si="2"/>
        <v>27166000</v>
      </c>
      <c r="L43" s="1025"/>
      <c r="P43" s="1026"/>
      <c r="Q43" s="1027"/>
      <c r="R43" s="1027"/>
      <c r="S43" s="1027"/>
      <c r="T43" s="1028"/>
      <c r="U43" s="1027"/>
      <c r="V43" s="1027"/>
      <c r="W43" s="1027"/>
      <c r="X43" s="1027"/>
      <c r="Y43" s="1027"/>
      <c r="Z43" s="1027"/>
      <c r="AA43" s="1027"/>
      <c r="AB43" s="1027"/>
      <c r="AC43" s="1027"/>
      <c r="AD43" s="1027"/>
      <c r="AE43" s="1029"/>
      <c r="AF43" s="1029"/>
      <c r="AG43" s="1030"/>
    </row>
    <row r="44" spans="1:33" x14ac:dyDescent="0.35">
      <c r="A44" s="1020"/>
      <c r="B44" s="1021" t="s">
        <v>2449</v>
      </c>
      <c r="C44" s="1022" t="s">
        <v>7764</v>
      </c>
      <c r="D44" s="2944" t="s">
        <v>7332</v>
      </c>
      <c r="E44" s="1024">
        <v>3700000</v>
      </c>
      <c r="F44" s="1024">
        <v>0</v>
      </c>
      <c r="G44" s="1024">
        <v>0</v>
      </c>
      <c r="H44" s="1024">
        <v>0</v>
      </c>
      <c r="I44" s="1024">
        <v>100000</v>
      </c>
      <c r="J44" s="1024">
        <v>0</v>
      </c>
      <c r="K44" s="1024">
        <f t="shared" si="2"/>
        <v>3800000</v>
      </c>
      <c r="L44" s="1025"/>
      <c r="P44" s="1026"/>
      <c r="Q44" s="1027"/>
      <c r="R44" s="1027"/>
      <c r="S44" s="1027"/>
      <c r="T44" s="1028"/>
      <c r="U44" s="1027"/>
      <c r="V44" s="1027"/>
      <c r="W44" s="1027"/>
      <c r="X44" s="1027"/>
      <c r="Y44" s="1027"/>
      <c r="Z44" s="1027"/>
      <c r="AA44" s="1027"/>
      <c r="AB44" s="1027"/>
      <c r="AC44" s="1027"/>
      <c r="AD44" s="1027"/>
      <c r="AE44" s="1029"/>
      <c r="AF44" s="1029"/>
      <c r="AG44" s="1030"/>
    </row>
    <row r="45" spans="1:33" x14ac:dyDescent="0.35">
      <c r="A45" s="1020"/>
      <c r="B45" s="1021" t="s">
        <v>759</v>
      </c>
      <c r="C45" s="1022" t="s">
        <v>7810</v>
      </c>
      <c r="D45" s="2944" t="s">
        <v>7332</v>
      </c>
      <c r="E45" s="1024">
        <v>5100000</v>
      </c>
      <c r="F45" s="1024">
        <v>0</v>
      </c>
      <c r="G45" s="1024">
        <v>0</v>
      </c>
      <c r="H45" s="1024">
        <v>0</v>
      </c>
      <c r="I45" s="1024">
        <v>0</v>
      </c>
      <c r="J45" s="1024">
        <v>0</v>
      </c>
      <c r="K45" s="1024">
        <f t="shared" si="2"/>
        <v>5100000</v>
      </c>
      <c r="L45" s="1025"/>
      <c r="P45" s="1026"/>
      <c r="Q45" s="1027"/>
      <c r="R45" s="1027"/>
      <c r="S45" s="1027"/>
      <c r="T45" s="1028"/>
      <c r="U45" s="1027"/>
      <c r="V45" s="1027"/>
      <c r="W45" s="1027"/>
      <c r="X45" s="1027"/>
      <c r="Y45" s="1027"/>
      <c r="Z45" s="1027"/>
      <c r="AA45" s="1027"/>
      <c r="AB45" s="1027"/>
      <c r="AC45" s="1027"/>
      <c r="AD45" s="1027"/>
      <c r="AE45" s="1029"/>
      <c r="AF45" s="1029"/>
      <c r="AG45" s="1030"/>
    </row>
    <row r="46" spans="1:33" x14ac:dyDescent="0.35">
      <c r="A46" s="1020"/>
      <c r="B46" s="1021" t="s">
        <v>701</v>
      </c>
      <c r="C46" s="1022" t="s">
        <v>7683</v>
      </c>
      <c r="D46" s="2944" t="s">
        <v>7332</v>
      </c>
      <c r="E46" s="1024">
        <v>12347000</v>
      </c>
      <c r="F46" s="1024">
        <v>0</v>
      </c>
      <c r="G46" s="1024">
        <v>0</v>
      </c>
      <c r="H46" s="1024">
        <v>0</v>
      </c>
      <c r="I46" s="1024">
        <v>2166000</v>
      </c>
      <c r="J46" s="1024">
        <v>0</v>
      </c>
      <c r="K46" s="1024">
        <f t="shared" si="2"/>
        <v>14513000</v>
      </c>
      <c r="L46" s="1025"/>
      <c r="P46" s="1026"/>
      <c r="Q46" s="1027"/>
      <c r="R46" s="1027"/>
      <c r="S46" s="1027"/>
      <c r="T46" s="1028"/>
      <c r="U46" s="1027"/>
      <c r="V46" s="1027"/>
      <c r="W46" s="1027"/>
      <c r="X46" s="1027"/>
      <c r="Y46" s="1027"/>
      <c r="Z46" s="1027"/>
      <c r="AA46" s="1027"/>
      <c r="AB46" s="1027"/>
      <c r="AC46" s="1027"/>
      <c r="AD46" s="1027"/>
      <c r="AE46" s="1029"/>
      <c r="AF46" s="1029"/>
      <c r="AG46" s="1030"/>
    </row>
    <row r="47" spans="1:33" x14ac:dyDescent="0.35">
      <c r="A47" s="1020"/>
      <c r="B47" s="1021" t="s">
        <v>1027</v>
      </c>
      <c r="C47" s="1022" t="s">
        <v>7619</v>
      </c>
      <c r="D47" s="2944" t="s">
        <v>7332</v>
      </c>
      <c r="E47" s="1024">
        <v>17266000</v>
      </c>
      <c r="F47" s="1024">
        <v>0</v>
      </c>
      <c r="G47" s="1024">
        <v>0</v>
      </c>
      <c r="H47" s="1024">
        <v>0</v>
      </c>
      <c r="I47" s="1024">
        <v>0</v>
      </c>
      <c r="J47" s="1024">
        <v>0</v>
      </c>
      <c r="K47" s="1024">
        <f t="shared" si="2"/>
        <v>17266000</v>
      </c>
      <c r="L47" s="1025"/>
      <c r="P47" s="1026"/>
      <c r="Q47" s="1027"/>
      <c r="R47" s="1027"/>
      <c r="S47" s="1027"/>
      <c r="T47" s="1028"/>
      <c r="U47" s="1027"/>
      <c r="V47" s="1027"/>
      <c r="W47" s="1027"/>
      <c r="X47" s="1027"/>
      <c r="Y47" s="1027"/>
      <c r="Z47" s="1027"/>
      <c r="AA47" s="1027"/>
      <c r="AB47" s="1027"/>
      <c r="AC47" s="1027"/>
      <c r="AD47" s="1027"/>
      <c r="AE47" s="1029"/>
      <c r="AF47" s="1029"/>
      <c r="AG47" s="1030"/>
    </row>
    <row r="48" spans="1:33" x14ac:dyDescent="0.35">
      <c r="A48" s="1020"/>
      <c r="B48" s="1021" t="s">
        <v>762</v>
      </c>
      <c r="C48" s="1022" t="s">
        <v>7375</v>
      </c>
      <c r="D48" s="2944" t="s">
        <v>7332</v>
      </c>
      <c r="E48" s="1024">
        <v>25700000</v>
      </c>
      <c r="F48" s="1024">
        <v>0</v>
      </c>
      <c r="G48" s="1024">
        <v>8750000</v>
      </c>
      <c r="H48" s="1024">
        <v>0</v>
      </c>
      <c r="I48" s="1024">
        <v>2166000</v>
      </c>
      <c r="J48" s="1024">
        <v>0</v>
      </c>
      <c r="K48" s="1024">
        <f t="shared" si="2"/>
        <v>36616000</v>
      </c>
      <c r="L48" s="1025"/>
      <c r="P48" s="1026"/>
      <c r="Q48" s="1027"/>
      <c r="R48" s="1027"/>
      <c r="S48" s="1027"/>
      <c r="T48" s="1028"/>
      <c r="U48" s="1027"/>
      <c r="V48" s="1027"/>
      <c r="W48" s="1027"/>
      <c r="X48" s="1027"/>
      <c r="Y48" s="1027"/>
      <c r="Z48" s="1027"/>
      <c r="AA48" s="1027"/>
      <c r="AB48" s="1027"/>
      <c r="AC48" s="1027"/>
      <c r="AD48" s="1027"/>
      <c r="AE48" s="1029"/>
      <c r="AF48" s="1029"/>
      <c r="AG48" s="1030"/>
    </row>
    <row r="49" spans="1:33" x14ac:dyDescent="0.35">
      <c r="A49" s="1020"/>
      <c r="B49" s="1021" t="s">
        <v>874</v>
      </c>
      <c r="C49" s="1022" t="s">
        <v>8175</v>
      </c>
      <c r="D49" s="2944" t="s">
        <v>7332</v>
      </c>
      <c r="E49" s="1024">
        <v>1700000</v>
      </c>
      <c r="F49" s="1024">
        <v>0</v>
      </c>
      <c r="G49" s="1024">
        <v>0</v>
      </c>
      <c r="H49" s="1024">
        <v>0</v>
      </c>
      <c r="I49" s="1024">
        <v>0</v>
      </c>
      <c r="J49" s="1024">
        <v>0</v>
      </c>
      <c r="K49" s="1024">
        <f t="shared" si="2"/>
        <v>1700000</v>
      </c>
      <c r="L49" s="1025"/>
      <c r="P49" s="1026"/>
      <c r="Q49" s="1027"/>
      <c r="R49" s="1027"/>
      <c r="S49" s="1027"/>
      <c r="T49" s="1028"/>
      <c r="U49" s="1027"/>
      <c r="V49" s="1027"/>
      <c r="W49" s="1027"/>
      <c r="X49" s="1027"/>
      <c r="Y49" s="1027"/>
      <c r="Z49" s="1027"/>
      <c r="AA49" s="1027"/>
      <c r="AB49" s="1027"/>
      <c r="AC49" s="1027"/>
      <c r="AD49" s="1027"/>
      <c r="AE49" s="1029"/>
      <c r="AF49" s="1029"/>
      <c r="AG49" s="1030"/>
    </row>
    <row r="50" spans="1:33" x14ac:dyDescent="0.35">
      <c r="A50" s="1020"/>
      <c r="B50" s="1021" t="s">
        <v>2450</v>
      </c>
      <c r="C50" s="1022" t="s">
        <v>7376</v>
      </c>
      <c r="D50" s="2944" t="s">
        <v>7332</v>
      </c>
      <c r="E50" s="1024">
        <v>7700000</v>
      </c>
      <c r="F50" s="1024">
        <v>0</v>
      </c>
      <c r="G50" s="1024">
        <v>5000000</v>
      </c>
      <c r="H50" s="1024">
        <v>0</v>
      </c>
      <c r="I50" s="1024">
        <v>2166000</v>
      </c>
      <c r="J50" s="1024">
        <v>0</v>
      </c>
      <c r="K50" s="1024">
        <f t="shared" si="2"/>
        <v>14866000</v>
      </c>
      <c r="L50" s="1025"/>
      <c r="P50" s="1026"/>
      <c r="Q50" s="1027"/>
      <c r="R50" s="1027"/>
      <c r="S50" s="1027"/>
      <c r="T50" s="1028"/>
      <c r="U50" s="1027"/>
      <c r="V50" s="1027"/>
      <c r="W50" s="1027"/>
      <c r="X50" s="1027"/>
      <c r="Y50" s="1027"/>
      <c r="Z50" s="1027"/>
      <c r="AA50" s="1027"/>
      <c r="AB50" s="1027"/>
      <c r="AC50" s="1027"/>
      <c r="AD50" s="1027"/>
      <c r="AE50" s="1029"/>
      <c r="AF50" s="1029"/>
      <c r="AG50" s="1030"/>
    </row>
    <row r="51" spans="1:33" x14ac:dyDescent="0.35">
      <c r="A51" s="1020"/>
      <c r="B51" s="1021" t="s">
        <v>2451</v>
      </c>
      <c r="C51" s="1022" t="s">
        <v>7765</v>
      </c>
      <c r="D51" s="2944" t="s">
        <v>7332</v>
      </c>
      <c r="E51" s="1024">
        <v>10200000</v>
      </c>
      <c r="F51" s="1024">
        <v>0</v>
      </c>
      <c r="G51" s="1024">
        <v>0</v>
      </c>
      <c r="H51" s="1024">
        <v>0</v>
      </c>
      <c r="I51" s="1024">
        <v>0</v>
      </c>
      <c r="J51" s="1024">
        <v>0</v>
      </c>
      <c r="K51" s="1024">
        <f t="shared" si="2"/>
        <v>10200000</v>
      </c>
      <c r="L51" s="1025"/>
      <c r="P51" s="1026"/>
      <c r="Q51" s="1027"/>
      <c r="R51" s="1027"/>
      <c r="S51" s="1027"/>
      <c r="T51" s="1028"/>
      <c r="U51" s="1027"/>
      <c r="V51" s="1027"/>
      <c r="W51" s="1027"/>
      <c r="X51" s="1027"/>
      <c r="Y51" s="1027"/>
      <c r="Z51" s="1027"/>
      <c r="AA51" s="1027"/>
      <c r="AB51" s="1027"/>
      <c r="AC51" s="1027"/>
      <c r="AD51" s="1027"/>
      <c r="AE51" s="1029"/>
      <c r="AF51" s="1029"/>
      <c r="AG51" s="1030"/>
    </row>
    <row r="52" spans="1:33" x14ac:dyDescent="0.35">
      <c r="A52" s="1020"/>
      <c r="B52" s="1021" t="s">
        <v>2452</v>
      </c>
      <c r="C52" s="1022" t="s">
        <v>7377</v>
      </c>
      <c r="D52" s="2944" t="s">
        <v>7332</v>
      </c>
      <c r="E52" s="1024">
        <v>3400000</v>
      </c>
      <c r="F52" s="1024">
        <v>0</v>
      </c>
      <c r="G52" s="1024">
        <v>11000000</v>
      </c>
      <c r="H52" s="1024">
        <v>0</v>
      </c>
      <c r="I52" s="1024">
        <v>166000</v>
      </c>
      <c r="J52" s="1024">
        <v>0</v>
      </c>
      <c r="K52" s="1024">
        <f t="shared" si="2"/>
        <v>14566000</v>
      </c>
      <c r="L52" s="1025"/>
      <c r="P52" s="1026"/>
      <c r="Q52" s="1027"/>
      <c r="R52" s="1027"/>
      <c r="S52" s="1027"/>
      <c r="T52" s="1028"/>
      <c r="U52" s="1027"/>
      <c r="V52" s="1027"/>
      <c r="W52" s="1027"/>
      <c r="X52" s="1027"/>
      <c r="Y52" s="1027"/>
      <c r="Z52" s="1027"/>
      <c r="AA52" s="1027"/>
      <c r="AB52" s="1027"/>
      <c r="AC52" s="1027"/>
      <c r="AD52" s="1027"/>
      <c r="AE52" s="1029"/>
      <c r="AF52" s="1029"/>
      <c r="AG52" s="1030"/>
    </row>
    <row r="53" spans="1:33" x14ac:dyDescent="0.35">
      <c r="A53" s="1020"/>
      <c r="B53" s="1021" t="s">
        <v>2453</v>
      </c>
      <c r="C53" s="1022" t="s">
        <v>8081</v>
      </c>
      <c r="D53" s="2944" t="s">
        <v>7332</v>
      </c>
      <c r="E53" s="1024">
        <v>1700000</v>
      </c>
      <c r="F53" s="1024">
        <v>0</v>
      </c>
      <c r="G53" s="1024">
        <v>0</v>
      </c>
      <c r="H53" s="1024">
        <v>0</v>
      </c>
      <c r="I53" s="1024">
        <v>0</v>
      </c>
      <c r="J53" s="1024">
        <v>0</v>
      </c>
      <c r="K53" s="1024">
        <f t="shared" si="2"/>
        <v>1700000</v>
      </c>
      <c r="L53" s="1025"/>
      <c r="P53" s="1026"/>
      <c r="Q53" s="1027"/>
      <c r="R53" s="1027"/>
      <c r="S53" s="1027"/>
      <c r="T53" s="1028"/>
      <c r="U53" s="1027"/>
      <c r="V53" s="1027"/>
      <c r="W53" s="1027"/>
      <c r="X53" s="1027"/>
      <c r="Y53" s="1027"/>
      <c r="Z53" s="1027"/>
      <c r="AA53" s="1027"/>
      <c r="AB53" s="1027"/>
      <c r="AC53" s="1027"/>
      <c r="AD53" s="1027"/>
      <c r="AE53" s="1029"/>
      <c r="AF53" s="1029"/>
      <c r="AG53" s="1030"/>
    </row>
    <row r="54" spans="1:33" hidden="1" x14ac:dyDescent="0.35">
      <c r="A54" s="1020"/>
      <c r="B54" s="1021" t="s">
        <v>2454</v>
      </c>
      <c r="C54" s="1022"/>
      <c r="D54" s="2944"/>
      <c r="E54" s="1024"/>
      <c r="F54" s="1024"/>
      <c r="G54" s="1024"/>
      <c r="H54" s="1024"/>
      <c r="I54" s="1024"/>
      <c r="J54" s="1024"/>
      <c r="K54" s="1024">
        <f t="shared" si="2"/>
        <v>0</v>
      </c>
      <c r="L54" s="1025"/>
      <c r="P54" s="1026"/>
      <c r="Q54" s="1027"/>
      <c r="R54" s="1027"/>
      <c r="S54" s="1027"/>
      <c r="T54" s="1028"/>
      <c r="U54" s="1027"/>
      <c r="V54" s="1027"/>
      <c r="W54" s="1027"/>
      <c r="X54" s="1027"/>
      <c r="Y54" s="1027"/>
      <c r="Z54" s="1027"/>
      <c r="AA54" s="1027"/>
      <c r="AB54" s="1027"/>
      <c r="AC54" s="1027"/>
      <c r="AD54" s="1027"/>
      <c r="AE54" s="1029"/>
      <c r="AF54" s="1029"/>
      <c r="AG54" s="1030"/>
    </row>
    <row r="55" spans="1:33" hidden="1" x14ac:dyDescent="0.35">
      <c r="A55" s="1020"/>
      <c r="B55" s="1021" t="s">
        <v>2455</v>
      </c>
      <c r="C55" s="1022"/>
      <c r="D55" s="2944"/>
      <c r="E55" s="1024"/>
      <c r="F55" s="1024"/>
      <c r="G55" s="1024"/>
      <c r="H55" s="1024"/>
      <c r="I55" s="1024"/>
      <c r="J55" s="1024"/>
      <c r="K55" s="1024">
        <f t="shared" si="2"/>
        <v>0</v>
      </c>
      <c r="L55" s="1025"/>
      <c r="P55" s="1026"/>
      <c r="Q55" s="1027"/>
      <c r="R55" s="1027"/>
      <c r="S55" s="1027"/>
      <c r="T55" s="1028"/>
      <c r="U55" s="1027"/>
      <c r="V55" s="1027"/>
      <c r="W55" s="1027"/>
      <c r="X55" s="1027"/>
      <c r="Y55" s="1027"/>
      <c r="Z55" s="1027"/>
      <c r="AA55" s="1027"/>
      <c r="AB55" s="1027"/>
      <c r="AC55" s="1027"/>
      <c r="AD55" s="1027"/>
      <c r="AE55" s="1029"/>
      <c r="AF55" s="1029"/>
      <c r="AG55" s="1030"/>
    </row>
    <row r="56" spans="1:33" hidden="1" x14ac:dyDescent="0.35">
      <c r="A56" s="1020"/>
      <c r="B56" s="1021" t="s">
        <v>168</v>
      </c>
      <c r="C56" s="1022"/>
      <c r="D56" s="2944"/>
      <c r="E56" s="1024"/>
      <c r="F56" s="1024"/>
      <c r="G56" s="1024"/>
      <c r="H56" s="1024"/>
      <c r="I56" s="1024"/>
      <c r="J56" s="1024"/>
      <c r="K56" s="1024">
        <f t="shared" si="2"/>
        <v>0</v>
      </c>
      <c r="L56" s="1025"/>
      <c r="P56" s="1026"/>
      <c r="Q56" s="1027"/>
      <c r="R56" s="1027"/>
      <c r="S56" s="1027"/>
      <c r="T56" s="1028"/>
      <c r="U56" s="1027"/>
      <c r="V56" s="1027"/>
      <c r="W56" s="1027"/>
      <c r="X56" s="1027"/>
      <c r="Y56" s="1027"/>
      <c r="Z56" s="1027"/>
      <c r="AA56" s="1027"/>
      <c r="AB56" s="1027"/>
      <c r="AC56" s="1027"/>
      <c r="AD56" s="1027"/>
      <c r="AE56" s="1029"/>
      <c r="AF56" s="1029"/>
      <c r="AG56" s="1030"/>
    </row>
    <row r="57" spans="1:33" hidden="1" x14ac:dyDescent="0.35">
      <c r="A57" s="1020"/>
      <c r="B57" s="1021" t="s">
        <v>171</v>
      </c>
      <c r="C57" s="1022"/>
      <c r="D57" s="2944"/>
      <c r="E57" s="1024"/>
      <c r="F57" s="1024"/>
      <c r="G57" s="1024"/>
      <c r="H57" s="1024"/>
      <c r="I57" s="1024"/>
      <c r="J57" s="1024"/>
      <c r="K57" s="1024">
        <f t="shared" si="2"/>
        <v>0</v>
      </c>
      <c r="L57" s="1025"/>
      <c r="P57" s="1026"/>
      <c r="Q57" s="1027"/>
      <c r="R57" s="1027"/>
      <c r="S57" s="1027"/>
      <c r="T57" s="1028"/>
      <c r="U57" s="1027"/>
      <c r="V57" s="1027"/>
      <c r="W57" s="1027"/>
      <c r="X57" s="1027"/>
      <c r="Y57" s="1027"/>
      <c r="Z57" s="1027"/>
      <c r="AA57" s="1027"/>
      <c r="AB57" s="1027"/>
      <c r="AC57" s="1027"/>
      <c r="AD57" s="1027"/>
      <c r="AE57" s="1029"/>
      <c r="AF57" s="1029"/>
      <c r="AG57" s="1030"/>
    </row>
    <row r="58" spans="1:33" hidden="1" x14ac:dyDescent="0.35">
      <c r="A58" s="1020"/>
      <c r="B58" s="1021" t="s">
        <v>173</v>
      </c>
      <c r="C58" s="1022"/>
      <c r="D58" s="2944"/>
      <c r="E58" s="1024"/>
      <c r="F58" s="1024"/>
      <c r="G58" s="1024"/>
      <c r="H58" s="1024"/>
      <c r="I58" s="1024"/>
      <c r="J58" s="1024"/>
      <c r="K58" s="1024">
        <f t="shared" si="2"/>
        <v>0</v>
      </c>
      <c r="L58" s="1025"/>
      <c r="P58" s="1026"/>
      <c r="Q58" s="1027"/>
      <c r="R58" s="1027"/>
      <c r="S58" s="1027"/>
      <c r="T58" s="1028"/>
      <c r="U58" s="1027"/>
      <c r="V58" s="1027"/>
      <c r="W58" s="1027"/>
      <c r="X58" s="1027"/>
      <c r="Y58" s="1027"/>
      <c r="Z58" s="1027"/>
      <c r="AA58" s="1027"/>
      <c r="AB58" s="1027"/>
      <c r="AC58" s="1027"/>
      <c r="AD58" s="1027"/>
      <c r="AE58" s="1029"/>
      <c r="AF58" s="1029"/>
      <c r="AG58" s="1030"/>
    </row>
    <row r="59" spans="1:33" x14ac:dyDescent="0.35">
      <c r="A59" s="1020"/>
      <c r="B59" s="1031"/>
      <c r="C59" s="1022"/>
      <c r="D59" s="1023"/>
      <c r="E59" s="1032">
        <f t="shared" ref="E59:K59" si="3">SUM(E39:E58)</f>
        <v>111463000</v>
      </c>
      <c r="F59" s="1032">
        <f t="shared" si="3"/>
        <v>0</v>
      </c>
      <c r="G59" s="1032">
        <f t="shared" si="3"/>
        <v>36050000</v>
      </c>
      <c r="H59" s="1032">
        <f t="shared" si="3"/>
        <v>0</v>
      </c>
      <c r="I59" s="1032">
        <f t="shared" si="3"/>
        <v>10346000</v>
      </c>
      <c r="J59" s="1032">
        <f t="shared" si="3"/>
        <v>0</v>
      </c>
      <c r="K59" s="1032">
        <f t="shared" si="3"/>
        <v>157859000</v>
      </c>
      <c r="L59" s="1033">
        <v>0</v>
      </c>
      <c r="P59" s="1026"/>
      <c r="Q59" s="1027"/>
      <c r="R59" s="1027"/>
      <c r="S59" s="1027"/>
      <c r="T59" s="1028"/>
      <c r="U59" s="1027"/>
      <c r="V59" s="1027"/>
      <c r="W59" s="1027"/>
      <c r="X59" s="1027"/>
      <c r="Y59" s="1027"/>
      <c r="Z59" s="1027"/>
      <c r="AA59" s="1027"/>
      <c r="AB59" s="1027"/>
      <c r="AC59" s="1027"/>
      <c r="AD59" s="1027"/>
      <c r="AE59" s="1029"/>
      <c r="AF59" s="1029"/>
      <c r="AG59" s="1030"/>
    </row>
    <row r="60" spans="1:33" x14ac:dyDescent="0.35">
      <c r="A60" s="1020"/>
      <c r="B60" s="1031"/>
      <c r="C60" s="1034" t="s">
        <v>7333</v>
      </c>
      <c r="D60" s="1023"/>
      <c r="E60" s="1035"/>
      <c r="F60" s="1035"/>
      <c r="G60" s="1035"/>
      <c r="H60" s="1035"/>
      <c r="I60" s="1035"/>
      <c r="J60" s="1035"/>
      <c r="K60" s="1035"/>
      <c r="L60" s="1038"/>
      <c r="P60" s="1026"/>
      <c r="Q60" s="1027"/>
      <c r="R60" s="1027"/>
      <c r="S60" s="1027"/>
      <c r="T60" s="1028"/>
      <c r="U60" s="1027"/>
      <c r="V60" s="1027"/>
      <c r="W60" s="1027"/>
      <c r="X60" s="1027"/>
      <c r="Y60" s="1027"/>
      <c r="Z60" s="1027"/>
      <c r="AA60" s="1027"/>
      <c r="AB60" s="1027"/>
      <c r="AC60" s="1027"/>
      <c r="AD60" s="1027"/>
      <c r="AE60" s="1029"/>
      <c r="AF60" s="1029"/>
      <c r="AG60" s="1030"/>
    </row>
    <row r="61" spans="1:33" x14ac:dyDescent="0.35">
      <c r="A61" s="1020"/>
      <c r="B61" s="1021" t="s">
        <v>2447</v>
      </c>
      <c r="C61" s="1022" t="s">
        <v>7378</v>
      </c>
      <c r="D61" s="2944" t="s">
        <v>7334</v>
      </c>
      <c r="E61" s="1024">
        <v>4300000</v>
      </c>
      <c r="F61" s="1024">
        <v>0</v>
      </c>
      <c r="G61" s="1024">
        <v>0</v>
      </c>
      <c r="H61" s="1024">
        <v>0</v>
      </c>
      <c r="I61" s="1024">
        <v>2490000</v>
      </c>
      <c r="J61" s="1024">
        <v>0</v>
      </c>
      <c r="K61" s="1024">
        <f>SUM(E61:J61)</f>
        <v>6790000</v>
      </c>
      <c r="L61" s="1025"/>
      <c r="P61" s="1026"/>
      <c r="Q61" s="1027"/>
      <c r="R61" s="1027"/>
      <c r="S61" s="1027"/>
      <c r="T61" s="1028"/>
      <c r="U61" s="1027"/>
      <c r="V61" s="1027"/>
      <c r="W61" s="1027"/>
      <c r="X61" s="1027"/>
      <c r="Y61" s="1027"/>
      <c r="Z61" s="1027"/>
      <c r="AA61" s="1027"/>
      <c r="AB61" s="1027"/>
      <c r="AC61" s="1027"/>
      <c r="AD61" s="1027"/>
      <c r="AE61" s="1029"/>
      <c r="AF61" s="1029"/>
      <c r="AG61" s="1030"/>
    </row>
    <row r="62" spans="1:33" x14ac:dyDescent="0.35">
      <c r="A62" s="1020"/>
      <c r="B62" s="1021" t="s">
        <v>23</v>
      </c>
      <c r="C62" s="1022" t="s">
        <v>8130</v>
      </c>
      <c r="D62" s="2944" t="s">
        <v>7334</v>
      </c>
      <c r="E62" s="1024">
        <v>5100000</v>
      </c>
      <c r="F62" s="1024">
        <v>0</v>
      </c>
      <c r="G62" s="1024">
        <v>0</v>
      </c>
      <c r="H62" s="1024">
        <v>0</v>
      </c>
      <c r="I62" s="1024">
        <v>0</v>
      </c>
      <c r="J62" s="1024">
        <v>0</v>
      </c>
      <c r="K62" s="1024">
        <f t="shared" ref="K62:K80" si="4">SUM(E62:J62)</f>
        <v>5100000</v>
      </c>
      <c r="L62" s="1025"/>
      <c r="P62" s="1026"/>
      <c r="Q62" s="1027"/>
      <c r="R62" s="1027"/>
      <c r="S62" s="1027"/>
      <c r="T62" s="1028"/>
      <c r="U62" s="1027"/>
      <c r="V62" s="1027"/>
      <c r="W62" s="1027"/>
      <c r="X62" s="1027"/>
      <c r="Y62" s="1027"/>
      <c r="Z62" s="1027"/>
      <c r="AA62" s="1027"/>
      <c r="AB62" s="1027"/>
      <c r="AC62" s="1027"/>
      <c r="AD62" s="1027"/>
      <c r="AE62" s="1029"/>
      <c r="AF62" s="1029"/>
      <c r="AG62" s="1030"/>
    </row>
    <row r="63" spans="1:33" x14ac:dyDescent="0.35">
      <c r="A63" s="1020"/>
      <c r="B63" s="1021" t="s">
        <v>27</v>
      </c>
      <c r="C63" s="1022" t="s">
        <v>8176</v>
      </c>
      <c r="D63" s="2944" t="s">
        <v>7334</v>
      </c>
      <c r="E63" s="1024">
        <v>3400000</v>
      </c>
      <c r="F63" s="1024">
        <v>0</v>
      </c>
      <c r="G63" s="1024">
        <v>0</v>
      </c>
      <c r="H63" s="1024">
        <v>0</v>
      </c>
      <c r="I63" s="1024">
        <v>0</v>
      </c>
      <c r="J63" s="1024">
        <v>0</v>
      </c>
      <c r="K63" s="1024">
        <f t="shared" si="4"/>
        <v>3400000</v>
      </c>
      <c r="L63" s="1025"/>
      <c r="P63" s="1026"/>
      <c r="Q63" s="1027"/>
      <c r="R63" s="1027"/>
      <c r="S63" s="1027"/>
      <c r="T63" s="1028"/>
      <c r="U63" s="1027"/>
      <c r="V63" s="1027"/>
      <c r="W63" s="1027"/>
      <c r="X63" s="1027"/>
      <c r="Y63" s="1027"/>
      <c r="Z63" s="1027"/>
      <c r="AA63" s="1027"/>
      <c r="AB63" s="1027"/>
      <c r="AC63" s="1027"/>
      <c r="AD63" s="1027"/>
      <c r="AE63" s="1029"/>
      <c r="AF63" s="1029"/>
      <c r="AG63" s="1030"/>
    </row>
    <row r="64" spans="1:33" x14ac:dyDescent="0.35">
      <c r="A64" s="1020"/>
      <c r="B64" s="1021" t="s">
        <v>31</v>
      </c>
      <c r="C64" s="1022" t="s">
        <v>8240</v>
      </c>
      <c r="D64" s="2944" t="s">
        <v>7334</v>
      </c>
      <c r="E64" s="1024">
        <v>1700000</v>
      </c>
      <c r="F64" s="1024">
        <v>0</v>
      </c>
      <c r="G64" s="1024">
        <v>0</v>
      </c>
      <c r="H64" s="1024">
        <v>0</v>
      </c>
      <c r="I64" s="1024">
        <v>0</v>
      </c>
      <c r="J64" s="1024">
        <v>0</v>
      </c>
      <c r="K64" s="1024">
        <f t="shared" si="4"/>
        <v>1700000</v>
      </c>
      <c r="L64" s="1025"/>
      <c r="P64" s="1026"/>
      <c r="Q64" s="1027"/>
      <c r="R64" s="1027"/>
      <c r="S64" s="1027"/>
      <c r="T64" s="1028"/>
      <c r="U64" s="1027"/>
      <c r="V64" s="1027"/>
      <c r="W64" s="1027"/>
      <c r="X64" s="1027"/>
      <c r="Y64" s="1027"/>
      <c r="Z64" s="1027"/>
      <c r="AA64" s="1027"/>
      <c r="AB64" s="1027"/>
      <c r="AC64" s="1027"/>
      <c r="AD64" s="1027"/>
      <c r="AE64" s="1029"/>
      <c r="AF64" s="1029"/>
      <c r="AG64" s="1030"/>
    </row>
    <row r="65" spans="1:33" x14ac:dyDescent="0.35">
      <c r="A65" s="1020"/>
      <c r="B65" s="1021" t="s">
        <v>36</v>
      </c>
      <c r="C65" s="1022" t="s">
        <v>8177</v>
      </c>
      <c r="D65" s="2944" t="s">
        <v>7334</v>
      </c>
      <c r="E65" s="1024">
        <v>1700000</v>
      </c>
      <c r="F65" s="1024">
        <v>0</v>
      </c>
      <c r="G65" s="1024">
        <v>0</v>
      </c>
      <c r="H65" s="1024">
        <v>0</v>
      </c>
      <c r="I65" s="1024">
        <v>0</v>
      </c>
      <c r="J65" s="1024">
        <v>0</v>
      </c>
      <c r="K65" s="1024">
        <f t="shared" si="4"/>
        <v>1700000</v>
      </c>
      <c r="L65" s="1025"/>
      <c r="P65" s="1026"/>
      <c r="Q65" s="1027"/>
      <c r="R65" s="1027"/>
      <c r="S65" s="1027"/>
      <c r="T65" s="1028"/>
      <c r="U65" s="1027"/>
      <c r="V65" s="1027"/>
      <c r="W65" s="1027"/>
      <c r="X65" s="1027"/>
      <c r="Y65" s="1027"/>
      <c r="Z65" s="1027"/>
      <c r="AA65" s="1027"/>
      <c r="AB65" s="1027"/>
      <c r="AC65" s="1027"/>
      <c r="AD65" s="1027"/>
      <c r="AE65" s="1029"/>
      <c r="AF65" s="1029"/>
      <c r="AG65" s="1030"/>
    </row>
    <row r="66" spans="1:33" x14ac:dyDescent="0.35">
      <c r="A66" s="1020"/>
      <c r="B66" s="1021" t="s">
        <v>2449</v>
      </c>
      <c r="C66" s="1022" t="s">
        <v>7379</v>
      </c>
      <c r="D66" s="2944" t="s">
        <v>7334</v>
      </c>
      <c r="E66" s="1024">
        <v>3000000</v>
      </c>
      <c r="F66" s="1024">
        <v>0</v>
      </c>
      <c r="G66" s="1024">
        <v>0</v>
      </c>
      <c r="H66" s="1024">
        <v>0</v>
      </c>
      <c r="I66" s="1024">
        <v>2129000</v>
      </c>
      <c r="J66" s="1024">
        <v>0</v>
      </c>
      <c r="K66" s="1024">
        <f t="shared" si="4"/>
        <v>5129000</v>
      </c>
      <c r="L66" s="1025"/>
      <c r="P66" s="1026"/>
      <c r="Q66" s="1027"/>
      <c r="R66" s="1027"/>
      <c r="S66" s="1027"/>
      <c r="T66" s="1028"/>
      <c r="U66" s="1027"/>
      <c r="V66" s="1027"/>
      <c r="W66" s="1027"/>
      <c r="X66" s="1027"/>
      <c r="Y66" s="1027"/>
      <c r="Z66" s="1027"/>
      <c r="AA66" s="1027"/>
      <c r="AB66" s="1027"/>
      <c r="AC66" s="1027"/>
      <c r="AD66" s="1027"/>
      <c r="AE66" s="1029"/>
      <c r="AF66" s="1029"/>
      <c r="AG66" s="1030"/>
    </row>
    <row r="67" spans="1:33" x14ac:dyDescent="0.35">
      <c r="A67" s="1020"/>
      <c r="B67" s="1021" t="s">
        <v>759</v>
      </c>
      <c r="C67" s="1022" t="s">
        <v>7380</v>
      </c>
      <c r="D67" s="2944" t="s">
        <v>7334</v>
      </c>
      <c r="E67" s="1024">
        <v>16950000</v>
      </c>
      <c r="F67" s="1024">
        <v>0</v>
      </c>
      <c r="G67" s="1024">
        <v>0</v>
      </c>
      <c r="H67" s="1024">
        <v>0</v>
      </c>
      <c r="I67" s="1024">
        <v>4629000</v>
      </c>
      <c r="J67" s="1024">
        <v>0</v>
      </c>
      <c r="K67" s="1024">
        <f t="shared" si="4"/>
        <v>21579000</v>
      </c>
      <c r="L67" s="1025"/>
      <c r="P67" s="1026"/>
      <c r="Q67" s="1027"/>
      <c r="R67" s="1027"/>
      <c r="S67" s="1027"/>
      <c r="T67" s="1028"/>
      <c r="U67" s="1027"/>
      <c r="V67" s="1027"/>
      <c r="W67" s="1027"/>
      <c r="X67" s="1027"/>
      <c r="Y67" s="1027"/>
      <c r="Z67" s="1027"/>
      <c r="AA67" s="1027"/>
      <c r="AB67" s="1027"/>
      <c r="AC67" s="1027"/>
      <c r="AD67" s="1027"/>
      <c r="AE67" s="1029"/>
      <c r="AF67" s="1029"/>
      <c r="AG67" s="1030"/>
    </row>
    <row r="68" spans="1:33" x14ac:dyDescent="0.35">
      <c r="A68" s="1020"/>
      <c r="B68" s="1021" t="s">
        <v>701</v>
      </c>
      <c r="C68" s="1022" t="s">
        <v>8241</v>
      </c>
      <c r="D68" s="2944" t="s">
        <v>7334</v>
      </c>
      <c r="E68" s="1024">
        <v>1700000</v>
      </c>
      <c r="F68" s="1024">
        <v>0</v>
      </c>
      <c r="G68" s="1024">
        <v>0</v>
      </c>
      <c r="H68" s="1024">
        <v>0</v>
      </c>
      <c r="I68" s="1024">
        <v>0</v>
      </c>
      <c r="J68" s="1024">
        <v>0</v>
      </c>
      <c r="K68" s="1024">
        <f t="shared" si="4"/>
        <v>1700000</v>
      </c>
      <c r="L68" s="1025"/>
      <c r="P68" s="1026"/>
      <c r="Q68" s="1027"/>
      <c r="R68" s="1027"/>
      <c r="S68" s="1027"/>
      <c r="T68" s="1028"/>
      <c r="U68" s="1027"/>
      <c r="V68" s="1027"/>
      <c r="W68" s="1027"/>
      <c r="X68" s="1027"/>
      <c r="Y68" s="1027"/>
      <c r="Z68" s="1027"/>
      <c r="AA68" s="1027"/>
      <c r="AB68" s="1027"/>
      <c r="AC68" s="1027"/>
      <c r="AD68" s="1027"/>
      <c r="AE68" s="1029"/>
      <c r="AF68" s="1029"/>
      <c r="AG68" s="1030"/>
    </row>
    <row r="69" spans="1:33" hidden="1" x14ac:dyDescent="0.35">
      <c r="A69" s="1020"/>
      <c r="B69" s="1021" t="s">
        <v>1027</v>
      </c>
      <c r="C69" s="1022"/>
      <c r="D69" s="2944"/>
      <c r="E69" s="1024"/>
      <c r="F69" s="1024"/>
      <c r="G69" s="1024"/>
      <c r="H69" s="1024"/>
      <c r="I69" s="1024"/>
      <c r="J69" s="1024"/>
      <c r="K69" s="1024">
        <f t="shared" si="4"/>
        <v>0</v>
      </c>
      <c r="L69" s="1025"/>
      <c r="P69" s="1026"/>
      <c r="Q69" s="1027"/>
      <c r="R69" s="1027"/>
      <c r="S69" s="1027"/>
      <c r="T69" s="1028"/>
      <c r="U69" s="1027"/>
      <c r="V69" s="1027"/>
      <c r="W69" s="1027"/>
      <c r="X69" s="1027"/>
      <c r="Y69" s="1027"/>
      <c r="Z69" s="1027"/>
      <c r="AA69" s="1027"/>
      <c r="AB69" s="1027"/>
      <c r="AC69" s="1027"/>
      <c r="AD69" s="1027"/>
      <c r="AE69" s="1029"/>
      <c r="AF69" s="1029"/>
      <c r="AG69" s="1030"/>
    </row>
    <row r="70" spans="1:33" hidden="1" x14ac:dyDescent="0.35">
      <c r="A70" s="1020"/>
      <c r="B70" s="1021" t="s">
        <v>762</v>
      </c>
      <c r="C70" s="1022"/>
      <c r="D70" s="2944"/>
      <c r="E70" s="1024"/>
      <c r="F70" s="1024"/>
      <c r="G70" s="1024"/>
      <c r="H70" s="1024"/>
      <c r="I70" s="1024"/>
      <c r="J70" s="1024"/>
      <c r="K70" s="1024">
        <f t="shared" si="4"/>
        <v>0</v>
      </c>
      <c r="L70" s="1025"/>
      <c r="P70" s="1026"/>
      <c r="Q70" s="1027"/>
      <c r="R70" s="1027"/>
      <c r="S70" s="1027"/>
      <c r="T70" s="1028"/>
      <c r="U70" s="1027"/>
      <c r="V70" s="1027"/>
      <c r="W70" s="1027"/>
      <c r="X70" s="1027"/>
      <c r="Y70" s="1027"/>
      <c r="Z70" s="1027"/>
      <c r="AA70" s="1027"/>
      <c r="AB70" s="1027"/>
      <c r="AC70" s="1027"/>
      <c r="AD70" s="1027"/>
      <c r="AE70" s="1029"/>
      <c r="AF70" s="1029"/>
      <c r="AG70" s="1030"/>
    </row>
    <row r="71" spans="1:33" hidden="1" x14ac:dyDescent="0.35">
      <c r="A71" s="1020"/>
      <c r="B71" s="1021" t="s">
        <v>874</v>
      </c>
      <c r="C71" s="1022"/>
      <c r="D71" s="2944"/>
      <c r="E71" s="1024"/>
      <c r="F71" s="1024"/>
      <c r="G71" s="1024"/>
      <c r="H71" s="1024"/>
      <c r="I71" s="1024"/>
      <c r="J71" s="1024"/>
      <c r="K71" s="1024">
        <f t="shared" si="4"/>
        <v>0</v>
      </c>
      <c r="L71" s="1025"/>
      <c r="P71" s="1026"/>
      <c r="Q71" s="1027"/>
      <c r="R71" s="1027"/>
      <c r="S71" s="1027"/>
      <c r="T71" s="1028"/>
      <c r="U71" s="1027"/>
      <c r="V71" s="1027"/>
      <c r="W71" s="1027"/>
      <c r="X71" s="1027"/>
      <c r="Y71" s="1027"/>
      <c r="Z71" s="1027"/>
      <c r="AA71" s="1027"/>
      <c r="AB71" s="1027"/>
      <c r="AC71" s="1027"/>
      <c r="AD71" s="1027"/>
      <c r="AE71" s="1029"/>
      <c r="AF71" s="1029"/>
      <c r="AG71" s="1030"/>
    </row>
    <row r="72" spans="1:33" hidden="1" x14ac:dyDescent="0.35">
      <c r="A72" s="1020"/>
      <c r="B72" s="1021" t="s">
        <v>2450</v>
      </c>
      <c r="C72" s="1022"/>
      <c r="D72" s="2944"/>
      <c r="E72" s="1024"/>
      <c r="F72" s="1024"/>
      <c r="G72" s="1024"/>
      <c r="H72" s="1024"/>
      <c r="I72" s="1024"/>
      <c r="J72" s="1024"/>
      <c r="K72" s="1024">
        <f t="shared" si="4"/>
        <v>0</v>
      </c>
      <c r="L72" s="1025"/>
      <c r="P72" s="1026"/>
      <c r="Q72" s="1027"/>
      <c r="R72" s="1027"/>
      <c r="S72" s="1027"/>
      <c r="T72" s="1028"/>
      <c r="U72" s="1027"/>
      <c r="V72" s="1027"/>
      <c r="W72" s="1027"/>
      <c r="X72" s="1027"/>
      <c r="Y72" s="1027"/>
      <c r="Z72" s="1027"/>
      <c r="AA72" s="1027"/>
      <c r="AB72" s="1027"/>
      <c r="AC72" s="1027"/>
      <c r="AD72" s="1027"/>
      <c r="AE72" s="1029"/>
      <c r="AF72" s="1029"/>
      <c r="AG72" s="1030"/>
    </row>
    <row r="73" spans="1:33" hidden="1" x14ac:dyDescent="0.35">
      <c r="A73" s="1020"/>
      <c r="B73" s="1021" t="s">
        <v>2451</v>
      </c>
      <c r="C73" s="1022"/>
      <c r="D73" s="2944"/>
      <c r="E73" s="1024"/>
      <c r="F73" s="1024"/>
      <c r="G73" s="1024"/>
      <c r="H73" s="1024"/>
      <c r="I73" s="1024"/>
      <c r="J73" s="1024"/>
      <c r="K73" s="1024">
        <f t="shared" si="4"/>
        <v>0</v>
      </c>
      <c r="L73" s="1025"/>
      <c r="P73" s="1026"/>
      <c r="Q73" s="1027"/>
      <c r="R73" s="1027"/>
      <c r="S73" s="1027"/>
      <c r="T73" s="1028"/>
      <c r="U73" s="1027"/>
      <c r="V73" s="1027"/>
      <c r="W73" s="1027"/>
      <c r="X73" s="1027"/>
      <c r="Y73" s="1027"/>
      <c r="Z73" s="1027"/>
      <c r="AA73" s="1027"/>
      <c r="AB73" s="1027"/>
      <c r="AC73" s="1027"/>
      <c r="AD73" s="1027"/>
      <c r="AE73" s="1029"/>
      <c r="AF73" s="1029"/>
      <c r="AG73" s="1030"/>
    </row>
    <row r="74" spans="1:33" hidden="1" x14ac:dyDescent="0.35">
      <c r="A74" s="1020"/>
      <c r="B74" s="1021" t="s">
        <v>2452</v>
      </c>
      <c r="C74" s="1022"/>
      <c r="D74" s="2944"/>
      <c r="E74" s="1024"/>
      <c r="F74" s="1024"/>
      <c r="G74" s="1024"/>
      <c r="H74" s="1024"/>
      <c r="I74" s="1024"/>
      <c r="J74" s="1024"/>
      <c r="K74" s="1024">
        <f t="shared" si="4"/>
        <v>0</v>
      </c>
      <c r="L74" s="1025"/>
      <c r="P74" s="1026"/>
      <c r="Q74" s="1027"/>
      <c r="R74" s="1027"/>
      <c r="S74" s="1027"/>
      <c r="T74" s="1028"/>
      <c r="U74" s="1027"/>
      <c r="V74" s="1027"/>
      <c r="W74" s="1027"/>
      <c r="X74" s="1027"/>
      <c r="Y74" s="1027"/>
      <c r="Z74" s="1027"/>
      <c r="AA74" s="1027"/>
      <c r="AB74" s="1027"/>
      <c r="AC74" s="1027"/>
      <c r="AD74" s="1027"/>
      <c r="AE74" s="1029"/>
      <c r="AF74" s="1029"/>
      <c r="AG74" s="1030"/>
    </row>
    <row r="75" spans="1:33" hidden="1" x14ac:dyDescent="0.35">
      <c r="A75" s="1020"/>
      <c r="B75" s="1021" t="s">
        <v>2453</v>
      </c>
      <c r="C75" s="1022"/>
      <c r="D75" s="2944"/>
      <c r="E75" s="1024"/>
      <c r="F75" s="1024"/>
      <c r="G75" s="1024"/>
      <c r="H75" s="1024"/>
      <c r="I75" s="1024"/>
      <c r="J75" s="1024"/>
      <c r="K75" s="1024">
        <f t="shared" si="4"/>
        <v>0</v>
      </c>
      <c r="L75" s="1025"/>
      <c r="P75" s="1026"/>
      <c r="Q75" s="1027"/>
      <c r="R75" s="1027"/>
      <c r="S75" s="1027"/>
      <c r="T75" s="1028"/>
      <c r="U75" s="1027"/>
      <c r="V75" s="1027"/>
      <c r="W75" s="1027"/>
      <c r="X75" s="1027"/>
      <c r="Y75" s="1027"/>
      <c r="Z75" s="1027"/>
      <c r="AA75" s="1027"/>
      <c r="AB75" s="1027"/>
      <c r="AC75" s="1027"/>
      <c r="AD75" s="1027"/>
      <c r="AE75" s="1029"/>
      <c r="AF75" s="1029"/>
      <c r="AG75" s="1030"/>
    </row>
    <row r="76" spans="1:33" hidden="1" x14ac:dyDescent="0.35">
      <c r="A76" s="1020"/>
      <c r="B76" s="1021" t="s">
        <v>2454</v>
      </c>
      <c r="C76" s="1022"/>
      <c r="D76" s="2944"/>
      <c r="E76" s="1024"/>
      <c r="F76" s="1024"/>
      <c r="G76" s="1024"/>
      <c r="H76" s="1024"/>
      <c r="I76" s="1024"/>
      <c r="J76" s="1024"/>
      <c r="K76" s="1024">
        <f t="shared" si="4"/>
        <v>0</v>
      </c>
      <c r="L76" s="1025"/>
      <c r="P76" s="1026"/>
      <c r="Q76" s="1027"/>
      <c r="R76" s="1027"/>
      <c r="S76" s="1027"/>
      <c r="T76" s="1028"/>
      <c r="U76" s="1027"/>
      <c r="V76" s="1027"/>
      <c r="W76" s="1027"/>
      <c r="X76" s="1027"/>
      <c r="Y76" s="1027"/>
      <c r="Z76" s="1027"/>
      <c r="AA76" s="1027"/>
      <c r="AB76" s="1027"/>
      <c r="AC76" s="1027"/>
      <c r="AD76" s="1027"/>
      <c r="AE76" s="1029"/>
      <c r="AF76" s="1029"/>
      <c r="AG76" s="1030"/>
    </row>
    <row r="77" spans="1:33" hidden="1" x14ac:dyDescent="0.35">
      <c r="A77" s="1020"/>
      <c r="B77" s="1021" t="s">
        <v>2455</v>
      </c>
      <c r="C77" s="1022"/>
      <c r="D77" s="2944"/>
      <c r="E77" s="1024"/>
      <c r="F77" s="1024"/>
      <c r="G77" s="1024"/>
      <c r="H77" s="1024"/>
      <c r="I77" s="1024"/>
      <c r="J77" s="1024"/>
      <c r="K77" s="1024">
        <f t="shared" si="4"/>
        <v>0</v>
      </c>
      <c r="L77" s="1025"/>
      <c r="P77" s="1026"/>
      <c r="Q77" s="1027"/>
      <c r="R77" s="1027"/>
      <c r="S77" s="1027"/>
      <c r="T77" s="1028"/>
      <c r="U77" s="1027"/>
      <c r="V77" s="1027"/>
      <c r="W77" s="1027"/>
      <c r="X77" s="1027"/>
      <c r="Y77" s="1027"/>
      <c r="Z77" s="1027"/>
      <c r="AA77" s="1027"/>
      <c r="AB77" s="1027"/>
      <c r="AC77" s="1027"/>
      <c r="AD77" s="1027"/>
      <c r="AE77" s="1029"/>
      <c r="AF77" s="1029"/>
      <c r="AG77" s="1030"/>
    </row>
    <row r="78" spans="1:33" hidden="1" x14ac:dyDescent="0.35">
      <c r="A78" s="1020"/>
      <c r="B78" s="1021" t="s">
        <v>168</v>
      </c>
      <c r="C78" s="1022"/>
      <c r="D78" s="2944"/>
      <c r="E78" s="1024"/>
      <c r="F78" s="1024"/>
      <c r="G78" s="1024"/>
      <c r="H78" s="1024"/>
      <c r="I78" s="1024"/>
      <c r="J78" s="1024"/>
      <c r="K78" s="1024">
        <f t="shared" si="4"/>
        <v>0</v>
      </c>
      <c r="L78" s="1025"/>
      <c r="P78" s="1026"/>
      <c r="Q78" s="1027"/>
      <c r="R78" s="1027"/>
      <c r="S78" s="1027"/>
      <c r="T78" s="1028"/>
      <c r="U78" s="1027"/>
      <c r="V78" s="1027"/>
      <c r="W78" s="1027"/>
      <c r="X78" s="1027"/>
      <c r="Y78" s="1027"/>
      <c r="Z78" s="1027"/>
      <c r="AA78" s="1027"/>
      <c r="AB78" s="1027"/>
      <c r="AC78" s="1027"/>
      <c r="AD78" s="1027"/>
      <c r="AE78" s="1029"/>
      <c r="AF78" s="1029"/>
      <c r="AG78" s="1030"/>
    </row>
    <row r="79" spans="1:33" hidden="1" x14ac:dyDescent="0.35">
      <c r="A79" s="1020"/>
      <c r="B79" s="1021" t="s">
        <v>171</v>
      </c>
      <c r="C79" s="1022"/>
      <c r="D79" s="1023"/>
      <c r="E79" s="1024"/>
      <c r="F79" s="1024"/>
      <c r="G79" s="1024"/>
      <c r="H79" s="1024"/>
      <c r="I79" s="1024"/>
      <c r="J79" s="1024"/>
      <c r="K79" s="1024">
        <f t="shared" si="4"/>
        <v>0</v>
      </c>
      <c r="L79" s="1025"/>
      <c r="P79" s="1026"/>
      <c r="Q79" s="1027"/>
      <c r="R79" s="1027"/>
      <c r="S79" s="1027"/>
      <c r="T79" s="1028"/>
      <c r="U79" s="1027"/>
      <c r="V79" s="1027"/>
      <c r="W79" s="1027"/>
      <c r="X79" s="1027"/>
      <c r="Y79" s="1027"/>
      <c r="Z79" s="1027"/>
      <c r="AA79" s="1027"/>
      <c r="AB79" s="1027"/>
      <c r="AC79" s="1027"/>
      <c r="AD79" s="1027"/>
      <c r="AE79" s="1029"/>
      <c r="AF79" s="1029"/>
      <c r="AG79" s="1030"/>
    </row>
    <row r="80" spans="1:33" hidden="1" x14ac:dyDescent="0.35">
      <c r="A80" s="1020"/>
      <c r="B80" s="1021" t="s">
        <v>173</v>
      </c>
      <c r="C80" s="1022" t="s">
        <v>2448</v>
      </c>
      <c r="D80" s="1023" t="s">
        <v>2448</v>
      </c>
      <c r="E80" s="1024" t="s">
        <v>2448</v>
      </c>
      <c r="F80" s="1024" t="s">
        <v>2448</v>
      </c>
      <c r="G80" s="1024" t="s">
        <v>2448</v>
      </c>
      <c r="H80" s="1024" t="s">
        <v>2448</v>
      </c>
      <c r="I80" s="1024" t="s">
        <v>2448</v>
      </c>
      <c r="J80" s="1024" t="s">
        <v>2448</v>
      </c>
      <c r="K80" s="1024">
        <f t="shared" si="4"/>
        <v>0</v>
      </c>
      <c r="L80" s="1025"/>
      <c r="P80" s="1026"/>
      <c r="Q80" s="1027"/>
      <c r="R80" s="1027"/>
      <c r="S80" s="1027"/>
      <c r="T80" s="1028"/>
      <c r="U80" s="1027"/>
      <c r="V80" s="1027"/>
      <c r="W80" s="1027"/>
      <c r="X80" s="1027"/>
      <c r="Y80" s="1027"/>
      <c r="Z80" s="1027"/>
      <c r="AA80" s="1027"/>
      <c r="AB80" s="1027"/>
      <c r="AC80" s="1027"/>
      <c r="AD80" s="1027"/>
      <c r="AE80" s="1029"/>
      <c r="AF80" s="1029"/>
      <c r="AG80" s="1030"/>
    </row>
    <row r="81" spans="1:33" ht="15" thickBot="1" x14ac:dyDescent="0.4">
      <c r="A81" s="1020"/>
      <c r="B81" s="1031"/>
      <c r="C81" s="1022"/>
      <c r="D81" s="1023"/>
      <c r="E81" s="1032">
        <f t="shared" ref="E81:K81" si="5">SUM(E61:E80)</f>
        <v>37850000</v>
      </c>
      <c r="F81" s="1032">
        <f t="shared" si="5"/>
        <v>0</v>
      </c>
      <c r="G81" s="1032">
        <f t="shared" si="5"/>
        <v>0</v>
      </c>
      <c r="H81" s="1032">
        <f t="shared" si="5"/>
        <v>0</v>
      </c>
      <c r="I81" s="1032">
        <f t="shared" si="5"/>
        <v>9248000</v>
      </c>
      <c r="J81" s="1032">
        <f t="shared" si="5"/>
        <v>0</v>
      </c>
      <c r="K81" s="1032">
        <f t="shared" si="5"/>
        <v>47098000</v>
      </c>
      <c r="L81" s="1033"/>
      <c r="P81" s="1026"/>
      <c r="Q81" s="1027"/>
      <c r="R81" s="1027"/>
      <c r="S81" s="1027"/>
      <c r="T81" s="1028"/>
      <c r="U81" s="1027"/>
      <c r="V81" s="1027"/>
      <c r="W81" s="1027"/>
      <c r="X81" s="1027"/>
      <c r="Y81" s="1027"/>
      <c r="Z81" s="1027"/>
      <c r="AA81" s="1027"/>
      <c r="AB81" s="1027"/>
      <c r="AC81" s="1027"/>
      <c r="AD81" s="1027"/>
      <c r="AE81" s="1029"/>
      <c r="AF81" s="1029"/>
      <c r="AG81" s="1030"/>
    </row>
    <row r="82" spans="1:33" ht="15" thickBot="1" x14ac:dyDescent="0.4">
      <c r="A82" s="2972" t="s">
        <v>2571</v>
      </c>
      <c r="B82" s="2973"/>
      <c r="C82" s="2974"/>
      <c r="D82" s="2975"/>
      <c r="E82" s="2976">
        <f t="shared" ref="E82:K82" si="6">E37+E59+E81</f>
        <v>165713000</v>
      </c>
      <c r="F82" s="2976">
        <f t="shared" si="6"/>
        <v>0</v>
      </c>
      <c r="G82" s="2976">
        <f t="shared" si="6"/>
        <v>66450000</v>
      </c>
      <c r="H82" s="2976">
        <f t="shared" si="6"/>
        <v>0</v>
      </c>
      <c r="I82" s="2976">
        <f t="shared" si="6"/>
        <v>19594000</v>
      </c>
      <c r="J82" s="2976">
        <f t="shared" si="6"/>
        <v>0</v>
      </c>
      <c r="K82" s="2976">
        <f t="shared" si="6"/>
        <v>251757000</v>
      </c>
      <c r="L82" s="2977"/>
      <c r="P82" s="1026"/>
      <c r="Q82" s="1027"/>
      <c r="R82" s="1027"/>
      <c r="S82" s="1027"/>
      <c r="T82" s="1028"/>
      <c r="U82" s="1027"/>
      <c r="V82" s="1027"/>
      <c r="W82" s="1027"/>
      <c r="X82" s="1027"/>
      <c r="Y82" s="1027"/>
      <c r="Z82" s="1027"/>
      <c r="AA82" s="1027"/>
      <c r="AB82" s="1027"/>
      <c r="AC82" s="1027"/>
      <c r="AD82" s="1027"/>
      <c r="AE82" s="1029"/>
      <c r="AF82" s="1029"/>
      <c r="AG82" s="1030"/>
    </row>
    <row r="83" spans="1:33" ht="16.5" x14ac:dyDescent="0.35">
      <c r="A83" s="1045"/>
      <c r="B83" s="1046"/>
      <c r="C83" s="1045"/>
      <c r="D83" s="1045"/>
      <c r="E83" s="1047"/>
      <c r="F83" s="1047"/>
      <c r="G83" s="1048" t="s">
        <v>171</v>
      </c>
      <c r="H83" s="1047"/>
      <c r="I83" s="1047"/>
      <c r="J83" s="1047"/>
      <c r="K83" s="1047"/>
      <c r="L83" s="1049"/>
      <c r="T83" s="1050"/>
    </row>
    <row r="84" spans="1:33" x14ac:dyDescent="0.35">
      <c r="A84" s="1053"/>
      <c r="B84" s="1037"/>
      <c r="C84" s="1034" t="s">
        <v>2572</v>
      </c>
      <c r="D84" s="1024"/>
      <c r="E84" s="1024"/>
      <c r="F84" s="1024"/>
      <c r="G84" s="1024"/>
      <c r="H84" s="1024"/>
      <c r="I84" s="1024"/>
      <c r="J84" s="1024"/>
      <c r="K84" s="1024"/>
      <c r="L84" s="1036"/>
      <c r="P84" s="1026"/>
      <c r="Q84" s="1027"/>
      <c r="R84" s="1027"/>
      <c r="S84" s="1027"/>
      <c r="T84" s="1028"/>
      <c r="U84" s="1027"/>
      <c r="V84" s="1027"/>
      <c r="W84" s="1027"/>
      <c r="X84" s="1027"/>
      <c r="Y84" s="1027"/>
      <c r="Z84" s="1027"/>
      <c r="AA84" s="1027"/>
      <c r="AB84" s="1027"/>
      <c r="AC84" s="1027"/>
      <c r="AD84" s="1027"/>
      <c r="AE84" s="1029"/>
      <c r="AF84" s="1029"/>
      <c r="AG84" s="1030"/>
    </row>
    <row r="85" spans="1:33" x14ac:dyDescent="0.35">
      <c r="A85" s="1051"/>
      <c r="B85" s="1052"/>
      <c r="C85" s="1034" t="s">
        <v>7335</v>
      </c>
      <c r="D85" s="1024"/>
      <c r="E85" s="1024"/>
      <c r="F85" s="1024"/>
      <c r="G85" s="1024"/>
      <c r="H85" s="1024"/>
      <c r="I85" s="1024"/>
      <c r="J85" s="1024"/>
      <c r="K85" s="1024"/>
      <c r="L85" s="1024"/>
      <c r="P85" s="1026"/>
      <c r="Q85" s="1027"/>
      <c r="R85" s="1027"/>
      <c r="S85" s="1027"/>
      <c r="T85" s="1028"/>
      <c r="U85" s="1027"/>
      <c r="V85" s="1027"/>
      <c r="W85" s="1027"/>
      <c r="X85" s="1027"/>
      <c r="Y85" s="1027"/>
      <c r="Z85" s="1027"/>
      <c r="AA85" s="1027"/>
      <c r="AB85" s="1027"/>
      <c r="AC85" s="1027"/>
      <c r="AD85" s="1027"/>
      <c r="AE85" s="1029"/>
      <c r="AF85" s="1029"/>
      <c r="AG85" s="1030"/>
    </row>
    <row r="86" spans="1:33" x14ac:dyDescent="0.35">
      <c r="A86" s="1020"/>
      <c r="B86" s="1021" t="s">
        <v>2447</v>
      </c>
      <c r="C86" s="1022" t="s">
        <v>7381</v>
      </c>
      <c r="D86" s="2944" t="s">
        <v>7336</v>
      </c>
      <c r="E86" s="1024">
        <v>1200000</v>
      </c>
      <c r="F86" s="1024">
        <v>0</v>
      </c>
      <c r="G86" s="1024">
        <v>9700000</v>
      </c>
      <c r="H86" s="1024"/>
      <c r="I86" s="1024">
        <v>0</v>
      </c>
      <c r="J86" s="1024">
        <v>0</v>
      </c>
      <c r="K86" s="1024">
        <f t="shared" ref="K86:K105" si="7">SUM(E86:J86)</f>
        <v>10900000</v>
      </c>
      <c r="L86" s="1025"/>
      <c r="P86" s="1026"/>
      <c r="Q86" s="1027"/>
      <c r="R86" s="1027"/>
      <c r="S86" s="1027"/>
      <c r="T86" s="1028"/>
      <c r="U86" s="1027"/>
      <c r="V86" s="1027"/>
      <c r="W86" s="1027"/>
      <c r="X86" s="1027"/>
      <c r="Y86" s="1027"/>
      <c r="Z86" s="1027"/>
      <c r="AA86" s="1027"/>
      <c r="AB86" s="1027"/>
      <c r="AC86" s="1027"/>
      <c r="AD86" s="1027"/>
      <c r="AE86" s="1029"/>
      <c r="AF86" s="1029"/>
      <c r="AG86" s="1030"/>
    </row>
    <row r="87" spans="1:33" x14ac:dyDescent="0.35">
      <c r="A87" s="1020"/>
      <c r="B87" s="1021" t="s">
        <v>23</v>
      </c>
      <c r="C87" s="1022" t="s">
        <v>8242</v>
      </c>
      <c r="D87" s="2944" t="s">
        <v>7336</v>
      </c>
      <c r="E87" s="1024">
        <v>1700000</v>
      </c>
      <c r="F87" s="1024">
        <v>0</v>
      </c>
      <c r="G87" s="1024">
        <v>0</v>
      </c>
      <c r="H87" s="1024"/>
      <c r="I87" s="1024">
        <v>0</v>
      </c>
      <c r="J87" s="1024">
        <v>0</v>
      </c>
      <c r="K87" s="1024">
        <f t="shared" si="7"/>
        <v>1700000</v>
      </c>
      <c r="L87" s="1025"/>
      <c r="P87" s="1026"/>
      <c r="Q87" s="1027"/>
      <c r="R87" s="1027"/>
      <c r="S87" s="1027"/>
      <c r="T87" s="1028"/>
      <c r="U87" s="1027"/>
      <c r="V87" s="1027"/>
      <c r="W87" s="1027"/>
      <c r="X87" s="1027"/>
      <c r="Y87" s="1027"/>
      <c r="Z87" s="1027"/>
      <c r="AA87" s="1027"/>
      <c r="AB87" s="1027"/>
      <c r="AC87" s="1027"/>
      <c r="AD87" s="1027"/>
      <c r="AE87" s="1029"/>
      <c r="AF87" s="1029"/>
      <c r="AG87" s="1030"/>
    </row>
    <row r="88" spans="1:33" x14ac:dyDescent="0.35">
      <c r="A88" s="1020"/>
      <c r="B88" s="1021" t="s">
        <v>27</v>
      </c>
      <c r="C88" s="1022" t="s">
        <v>7383</v>
      </c>
      <c r="D88" s="2944" t="s">
        <v>7336</v>
      </c>
      <c r="E88" s="1024">
        <v>1600000</v>
      </c>
      <c r="F88" s="1024">
        <v>0</v>
      </c>
      <c r="G88" s="1024">
        <v>0</v>
      </c>
      <c r="H88" s="1024"/>
      <c r="I88" s="1024">
        <v>634000</v>
      </c>
      <c r="J88" s="1024">
        <v>0</v>
      </c>
      <c r="K88" s="1024">
        <f t="shared" si="7"/>
        <v>2234000</v>
      </c>
      <c r="L88" s="1025"/>
      <c r="P88" s="1026"/>
      <c r="Q88" s="1027"/>
      <c r="R88" s="1027"/>
      <c r="S88" s="1027"/>
      <c r="T88" s="1028"/>
      <c r="U88" s="1027"/>
      <c r="V88" s="1027"/>
      <c r="W88" s="1027"/>
      <c r="X88" s="1027"/>
      <c r="Y88" s="1027"/>
      <c r="Z88" s="1027"/>
      <c r="AA88" s="1027"/>
      <c r="AB88" s="1027"/>
      <c r="AC88" s="1027"/>
      <c r="AD88" s="1027"/>
      <c r="AE88" s="1029"/>
      <c r="AF88" s="1029"/>
      <c r="AG88" s="1030"/>
    </row>
    <row r="89" spans="1:33" x14ac:dyDescent="0.35">
      <c r="A89" s="1020"/>
      <c r="B89" s="1021" t="s">
        <v>31</v>
      </c>
      <c r="C89" s="1022" t="s">
        <v>7385</v>
      </c>
      <c r="D89" s="2944" t="s">
        <v>7336</v>
      </c>
      <c r="E89" s="1024">
        <v>4800000</v>
      </c>
      <c r="F89" s="1024">
        <v>0</v>
      </c>
      <c r="G89" s="1024">
        <v>4000000</v>
      </c>
      <c r="H89" s="1024"/>
      <c r="I89" s="1024">
        <v>134000</v>
      </c>
      <c r="J89" s="1024">
        <v>0</v>
      </c>
      <c r="K89" s="1024">
        <f t="shared" si="7"/>
        <v>8934000</v>
      </c>
      <c r="L89" s="1025"/>
      <c r="P89" s="1026"/>
      <c r="Q89" s="1027"/>
      <c r="R89" s="1027"/>
      <c r="S89" s="1027"/>
      <c r="T89" s="1028"/>
      <c r="U89" s="1027"/>
      <c r="V89" s="1027"/>
      <c r="W89" s="1027"/>
      <c r="X89" s="1027"/>
      <c r="Y89" s="1027"/>
      <c r="Z89" s="1027"/>
      <c r="AA89" s="1027"/>
      <c r="AB89" s="1027"/>
      <c r="AC89" s="1027"/>
      <c r="AD89" s="1027"/>
      <c r="AE89" s="1029"/>
      <c r="AF89" s="1029"/>
      <c r="AG89" s="1030"/>
    </row>
    <row r="90" spans="1:33" x14ac:dyDescent="0.35">
      <c r="A90" s="1020"/>
      <c r="B90" s="1021" t="s">
        <v>36</v>
      </c>
      <c r="C90" s="1022" t="s">
        <v>7386</v>
      </c>
      <c r="D90" s="2944" t="s">
        <v>7336</v>
      </c>
      <c r="E90" s="1024">
        <v>1400000</v>
      </c>
      <c r="F90" s="1024">
        <v>0</v>
      </c>
      <c r="G90" s="1024">
        <v>2108000</v>
      </c>
      <c r="H90" s="1024"/>
      <c r="I90" s="1024">
        <v>0</v>
      </c>
      <c r="J90" s="1024">
        <v>0</v>
      </c>
      <c r="K90" s="1024">
        <f t="shared" si="7"/>
        <v>3508000</v>
      </c>
      <c r="L90" s="1025"/>
      <c r="P90" s="1026"/>
      <c r="Q90" s="1027"/>
      <c r="R90" s="1027"/>
      <c r="S90" s="1027"/>
      <c r="T90" s="1028"/>
      <c r="U90" s="1027"/>
      <c r="V90" s="1027"/>
      <c r="W90" s="1027"/>
      <c r="X90" s="1027"/>
      <c r="Y90" s="1027"/>
      <c r="Z90" s="1027"/>
      <c r="AA90" s="1027"/>
      <c r="AB90" s="1027"/>
      <c r="AC90" s="1027"/>
      <c r="AD90" s="1027"/>
      <c r="AE90" s="1029"/>
      <c r="AF90" s="1029"/>
      <c r="AG90" s="1030"/>
    </row>
    <row r="91" spans="1:33" x14ac:dyDescent="0.35">
      <c r="A91" s="1020"/>
      <c r="B91" s="1021" t="s">
        <v>2449</v>
      </c>
      <c r="C91" s="1022" t="s">
        <v>7387</v>
      </c>
      <c r="D91" s="2944" t="s">
        <v>7336</v>
      </c>
      <c r="E91" s="1024">
        <v>3400000</v>
      </c>
      <c r="F91" s="1024">
        <v>0</v>
      </c>
      <c r="G91" s="1024">
        <v>0</v>
      </c>
      <c r="H91" s="1024"/>
      <c r="I91" s="1024">
        <v>0</v>
      </c>
      <c r="J91" s="1024">
        <v>0</v>
      </c>
      <c r="K91" s="1024">
        <f t="shared" si="7"/>
        <v>3400000</v>
      </c>
      <c r="L91" s="1025"/>
      <c r="P91" s="1026"/>
      <c r="Q91" s="1027"/>
      <c r="R91" s="1027"/>
      <c r="S91" s="1027"/>
      <c r="T91" s="1028"/>
      <c r="U91" s="1027"/>
      <c r="V91" s="1027"/>
      <c r="W91" s="1027"/>
      <c r="X91" s="1027"/>
      <c r="Y91" s="1027"/>
      <c r="Z91" s="1027"/>
      <c r="AA91" s="1027"/>
      <c r="AB91" s="1027"/>
      <c r="AC91" s="1027"/>
      <c r="AD91" s="1027"/>
      <c r="AE91" s="1029"/>
      <c r="AF91" s="1029"/>
      <c r="AG91" s="1030"/>
    </row>
    <row r="92" spans="1:33" x14ac:dyDescent="0.35">
      <c r="A92" s="1020"/>
      <c r="B92" s="1021" t="s">
        <v>759</v>
      </c>
      <c r="C92" s="1022" t="s">
        <v>7766</v>
      </c>
      <c r="D92" s="2944" t="s">
        <v>7336</v>
      </c>
      <c r="E92" s="1024">
        <v>10300000</v>
      </c>
      <c r="F92" s="1024">
        <v>0</v>
      </c>
      <c r="G92" s="1024">
        <v>0</v>
      </c>
      <c r="H92" s="1024"/>
      <c r="I92" s="1024">
        <v>1684000</v>
      </c>
      <c r="J92" s="1024">
        <v>0</v>
      </c>
      <c r="K92" s="1024">
        <f t="shared" si="7"/>
        <v>11984000</v>
      </c>
      <c r="L92" s="1025"/>
      <c r="P92" s="1026"/>
      <c r="Q92" s="1027"/>
      <c r="R92" s="1027"/>
      <c r="S92" s="1027"/>
      <c r="T92" s="1028"/>
      <c r="U92" s="1027"/>
      <c r="V92" s="1027"/>
      <c r="W92" s="1027"/>
      <c r="X92" s="1027"/>
      <c r="Y92" s="1027"/>
      <c r="Z92" s="1027"/>
      <c r="AA92" s="1027"/>
      <c r="AB92" s="1027"/>
      <c r="AC92" s="1027"/>
      <c r="AD92" s="1027"/>
      <c r="AE92" s="1029"/>
      <c r="AF92" s="1029"/>
      <c r="AG92" s="1030"/>
    </row>
    <row r="93" spans="1:33" x14ac:dyDescent="0.35">
      <c r="A93" s="1020"/>
      <c r="B93" s="1021" t="s">
        <v>701</v>
      </c>
      <c r="C93" s="1022" t="s">
        <v>8131</v>
      </c>
      <c r="D93" s="2944" t="s">
        <v>7336</v>
      </c>
      <c r="E93" s="1024">
        <v>1700000</v>
      </c>
      <c r="F93" s="1024">
        <v>0</v>
      </c>
      <c r="G93" s="1024">
        <v>0</v>
      </c>
      <c r="H93" s="1024"/>
      <c r="I93" s="1024">
        <v>0</v>
      </c>
      <c r="J93" s="1024">
        <v>0</v>
      </c>
      <c r="K93" s="1024">
        <f t="shared" si="7"/>
        <v>1700000</v>
      </c>
      <c r="L93" s="1025"/>
      <c r="P93" s="1026"/>
      <c r="Q93" s="1027"/>
      <c r="R93" s="1027"/>
      <c r="S93" s="1027"/>
      <c r="T93" s="1028"/>
      <c r="U93" s="1027"/>
      <c r="V93" s="1027"/>
      <c r="W93" s="1027"/>
      <c r="X93" s="1027"/>
      <c r="Y93" s="1027"/>
      <c r="Z93" s="1027"/>
      <c r="AA93" s="1027"/>
      <c r="AB93" s="1027"/>
      <c r="AC93" s="1027"/>
      <c r="AD93" s="1027"/>
      <c r="AE93" s="1029"/>
      <c r="AF93" s="1029"/>
      <c r="AG93" s="1030"/>
    </row>
    <row r="94" spans="1:33" x14ac:dyDescent="0.35">
      <c r="A94" s="1020"/>
      <c r="B94" s="1021" t="s">
        <v>1027</v>
      </c>
      <c r="C94" s="1022" t="s">
        <v>7767</v>
      </c>
      <c r="D94" s="2944" t="s">
        <v>7336</v>
      </c>
      <c r="E94" s="1024">
        <v>11900000</v>
      </c>
      <c r="F94" s="1024">
        <v>0</v>
      </c>
      <c r="G94" s="1024">
        <v>0</v>
      </c>
      <c r="H94" s="1024"/>
      <c r="I94" s="1024">
        <v>2184000</v>
      </c>
      <c r="J94" s="1024">
        <v>0</v>
      </c>
      <c r="K94" s="1024">
        <f t="shared" si="7"/>
        <v>14084000</v>
      </c>
      <c r="L94" s="1025"/>
      <c r="P94" s="1026"/>
      <c r="Q94" s="1027"/>
      <c r="R94" s="1027"/>
      <c r="S94" s="1027"/>
      <c r="T94" s="1028"/>
      <c r="U94" s="1027"/>
      <c r="V94" s="1027"/>
      <c r="W94" s="1027"/>
      <c r="X94" s="1027"/>
      <c r="Y94" s="1027"/>
      <c r="Z94" s="1027"/>
      <c r="AA94" s="1027"/>
      <c r="AB94" s="1027"/>
      <c r="AC94" s="1027"/>
      <c r="AD94" s="1027"/>
      <c r="AE94" s="1029"/>
      <c r="AF94" s="1029"/>
      <c r="AG94" s="1030"/>
    </row>
    <row r="95" spans="1:33" hidden="1" x14ac:dyDescent="0.35">
      <c r="A95" s="1020"/>
      <c r="B95" s="1021" t="s">
        <v>762</v>
      </c>
      <c r="C95" s="1022"/>
      <c r="D95" s="2944"/>
      <c r="E95" s="1024"/>
      <c r="F95" s="1024"/>
      <c r="G95" s="1024"/>
      <c r="H95" s="1024"/>
      <c r="I95" s="1024"/>
      <c r="J95" s="1024">
        <v>0</v>
      </c>
      <c r="K95" s="1024">
        <f t="shared" si="7"/>
        <v>0</v>
      </c>
      <c r="L95" s="1025"/>
      <c r="P95" s="1026"/>
      <c r="Q95" s="1027"/>
      <c r="R95" s="1027"/>
      <c r="S95" s="1027"/>
      <c r="T95" s="1028"/>
      <c r="U95" s="1027"/>
      <c r="V95" s="1027"/>
      <c r="W95" s="1027"/>
      <c r="X95" s="1027"/>
      <c r="Y95" s="1027"/>
      <c r="Z95" s="1027"/>
      <c r="AA95" s="1027"/>
      <c r="AB95" s="1027"/>
      <c r="AC95" s="1027"/>
      <c r="AD95" s="1027"/>
      <c r="AE95" s="1029"/>
      <c r="AF95" s="1029"/>
      <c r="AG95" s="1030"/>
    </row>
    <row r="96" spans="1:33" hidden="1" x14ac:dyDescent="0.35">
      <c r="A96" s="1020"/>
      <c r="B96" s="1021" t="s">
        <v>874</v>
      </c>
      <c r="C96" s="1022"/>
      <c r="D96" s="2944"/>
      <c r="E96" s="1024"/>
      <c r="F96" s="1024"/>
      <c r="G96" s="1024"/>
      <c r="H96" s="1024"/>
      <c r="I96" s="1024"/>
      <c r="J96" s="1024">
        <v>0</v>
      </c>
      <c r="K96" s="1024">
        <f t="shared" si="7"/>
        <v>0</v>
      </c>
      <c r="L96" s="1025"/>
      <c r="P96" s="1026"/>
      <c r="Q96" s="1027"/>
      <c r="R96" s="1027"/>
      <c r="S96" s="1027"/>
      <c r="T96" s="1028"/>
      <c r="U96" s="1027"/>
      <c r="V96" s="1027"/>
      <c r="W96" s="1027"/>
      <c r="X96" s="1027"/>
      <c r="Y96" s="1027"/>
      <c r="Z96" s="1027"/>
      <c r="AA96" s="1027"/>
      <c r="AB96" s="1027"/>
      <c r="AC96" s="1027"/>
      <c r="AD96" s="1027"/>
      <c r="AE96" s="1029"/>
      <c r="AF96" s="1029"/>
      <c r="AG96" s="1030"/>
    </row>
    <row r="97" spans="1:33" hidden="1" x14ac:dyDescent="0.35">
      <c r="A97" s="1020"/>
      <c r="B97" s="1021" t="s">
        <v>2450</v>
      </c>
      <c r="C97" s="1022"/>
      <c r="D97" s="2944"/>
      <c r="E97" s="1024"/>
      <c r="F97" s="1024"/>
      <c r="G97" s="1024"/>
      <c r="H97" s="1024"/>
      <c r="I97" s="1024"/>
      <c r="J97" s="1024">
        <v>0</v>
      </c>
      <c r="K97" s="1024">
        <f t="shared" si="7"/>
        <v>0</v>
      </c>
      <c r="L97" s="1025"/>
      <c r="P97" s="1026"/>
      <c r="Q97" s="1027"/>
      <c r="R97" s="1027"/>
      <c r="S97" s="1027"/>
      <c r="T97" s="1028"/>
      <c r="U97" s="1027"/>
      <c r="V97" s="1027"/>
      <c r="W97" s="1027"/>
      <c r="X97" s="1027"/>
      <c r="Y97" s="1027"/>
      <c r="Z97" s="1027"/>
      <c r="AA97" s="1027"/>
      <c r="AB97" s="1027"/>
      <c r="AC97" s="1027"/>
      <c r="AD97" s="1027"/>
      <c r="AE97" s="1029"/>
      <c r="AF97" s="1029"/>
      <c r="AG97" s="1030"/>
    </row>
    <row r="98" spans="1:33" hidden="1" x14ac:dyDescent="0.35">
      <c r="A98" s="1020"/>
      <c r="B98" s="1021" t="s">
        <v>2451</v>
      </c>
      <c r="C98" s="1022"/>
      <c r="D98" s="2944"/>
      <c r="E98" s="1024"/>
      <c r="F98" s="1024"/>
      <c r="G98" s="1024"/>
      <c r="H98" s="1024"/>
      <c r="I98" s="1024"/>
      <c r="J98" s="1024"/>
      <c r="K98" s="1024">
        <f t="shared" si="7"/>
        <v>0</v>
      </c>
      <c r="L98" s="1025"/>
      <c r="P98" s="1026"/>
      <c r="Q98" s="1027"/>
      <c r="R98" s="1027"/>
      <c r="S98" s="1027"/>
      <c r="T98" s="1028"/>
      <c r="U98" s="1027"/>
      <c r="V98" s="1027"/>
      <c r="W98" s="1027"/>
      <c r="X98" s="1027"/>
      <c r="Y98" s="1027"/>
      <c r="Z98" s="1027"/>
      <c r="AA98" s="1027"/>
      <c r="AB98" s="1027"/>
      <c r="AC98" s="1027"/>
      <c r="AD98" s="1027"/>
      <c r="AE98" s="1029"/>
      <c r="AF98" s="1029"/>
      <c r="AG98" s="1030"/>
    </row>
    <row r="99" spans="1:33" hidden="1" x14ac:dyDescent="0.35">
      <c r="A99" s="1020"/>
      <c r="B99" s="1021" t="s">
        <v>2452</v>
      </c>
      <c r="C99" s="1022"/>
      <c r="D99" s="2944"/>
      <c r="E99" s="1024"/>
      <c r="F99" s="1024"/>
      <c r="G99" s="1024"/>
      <c r="H99" s="1024"/>
      <c r="I99" s="1024"/>
      <c r="J99" s="1024"/>
      <c r="K99" s="1024">
        <f t="shared" si="7"/>
        <v>0</v>
      </c>
      <c r="L99" s="1025"/>
      <c r="P99" s="1026"/>
      <c r="Q99" s="1027"/>
      <c r="R99" s="1027"/>
      <c r="S99" s="1027"/>
      <c r="T99" s="1028"/>
      <c r="U99" s="1027"/>
      <c r="V99" s="1027"/>
      <c r="W99" s="1027"/>
      <c r="X99" s="1027"/>
      <c r="Y99" s="1027"/>
      <c r="Z99" s="1027"/>
      <c r="AA99" s="1027"/>
      <c r="AB99" s="1027"/>
      <c r="AC99" s="1027"/>
      <c r="AD99" s="1027"/>
      <c r="AE99" s="1029"/>
      <c r="AF99" s="1029"/>
      <c r="AG99" s="1030"/>
    </row>
    <row r="100" spans="1:33" hidden="1" x14ac:dyDescent="0.35">
      <c r="A100" s="1020"/>
      <c r="B100" s="1021" t="s">
        <v>2453</v>
      </c>
      <c r="C100" s="1022"/>
      <c r="D100" s="2944"/>
      <c r="E100" s="1024"/>
      <c r="F100" s="1024"/>
      <c r="G100" s="1024"/>
      <c r="H100" s="1024"/>
      <c r="I100" s="1024"/>
      <c r="J100" s="1024"/>
      <c r="K100" s="1024">
        <f t="shared" si="7"/>
        <v>0</v>
      </c>
      <c r="L100" s="1025"/>
      <c r="P100" s="1026"/>
      <c r="Q100" s="1027"/>
      <c r="R100" s="1027"/>
      <c r="S100" s="1027"/>
      <c r="T100" s="1028"/>
      <c r="U100" s="1027"/>
      <c r="V100" s="1027"/>
      <c r="W100" s="1027"/>
      <c r="X100" s="1027"/>
      <c r="Y100" s="1027"/>
      <c r="Z100" s="1027"/>
      <c r="AA100" s="1027"/>
      <c r="AB100" s="1027"/>
      <c r="AC100" s="1027"/>
      <c r="AD100" s="1027"/>
      <c r="AE100" s="1029"/>
      <c r="AF100" s="1029"/>
      <c r="AG100" s="1030"/>
    </row>
    <row r="101" spans="1:33" hidden="1" x14ac:dyDescent="0.35">
      <c r="A101" s="1020"/>
      <c r="B101" s="1021" t="s">
        <v>2454</v>
      </c>
      <c r="C101" s="1022"/>
      <c r="D101" s="2944"/>
      <c r="E101" s="1024"/>
      <c r="F101" s="1024"/>
      <c r="G101" s="1024"/>
      <c r="H101" s="1024"/>
      <c r="I101" s="1024"/>
      <c r="J101" s="1024"/>
      <c r="K101" s="1024">
        <f t="shared" si="7"/>
        <v>0</v>
      </c>
      <c r="L101" s="1025"/>
      <c r="P101" s="1026"/>
      <c r="Q101" s="1027"/>
      <c r="R101" s="1027"/>
      <c r="S101" s="1027"/>
      <c r="T101" s="1028"/>
      <c r="U101" s="1027"/>
      <c r="V101" s="1027"/>
      <c r="W101" s="1027"/>
      <c r="X101" s="1027"/>
      <c r="Y101" s="1027"/>
      <c r="Z101" s="1027"/>
      <c r="AA101" s="1027"/>
      <c r="AB101" s="1027"/>
      <c r="AC101" s="1027"/>
      <c r="AD101" s="1027"/>
      <c r="AE101" s="1029"/>
      <c r="AF101" s="1029"/>
      <c r="AG101" s="1030"/>
    </row>
    <row r="102" spans="1:33" hidden="1" x14ac:dyDescent="0.35">
      <c r="A102" s="1020"/>
      <c r="B102" s="1021" t="s">
        <v>2455</v>
      </c>
      <c r="C102" s="1022"/>
      <c r="D102" s="2944"/>
      <c r="E102" s="1024"/>
      <c r="F102" s="1024"/>
      <c r="G102" s="1024"/>
      <c r="H102" s="1024"/>
      <c r="I102" s="1024"/>
      <c r="J102" s="1024"/>
      <c r="K102" s="1024">
        <f t="shared" si="7"/>
        <v>0</v>
      </c>
      <c r="L102" s="1025"/>
      <c r="P102" s="1026"/>
      <c r="Q102" s="1027"/>
      <c r="R102" s="1027"/>
      <c r="S102" s="1027"/>
      <c r="T102" s="1028"/>
      <c r="U102" s="1027"/>
      <c r="V102" s="1027"/>
      <c r="W102" s="1027"/>
      <c r="X102" s="1027"/>
      <c r="Y102" s="1027"/>
      <c r="Z102" s="1027"/>
      <c r="AA102" s="1027"/>
      <c r="AB102" s="1027"/>
      <c r="AC102" s="1027"/>
      <c r="AD102" s="1027"/>
      <c r="AE102" s="1029"/>
      <c r="AF102" s="1029"/>
      <c r="AG102" s="1030"/>
    </row>
    <row r="103" spans="1:33" hidden="1" x14ac:dyDescent="0.35">
      <c r="A103" s="1020"/>
      <c r="B103" s="1021" t="s">
        <v>168</v>
      </c>
      <c r="C103" s="1022"/>
      <c r="D103" s="2944"/>
      <c r="E103" s="1024"/>
      <c r="F103" s="1024"/>
      <c r="G103" s="1024"/>
      <c r="H103" s="1024"/>
      <c r="I103" s="1024"/>
      <c r="J103" s="1024"/>
      <c r="K103" s="1024">
        <f t="shared" si="7"/>
        <v>0</v>
      </c>
      <c r="L103" s="1025"/>
      <c r="P103" s="1026"/>
      <c r="Q103" s="1027"/>
      <c r="R103" s="1027"/>
      <c r="S103" s="1027"/>
      <c r="T103" s="1028"/>
      <c r="U103" s="1027"/>
      <c r="V103" s="1027"/>
      <c r="W103" s="1027"/>
      <c r="X103" s="1027"/>
      <c r="Y103" s="1027"/>
      <c r="Z103" s="1027"/>
      <c r="AA103" s="1027"/>
      <c r="AB103" s="1027"/>
      <c r="AC103" s="1027"/>
      <c r="AD103" s="1027"/>
      <c r="AE103" s="1029"/>
      <c r="AF103" s="1029"/>
      <c r="AG103" s="1030"/>
    </row>
    <row r="104" spans="1:33" hidden="1" x14ac:dyDescent="0.35">
      <c r="A104" s="1020"/>
      <c r="B104" s="1021" t="s">
        <v>171</v>
      </c>
      <c r="C104" s="1022" t="s">
        <v>2448</v>
      </c>
      <c r="D104" s="1023" t="s">
        <v>2448</v>
      </c>
      <c r="E104" s="1024" t="s">
        <v>2448</v>
      </c>
      <c r="F104" s="1024" t="s">
        <v>2448</v>
      </c>
      <c r="G104" s="1024" t="s">
        <v>2448</v>
      </c>
      <c r="H104" s="1024" t="s">
        <v>2448</v>
      </c>
      <c r="I104" s="1024" t="s">
        <v>2448</v>
      </c>
      <c r="J104" s="1024" t="s">
        <v>2448</v>
      </c>
      <c r="K104" s="1024">
        <f t="shared" si="7"/>
        <v>0</v>
      </c>
      <c r="L104" s="1025"/>
      <c r="P104" s="1026"/>
      <c r="Q104" s="1027"/>
      <c r="R104" s="1027"/>
      <c r="S104" s="1027"/>
      <c r="T104" s="1028"/>
      <c r="U104" s="1027"/>
      <c r="V104" s="1027"/>
      <c r="W104" s="1027"/>
      <c r="X104" s="1027"/>
      <c r="Y104" s="1027"/>
      <c r="Z104" s="1027"/>
      <c r="AA104" s="1027"/>
      <c r="AB104" s="1027"/>
      <c r="AC104" s="1027"/>
      <c r="AD104" s="1027"/>
      <c r="AE104" s="1029"/>
      <c r="AF104" s="1029"/>
      <c r="AG104" s="1030"/>
    </row>
    <row r="105" spans="1:33" hidden="1" x14ac:dyDescent="0.35">
      <c r="A105" s="1020"/>
      <c r="B105" s="1021" t="s">
        <v>173</v>
      </c>
      <c r="C105" s="1022" t="s">
        <v>2448</v>
      </c>
      <c r="D105" s="1023" t="s">
        <v>2448</v>
      </c>
      <c r="E105" s="1024" t="s">
        <v>2448</v>
      </c>
      <c r="F105" s="1024" t="s">
        <v>2448</v>
      </c>
      <c r="G105" s="1024" t="s">
        <v>2448</v>
      </c>
      <c r="H105" s="1024" t="s">
        <v>2448</v>
      </c>
      <c r="I105" s="1024" t="s">
        <v>2448</v>
      </c>
      <c r="J105" s="1024" t="s">
        <v>2448</v>
      </c>
      <c r="K105" s="1024">
        <f t="shared" si="7"/>
        <v>0</v>
      </c>
      <c r="L105" s="1025"/>
      <c r="P105" s="1026"/>
      <c r="Q105" s="1027"/>
      <c r="R105" s="1027"/>
      <c r="S105" s="1027"/>
      <c r="T105" s="1028"/>
      <c r="U105" s="1027"/>
      <c r="V105" s="1027"/>
      <c r="W105" s="1027"/>
      <c r="X105" s="1027"/>
      <c r="Y105" s="1027"/>
      <c r="Z105" s="1027"/>
      <c r="AA105" s="1027"/>
      <c r="AB105" s="1027"/>
      <c r="AC105" s="1027"/>
      <c r="AD105" s="1027"/>
      <c r="AE105" s="1029"/>
      <c r="AF105" s="1029"/>
      <c r="AG105" s="1030"/>
    </row>
    <row r="106" spans="1:33" x14ac:dyDescent="0.35">
      <c r="A106" s="1020"/>
      <c r="B106" s="1031"/>
      <c r="C106" s="1022"/>
      <c r="D106" s="1023"/>
      <c r="E106" s="1032">
        <f t="shared" ref="E106:K106" si="8">SUM(E86:E105)</f>
        <v>38000000</v>
      </c>
      <c r="F106" s="1032">
        <f t="shared" si="8"/>
        <v>0</v>
      </c>
      <c r="G106" s="1032">
        <f t="shared" si="8"/>
        <v>15808000</v>
      </c>
      <c r="H106" s="1032">
        <f t="shared" si="8"/>
        <v>0</v>
      </c>
      <c r="I106" s="1032">
        <f t="shared" si="8"/>
        <v>4636000</v>
      </c>
      <c r="J106" s="1032">
        <f t="shared" si="8"/>
        <v>0</v>
      </c>
      <c r="K106" s="1032">
        <f t="shared" si="8"/>
        <v>58444000</v>
      </c>
      <c r="L106" s="1033"/>
      <c r="P106" s="1026"/>
      <c r="Q106" s="1027"/>
      <c r="R106" s="1027"/>
      <c r="S106" s="1027"/>
      <c r="T106" s="1028"/>
      <c r="U106" s="1027"/>
      <c r="V106" s="1027"/>
      <c r="W106" s="1027"/>
      <c r="X106" s="1027"/>
      <c r="Y106" s="1027"/>
      <c r="Z106" s="1027"/>
      <c r="AA106" s="1027"/>
      <c r="AB106" s="1027"/>
      <c r="AC106" s="1027"/>
      <c r="AD106" s="1027"/>
      <c r="AE106" s="1029"/>
      <c r="AF106" s="1029"/>
      <c r="AG106" s="1030"/>
    </row>
    <row r="107" spans="1:33" x14ac:dyDescent="0.35">
      <c r="A107" s="1020"/>
      <c r="B107" s="1031"/>
      <c r="C107" s="1034" t="s">
        <v>7337</v>
      </c>
      <c r="D107" s="1023"/>
      <c r="E107" s="1035"/>
      <c r="F107" s="1035"/>
      <c r="G107" s="1035"/>
      <c r="H107" s="1035"/>
      <c r="I107" s="1035"/>
      <c r="J107" s="1035"/>
      <c r="K107" s="1035"/>
      <c r="L107" s="1038"/>
      <c r="P107" s="1026"/>
      <c r="Q107" s="1027"/>
      <c r="R107" s="1027"/>
      <c r="S107" s="1027"/>
      <c r="T107" s="1028"/>
      <c r="U107" s="1027"/>
      <c r="V107" s="1027"/>
      <c r="W107" s="1027"/>
      <c r="X107" s="1027"/>
      <c r="Y107" s="1027"/>
      <c r="Z107" s="1027"/>
      <c r="AA107" s="1027"/>
      <c r="AB107" s="1027"/>
      <c r="AC107" s="1027"/>
      <c r="AD107" s="1027"/>
      <c r="AE107" s="1029"/>
      <c r="AF107" s="1029"/>
      <c r="AG107" s="1030"/>
    </row>
    <row r="108" spans="1:33" x14ac:dyDescent="0.35">
      <c r="A108" s="1020"/>
      <c r="B108" s="1021" t="s">
        <v>2447</v>
      </c>
      <c r="C108" s="1022" t="s">
        <v>8105</v>
      </c>
      <c r="D108" s="2944" t="s">
        <v>7338</v>
      </c>
      <c r="E108" s="1024">
        <v>1900000</v>
      </c>
      <c r="F108" s="1024">
        <v>0</v>
      </c>
      <c r="G108" s="1024">
        <v>0</v>
      </c>
      <c r="H108" s="1024"/>
      <c r="I108" s="1024">
        <v>0</v>
      </c>
      <c r="J108" s="1024">
        <v>0</v>
      </c>
      <c r="K108" s="1024">
        <f t="shared" ref="K108:K132" si="9">SUM(E108:J108)</f>
        <v>1900000</v>
      </c>
      <c r="L108" s="1025"/>
      <c r="P108" s="1026"/>
      <c r="Q108" s="1027"/>
      <c r="R108" s="1027"/>
      <c r="S108" s="1027"/>
      <c r="T108" s="1028"/>
      <c r="U108" s="1027"/>
      <c r="V108" s="1027"/>
      <c r="W108" s="1027"/>
      <c r="X108" s="1027"/>
      <c r="Y108" s="1027"/>
      <c r="Z108" s="1027"/>
      <c r="AA108" s="1027"/>
      <c r="AB108" s="1027"/>
      <c r="AC108" s="1027"/>
      <c r="AD108" s="1027"/>
      <c r="AE108" s="1029"/>
      <c r="AF108" s="1029"/>
      <c r="AG108" s="1030"/>
    </row>
    <row r="109" spans="1:33" x14ac:dyDescent="0.35">
      <c r="A109" s="1020"/>
      <c r="B109" s="1021" t="s">
        <v>23</v>
      </c>
      <c r="C109" s="1022" t="s">
        <v>7388</v>
      </c>
      <c r="D109" s="2944" t="s">
        <v>7338</v>
      </c>
      <c r="E109" s="1024">
        <v>0</v>
      </c>
      <c r="F109" s="1024">
        <v>0</v>
      </c>
      <c r="G109" s="1024">
        <v>0</v>
      </c>
      <c r="H109" s="1024"/>
      <c r="I109" s="1024">
        <v>4561000</v>
      </c>
      <c r="J109" s="1024">
        <v>0</v>
      </c>
      <c r="K109" s="1024">
        <f t="shared" si="9"/>
        <v>4561000</v>
      </c>
      <c r="L109" s="1025"/>
      <c r="P109" s="1026"/>
      <c r="Q109" s="1027"/>
      <c r="R109" s="1027"/>
      <c r="S109" s="1027"/>
      <c r="T109" s="1028"/>
      <c r="U109" s="1027"/>
      <c r="V109" s="1027"/>
      <c r="W109" s="1027"/>
      <c r="X109" s="1027"/>
      <c r="Y109" s="1027"/>
      <c r="Z109" s="1027"/>
      <c r="AA109" s="1027"/>
      <c r="AB109" s="1027"/>
      <c r="AC109" s="1027"/>
      <c r="AD109" s="1027"/>
      <c r="AE109" s="1029"/>
      <c r="AF109" s="1029"/>
      <c r="AG109" s="1030"/>
    </row>
    <row r="110" spans="1:33" x14ac:dyDescent="0.35">
      <c r="A110" s="1020"/>
      <c r="B110" s="1021" t="s">
        <v>27</v>
      </c>
      <c r="C110" s="1022" t="s">
        <v>7389</v>
      </c>
      <c r="D110" s="2944" t="s">
        <v>7338</v>
      </c>
      <c r="E110" s="1024">
        <v>0</v>
      </c>
      <c r="F110" s="1024">
        <v>0</v>
      </c>
      <c r="G110" s="1024">
        <v>0</v>
      </c>
      <c r="H110" s="1024"/>
      <c r="I110" s="1024">
        <v>4161000</v>
      </c>
      <c r="J110" s="1024">
        <v>0</v>
      </c>
      <c r="K110" s="1024">
        <f t="shared" si="9"/>
        <v>4161000</v>
      </c>
      <c r="L110" s="1025"/>
      <c r="P110" s="1026"/>
      <c r="Q110" s="1027"/>
      <c r="R110" s="1027"/>
      <c r="S110" s="1027"/>
      <c r="T110" s="1028"/>
      <c r="U110" s="1027"/>
      <c r="V110" s="1027"/>
      <c r="W110" s="1027"/>
      <c r="X110" s="1027"/>
      <c r="Y110" s="1027"/>
      <c r="Z110" s="1027"/>
      <c r="AA110" s="1027"/>
      <c r="AB110" s="1027"/>
      <c r="AC110" s="1027"/>
      <c r="AD110" s="1027"/>
      <c r="AE110" s="1029"/>
      <c r="AF110" s="1029"/>
      <c r="AG110" s="1030"/>
    </row>
    <row r="111" spans="1:33" x14ac:dyDescent="0.35">
      <c r="A111" s="1020"/>
      <c r="B111" s="1021" t="s">
        <v>31</v>
      </c>
      <c r="C111" s="1022" t="s">
        <v>8132</v>
      </c>
      <c r="D111" s="2944" t="s">
        <v>7338</v>
      </c>
      <c r="E111" s="1024">
        <v>3600000</v>
      </c>
      <c r="F111" s="1024">
        <v>0</v>
      </c>
      <c r="G111" s="1024">
        <v>0</v>
      </c>
      <c r="H111" s="1024"/>
      <c r="I111" s="1024">
        <v>0</v>
      </c>
      <c r="J111" s="1024">
        <v>0</v>
      </c>
      <c r="K111" s="1024">
        <f t="shared" si="9"/>
        <v>3600000</v>
      </c>
      <c r="L111" s="1025"/>
      <c r="P111" s="1026"/>
      <c r="Q111" s="1027"/>
      <c r="R111" s="1027"/>
      <c r="S111" s="1027"/>
      <c r="T111" s="1028"/>
      <c r="U111" s="1027"/>
      <c r="V111" s="1027"/>
      <c r="W111" s="1027"/>
      <c r="X111" s="1027"/>
      <c r="Y111" s="1027"/>
      <c r="Z111" s="1027"/>
      <c r="AA111" s="1027"/>
      <c r="AB111" s="1027"/>
      <c r="AC111" s="1027"/>
      <c r="AD111" s="1027"/>
      <c r="AE111" s="1029"/>
      <c r="AF111" s="1029"/>
      <c r="AG111" s="1030"/>
    </row>
    <row r="112" spans="1:33" x14ac:dyDescent="0.35">
      <c r="A112" s="1020"/>
      <c r="B112" s="1021" t="s">
        <v>36</v>
      </c>
      <c r="C112" s="1022" t="s">
        <v>8178</v>
      </c>
      <c r="D112" s="2944" t="s">
        <v>7338</v>
      </c>
      <c r="E112" s="1024">
        <v>3400000</v>
      </c>
      <c r="F112" s="1024">
        <v>0</v>
      </c>
      <c r="G112" s="1024">
        <v>0</v>
      </c>
      <c r="H112" s="1024"/>
      <c r="I112" s="1024">
        <v>0</v>
      </c>
      <c r="J112" s="1024">
        <v>0</v>
      </c>
      <c r="K112" s="1024">
        <f t="shared" si="9"/>
        <v>3400000</v>
      </c>
      <c r="L112" s="1025"/>
      <c r="P112" s="1026"/>
      <c r="Q112" s="1027"/>
      <c r="R112" s="1027"/>
      <c r="S112" s="1027"/>
      <c r="T112" s="1028"/>
      <c r="U112" s="1027"/>
      <c r="V112" s="1027"/>
      <c r="W112" s="1027"/>
      <c r="X112" s="1027"/>
      <c r="Y112" s="1027"/>
      <c r="Z112" s="1027"/>
      <c r="AA112" s="1027"/>
      <c r="AB112" s="1027"/>
      <c r="AC112" s="1027"/>
      <c r="AD112" s="1027"/>
      <c r="AE112" s="1029"/>
      <c r="AF112" s="1029"/>
      <c r="AG112" s="1030"/>
    </row>
    <row r="113" spans="1:33" x14ac:dyDescent="0.35">
      <c r="A113" s="1020"/>
      <c r="B113" s="1021" t="s">
        <v>2449</v>
      </c>
      <c r="C113" s="1022" t="s">
        <v>7390</v>
      </c>
      <c r="D113" s="2944" t="s">
        <v>7338</v>
      </c>
      <c r="E113" s="1024">
        <v>0</v>
      </c>
      <c r="F113" s="1024">
        <v>0</v>
      </c>
      <c r="G113" s="1024">
        <v>0</v>
      </c>
      <c r="H113" s="1024"/>
      <c r="I113" s="1024">
        <v>6311000</v>
      </c>
      <c r="J113" s="1024">
        <v>0</v>
      </c>
      <c r="K113" s="1024">
        <f t="shared" si="9"/>
        <v>6311000</v>
      </c>
      <c r="L113" s="1025"/>
      <c r="P113" s="1026"/>
      <c r="Q113" s="1027"/>
      <c r="R113" s="1027"/>
      <c r="S113" s="1027"/>
      <c r="T113" s="1028"/>
      <c r="U113" s="1027"/>
      <c r="V113" s="1027"/>
      <c r="W113" s="1027"/>
      <c r="X113" s="1027"/>
      <c r="Y113" s="1027"/>
      <c r="Z113" s="1027"/>
      <c r="AA113" s="1027"/>
      <c r="AB113" s="1027"/>
      <c r="AC113" s="1027"/>
      <c r="AD113" s="1027"/>
      <c r="AE113" s="1029"/>
      <c r="AF113" s="1029"/>
      <c r="AG113" s="1030"/>
    </row>
    <row r="114" spans="1:33" x14ac:dyDescent="0.35">
      <c r="A114" s="1020"/>
      <c r="B114" s="1021" t="s">
        <v>759</v>
      </c>
      <c r="C114" s="1022" t="s">
        <v>7391</v>
      </c>
      <c r="D114" s="2944" t="s">
        <v>7338</v>
      </c>
      <c r="E114" s="1024">
        <v>1400000</v>
      </c>
      <c r="F114" s="1024">
        <v>0</v>
      </c>
      <c r="G114" s="1024">
        <v>0</v>
      </c>
      <c r="H114" s="1024"/>
      <c r="I114" s="1024">
        <v>2133000</v>
      </c>
      <c r="J114" s="1024">
        <v>0</v>
      </c>
      <c r="K114" s="1024">
        <f t="shared" si="9"/>
        <v>3533000</v>
      </c>
      <c r="L114" s="1025"/>
      <c r="P114" s="1026"/>
      <c r="Q114" s="1027"/>
      <c r="R114" s="1027"/>
      <c r="S114" s="1027"/>
      <c r="T114" s="1028"/>
      <c r="U114" s="1027"/>
      <c r="V114" s="1027"/>
      <c r="W114" s="1027"/>
      <c r="X114" s="1027"/>
      <c r="Y114" s="1027"/>
      <c r="Z114" s="1027"/>
      <c r="AA114" s="1027"/>
      <c r="AB114" s="1027"/>
      <c r="AC114" s="1027"/>
      <c r="AD114" s="1027"/>
      <c r="AE114" s="1029"/>
      <c r="AF114" s="1029"/>
      <c r="AG114" s="1030"/>
    </row>
    <row r="115" spans="1:33" x14ac:dyDescent="0.35">
      <c r="A115" s="1020"/>
      <c r="B115" s="1021" t="s">
        <v>701</v>
      </c>
      <c r="C115" s="1022" t="s">
        <v>7392</v>
      </c>
      <c r="D115" s="2944" t="s">
        <v>7338</v>
      </c>
      <c r="E115" s="1024">
        <v>0</v>
      </c>
      <c r="F115" s="1024">
        <v>0</v>
      </c>
      <c r="G115" s="1024">
        <v>0</v>
      </c>
      <c r="H115" s="1024"/>
      <c r="I115" s="1024">
        <v>4313000</v>
      </c>
      <c r="J115" s="1024">
        <v>0</v>
      </c>
      <c r="K115" s="1024">
        <f t="shared" si="9"/>
        <v>4313000</v>
      </c>
      <c r="L115" s="1025"/>
      <c r="P115" s="1026"/>
      <c r="Q115" s="1027"/>
      <c r="R115" s="1027"/>
      <c r="S115" s="1027"/>
      <c r="T115" s="1028"/>
      <c r="U115" s="1027"/>
      <c r="V115" s="1027"/>
      <c r="W115" s="1027"/>
      <c r="X115" s="1027"/>
      <c r="Y115" s="1027"/>
      <c r="Z115" s="1027"/>
      <c r="AA115" s="1027"/>
      <c r="AB115" s="1027"/>
      <c r="AC115" s="1027"/>
      <c r="AD115" s="1027"/>
      <c r="AE115" s="1029"/>
      <c r="AF115" s="1029"/>
      <c r="AG115" s="1030"/>
    </row>
    <row r="116" spans="1:33" x14ac:dyDescent="0.35">
      <c r="A116" s="1020"/>
      <c r="B116" s="1021" t="s">
        <v>1027</v>
      </c>
      <c r="C116" s="1022" t="s">
        <v>8082</v>
      </c>
      <c r="D116" s="2944" t="s">
        <v>7338</v>
      </c>
      <c r="E116" s="1024">
        <v>1700000</v>
      </c>
      <c r="F116" s="1024">
        <v>0</v>
      </c>
      <c r="G116" s="1024">
        <v>0</v>
      </c>
      <c r="H116" s="1024"/>
      <c r="I116" s="1024">
        <v>0</v>
      </c>
      <c r="J116" s="1024">
        <v>0</v>
      </c>
      <c r="K116" s="1024">
        <f t="shared" si="9"/>
        <v>1700000</v>
      </c>
      <c r="L116" s="1025"/>
      <c r="P116" s="1026"/>
      <c r="Q116" s="1027"/>
      <c r="R116" s="1027"/>
      <c r="S116" s="1027"/>
      <c r="T116" s="1028"/>
      <c r="U116" s="1027"/>
      <c r="V116" s="1027"/>
      <c r="W116" s="1027"/>
      <c r="X116" s="1027"/>
      <c r="Y116" s="1027"/>
      <c r="Z116" s="1027"/>
      <c r="AA116" s="1027"/>
      <c r="AB116" s="1027"/>
      <c r="AC116" s="1027"/>
      <c r="AD116" s="1027"/>
      <c r="AE116" s="1029"/>
      <c r="AF116" s="1029"/>
      <c r="AG116" s="1030"/>
    </row>
    <row r="117" spans="1:33" x14ac:dyDescent="0.35">
      <c r="A117" s="1020"/>
      <c r="B117" s="1021" t="s">
        <v>762</v>
      </c>
      <c r="C117" s="1022" t="s">
        <v>8133</v>
      </c>
      <c r="D117" s="2944" t="s">
        <v>7338</v>
      </c>
      <c r="E117" s="1024">
        <v>5100000</v>
      </c>
      <c r="F117" s="1024">
        <v>0</v>
      </c>
      <c r="G117" s="1024">
        <v>0</v>
      </c>
      <c r="H117" s="1024"/>
      <c r="I117" s="1024">
        <v>0</v>
      </c>
      <c r="J117" s="1024">
        <v>0</v>
      </c>
      <c r="K117" s="1024">
        <f t="shared" si="9"/>
        <v>5100000</v>
      </c>
      <c r="L117" s="1025"/>
      <c r="P117" s="1026"/>
      <c r="Q117" s="1027"/>
      <c r="R117" s="1027"/>
      <c r="S117" s="1027"/>
      <c r="T117" s="1028"/>
      <c r="U117" s="1027"/>
      <c r="V117" s="1027"/>
      <c r="W117" s="1027"/>
      <c r="X117" s="1027"/>
      <c r="Y117" s="1027"/>
      <c r="Z117" s="1027"/>
      <c r="AA117" s="1027"/>
      <c r="AB117" s="1027"/>
      <c r="AC117" s="1027"/>
      <c r="AD117" s="1027"/>
      <c r="AE117" s="1029"/>
      <c r="AF117" s="1029"/>
      <c r="AG117" s="1030"/>
    </row>
    <row r="118" spans="1:33" x14ac:dyDescent="0.35">
      <c r="A118" s="1020"/>
      <c r="B118" s="1021" t="s">
        <v>874</v>
      </c>
      <c r="C118" s="1022" t="s">
        <v>8243</v>
      </c>
      <c r="D118" s="2944" t="s">
        <v>7338</v>
      </c>
      <c r="E118" s="1024">
        <v>1700000</v>
      </c>
      <c r="F118" s="1024">
        <v>0</v>
      </c>
      <c r="G118" s="1024">
        <v>0</v>
      </c>
      <c r="H118" s="1024"/>
      <c r="I118" s="1024">
        <v>0</v>
      </c>
      <c r="J118" s="1024">
        <v>0</v>
      </c>
      <c r="K118" s="1024">
        <f t="shared" si="9"/>
        <v>1700000</v>
      </c>
      <c r="L118" s="1025"/>
      <c r="P118" s="1026"/>
      <c r="Q118" s="1027"/>
      <c r="R118" s="1027"/>
      <c r="S118" s="1027"/>
      <c r="T118" s="1028"/>
      <c r="U118" s="1027"/>
      <c r="V118" s="1027"/>
      <c r="W118" s="1027"/>
      <c r="X118" s="1027"/>
      <c r="Y118" s="1027"/>
      <c r="Z118" s="1027"/>
      <c r="AA118" s="1027"/>
      <c r="AB118" s="1027"/>
      <c r="AC118" s="1027"/>
      <c r="AD118" s="1027"/>
      <c r="AE118" s="1029"/>
      <c r="AF118" s="1029"/>
      <c r="AG118" s="1030"/>
    </row>
    <row r="119" spans="1:33" x14ac:dyDescent="0.35">
      <c r="A119" s="1020"/>
      <c r="B119" s="1021" t="s">
        <v>2450</v>
      </c>
      <c r="C119" s="1022" t="s">
        <v>7393</v>
      </c>
      <c r="D119" s="2944" t="s">
        <v>7338</v>
      </c>
      <c r="E119" s="1024">
        <v>36600000</v>
      </c>
      <c r="F119" s="1024">
        <v>0</v>
      </c>
      <c r="G119" s="1024">
        <v>0</v>
      </c>
      <c r="H119" s="1024"/>
      <c r="I119" s="1024">
        <v>4313000</v>
      </c>
      <c r="J119" s="1024">
        <v>0</v>
      </c>
      <c r="K119" s="1024">
        <f t="shared" si="9"/>
        <v>40913000</v>
      </c>
      <c r="L119" s="1025"/>
      <c r="P119" s="1026"/>
      <c r="Q119" s="1027"/>
      <c r="R119" s="1027"/>
      <c r="S119" s="1027"/>
      <c r="T119" s="1028"/>
      <c r="U119" s="1027"/>
      <c r="V119" s="1027"/>
      <c r="W119" s="1027"/>
      <c r="X119" s="1027"/>
      <c r="Y119" s="1027"/>
      <c r="Z119" s="1027"/>
      <c r="AA119" s="1027"/>
      <c r="AB119" s="1027"/>
      <c r="AC119" s="1027"/>
      <c r="AD119" s="1027"/>
      <c r="AE119" s="1029"/>
      <c r="AF119" s="1029"/>
      <c r="AG119" s="1030"/>
    </row>
    <row r="120" spans="1:33" x14ac:dyDescent="0.35">
      <c r="A120" s="1020"/>
      <c r="B120" s="1021" t="s">
        <v>2451</v>
      </c>
      <c r="C120" s="1022" t="s">
        <v>7394</v>
      </c>
      <c r="D120" s="2944" t="s">
        <v>7338</v>
      </c>
      <c r="E120" s="1024">
        <v>8050000</v>
      </c>
      <c r="F120" s="1024">
        <v>0</v>
      </c>
      <c r="G120" s="1024">
        <v>0</v>
      </c>
      <c r="H120" s="1024"/>
      <c r="I120" s="1024">
        <v>3663000</v>
      </c>
      <c r="J120" s="1024">
        <v>0</v>
      </c>
      <c r="K120" s="1024">
        <f t="shared" si="9"/>
        <v>11713000</v>
      </c>
      <c r="L120" s="1025"/>
      <c r="P120" s="1026"/>
      <c r="Q120" s="1027"/>
      <c r="R120" s="1027"/>
      <c r="S120" s="1027"/>
      <c r="T120" s="1028"/>
      <c r="U120" s="1027"/>
      <c r="V120" s="1027"/>
      <c r="W120" s="1027"/>
      <c r="X120" s="1027"/>
      <c r="Y120" s="1027"/>
      <c r="Z120" s="1027"/>
      <c r="AA120" s="1027"/>
      <c r="AB120" s="1027"/>
      <c r="AC120" s="1027"/>
      <c r="AD120" s="1027"/>
      <c r="AE120" s="1029"/>
      <c r="AF120" s="1029"/>
      <c r="AG120" s="1030"/>
    </row>
    <row r="121" spans="1:33" x14ac:dyDescent="0.35">
      <c r="A121" s="1020"/>
      <c r="B121" s="1021" t="s">
        <v>2452</v>
      </c>
      <c r="C121" s="1022" t="s">
        <v>8179</v>
      </c>
      <c r="D121" s="2944" t="s">
        <v>7338</v>
      </c>
      <c r="E121" s="1024">
        <v>1000000</v>
      </c>
      <c r="F121" s="1024">
        <v>0</v>
      </c>
      <c r="G121" s="1024">
        <v>0</v>
      </c>
      <c r="H121" s="1024"/>
      <c r="I121" s="1024">
        <v>0</v>
      </c>
      <c r="J121" s="1024">
        <v>0</v>
      </c>
      <c r="K121" s="1024">
        <f t="shared" si="9"/>
        <v>1000000</v>
      </c>
      <c r="L121" s="1025"/>
      <c r="P121" s="1026"/>
      <c r="Q121" s="1027"/>
      <c r="R121" s="1027"/>
      <c r="S121" s="1027"/>
      <c r="T121" s="1028"/>
      <c r="U121" s="1027"/>
      <c r="V121" s="1027"/>
      <c r="W121" s="1027"/>
      <c r="X121" s="1027"/>
      <c r="Y121" s="1027"/>
      <c r="Z121" s="1027"/>
      <c r="AA121" s="1027"/>
      <c r="AB121" s="1027"/>
      <c r="AC121" s="1027"/>
      <c r="AD121" s="1027"/>
      <c r="AE121" s="1029"/>
      <c r="AF121" s="1029"/>
      <c r="AG121" s="1030"/>
    </row>
    <row r="122" spans="1:33" x14ac:dyDescent="0.35">
      <c r="A122" s="1020"/>
      <c r="B122" s="1021" t="s">
        <v>2453</v>
      </c>
      <c r="C122" s="1022" t="s">
        <v>7395</v>
      </c>
      <c r="D122" s="2944" t="s">
        <v>7338</v>
      </c>
      <c r="E122" s="1024">
        <v>1900000</v>
      </c>
      <c r="F122" s="1024">
        <v>0</v>
      </c>
      <c r="G122" s="1024">
        <v>0</v>
      </c>
      <c r="H122" s="1024"/>
      <c r="I122" s="1024">
        <v>2813000</v>
      </c>
      <c r="J122" s="1024">
        <v>0</v>
      </c>
      <c r="K122" s="1024">
        <f t="shared" si="9"/>
        <v>4713000</v>
      </c>
      <c r="L122" s="1025"/>
      <c r="P122" s="1026"/>
      <c r="Q122" s="1027"/>
      <c r="R122" s="1027"/>
      <c r="S122" s="1027"/>
      <c r="T122" s="1028"/>
      <c r="U122" s="1027"/>
      <c r="V122" s="1027"/>
      <c r="W122" s="1027"/>
      <c r="X122" s="1027"/>
      <c r="Y122" s="1027"/>
      <c r="Z122" s="1027"/>
      <c r="AA122" s="1027"/>
      <c r="AB122" s="1027"/>
      <c r="AC122" s="1027"/>
      <c r="AD122" s="1027"/>
      <c r="AE122" s="1029"/>
      <c r="AF122" s="1029"/>
      <c r="AG122" s="1030"/>
    </row>
    <row r="123" spans="1:33" x14ac:dyDescent="0.35">
      <c r="A123" s="1020"/>
      <c r="B123" s="1021" t="s">
        <v>2454</v>
      </c>
      <c r="C123" s="1022" t="s">
        <v>7997</v>
      </c>
      <c r="D123" s="2944" t="s">
        <v>7338</v>
      </c>
      <c r="E123" s="1024">
        <v>600000</v>
      </c>
      <c r="F123" s="1024">
        <v>0</v>
      </c>
      <c r="G123" s="1024">
        <v>0</v>
      </c>
      <c r="H123" s="1024"/>
      <c r="I123" s="1024">
        <v>0</v>
      </c>
      <c r="J123" s="1024">
        <v>0</v>
      </c>
      <c r="K123" s="1024">
        <f t="shared" si="9"/>
        <v>600000</v>
      </c>
      <c r="L123" s="1025"/>
      <c r="P123" s="1026"/>
      <c r="Q123" s="1027"/>
      <c r="R123" s="1027"/>
      <c r="S123" s="1027"/>
      <c r="T123" s="1028"/>
      <c r="U123" s="1027"/>
      <c r="V123" s="1027"/>
      <c r="W123" s="1027"/>
      <c r="X123" s="1027"/>
      <c r="Y123" s="1027"/>
      <c r="Z123" s="1027"/>
      <c r="AA123" s="1027"/>
      <c r="AB123" s="1027"/>
      <c r="AC123" s="1027"/>
      <c r="AD123" s="1027"/>
      <c r="AE123" s="1029"/>
      <c r="AF123" s="1029"/>
      <c r="AG123" s="1030"/>
    </row>
    <row r="124" spans="1:33" x14ac:dyDescent="0.35">
      <c r="A124" s="1020"/>
      <c r="B124" s="1021" t="s">
        <v>2455</v>
      </c>
      <c r="C124" s="1022" t="s">
        <v>7396</v>
      </c>
      <c r="D124" s="2944" t="s">
        <v>7338</v>
      </c>
      <c r="E124" s="1024">
        <v>6800000</v>
      </c>
      <c r="F124" s="1024">
        <v>0</v>
      </c>
      <c r="G124" s="1024">
        <v>10000000</v>
      </c>
      <c r="H124" s="1024"/>
      <c r="I124" s="1024">
        <v>0</v>
      </c>
      <c r="J124" s="1024">
        <v>0</v>
      </c>
      <c r="K124" s="1024">
        <f t="shared" si="9"/>
        <v>16800000</v>
      </c>
      <c r="L124" s="1025"/>
      <c r="P124" s="1026"/>
      <c r="Q124" s="1027"/>
      <c r="R124" s="1027"/>
      <c r="S124" s="1027"/>
      <c r="T124" s="1028"/>
      <c r="U124" s="1027"/>
      <c r="V124" s="1027"/>
      <c r="W124" s="1027"/>
      <c r="X124" s="1027"/>
      <c r="Y124" s="1027"/>
      <c r="Z124" s="1027"/>
      <c r="AA124" s="1027"/>
      <c r="AB124" s="1027"/>
      <c r="AC124" s="1027"/>
      <c r="AD124" s="1027"/>
      <c r="AE124" s="1029"/>
      <c r="AF124" s="1029"/>
      <c r="AG124" s="1030"/>
    </row>
    <row r="125" spans="1:33" hidden="1" x14ac:dyDescent="0.35">
      <c r="A125" s="1020"/>
      <c r="B125" s="1021" t="s">
        <v>168</v>
      </c>
      <c r="C125" s="1022"/>
      <c r="D125" s="2944"/>
      <c r="E125" s="1024"/>
      <c r="F125" s="1024"/>
      <c r="G125" s="1024"/>
      <c r="H125" s="1024"/>
      <c r="I125" s="1024"/>
      <c r="J125" s="1024"/>
      <c r="K125" s="1024">
        <f t="shared" si="9"/>
        <v>0</v>
      </c>
      <c r="L125" s="1025"/>
      <c r="P125" s="1026"/>
      <c r="Q125" s="1027"/>
      <c r="R125" s="1027"/>
      <c r="S125" s="1027"/>
      <c r="T125" s="1028"/>
      <c r="U125" s="1027"/>
      <c r="V125" s="1027"/>
      <c r="W125" s="1027"/>
      <c r="X125" s="1027"/>
      <c r="Y125" s="1027"/>
      <c r="Z125" s="1027"/>
      <c r="AA125" s="1027"/>
      <c r="AB125" s="1027"/>
      <c r="AC125" s="1027"/>
      <c r="AD125" s="1027"/>
      <c r="AE125" s="1029"/>
      <c r="AF125" s="1029"/>
      <c r="AG125" s="1030"/>
    </row>
    <row r="126" spans="1:33" hidden="1" x14ac:dyDescent="0.35">
      <c r="A126" s="1020"/>
      <c r="B126" s="1021" t="s">
        <v>171</v>
      </c>
      <c r="C126" s="1022"/>
      <c r="D126" s="2944"/>
      <c r="E126" s="1024"/>
      <c r="F126" s="1024"/>
      <c r="G126" s="1024"/>
      <c r="H126" s="1024"/>
      <c r="I126" s="1024"/>
      <c r="J126" s="1024"/>
      <c r="K126" s="1024">
        <f t="shared" si="9"/>
        <v>0</v>
      </c>
      <c r="L126" s="1025"/>
      <c r="P126" s="1026"/>
      <c r="Q126" s="1027"/>
      <c r="R126" s="1027"/>
      <c r="S126" s="1027"/>
      <c r="T126" s="1028"/>
      <c r="U126" s="1027"/>
      <c r="V126" s="1027"/>
      <c r="W126" s="1027"/>
      <c r="X126" s="1027"/>
      <c r="Y126" s="1027"/>
      <c r="Z126" s="1027"/>
      <c r="AA126" s="1027"/>
      <c r="AB126" s="1027"/>
      <c r="AC126" s="1027"/>
      <c r="AD126" s="1027"/>
      <c r="AE126" s="1029"/>
      <c r="AF126" s="1029"/>
      <c r="AG126" s="1030"/>
    </row>
    <row r="127" spans="1:33" hidden="1" x14ac:dyDescent="0.35">
      <c r="A127" s="1020"/>
      <c r="B127" s="1021" t="s">
        <v>173</v>
      </c>
      <c r="C127" s="1022"/>
      <c r="D127" s="2944"/>
      <c r="E127" s="1024"/>
      <c r="F127" s="1024"/>
      <c r="G127" s="1024"/>
      <c r="H127" s="1024"/>
      <c r="I127" s="1024"/>
      <c r="J127" s="1024"/>
      <c r="K127" s="1024">
        <f t="shared" si="9"/>
        <v>0</v>
      </c>
      <c r="L127" s="1025"/>
      <c r="P127" s="1026"/>
      <c r="Q127" s="1027"/>
      <c r="R127" s="1027"/>
      <c r="S127" s="1027"/>
      <c r="T127" s="1028"/>
      <c r="U127" s="1027"/>
      <c r="V127" s="1027"/>
      <c r="W127" s="1027"/>
      <c r="X127" s="1027"/>
      <c r="Y127" s="1027"/>
      <c r="Z127" s="1027"/>
      <c r="AA127" s="1027"/>
      <c r="AB127" s="1027"/>
      <c r="AC127" s="1027"/>
      <c r="AD127" s="1027"/>
      <c r="AE127" s="1029"/>
      <c r="AF127" s="1029"/>
      <c r="AG127" s="1030"/>
    </row>
    <row r="128" spans="1:33" hidden="1" x14ac:dyDescent="0.35">
      <c r="A128" s="1020"/>
      <c r="B128" s="1021" t="s">
        <v>2456</v>
      </c>
      <c r="C128" s="1022"/>
      <c r="D128" s="2944"/>
      <c r="E128" s="1024"/>
      <c r="F128" s="1024"/>
      <c r="G128" s="1024"/>
      <c r="H128" s="1024"/>
      <c r="I128" s="1024"/>
      <c r="J128" s="1024"/>
      <c r="K128" s="1024">
        <f t="shared" si="9"/>
        <v>0</v>
      </c>
      <c r="L128" s="1025"/>
      <c r="P128" s="1026"/>
      <c r="Q128" s="1027"/>
      <c r="R128" s="1027"/>
      <c r="S128" s="1027"/>
      <c r="T128" s="1028"/>
      <c r="U128" s="1027"/>
      <c r="V128" s="1027"/>
      <c r="W128" s="1027"/>
      <c r="X128" s="1027"/>
      <c r="Y128" s="1027"/>
      <c r="Z128" s="1027"/>
      <c r="AA128" s="1027"/>
      <c r="AB128" s="1027"/>
      <c r="AC128" s="1027"/>
      <c r="AD128" s="1027"/>
      <c r="AE128" s="1029"/>
      <c r="AF128" s="1029"/>
      <c r="AG128" s="1030"/>
    </row>
    <row r="129" spans="1:33" hidden="1" x14ac:dyDescent="0.35">
      <c r="A129" s="1020"/>
      <c r="B129" s="1021" t="s">
        <v>2457</v>
      </c>
      <c r="C129" s="1022"/>
      <c r="D129" s="2944"/>
      <c r="E129" s="1024"/>
      <c r="F129" s="1024"/>
      <c r="G129" s="1024"/>
      <c r="H129" s="1024"/>
      <c r="I129" s="1024"/>
      <c r="J129" s="1024"/>
      <c r="K129" s="1024">
        <f t="shared" si="9"/>
        <v>0</v>
      </c>
      <c r="L129" s="1025"/>
      <c r="P129" s="1026"/>
      <c r="Q129" s="1027"/>
      <c r="R129" s="1027"/>
      <c r="S129" s="1027"/>
      <c r="T129" s="1028"/>
      <c r="U129" s="1027"/>
      <c r="V129" s="1027"/>
      <c r="W129" s="1027"/>
      <c r="X129" s="1027"/>
      <c r="Y129" s="1027"/>
      <c r="Z129" s="1027"/>
      <c r="AA129" s="1027"/>
      <c r="AB129" s="1027"/>
      <c r="AC129" s="1027"/>
      <c r="AD129" s="1027"/>
      <c r="AE129" s="1029"/>
      <c r="AF129" s="1029"/>
      <c r="AG129" s="1030"/>
    </row>
    <row r="130" spans="1:33" hidden="1" x14ac:dyDescent="0.35">
      <c r="A130" s="1020"/>
      <c r="B130" s="1021" t="s">
        <v>2458</v>
      </c>
      <c r="C130" s="1022"/>
      <c r="D130" s="2944"/>
      <c r="E130" s="1024"/>
      <c r="F130" s="1024"/>
      <c r="G130" s="1024"/>
      <c r="H130" s="1024"/>
      <c r="I130" s="1024"/>
      <c r="J130" s="1024"/>
      <c r="K130" s="1024">
        <f t="shared" si="9"/>
        <v>0</v>
      </c>
      <c r="L130" s="1025"/>
      <c r="P130" s="1026"/>
      <c r="Q130" s="1027"/>
      <c r="R130" s="1027"/>
      <c r="S130" s="1027"/>
      <c r="T130" s="1028"/>
      <c r="U130" s="1027"/>
      <c r="V130" s="1027"/>
      <c r="W130" s="1027"/>
      <c r="X130" s="1027"/>
      <c r="Y130" s="1027"/>
      <c r="Z130" s="1027"/>
      <c r="AA130" s="1027"/>
      <c r="AB130" s="1027"/>
      <c r="AC130" s="1027"/>
      <c r="AD130" s="1027"/>
      <c r="AE130" s="1029"/>
      <c r="AF130" s="1029"/>
      <c r="AG130" s="1030"/>
    </row>
    <row r="131" spans="1:33" hidden="1" x14ac:dyDescent="0.35">
      <c r="A131" s="1020"/>
      <c r="B131" s="1021" t="s">
        <v>2459</v>
      </c>
      <c r="C131" s="1022"/>
      <c r="D131" s="2944"/>
      <c r="E131" s="1024"/>
      <c r="F131" s="1024"/>
      <c r="G131" s="1024"/>
      <c r="H131" s="1024"/>
      <c r="I131" s="1024"/>
      <c r="J131" s="1024"/>
      <c r="K131" s="1024">
        <f t="shared" si="9"/>
        <v>0</v>
      </c>
      <c r="L131" s="1025"/>
      <c r="P131" s="1026"/>
      <c r="Q131" s="1027"/>
      <c r="R131" s="1027"/>
      <c r="S131" s="1027"/>
      <c r="T131" s="1028"/>
      <c r="U131" s="1027"/>
      <c r="V131" s="1027"/>
      <c r="W131" s="1027"/>
      <c r="X131" s="1027"/>
      <c r="Y131" s="1027"/>
      <c r="Z131" s="1027"/>
      <c r="AA131" s="1027"/>
      <c r="AB131" s="1027"/>
      <c r="AC131" s="1027"/>
      <c r="AD131" s="1027"/>
      <c r="AE131" s="1029"/>
      <c r="AF131" s="1029"/>
      <c r="AG131" s="1030"/>
    </row>
    <row r="132" spans="1:33" hidden="1" x14ac:dyDescent="0.35">
      <c r="A132" s="1020"/>
      <c r="B132" s="1021" t="s">
        <v>2460</v>
      </c>
      <c r="C132" s="3113"/>
      <c r="D132" s="3114"/>
      <c r="E132" s="3115"/>
      <c r="F132" s="3115"/>
      <c r="G132" s="3115"/>
      <c r="H132" s="3115"/>
      <c r="I132" s="3115"/>
      <c r="J132" s="3115"/>
      <c r="K132" s="1024">
        <f t="shared" si="9"/>
        <v>0</v>
      </c>
      <c r="L132" s="3116"/>
      <c r="P132" s="1026"/>
      <c r="Q132" s="1027"/>
      <c r="R132" s="1027"/>
      <c r="S132" s="1027"/>
      <c r="T132" s="1028"/>
      <c r="U132" s="1027"/>
      <c r="V132" s="1027"/>
      <c r="W132" s="1027"/>
      <c r="X132" s="1027"/>
      <c r="Y132" s="1027"/>
      <c r="Z132" s="1027"/>
      <c r="AA132" s="1027"/>
      <c r="AB132" s="1027"/>
      <c r="AC132" s="1027"/>
      <c r="AD132" s="1027"/>
      <c r="AE132" s="1029"/>
      <c r="AF132" s="1029"/>
      <c r="AG132" s="1030"/>
    </row>
    <row r="133" spans="1:33" x14ac:dyDescent="0.35">
      <c r="A133" s="1020"/>
      <c r="B133" s="1031"/>
      <c r="C133" s="1022"/>
      <c r="D133" s="1023"/>
      <c r="E133" s="1032">
        <f t="shared" ref="E133:K133" si="10">SUM(E108:E132)</f>
        <v>73750000</v>
      </c>
      <c r="F133" s="1032">
        <f t="shared" si="10"/>
        <v>0</v>
      </c>
      <c r="G133" s="1032">
        <f t="shared" si="10"/>
        <v>10000000</v>
      </c>
      <c r="H133" s="1032">
        <f t="shared" si="10"/>
        <v>0</v>
      </c>
      <c r="I133" s="1032">
        <f t="shared" si="10"/>
        <v>32268000</v>
      </c>
      <c r="J133" s="1032">
        <f t="shared" si="10"/>
        <v>0</v>
      </c>
      <c r="K133" s="1032">
        <f t="shared" si="10"/>
        <v>116018000</v>
      </c>
      <c r="L133" s="1033"/>
      <c r="P133" s="1026"/>
      <c r="Q133" s="1027"/>
      <c r="R133" s="1027"/>
      <c r="S133" s="1027"/>
      <c r="T133" s="1028"/>
      <c r="U133" s="1027"/>
      <c r="V133" s="1027"/>
      <c r="W133" s="1027"/>
      <c r="X133" s="1027"/>
      <c r="Y133" s="1027"/>
      <c r="Z133" s="1027"/>
      <c r="AA133" s="1027"/>
      <c r="AB133" s="1027"/>
      <c r="AC133" s="1027"/>
      <c r="AD133" s="1027"/>
      <c r="AE133" s="1029"/>
      <c r="AF133" s="1029"/>
      <c r="AG133" s="1030"/>
    </row>
    <row r="134" spans="1:33" x14ac:dyDescent="0.35">
      <c r="A134" s="1020"/>
      <c r="B134" s="1031"/>
      <c r="C134" s="1034" t="s">
        <v>7341</v>
      </c>
      <c r="D134" s="1023"/>
      <c r="E134" s="1035"/>
      <c r="F134" s="1035"/>
      <c r="G134" s="1035"/>
      <c r="H134" s="1035"/>
      <c r="I134" s="1035"/>
      <c r="J134" s="1035"/>
      <c r="K134" s="1035"/>
      <c r="L134" s="1038"/>
      <c r="P134" s="1026"/>
      <c r="Q134" s="1027"/>
      <c r="R134" s="1027"/>
      <c r="S134" s="1027"/>
      <c r="T134" s="1028"/>
      <c r="U134" s="1027"/>
      <c r="V134" s="1027"/>
      <c r="W134" s="1027"/>
      <c r="X134" s="1027"/>
      <c r="Y134" s="1027"/>
      <c r="Z134" s="1027"/>
      <c r="AA134" s="1027"/>
      <c r="AB134" s="1027"/>
      <c r="AC134" s="1027"/>
      <c r="AD134" s="1027"/>
      <c r="AE134" s="1029"/>
      <c r="AF134" s="1029"/>
      <c r="AG134" s="1030"/>
    </row>
    <row r="135" spans="1:33" x14ac:dyDescent="0.35">
      <c r="A135" s="1020"/>
      <c r="B135" s="1021" t="s">
        <v>2447</v>
      </c>
      <c r="C135" s="1022" t="s">
        <v>8180</v>
      </c>
      <c r="D135" s="2944" t="s">
        <v>7340</v>
      </c>
      <c r="E135" s="1024">
        <v>3400000</v>
      </c>
      <c r="F135" s="1024">
        <v>0</v>
      </c>
      <c r="G135" s="1024">
        <v>0</v>
      </c>
      <c r="H135" s="1024"/>
      <c r="I135" s="1024">
        <v>0</v>
      </c>
      <c r="J135" s="1024">
        <v>0</v>
      </c>
      <c r="K135" s="1024">
        <f t="shared" ref="K135:K160" si="11">SUM(E135:J135)</f>
        <v>3400000</v>
      </c>
      <c r="L135" s="1025"/>
      <c r="P135" s="1026"/>
      <c r="Q135" s="1027"/>
      <c r="R135" s="1027"/>
      <c r="S135" s="1027"/>
      <c r="T135" s="1028"/>
      <c r="U135" s="1027"/>
      <c r="V135" s="1027"/>
      <c r="W135" s="1027"/>
      <c r="X135" s="1027"/>
      <c r="Y135" s="1027"/>
      <c r="Z135" s="1027"/>
      <c r="AA135" s="1027"/>
      <c r="AB135" s="1027"/>
      <c r="AC135" s="1027"/>
      <c r="AD135" s="1027"/>
      <c r="AE135" s="1029"/>
      <c r="AF135" s="1029"/>
      <c r="AG135" s="1030"/>
    </row>
    <row r="136" spans="1:33" x14ac:dyDescent="0.35">
      <c r="A136" s="1020"/>
      <c r="B136" s="1021" t="s">
        <v>23</v>
      </c>
      <c r="C136" s="1022" t="s">
        <v>7397</v>
      </c>
      <c r="D136" s="2944" t="s">
        <v>7340</v>
      </c>
      <c r="E136" s="1024">
        <v>22150000</v>
      </c>
      <c r="F136" s="1024">
        <v>0</v>
      </c>
      <c r="G136" s="1024">
        <v>0</v>
      </c>
      <c r="H136" s="1024"/>
      <c r="I136" s="1024">
        <v>6093000</v>
      </c>
      <c r="J136" s="1024">
        <v>0</v>
      </c>
      <c r="K136" s="1024">
        <f t="shared" si="11"/>
        <v>28243000</v>
      </c>
      <c r="L136" s="1025"/>
      <c r="P136" s="1026"/>
      <c r="Q136" s="1027"/>
      <c r="R136" s="1027"/>
      <c r="S136" s="1027"/>
      <c r="T136" s="1028"/>
      <c r="U136" s="1027"/>
      <c r="V136" s="1027"/>
      <c r="W136" s="1027"/>
      <c r="X136" s="1027"/>
      <c r="Y136" s="1027"/>
      <c r="Z136" s="1027"/>
      <c r="AA136" s="1027"/>
      <c r="AB136" s="1027"/>
      <c r="AC136" s="1027"/>
      <c r="AD136" s="1027"/>
      <c r="AE136" s="1029"/>
      <c r="AF136" s="1029"/>
      <c r="AG136" s="1030"/>
    </row>
    <row r="137" spans="1:33" x14ac:dyDescent="0.35">
      <c r="A137" s="1020"/>
      <c r="B137" s="1021" t="s">
        <v>27</v>
      </c>
      <c r="C137" s="1022" t="s">
        <v>8244</v>
      </c>
      <c r="D137" s="2944" t="s">
        <v>7340</v>
      </c>
      <c r="E137" s="1024">
        <v>1700000</v>
      </c>
      <c r="F137" s="1024">
        <v>0</v>
      </c>
      <c r="G137" s="1024">
        <v>0</v>
      </c>
      <c r="H137" s="1024"/>
      <c r="I137" s="1024">
        <v>0</v>
      </c>
      <c r="J137" s="1024">
        <v>0</v>
      </c>
      <c r="K137" s="1024">
        <f t="shared" si="11"/>
        <v>1700000</v>
      </c>
      <c r="L137" s="1025"/>
      <c r="P137" s="1026"/>
      <c r="Q137" s="1027"/>
      <c r="R137" s="1027"/>
      <c r="S137" s="1027"/>
      <c r="T137" s="1028"/>
      <c r="U137" s="1027"/>
      <c r="V137" s="1027"/>
      <c r="W137" s="1027"/>
      <c r="X137" s="1027"/>
      <c r="Y137" s="1027"/>
      <c r="Z137" s="1027"/>
      <c r="AA137" s="1027"/>
      <c r="AB137" s="1027"/>
      <c r="AC137" s="1027"/>
      <c r="AD137" s="1027"/>
      <c r="AE137" s="1029"/>
      <c r="AF137" s="1029"/>
      <c r="AG137" s="1030"/>
    </row>
    <row r="138" spans="1:33" x14ac:dyDescent="0.35">
      <c r="A138" s="1020"/>
      <c r="B138" s="1021" t="s">
        <v>31</v>
      </c>
      <c r="C138" s="1022" t="s">
        <v>8181</v>
      </c>
      <c r="D138" s="2944" t="s">
        <v>7340</v>
      </c>
      <c r="E138" s="1024">
        <v>1200000</v>
      </c>
      <c r="F138" s="1024">
        <v>0</v>
      </c>
      <c r="G138" s="1024">
        <v>0</v>
      </c>
      <c r="H138" s="1024"/>
      <c r="I138" s="1024">
        <v>0</v>
      </c>
      <c r="J138" s="1024">
        <v>0</v>
      </c>
      <c r="K138" s="1024">
        <f t="shared" si="11"/>
        <v>1200000</v>
      </c>
      <c r="L138" s="1025"/>
      <c r="P138" s="1026"/>
      <c r="Q138" s="1027"/>
      <c r="R138" s="1027"/>
      <c r="S138" s="1027"/>
      <c r="T138" s="1028"/>
      <c r="U138" s="1027"/>
      <c r="V138" s="1027"/>
      <c r="W138" s="1027"/>
      <c r="X138" s="1027"/>
      <c r="Y138" s="1027"/>
      <c r="Z138" s="1027"/>
      <c r="AA138" s="1027"/>
      <c r="AB138" s="1027"/>
      <c r="AC138" s="1027"/>
      <c r="AD138" s="1027"/>
      <c r="AE138" s="1029"/>
      <c r="AF138" s="1029"/>
      <c r="AG138" s="1030"/>
    </row>
    <row r="139" spans="1:33" x14ac:dyDescent="0.35">
      <c r="A139" s="1020"/>
      <c r="B139" s="1021" t="s">
        <v>36</v>
      </c>
      <c r="C139" s="1022" t="s">
        <v>7398</v>
      </c>
      <c r="D139" s="2944" t="s">
        <v>7340</v>
      </c>
      <c r="E139" s="1024">
        <v>6200000</v>
      </c>
      <c r="F139" s="1024">
        <v>0</v>
      </c>
      <c r="G139" s="1024">
        <v>0</v>
      </c>
      <c r="H139" s="1024"/>
      <c r="I139" s="1024">
        <v>3169000</v>
      </c>
      <c r="J139" s="1024">
        <v>0</v>
      </c>
      <c r="K139" s="1024">
        <f t="shared" si="11"/>
        <v>9369000</v>
      </c>
      <c r="L139" s="1025"/>
      <c r="P139" s="1026"/>
      <c r="Q139" s="1027"/>
      <c r="R139" s="1027"/>
      <c r="S139" s="1027"/>
      <c r="T139" s="1028"/>
      <c r="U139" s="1027"/>
      <c r="V139" s="1027"/>
      <c r="W139" s="1027"/>
      <c r="X139" s="1027"/>
      <c r="Y139" s="1027"/>
      <c r="Z139" s="1027"/>
      <c r="AA139" s="1027"/>
      <c r="AB139" s="1027"/>
      <c r="AC139" s="1027"/>
      <c r="AD139" s="1027"/>
      <c r="AE139" s="1029"/>
      <c r="AF139" s="1029"/>
      <c r="AG139" s="1030"/>
    </row>
    <row r="140" spans="1:33" x14ac:dyDescent="0.35">
      <c r="A140" s="1020"/>
      <c r="B140" s="1021" t="s">
        <v>2449</v>
      </c>
      <c r="C140" s="1022" t="s">
        <v>8182</v>
      </c>
      <c r="D140" s="2944" t="s">
        <v>7340</v>
      </c>
      <c r="E140" s="1024">
        <v>1700000</v>
      </c>
      <c r="F140" s="1024">
        <v>0</v>
      </c>
      <c r="G140" s="1024">
        <v>0</v>
      </c>
      <c r="H140" s="1024"/>
      <c r="I140" s="1024">
        <v>0</v>
      </c>
      <c r="J140" s="1024">
        <v>0</v>
      </c>
      <c r="K140" s="1024">
        <f t="shared" si="11"/>
        <v>1700000</v>
      </c>
      <c r="L140" s="1025"/>
      <c r="P140" s="1026"/>
      <c r="Q140" s="1027"/>
      <c r="R140" s="1027"/>
      <c r="S140" s="1027"/>
      <c r="T140" s="1028"/>
      <c r="U140" s="1027"/>
      <c r="V140" s="1027"/>
      <c r="W140" s="1027"/>
      <c r="X140" s="1027"/>
      <c r="Y140" s="1027"/>
      <c r="Z140" s="1027"/>
      <c r="AA140" s="1027"/>
      <c r="AB140" s="1027"/>
      <c r="AC140" s="1027"/>
      <c r="AD140" s="1027"/>
      <c r="AE140" s="1029"/>
      <c r="AF140" s="1029"/>
      <c r="AG140" s="1030"/>
    </row>
    <row r="141" spans="1:33" x14ac:dyDescent="0.35">
      <c r="A141" s="1020"/>
      <c r="B141" s="1021" t="s">
        <v>759</v>
      </c>
      <c r="C141" s="1022" t="s">
        <v>8245</v>
      </c>
      <c r="D141" s="2944" t="s">
        <v>7340</v>
      </c>
      <c r="E141" s="1024">
        <v>1700000</v>
      </c>
      <c r="F141" s="1024">
        <v>0</v>
      </c>
      <c r="G141" s="1024">
        <v>0</v>
      </c>
      <c r="H141" s="1024"/>
      <c r="I141" s="1024">
        <v>0</v>
      </c>
      <c r="J141" s="1024">
        <v>0</v>
      </c>
      <c r="K141" s="1024">
        <f t="shared" si="11"/>
        <v>1700000</v>
      </c>
      <c r="L141" s="1025"/>
      <c r="P141" s="1026"/>
      <c r="Q141" s="1027"/>
      <c r="R141" s="1027"/>
      <c r="S141" s="1027"/>
      <c r="T141" s="1028"/>
      <c r="U141" s="1027"/>
      <c r="V141" s="1027"/>
      <c r="W141" s="1027"/>
      <c r="X141" s="1027"/>
      <c r="Y141" s="1027"/>
      <c r="Z141" s="1027"/>
      <c r="AA141" s="1027"/>
      <c r="AB141" s="1027"/>
      <c r="AC141" s="1027"/>
      <c r="AD141" s="1027"/>
      <c r="AE141" s="1029"/>
      <c r="AF141" s="1029"/>
      <c r="AG141" s="1030"/>
    </row>
    <row r="142" spans="1:33" x14ac:dyDescent="0.35">
      <c r="A142" s="1020"/>
      <c r="B142" s="1021" t="s">
        <v>701</v>
      </c>
      <c r="C142" s="1022" t="s">
        <v>7400</v>
      </c>
      <c r="D142" s="2944" t="s">
        <v>7340</v>
      </c>
      <c r="E142" s="1024">
        <v>28500000</v>
      </c>
      <c r="F142" s="1024">
        <v>0</v>
      </c>
      <c r="G142" s="1024">
        <v>0</v>
      </c>
      <c r="H142" s="1024"/>
      <c r="I142" s="1024">
        <v>5843000</v>
      </c>
      <c r="J142" s="1024">
        <v>0</v>
      </c>
      <c r="K142" s="1024">
        <f t="shared" si="11"/>
        <v>34343000</v>
      </c>
      <c r="L142" s="1025"/>
      <c r="P142" s="1026"/>
      <c r="Q142" s="1027"/>
      <c r="R142" s="1027"/>
      <c r="S142" s="1027"/>
      <c r="T142" s="1028"/>
      <c r="U142" s="1027"/>
      <c r="V142" s="1027"/>
      <c r="W142" s="1027"/>
      <c r="X142" s="1027"/>
      <c r="Y142" s="1027"/>
      <c r="Z142" s="1027"/>
      <c r="AA142" s="1027"/>
      <c r="AB142" s="1027"/>
      <c r="AC142" s="1027"/>
      <c r="AD142" s="1027"/>
      <c r="AE142" s="1029"/>
      <c r="AF142" s="1029"/>
      <c r="AG142" s="1030"/>
    </row>
    <row r="143" spans="1:33" x14ac:dyDescent="0.35">
      <c r="A143" s="1020"/>
      <c r="B143" s="1021" t="s">
        <v>1027</v>
      </c>
      <c r="C143" s="1022" t="s">
        <v>7401</v>
      </c>
      <c r="D143" s="2944" t="s">
        <v>7340</v>
      </c>
      <c r="E143" s="1024">
        <v>7344000</v>
      </c>
      <c r="F143" s="1024">
        <v>0</v>
      </c>
      <c r="G143" s="1024">
        <v>0</v>
      </c>
      <c r="H143" s="1024"/>
      <c r="I143" s="1024">
        <v>0</v>
      </c>
      <c r="J143" s="1024">
        <v>0</v>
      </c>
      <c r="K143" s="1024">
        <f t="shared" si="11"/>
        <v>7344000</v>
      </c>
      <c r="L143" s="1025"/>
      <c r="P143" s="1026"/>
      <c r="Q143" s="1027"/>
      <c r="R143" s="1027"/>
      <c r="S143" s="1027"/>
      <c r="T143" s="1028"/>
      <c r="U143" s="1027"/>
      <c r="V143" s="1027"/>
      <c r="W143" s="1027"/>
      <c r="X143" s="1027"/>
      <c r="Y143" s="1027"/>
      <c r="Z143" s="1027"/>
      <c r="AA143" s="1027"/>
      <c r="AB143" s="1027"/>
      <c r="AC143" s="1027"/>
      <c r="AD143" s="1027"/>
      <c r="AE143" s="1029"/>
      <c r="AF143" s="1029"/>
      <c r="AG143" s="1030"/>
    </row>
    <row r="144" spans="1:33" x14ac:dyDescent="0.35">
      <c r="A144" s="1020"/>
      <c r="B144" s="1021" t="s">
        <v>762</v>
      </c>
      <c r="C144" s="1022" t="s">
        <v>8246</v>
      </c>
      <c r="D144" s="2944" t="s">
        <v>7340</v>
      </c>
      <c r="E144" s="1024">
        <v>1700000</v>
      </c>
      <c r="F144" s="1024">
        <v>0</v>
      </c>
      <c r="G144" s="1024">
        <v>0</v>
      </c>
      <c r="H144" s="1024"/>
      <c r="I144" s="1024">
        <v>0</v>
      </c>
      <c r="J144" s="1024">
        <v>0</v>
      </c>
      <c r="K144" s="1024">
        <f t="shared" si="11"/>
        <v>1700000</v>
      </c>
      <c r="L144" s="1025"/>
      <c r="P144" s="1026"/>
      <c r="Q144" s="1027"/>
      <c r="R144" s="1027"/>
      <c r="S144" s="1027"/>
      <c r="T144" s="1028"/>
      <c r="U144" s="1027"/>
      <c r="V144" s="1027"/>
      <c r="W144" s="1027"/>
      <c r="X144" s="1027"/>
      <c r="Y144" s="1027"/>
      <c r="Z144" s="1027"/>
      <c r="AA144" s="1027"/>
      <c r="AB144" s="1027"/>
      <c r="AC144" s="1027"/>
      <c r="AD144" s="1027"/>
      <c r="AE144" s="1029"/>
      <c r="AF144" s="1029"/>
      <c r="AG144" s="1030"/>
    </row>
    <row r="145" spans="1:33" x14ac:dyDescent="0.35">
      <c r="A145" s="1020"/>
      <c r="B145" s="1021" t="s">
        <v>874</v>
      </c>
      <c r="C145" s="1022" t="s">
        <v>7402</v>
      </c>
      <c r="D145" s="2944" t="s">
        <v>7340</v>
      </c>
      <c r="E145" s="1024">
        <v>40100000</v>
      </c>
      <c r="F145" s="1024">
        <v>0</v>
      </c>
      <c r="G145" s="1024">
        <v>0</v>
      </c>
      <c r="H145" s="1024"/>
      <c r="I145" s="1024">
        <v>4169000</v>
      </c>
      <c r="J145" s="1024">
        <v>0</v>
      </c>
      <c r="K145" s="1024">
        <f t="shared" si="11"/>
        <v>44269000</v>
      </c>
      <c r="L145" s="1025"/>
      <c r="P145" s="1026"/>
      <c r="Q145" s="1027"/>
      <c r="R145" s="1027"/>
      <c r="S145" s="1027"/>
      <c r="T145" s="1028"/>
      <c r="U145" s="1027"/>
      <c r="V145" s="1027"/>
      <c r="W145" s="1027"/>
      <c r="X145" s="1027"/>
      <c r="Y145" s="1027"/>
      <c r="Z145" s="1027"/>
      <c r="AA145" s="1027"/>
      <c r="AB145" s="1027"/>
      <c r="AC145" s="1027"/>
      <c r="AD145" s="1027"/>
      <c r="AE145" s="1029"/>
      <c r="AF145" s="1029"/>
      <c r="AG145" s="1030"/>
    </row>
    <row r="146" spans="1:33" x14ac:dyDescent="0.35">
      <c r="A146" s="1020"/>
      <c r="B146" s="1021" t="s">
        <v>2450</v>
      </c>
      <c r="C146" s="1022" t="s">
        <v>7403</v>
      </c>
      <c r="D146" s="2944" t="s">
        <v>7340</v>
      </c>
      <c r="E146" s="1024">
        <v>0</v>
      </c>
      <c r="F146" s="1024">
        <v>0</v>
      </c>
      <c r="G146" s="1024">
        <v>0</v>
      </c>
      <c r="H146" s="1024"/>
      <c r="I146" s="1024">
        <v>1043000</v>
      </c>
      <c r="J146" s="1024">
        <v>0</v>
      </c>
      <c r="K146" s="1024">
        <f t="shared" si="11"/>
        <v>1043000</v>
      </c>
      <c r="L146" s="1025"/>
      <c r="P146" s="1026"/>
      <c r="Q146" s="1027"/>
      <c r="R146" s="1027"/>
      <c r="S146" s="1027"/>
      <c r="T146" s="1028"/>
      <c r="U146" s="1027"/>
      <c r="V146" s="1027"/>
      <c r="W146" s="1027"/>
      <c r="X146" s="1027"/>
      <c r="Y146" s="1027"/>
      <c r="Z146" s="1027"/>
      <c r="AA146" s="1027"/>
      <c r="AB146" s="1027"/>
      <c r="AC146" s="1027"/>
      <c r="AD146" s="1027"/>
      <c r="AE146" s="1029"/>
      <c r="AF146" s="1029"/>
      <c r="AG146" s="1030"/>
    </row>
    <row r="147" spans="1:33" x14ac:dyDescent="0.35">
      <c r="A147" s="1020"/>
      <c r="B147" s="1021" t="s">
        <v>2451</v>
      </c>
      <c r="C147" s="1022" t="s">
        <v>8247</v>
      </c>
      <c r="D147" s="2944" t="s">
        <v>7340</v>
      </c>
      <c r="E147" s="1024">
        <v>1700000</v>
      </c>
      <c r="F147" s="1024">
        <v>0</v>
      </c>
      <c r="G147" s="1024">
        <v>0</v>
      </c>
      <c r="H147" s="1024"/>
      <c r="I147" s="1024">
        <v>0</v>
      </c>
      <c r="J147" s="1024">
        <v>0</v>
      </c>
      <c r="K147" s="1024">
        <f t="shared" si="11"/>
        <v>1700000</v>
      </c>
      <c r="L147" s="1025"/>
      <c r="P147" s="1026"/>
      <c r="Q147" s="1027"/>
      <c r="R147" s="1027"/>
      <c r="S147" s="1027"/>
      <c r="T147" s="1028"/>
      <c r="U147" s="1027"/>
      <c r="V147" s="1027"/>
      <c r="W147" s="1027"/>
      <c r="X147" s="1027"/>
      <c r="Y147" s="1027"/>
      <c r="Z147" s="1027"/>
      <c r="AA147" s="1027"/>
      <c r="AB147" s="1027"/>
      <c r="AC147" s="1027"/>
      <c r="AD147" s="1027"/>
      <c r="AE147" s="1029"/>
      <c r="AF147" s="1029"/>
      <c r="AG147" s="1030"/>
    </row>
    <row r="148" spans="1:33" x14ac:dyDescent="0.35">
      <c r="A148" s="1020"/>
      <c r="B148" s="1021" t="s">
        <v>2452</v>
      </c>
      <c r="C148" s="1022" t="s">
        <v>7404</v>
      </c>
      <c r="D148" s="2944" t="s">
        <v>7340</v>
      </c>
      <c r="E148" s="1024">
        <v>57900000</v>
      </c>
      <c r="F148" s="1024">
        <v>0</v>
      </c>
      <c r="G148" s="1024">
        <v>0</v>
      </c>
      <c r="H148" s="1024"/>
      <c r="I148" s="1024">
        <v>5843000</v>
      </c>
      <c r="J148" s="1024">
        <v>0</v>
      </c>
      <c r="K148" s="1024">
        <f t="shared" si="11"/>
        <v>63743000</v>
      </c>
      <c r="L148" s="1025"/>
      <c r="P148" s="1026"/>
      <c r="Q148" s="1027"/>
      <c r="R148" s="1027"/>
      <c r="S148" s="1027"/>
      <c r="T148" s="1028"/>
      <c r="U148" s="1027"/>
      <c r="V148" s="1027"/>
      <c r="W148" s="1027"/>
      <c r="X148" s="1027"/>
      <c r="Y148" s="1027"/>
      <c r="Z148" s="1027"/>
      <c r="AA148" s="1027"/>
      <c r="AB148" s="1027"/>
      <c r="AC148" s="1027"/>
      <c r="AD148" s="1027"/>
      <c r="AE148" s="1029"/>
      <c r="AF148" s="1029"/>
      <c r="AG148" s="1030"/>
    </row>
    <row r="149" spans="1:33" x14ac:dyDescent="0.35">
      <c r="A149" s="1020"/>
      <c r="B149" s="1021" t="s">
        <v>2453</v>
      </c>
      <c r="C149" s="1022" t="s">
        <v>7684</v>
      </c>
      <c r="D149" s="2944" t="s">
        <v>7340</v>
      </c>
      <c r="E149" s="1024">
        <v>3000000</v>
      </c>
      <c r="F149" s="1024">
        <v>0</v>
      </c>
      <c r="G149" s="1024">
        <v>0</v>
      </c>
      <c r="H149" s="1024"/>
      <c r="I149" s="1024">
        <v>0</v>
      </c>
      <c r="J149" s="1024">
        <v>0</v>
      </c>
      <c r="K149" s="1024">
        <f t="shared" si="11"/>
        <v>3000000</v>
      </c>
      <c r="L149" s="1025"/>
      <c r="P149" s="1026"/>
      <c r="Q149" s="1027"/>
      <c r="R149" s="1027"/>
      <c r="S149" s="1027"/>
      <c r="T149" s="1028"/>
      <c r="U149" s="1027"/>
      <c r="V149" s="1027"/>
      <c r="W149" s="1027"/>
      <c r="X149" s="1027"/>
      <c r="Y149" s="1027"/>
      <c r="Z149" s="1027"/>
      <c r="AA149" s="1027"/>
      <c r="AB149" s="1027"/>
      <c r="AC149" s="1027"/>
      <c r="AD149" s="1027"/>
      <c r="AE149" s="1029"/>
      <c r="AF149" s="1029"/>
      <c r="AG149" s="1030"/>
    </row>
    <row r="150" spans="1:33" hidden="1" x14ac:dyDescent="0.35">
      <c r="A150" s="1020"/>
      <c r="B150" s="1021" t="s">
        <v>2454</v>
      </c>
      <c r="C150" s="1022"/>
      <c r="D150" s="2944"/>
      <c r="E150" s="1024"/>
      <c r="F150" s="1024"/>
      <c r="G150" s="1024"/>
      <c r="H150" s="1024"/>
      <c r="I150" s="1024"/>
      <c r="J150" s="1024"/>
      <c r="K150" s="1024">
        <f t="shared" si="11"/>
        <v>0</v>
      </c>
      <c r="L150" s="1025"/>
      <c r="P150" s="1026"/>
      <c r="Q150" s="1027"/>
      <c r="R150" s="1027"/>
      <c r="S150" s="1027"/>
      <c r="T150" s="1028"/>
      <c r="U150" s="1027"/>
      <c r="V150" s="1027"/>
      <c r="W150" s="1027"/>
      <c r="X150" s="1027"/>
      <c r="Y150" s="1027"/>
      <c r="Z150" s="1027"/>
      <c r="AA150" s="1027"/>
      <c r="AB150" s="1027"/>
      <c r="AC150" s="1027"/>
      <c r="AD150" s="1027"/>
      <c r="AE150" s="1029"/>
      <c r="AF150" s="1029"/>
      <c r="AG150" s="1030"/>
    </row>
    <row r="151" spans="1:33" hidden="1" x14ac:dyDescent="0.35">
      <c r="A151" s="1020"/>
      <c r="B151" s="1021" t="s">
        <v>2455</v>
      </c>
      <c r="C151" s="1022"/>
      <c r="D151" s="2944"/>
      <c r="E151" s="1024"/>
      <c r="F151" s="1024"/>
      <c r="G151" s="1024"/>
      <c r="H151" s="1024"/>
      <c r="I151" s="1024"/>
      <c r="J151" s="1024"/>
      <c r="K151" s="1024">
        <f t="shared" si="11"/>
        <v>0</v>
      </c>
      <c r="L151" s="1025"/>
      <c r="P151" s="1026"/>
      <c r="Q151" s="1027"/>
      <c r="R151" s="1027"/>
      <c r="S151" s="1027"/>
      <c r="T151" s="1028"/>
      <c r="U151" s="1027"/>
      <c r="V151" s="1027"/>
      <c r="W151" s="1027"/>
      <c r="X151" s="1027"/>
      <c r="Y151" s="1027"/>
      <c r="Z151" s="1027"/>
      <c r="AA151" s="1027"/>
      <c r="AB151" s="1027"/>
      <c r="AC151" s="1027"/>
      <c r="AD151" s="1027"/>
      <c r="AE151" s="1029"/>
      <c r="AF151" s="1029"/>
      <c r="AG151" s="1030"/>
    </row>
    <row r="152" spans="1:33" hidden="1" x14ac:dyDescent="0.35">
      <c r="A152" s="1020"/>
      <c r="B152" s="1021" t="s">
        <v>168</v>
      </c>
      <c r="C152" s="1022"/>
      <c r="D152" s="2944"/>
      <c r="E152" s="1024"/>
      <c r="F152" s="1024"/>
      <c r="G152" s="1024"/>
      <c r="H152" s="1024"/>
      <c r="I152" s="1024"/>
      <c r="J152" s="1024"/>
      <c r="K152" s="1024">
        <f t="shared" si="11"/>
        <v>0</v>
      </c>
      <c r="L152" s="1025"/>
      <c r="P152" s="1026"/>
      <c r="Q152" s="1027"/>
      <c r="R152" s="1027"/>
      <c r="S152" s="1027"/>
      <c r="T152" s="1028"/>
      <c r="U152" s="1027"/>
      <c r="V152" s="1027"/>
      <c r="W152" s="1027"/>
      <c r="X152" s="1027"/>
      <c r="Y152" s="1027"/>
      <c r="Z152" s="1027"/>
      <c r="AA152" s="1027"/>
      <c r="AB152" s="1027"/>
      <c r="AC152" s="1027"/>
      <c r="AD152" s="1027"/>
      <c r="AE152" s="1029"/>
      <c r="AF152" s="1029"/>
      <c r="AG152" s="1030"/>
    </row>
    <row r="153" spans="1:33" hidden="1" x14ac:dyDescent="0.35">
      <c r="A153" s="1020"/>
      <c r="B153" s="1021" t="s">
        <v>171</v>
      </c>
      <c r="C153" s="1022"/>
      <c r="D153" s="2944"/>
      <c r="E153" s="1024"/>
      <c r="F153" s="1024"/>
      <c r="G153" s="1024"/>
      <c r="H153" s="1024"/>
      <c r="I153" s="1024"/>
      <c r="J153" s="1024"/>
      <c r="K153" s="1024">
        <f t="shared" si="11"/>
        <v>0</v>
      </c>
      <c r="L153" s="1025"/>
      <c r="P153" s="1026"/>
      <c r="Q153" s="1027"/>
      <c r="R153" s="1027"/>
      <c r="S153" s="1027"/>
      <c r="T153" s="1028"/>
      <c r="U153" s="1027"/>
      <c r="V153" s="1027"/>
      <c r="W153" s="1027"/>
      <c r="X153" s="1027"/>
      <c r="Y153" s="1027"/>
      <c r="Z153" s="1027"/>
      <c r="AA153" s="1027"/>
      <c r="AB153" s="1027"/>
      <c r="AC153" s="1027"/>
      <c r="AD153" s="1027"/>
      <c r="AE153" s="1029"/>
      <c r="AF153" s="1029"/>
      <c r="AG153" s="1030"/>
    </row>
    <row r="154" spans="1:33" hidden="1" x14ac:dyDescent="0.35">
      <c r="A154" s="1020"/>
      <c r="B154" s="1021" t="s">
        <v>173</v>
      </c>
      <c r="C154" s="1022"/>
      <c r="D154" s="2944"/>
      <c r="E154" s="1024"/>
      <c r="F154" s="1024"/>
      <c r="G154" s="1024"/>
      <c r="H154" s="1024"/>
      <c r="I154" s="1024"/>
      <c r="J154" s="1024"/>
      <c r="K154" s="1024">
        <f t="shared" si="11"/>
        <v>0</v>
      </c>
      <c r="L154" s="1025"/>
      <c r="P154" s="1026"/>
      <c r="Q154" s="1027"/>
      <c r="R154" s="1027"/>
      <c r="S154" s="1027"/>
      <c r="T154" s="1028"/>
      <c r="U154" s="1027"/>
      <c r="V154" s="1027"/>
      <c r="W154" s="1027"/>
      <c r="X154" s="1027"/>
      <c r="Y154" s="1027"/>
      <c r="Z154" s="1027"/>
      <c r="AA154" s="1027"/>
      <c r="AB154" s="1027"/>
      <c r="AC154" s="1027"/>
      <c r="AD154" s="1027"/>
      <c r="AE154" s="1029"/>
      <c r="AF154" s="1029"/>
      <c r="AG154" s="1030"/>
    </row>
    <row r="155" spans="1:33" hidden="1" x14ac:dyDescent="0.35">
      <c r="A155" s="1020"/>
      <c r="B155" s="1021" t="s">
        <v>2456</v>
      </c>
      <c r="C155" s="1022"/>
      <c r="D155" s="2944"/>
      <c r="E155" s="1024"/>
      <c r="F155" s="1024"/>
      <c r="G155" s="1024"/>
      <c r="H155" s="1024"/>
      <c r="I155" s="1024"/>
      <c r="J155" s="1024"/>
      <c r="K155" s="1024">
        <f t="shared" si="11"/>
        <v>0</v>
      </c>
      <c r="L155" s="1025"/>
      <c r="P155" s="1026"/>
      <c r="Q155" s="1027"/>
      <c r="R155" s="1027"/>
      <c r="S155" s="1027"/>
      <c r="T155" s="1028"/>
      <c r="U155" s="1027"/>
      <c r="V155" s="1027"/>
      <c r="W155" s="1027"/>
      <c r="X155" s="1027"/>
      <c r="Y155" s="1027"/>
      <c r="Z155" s="1027"/>
      <c r="AA155" s="1027"/>
      <c r="AB155" s="1027"/>
      <c r="AC155" s="1027"/>
      <c r="AD155" s="1027"/>
      <c r="AE155" s="1029"/>
      <c r="AF155" s="1029"/>
      <c r="AG155" s="1030"/>
    </row>
    <row r="156" spans="1:33" hidden="1" x14ac:dyDescent="0.35">
      <c r="A156" s="1020"/>
      <c r="B156" s="1021" t="s">
        <v>2457</v>
      </c>
      <c r="C156" s="1022"/>
      <c r="D156" s="2944"/>
      <c r="E156" s="1024"/>
      <c r="F156" s="1024"/>
      <c r="G156" s="1024"/>
      <c r="H156" s="1024"/>
      <c r="I156" s="1024"/>
      <c r="J156" s="1024"/>
      <c r="K156" s="1024">
        <f t="shared" si="11"/>
        <v>0</v>
      </c>
      <c r="L156" s="1025"/>
      <c r="P156" s="1026"/>
      <c r="Q156" s="1027"/>
      <c r="R156" s="1027"/>
      <c r="S156" s="1027"/>
      <c r="T156" s="1028"/>
      <c r="U156" s="1027"/>
      <c r="V156" s="1027"/>
      <c r="W156" s="1027"/>
      <c r="X156" s="1027"/>
      <c r="Y156" s="1027"/>
      <c r="Z156" s="1027"/>
      <c r="AA156" s="1027"/>
      <c r="AB156" s="1027"/>
      <c r="AC156" s="1027"/>
      <c r="AD156" s="1027"/>
      <c r="AE156" s="1029"/>
      <c r="AF156" s="1029"/>
      <c r="AG156" s="1030"/>
    </row>
    <row r="157" spans="1:33" hidden="1" x14ac:dyDescent="0.35">
      <c r="A157" s="1020"/>
      <c r="B157" s="1021" t="s">
        <v>2458</v>
      </c>
      <c r="C157" s="1022"/>
      <c r="D157" s="2944"/>
      <c r="E157" s="1024"/>
      <c r="F157" s="1024"/>
      <c r="G157" s="1024"/>
      <c r="H157" s="1024"/>
      <c r="I157" s="1024"/>
      <c r="J157" s="1024"/>
      <c r="K157" s="1024">
        <f t="shared" si="11"/>
        <v>0</v>
      </c>
      <c r="L157" s="1025"/>
      <c r="P157" s="1026"/>
      <c r="Q157" s="1027"/>
      <c r="R157" s="1027"/>
      <c r="S157" s="1027"/>
      <c r="T157" s="1028"/>
      <c r="U157" s="1027"/>
      <c r="V157" s="1027"/>
      <c r="W157" s="1027"/>
      <c r="X157" s="1027"/>
      <c r="Y157" s="1027"/>
      <c r="Z157" s="1027"/>
      <c r="AA157" s="1027"/>
      <c r="AB157" s="1027"/>
      <c r="AC157" s="1027"/>
      <c r="AD157" s="1027"/>
      <c r="AE157" s="1029"/>
      <c r="AF157" s="1029"/>
      <c r="AG157" s="1030"/>
    </row>
    <row r="158" spans="1:33" hidden="1" x14ac:dyDescent="0.35">
      <c r="A158" s="1020"/>
      <c r="B158" s="1021" t="s">
        <v>2459</v>
      </c>
      <c r="C158" s="1022"/>
      <c r="D158" s="2944"/>
      <c r="E158" s="1024"/>
      <c r="F158" s="1024"/>
      <c r="G158" s="1024"/>
      <c r="H158" s="1024"/>
      <c r="I158" s="1024"/>
      <c r="J158" s="1024"/>
      <c r="K158" s="1024">
        <f t="shared" si="11"/>
        <v>0</v>
      </c>
      <c r="L158" s="1025"/>
      <c r="P158" s="1026"/>
      <c r="Q158" s="1027"/>
      <c r="R158" s="1027"/>
      <c r="S158" s="1027"/>
      <c r="T158" s="1028"/>
      <c r="U158" s="1027"/>
      <c r="V158" s="1027"/>
      <c r="W158" s="1027"/>
      <c r="X158" s="1027"/>
      <c r="Y158" s="1027"/>
      <c r="Z158" s="1027"/>
      <c r="AA158" s="1027"/>
      <c r="AB158" s="1027"/>
      <c r="AC158" s="1027"/>
      <c r="AD158" s="1027"/>
      <c r="AE158" s="1029"/>
      <c r="AF158" s="1029"/>
      <c r="AG158" s="1030"/>
    </row>
    <row r="159" spans="1:33" hidden="1" x14ac:dyDescent="0.35">
      <c r="A159" s="1020"/>
      <c r="B159" s="1021" t="s">
        <v>2460</v>
      </c>
      <c r="C159" s="1022"/>
      <c r="D159" s="2944"/>
      <c r="E159" s="1024"/>
      <c r="F159" s="1024"/>
      <c r="G159" s="1024"/>
      <c r="H159" s="1024"/>
      <c r="I159" s="1024"/>
      <c r="J159" s="1024"/>
      <c r="K159" s="1024">
        <f t="shared" si="11"/>
        <v>0</v>
      </c>
      <c r="L159" s="1025"/>
      <c r="P159" s="1026"/>
      <c r="Q159" s="1027"/>
      <c r="R159" s="1027"/>
      <c r="S159" s="1027"/>
      <c r="T159" s="1028"/>
      <c r="U159" s="1027"/>
      <c r="V159" s="1027"/>
      <c r="W159" s="1027"/>
      <c r="X159" s="1027"/>
      <c r="Y159" s="1027"/>
      <c r="Z159" s="1027"/>
      <c r="AA159" s="1027"/>
      <c r="AB159" s="1027"/>
      <c r="AC159" s="1027"/>
      <c r="AD159" s="1027"/>
      <c r="AE159" s="1029"/>
      <c r="AF159" s="1029"/>
      <c r="AG159" s="1030"/>
    </row>
    <row r="160" spans="1:33" hidden="1" x14ac:dyDescent="0.35">
      <c r="A160" s="1020"/>
      <c r="B160" s="1021" t="s">
        <v>2461</v>
      </c>
      <c r="C160" s="1022"/>
      <c r="D160" s="2944"/>
      <c r="E160" s="1024"/>
      <c r="F160" s="1024"/>
      <c r="G160" s="1024"/>
      <c r="H160" s="1024"/>
      <c r="I160" s="1024"/>
      <c r="J160" s="1024"/>
      <c r="K160" s="1024">
        <f t="shared" si="11"/>
        <v>0</v>
      </c>
      <c r="L160" s="1025"/>
      <c r="P160" s="1026"/>
      <c r="Q160" s="1027"/>
      <c r="R160" s="1027"/>
      <c r="S160" s="1027"/>
      <c r="T160" s="1028"/>
      <c r="U160" s="1027"/>
      <c r="V160" s="1027"/>
      <c r="W160" s="1027"/>
      <c r="X160" s="1027"/>
      <c r="Y160" s="1027"/>
      <c r="Z160" s="1027"/>
      <c r="AA160" s="1027"/>
      <c r="AB160" s="1027"/>
      <c r="AC160" s="1027"/>
      <c r="AD160" s="1027"/>
      <c r="AE160" s="1029"/>
      <c r="AF160" s="1029"/>
      <c r="AG160" s="1030"/>
    </row>
    <row r="161" spans="1:33" ht="15" thickBot="1" x14ac:dyDescent="0.4">
      <c r="A161" s="1020"/>
      <c r="B161" s="1054"/>
      <c r="C161" s="1055"/>
      <c r="D161" s="1023"/>
      <c r="E161" s="1032">
        <f t="shared" ref="E161:K161" si="12">SUM(E135:E160)</f>
        <v>178294000</v>
      </c>
      <c r="F161" s="1032">
        <f t="shared" si="12"/>
        <v>0</v>
      </c>
      <c r="G161" s="1032">
        <f t="shared" si="12"/>
        <v>0</v>
      </c>
      <c r="H161" s="1032">
        <f t="shared" si="12"/>
        <v>0</v>
      </c>
      <c r="I161" s="1032">
        <f t="shared" si="12"/>
        <v>26160000</v>
      </c>
      <c r="J161" s="1032">
        <f t="shared" si="12"/>
        <v>0</v>
      </c>
      <c r="K161" s="1032">
        <f t="shared" si="12"/>
        <v>204454000</v>
      </c>
      <c r="L161" s="1033"/>
    </row>
    <row r="162" spans="1:33" ht="15" thickBot="1" x14ac:dyDescent="0.4">
      <c r="A162" s="2873" t="s">
        <v>2573</v>
      </c>
      <c r="B162" s="2867"/>
      <c r="C162" s="2868"/>
      <c r="D162" s="2869"/>
      <c r="E162" s="2869">
        <f t="shared" ref="E162:K162" si="13">E106+E133+E161</f>
        <v>290044000</v>
      </c>
      <c r="F162" s="2869">
        <f t="shared" si="13"/>
        <v>0</v>
      </c>
      <c r="G162" s="2869">
        <f t="shared" si="13"/>
        <v>25808000</v>
      </c>
      <c r="H162" s="2869">
        <f t="shared" si="13"/>
        <v>0</v>
      </c>
      <c r="I162" s="2869">
        <f t="shared" si="13"/>
        <v>63064000</v>
      </c>
      <c r="J162" s="2869">
        <f t="shared" si="13"/>
        <v>0</v>
      </c>
      <c r="K162" s="2869">
        <f t="shared" si="13"/>
        <v>378916000</v>
      </c>
      <c r="L162" s="2870"/>
    </row>
    <row r="163" spans="1:33" x14ac:dyDescent="0.35">
      <c r="A163" s="1053"/>
      <c r="B163" s="1037"/>
      <c r="C163" s="1034" t="s">
        <v>2574</v>
      </c>
      <c r="D163" s="1035"/>
      <c r="E163" s="1035"/>
      <c r="F163" s="1035"/>
      <c r="G163" s="1035"/>
      <c r="H163" s="1035"/>
      <c r="I163" s="1035"/>
      <c r="J163" s="1035"/>
      <c r="K163" s="1035"/>
      <c r="L163" s="1038"/>
    </row>
    <row r="164" spans="1:33" x14ac:dyDescent="0.35">
      <c r="A164" s="1053"/>
      <c r="B164" s="1037"/>
      <c r="C164" s="1034" t="s">
        <v>909</v>
      </c>
      <c r="D164" s="1035"/>
      <c r="E164" s="1035"/>
      <c r="F164" s="1035"/>
      <c r="G164" s="1035"/>
      <c r="H164" s="1035"/>
      <c r="I164" s="1035"/>
      <c r="J164" s="1035"/>
      <c r="K164" s="1035"/>
      <c r="L164" s="1035"/>
    </row>
    <row r="165" spans="1:33" x14ac:dyDescent="0.35">
      <c r="A165" s="1020"/>
      <c r="B165" s="3117">
        <v>1</v>
      </c>
      <c r="C165" s="1022" t="s">
        <v>7768</v>
      </c>
      <c r="D165" s="2944" t="s">
        <v>909</v>
      </c>
      <c r="E165" s="1024">
        <v>1000000</v>
      </c>
      <c r="F165" s="1024">
        <v>0</v>
      </c>
      <c r="G165" s="1024">
        <v>11500000</v>
      </c>
      <c r="H165" s="1024"/>
      <c r="I165" s="1024">
        <v>0</v>
      </c>
      <c r="J165" s="1024">
        <v>0</v>
      </c>
      <c r="K165" s="1024">
        <f>SUM(E165:J165)</f>
        <v>12500000</v>
      </c>
      <c r="L165" s="1025"/>
      <c r="P165" s="1026"/>
      <c r="Q165" s="1027"/>
      <c r="R165" s="1027"/>
      <c r="S165" s="1027"/>
      <c r="T165" s="1028"/>
      <c r="U165" s="1027"/>
      <c r="V165" s="1027"/>
      <c r="W165" s="1027"/>
      <c r="X165" s="1027"/>
      <c r="Y165" s="1027"/>
      <c r="Z165" s="1027"/>
      <c r="AA165" s="1027"/>
      <c r="AB165" s="1027"/>
      <c r="AC165" s="1027"/>
      <c r="AD165" s="1027"/>
      <c r="AE165" s="1029"/>
      <c r="AF165" s="1029"/>
      <c r="AG165" s="1030"/>
    </row>
    <row r="166" spans="1:33" x14ac:dyDescent="0.35">
      <c r="A166" s="1020"/>
      <c r="B166" s="3118">
        <v>2</v>
      </c>
      <c r="C166" s="1022" t="s">
        <v>7769</v>
      </c>
      <c r="D166" s="2944" t="s">
        <v>909</v>
      </c>
      <c r="E166" s="1024">
        <v>0</v>
      </c>
      <c r="F166" s="1024">
        <v>0</v>
      </c>
      <c r="G166" s="1024">
        <v>3750000</v>
      </c>
      <c r="H166" s="1024"/>
      <c r="I166" s="1024">
        <v>0</v>
      </c>
      <c r="J166" s="1024">
        <v>0</v>
      </c>
      <c r="K166" s="1024">
        <f t="shared" ref="K166:K170" si="14">SUM(E166:J166)</f>
        <v>3750000</v>
      </c>
      <c r="L166" s="1025"/>
      <c r="P166" s="1026"/>
      <c r="Q166" s="1027"/>
      <c r="R166" s="1027"/>
      <c r="S166" s="1027"/>
      <c r="T166" s="1028"/>
      <c r="U166" s="1027"/>
      <c r="V166" s="1027"/>
      <c r="W166" s="1027"/>
      <c r="X166" s="1027"/>
      <c r="Y166" s="1027"/>
      <c r="Z166" s="1027"/>
      <c r="AA166" s="1027"/>
      <c r="AB166" s="1027"/>
      <c r="AC166" s="1027"/>
      <c r="AD166" s="1027"/>
      <c r="AE166" s="1029"/>
      <c r="AF166" s="1029"/>
      <c r="AG166" s="1030"/>
    </row>
    <row r="167" spans="1:33" x14ac:dyDescent="0.35">
      <c r="A167" s="1020"/>
      <c r="B167" s="3117">
        <v>3</v>
      </c>
      <c r="C167" s="1022" t="s">
        <v>7770</v>
      </c>
      <c r="D167" s="2944" t="s">
        <v>909</v>
      </c>
      <c r="E167" s="1024">
        <v>3400000</v>
      </c>
      <c r="F167" s="1024">
        <v>0</v>
      </c>
      <c r="G167" s="1024">
        <v>4000000</v>
      </c>
      <c r="H167" s="1024"/>
      <c r="I167" s="1024">
        <v>0</v>
      </c>
      <c r="J167" s="1024">
        <v>0</v>
      </c>
      <c r="K167" s="1024">
        <f t="shared" si="14"/>
        <v>7400000</v>
      </c>
      <c r="L167" s="1025"/>
      <c r="P167" s="1026"/>
      <c r="Q167" s="1027"/>
      <c r="R167" s="1027"/>
      <c r="S167" s="1027"/>
      <c r="T167" s="1028"/>
      <c r="U167" s="1027"/>
      <c r="V167" s="1027"/>
      <c r="W167" s="1027"/>
      <c r="X167" s="1027"/>
      <c r="Y167" s="1027"/>
      <c r="Z167" s="1027"/>
      <c r="AA167" s="1027"/>
      <c r="AB167" s="1027"/>
      <c r="AC167" s="1027"/>
      <c r="AD167" s="1027"/>
      <c r="AE167" s="1029"/>
      <c r="AF167" s="1029"/>
      <c r="AG167" s="1030"/>
    </row>
    <row r="168" spans="1:33" x14ac:dyDescent="0.35">
      <c r="A168" s="1020"/>
      <c r="B168" s="3118">
        <v>4</v>
      </c>
      <c r="C168" s="1022" t="s">
        <v>7771</v>
      </c>
      <c r="D168" s="2944" t="s">
        <v>909</v>
      </c>
      <c r="E168" s="1024">
        <v>0</v>
      </c>
      <c r="F168" s="1024">
        <v>0</v>
      </c>
      <c r="G168" s="1024">
        <v>10500000</v>
      </c>
      <c r="H168" s="1024"/>
      <c r="I168" s="1024">
        <v>0</v>
      </c>
      <c r="J168" s="1024">
        <v>0</v>
      </c>
      <c r="K168" s="1024">
        <f t="shared" si="14"/>
        <v>10500000</v>
      </c>
      <c r="L168" s="1025"/>
      <c r="P168" s="1026"/>
      <c r="Q168" s="1027"/>
      <c r="R168" s="1027"/>
      <c r="S168" s="1027"/>
      <c r="T168" s="1028"/>
      <c r="U168" s="1027"/>
      <c r="V168" s="1027"/>
      <c r="W168" s="1027"/>
      <c r="X168" s="1027"/>
      <c r="Y168" s="1027"/>
      <c r="Z168" s="1027"/>
      <c r="AA168" s="1027"/>
      <c r="AB168" s="1027"/>
      <c r="AC168" s="1027"/>
      <c r="AD168" s="1027"/>
      <c r="AE168" s="1029"/>
      <c r="AF168" s="1029"/>
      <c r="AG168" s="1030"/>
    </row>
    <row r="169" spans="1:33" x14ac:dyDescent="0.35">
      <c r="A169" s="1020"/>
      <c r="B169" s="3117">
        <v>5</v>
      </c>
      <c r="C169" s="1022"/>
      <c r="D169" s="2944"/>
      <c r="E169" s="1024"/>
      <c r="F169" s="1024"/>
      <c r="G169" s="1024"/>
      <c r="H169" s="1024"/>
      <c r="I169" s="1024"/>
      <c r="J169" s="1024"/>
      <c r="K169" s="1024">
        <f t="shared" si="14"/>
        <v>0</v>
      </c>
      <c r="L169" s="1025"/>
      <c r="P169" s="1026"/>
      <c r="Q169" s="1027"/>
      <c r="R169" s="1027"/>
      <c r="S169" s="1027"/>
      <c r="T169" s="1028"/>
      <c r="U169" s="1027"/>
      <c r="V169" s="1027"/>
      <c r="W169" s="1027"/>
      <c r="X169" s="1027"/>
      <c r="Y169" s="1027"/>
      <c r="Z169" s="1027"/>
      <c r="AA169" s="1027"/>
      <c r="AB169" s="1027"/>
      <c r="AC169" s="1027"/>
      <c r="AD169" s="1027"/>
      <c r="AE169" s="1029"/>
      <c r="AF169" s="1029"/>
      <c r="AG169" s="1030"/>
    </row>
    <row r="170" spans="1:33" x14ac:dyDescent="0.35">
      <c r="A170" s="1020"/>
      <c r="B170" s="3118">
        <v>6</v>
      </c>
      <c r="C170" s="1022"/>
      <c r="D170" s="2944"/>
      <c r="E170" s="1024"/>
      <c r="F170" s="1024"/>
      <c r="G170" s="1024"/>
      <c r="H170" s="1024"/>
      <c r="I170" s="1024"/>
      <c r="J170" s="1024"/>
      <c r="K170" s="1024">
        <f t="shared" si="14"/>
        <v>0</v>
      </c>
      <c r="L170" s="1025"/>
      <c r="P170" s="1026"/>
      <c r="Q170" s="1027"/>
      <c r="R170" s="1027"/>
      <c r="S170" s="1027"/>
      <c r="T170" s="1028"/>
      <c r="U170" s="1027"/>
      <c r="V170" s="1027"/>
      <c r="W170" s="1027"/>
      <c r="X170" s="1027"/>
      <c r="Y170" s="1027"/>
      <c r="Z170" s="1027"/>
      <c r="AA170" s="1027"/>
      <c r="AB170" s="1027"/>
      <c r="AC170" s="1027"/>
      <c r="AD170" s="1027"/>
      <c r="AE170" s="1029"/>
      <c r="AF170" s="1029"/>
      <c r="AG170" s="1030"/>
    </row>
    <row r="171" spans="1:33" ht="15" thickBot="1" x14ac:dyDescent="0.4">
      <c r="A171" s="1020"/>
      <c r="B171" s="3117">
        <v>7</v>
      </c>
      <c r="C171" s="1022"/>
      <c r="D171" s="1023"/>
      <c r="E171" s="1024"/>
      <c r="F171" s="1024"/>
      <c r="G171" s="1024"/>
      <c r="H171" s="1024"/>
      <c r="I171" s="1024"/>
      <c r="J171" s="1024"/>
      <c r="K171" s="1024">
        <f t="shared" ref="K171" si="15">SUM(E171:J171)</f>
        <v>0</v>
      </c>
      <c r="L171" s="1025"/>
      <c r="P171" s="1026"/>
      <c r="Q171" s="1027"/>
      <c r="R171" s="1027"/>
      <c r="S171" s="1027"/>
      <c r="T171" s="1028"/>
      <c r="U171" s="1027"/>
      <c r="V171" s="1027"/>
      <c r="W171" s="1027"/>
      <c r="X171" s="1027"/>
      <c r="Y171" s="1027"/>
      <c r="Z171" s="1027"/>
      <c r="AA171" s="1027"/>
      <c r="AB171" s="1027"/>
      <c r="AC171" s="1027"/>
      <c r="AD171" s="1027"/>
      <c r="AE171" s="1029"/>
      <c r="AF171" s="1029"/>
      <c r="AG171" s="1030"/>
    </row>
    <row r="172" spans="1:33" ht="15" thickBot="1" x14ac:dyDescent="0.4">
      <c r="A172" s="2873" t="s">
        <v>2575</v>
      </c>
      <c r="B172" s="2867"/>
      <c r="C172" s="2868"/>
      <c r="D172" s="2869"/>
      <c r="E172" s="2869">
        <f t="shared" ref="E172:K172" si="16">SUM(E165:E171)</f>
        <v>4400000</v>
      </c>
      <c r="F172" s="2869">
        <f t="shared" si="16"/>
        <v>0</v>
      </c>
      <c r="G172" s="2869">
        <f t="shared" si="16"/>
        <v>29750000</v>
      </c>
      <c r="H172" s="2869">
        <f t="shared" si="16"/>
        <v>0</v>
      </c>
      <c r="I172" s="2869">
        <f t="shared" si="16"/>
        <v>0</v>
      </c>
      <c r="J172" s="2869">
        <f t="shared" si="16"/>
        <v>0</v>
      </c>
      <c r="K172" s="2869">
        <f t="shared" si="16"/>
        <v>34150000</v>
      </c>
      <c r="L172" s="2870"/>
    </row>
    <row r="173" spans="1:33" x14ac:dyDescent="0.35">
      <c r="A173" s="2871" t="s">
        <v>2576</v>
      </c>
      <c r="B173" s="1056"/>
      <c r="C173" s="1056"/>
      <c r="D173" s="1057"/>
      <c r="E173" s="3786">
        <f t="shared" ref="E173:K173" si="17">E82+E162+E172</f>
        <v>460157000</v>
      </c>
      <c r="F173" s="3786">
        <f t="shared" si="17"/>
        <v>0</v>
      </c>
      <c r="G173" s="3786">
        <f t="shared" si="17"/>
        <v>122008000</v>
      </c>
      <c r="H173" s="3786">
        <f t="shared" si="17"/>
        <v>0</v>
      </c>
      <c r="I173" s="3786">
        <f t="shared" si="17"/>
        <v>82658000</v>
      </c>
      <c r="J173" s="3786">
        <f t="shared" si="17"/>
        <v>0</v>
      </c>
      <c r="K173" s="3786">
        <f t="shared" si="17"/>
        <v>664823000</v>
      </c>
      <c r="L173" s="1059"/>
    </row>
    <row r="174" spans="1:33" ht="15" thickBot="1" x14ac:dyDescent="0.4">
      <c r="A174" s="2872" t="s">
        <v>2577</v>
      </c>
      <c r="B174" s="1061"/>
      <c r="C174" s="1061"/>
      <c r="D174" s="1062"/>
      <c r="E174" s="3787"/>
      <c r="F174" s="3787"/>
      <c r="G174" s="3787"/>
      <c r="H174" s="3787"/>
      <c r="I174" s="3787"/>
      <c r="J174" s="3787"/>
      <c r="K174" s="3787"/>
      <c r="L174" s="1063"/>
    </row>
    <row r="175" spans="1:33" x14ac:dyDescent="0.35">
      <c r="A175" s="1064"/>
      <c r="B175" s="1065"/>
      <c r="C175" s="1066"/>
      <c r="D175" s="1035"/>
      <c r="E175" s="1035"/>
      <c r="F175" s="1035"/>
      <c r="G175" s="1035"/>
      <c r="H175" s="1035"/>
      <c r="I175" s="1035"/>
      <c r="J175" s="1035"/>
      <c r="K175" s="1035"/>
      <c r="L175" s="1038"/>
    </row>
    <row r="176" spans="1:33" hidden="1" x14ac:dyDescent="0.35">
      <c r="A176" s="1067" t="s">
        <v>576</v>
      </c>
      <c r="B176" s="1068" t="s">
        <v>2578</v>
      </c>
      <c r="C176" s="1069"/>
      <c r="D176" s="1035"/>
      <c r="E176" s="1035"/>
      <c r="F176" s="1035"/>
      <c r="G176" s="1035"/>
      <c r="H176" s="1035"/>
      <c r="I176" s="1035"/>
      <c r="J176" s="1035"/>
      <c r="K176" s="1035"/>
      <c r="L176" s="1038"/>
    </row>
    <row r="177" spans="1:33" hidden="1" x14ac:dyDescent="0.35">
      <c r="A177" s="1020"/>
      <c r="B177" s="1071" t="s">
        <v>576</v>
      </c>
      <c r="C177" s="1070" t="s">
        <v>7695</v>
      </c>
      <c r="D177" s="1023"/>
      <c r="E177" s="1035"/>
      <c r="F177" s="1035"/>
      <c r="G177" s="1035"/>
      <c r="H177" s="1035"/>
      <c r="I177" s="1035"/>
      <c r="J177" s="1035"/>
      <c r="K177" s="1035"/>
      <c r="L177" s="1038"/>
    </row>
    <row r="178" spans="1:33" hidden="1" x14ac:dyDescent="0.35">
      <c r="A178" s="1020"/>
      <c r="B178" s="1021" t="s">
        <v>2447</v>
      </c>
      <c r="C178" s="1022"/>
      <c r="D178" s="1023"/>
      <c r="E178" s="1024"/>
      <c r="F178" s="1024" t="s">
        <v>2448</v>
      </c>
      <c r="G178" s="1024" t="s">
        <v>2448</v>
      </c>
      <c r="H178" s="1024" t="s">
        <v>2448</v>
      </c>
      <c r="I178" s="1024" t="s">
        <v>2448</v>
      </c>
      <c r="J178" s="1024" t="s">
        <v>2448</v>
      </c>
      <c r="K178" s="1024">
        <f t="shared" ref="K178:K182" si="18">SUM(E178:J178)</f>
        <v>0</v>
      </c>
      <c r="L178" s="1025"/>
      <c r="P178" s="1026"/>
      <c r="Q178" s="1027"/>
      <c r="R178" s="1027"/>
      <c r="S178" s="1027"/>
      <c r="T178" s="1028"/>
      <c r="U178" s="1027"/>
      <c r="V178" s="1027"/>
      <c r="W178" s="1027"/>
      <c r="X178" s="1027"/>
      <c r="Y178" s="1027"/>
      <c r="Z178" s="1027"/>
      <c r="AA178" s="1027"/>
      <c r="AB178" s="1027"/>
      <c r="AC178" s="1027"/>
      <c r="AD178" s="1027"/>
      <c r="AE178" s="1029"/>
      <c r="AF178" s="1029"/>
      <c r="AG178" s="1030"/>
    </row>
    <row r="179" spans="1:33" hidden="1" x14ac:dyDescent="0.35">
      <c r="A179" s="1020"/>
      <c r="B179" s="1021" t="s">
        <v>23</v>
      </c>
      <c r="C179" s="1022" t="s">
        <v>2448</v>
      </c>
      <c r="D179" s="1023" t="s">
        <v>2448</v>
      </c>
      <c r="E179" s="1024" t="s">
        <v>2448</v>
      </c>
      <c r="F179" s="1024" t="s">
        <v>2448</v>
      </c>
      <c r="G179" s="1024" t="s">
        <v>2448</v>
      </c>
      <c r="H179" s="1024" t="s">
        <v>2448</v>
      </c>
      <c r="I179" s="1024" t="s">
        <v>2448</v>
      </c>
      <c r="J179" s="1024" t="s">
        <v>2448</v>
      </c>
      <c r="K179" s="1024">
        <f t="shared" si="18"/>
        <v>0</v>
      </c>
      <c r="L179" s="1025"/>
      <c r="P179" s="1026"/>
      <c r="Q179" s="1027"/>
      <c r="R179" s="1027"/>
      <c r="S179" s="1027"/>
      <c r="T179" s="1028"/>
      <c r="U179" s="1027"/>
      <c r="V179" s="1027"/>
      <c r="W179" s="1027"/>
      <c r="X179" s="1027"/>
      <c r="Y179" s="1027"/>
      <c r="Z179" s="1027"/>
      <c r="AA179" s="1027"/>
      <c r="AB179" s="1027"/>
      <c r="AC179" s="1027"/>
      <c r="AD179" s="1027"/>
      <c r="AE179" s="1029"/>
      <c r="AF179" s="1029"/>
      <c r="AG179" s="1030"/>
    </row>
    <row r="180" spans="1:33" hidden="1" x14ac:dyDescent="0.35">
      <c r="A180" s="1020"/>
      <c r="B180" s="1021" t="s">
        <v>27</v>
      </c>
      <c r="C180" s="1022" t="s">
        <v>2448</v>
      </c>
      <c r="D180" s="1023" t="s">
        <v>2448</v>
      </c>
      <c r="E180" s="1024" t="s">
        <v>2448</v>
      </c>
      <c r="F180" s="1024" t="s">
        <v>2448</v>
      </c>
      <c r="G180" s="1024" t="s">
        <v>2448</v>
      </c>
      <c r="H180" s="1024" t="s">
        <v>2448</v>
      </c>
      <c r="I180" s="1024" t="s">
        <v>2448</v>
      </c>
      <c r="J180" s="1024" t="s">
        <v>2448</v>
      </c>
      <c r="K180" s="1024">
        <f t="shared" si="18"/>
        <v>0</v>
      </c>
      <c r="L180" s="1025"/>
      <c r="P180" s="1026"/>
      <c r="Q180" s="1027"/>
      <c r="R180" s="1027"/>
      <c r="S180" s="1027"/>
      <c r="T180" s="1028"/>
      <c r="U180" s="1027"/>
      <c r="V180" s="1027"/>
      <c r="W180" s="1027"/>
      <c r="X180" s="1027"/>
      <c r="Y180" s="1027"/>
      <c r="Z180" s="1027"/>
      <c r="AA180" s="1027"/>
      <c r="AB180" s="1027"/>
      <c r="AC180" s="1027"/>
      <c r="AD180" s="1027"/>
      <c r="AE180" s="1029"/>
      <c r="AF180" s="1029"/>
      <c r="AG180" s="1030"/>
    </row>
    <row r="181" spans="1:33" hidden="1" x14ac:dyDescent="0.35">
      <c r="A181" s="1020"/>
      <c r="B181" s="1021" t="s">
        <v>31</v>
      </c>
      <c r="C181" s="1022" t="s">
        <v>2448</v>
      </c>
      <c r="D181" s="1023" t="s">
        <v>2448</v>
      </c>
      <c r="E181" s="1024" t="s">
        <v>2448</v>
      </c>
      <c r="F181" s="1024" t="s">
        <v>2448</v>
      </c>
      <c r="G181" s="1024" t="s">
        <v>2448</v>
      </c>
      <c r="H181" s="1024" t="s">
        <v>2448</v>
      </c>
      <c r="I181" s="1024" t="s">
        <v>2448</v>
      </c>
      <c r="J181" s="1024" t="s">
        <v>2448</v>
      </c>
      <c r="K181" s="1024">
        <f t="shared" si="18"/>
        <v>0</v>
      </c>
      <c r="L181" s="1025"/>
      <c r="P181" s="1026"/>
      <c r="Q181" s="1027"/>
      <c r="R181" s="1027"/>
      <c r="S181" s="1027"/>
      <c r="T181" s="1028"/>
      <c r="U181" s="1027"/>
      <c r="V181" s="1027"/>
      <c r="W181" s="1027"/>
      <c r="X181" s="1027"/>
      <c r="Y181" s="1027"/>
      <c r="Z181" s="1027"/>
      <c r="AA181" s="1027"/>
      <c r="AB181" s="1027"/>
      <c r="AC181" s="1027"/>
      <c r="AD181" s="1027"/>
      <c r="AE181" s="1029"/>
      <c r="AF181" s="1029"/>
      <c r="AG181" s="1030"/>
    </row>
    <row r="182" spans="1:33" hidden="1" x14ac:dyDescent="0.35">
      <c r="A182" s="1020"/>
      <c r="B182" s="1021" t="s">
        <v>36</v>
      </c>
      <c r="C182" s="1022" t="s">
        <v>2448</v>
      </c>
      <c r="D182" s="1023" t="s">
        <v>2448</v>
      </c>
      <c r="E182" s="1024" t="s">
        <v>2448</v>
      </c>
      <c r="F182" s="1024" t="s">
        <v>2448</v>
      </c>
      <c r="G182" s="1024" t="s">
        <v>2448</v>
      </c>
      <c r="H182" s="1024" t="s">
        <v>2448</v>
      </c>
      <c r="I182" s="1024" t="s">
        <v>2448</v>
      </c>
      <c r="J182" s="1024" t="s">
        <v>2448</v>
      </c>
      <c r="K182" s="1024">
        <f t="shared" si="18"/>
        <v>0</v>
      </c>
      <c r="L182" s="1025"/>
      <c r="P182" s="1026"/>
      <c r="Q182" s="1027"/>
      <c r="R182" s="1027"/>
      <c r="S182" s="1027"/>
      <c r="T182" s="1028"/>
      <c r="U182" s="1027"/>
      <c r="V182" s="1027"/>
      <c r="W182" s="1027"/>
      <c r="X182" s="1027"/>
      <c r="Y182" s="1027"/>
      <c r="Z182" s="1027"/>
      <c r="AA182" s="1027"/>
      <c r="AB182" s="1027"/>
      <c r="AC182" s="1027"/>
      <c r="AD182" s="1027"/>
      <c r="AE182" s="1029"/>
      <c r="AF182" s="1029"/>
      <c r="AG182" s="1030"/>
    </row>
    <row r="183" spans="1:33" hidden="1" x14ac:dyDescent="0.35">
      <c r="A183" s="1020"/>
      <c r="B183" s="1031"/>
      <c r="C183" s="1022"/>
      <c r="D183" s="1023"/>
      <c r="E183" s="1032">
        <f t="shared" ref="E183:K183" si="19">SUM(E177:E182)</f>
        <v>0</v>
      </c>
      <c r="F183" s="1032">
        <f t="shared" si="19"/>
        <v>0</v>
      </c>
      <c r="G183" s="1032">
        <f t="shared" si="19"/>
        <v>0</v>
      </c>
      <c r="H183" s="1032">
        <f t="shared" si="19"/>
        <v>0</v>
      </c>
      <c r="I183" s="1032">
        <f t="shared" si="19"/>
        <v>0</v>
      </c>
      <c r="J183" s="1032">
        <f t="shared" si="19"/>
        <v>0</v>
      </c>
      <c r="K183" s="1032">
        <f t="shared" si="19"/>
        <v>0</v>
      </c>
      <c r="L183" s="1033" t="s">
        <v>2448</v>
      </c>
    </row>
    <row r="184" spans="1:33" hidden="1" x14ac:dyDescent="0.35">
      <c r="A184" s="1020"/>
      <c r="B184" s="1071" t="s">
        <v>666</v>
      </c>
      <c r="C184" s="1072" t="s">
        <v>2580</v>
      </c>
      <c r="D184" s="1023"/>
      <c r="E184" s="1035"/>
      <c r="F184" s="1035"/>
      <c r="G184" s="1035"/>
      <c r="H184" s="1035"/>
      <c r="I184" s="1035"/>
      <c r="J184" s="1035"/>
      <c r="K184" s="1035"/>
      <c r="L184" s="1038"/>
    </row>
    <row r="185" spans="1:33" hidden="1" x14ac:dyDescent="0.35">
      <c r="A185" s="1020"/>
      <c r="B185" s="1021" t="s">
        <v>2447</v>
      </c>
      <c r="C185" s="1022"/>
      <c r="D185" s="1023"/>
      <c r="E185" s="1024"/>
      <c r="F185" s="1024"/>
      <c r="G185" s="1024"/>
      <c r="H185" s="1024"/>
      <c r="I185" s="1024"/>
      <c r="J185" s="1024"/>
      <c r="K185" s="1024">
        <f t="shared" ref="K185:K189" si="20">SUM(E185:J185)</f>
        <v>0</v>
      </c>
      <c r="L185" s="1025"/>
      <c r="P185" s="1026"/>
      <c r="Q185" s="1027"/>
      <c r="R185" s="1027"/>
      <c r="S185" s="1027"/>
      <c r="T185" s="1028"/>
      <c r="U185" s="1027"/>
      <c r="V185" s="1027"/>
      <c r="W185" s="1027"/>
      <c r="X185" s="1027"/>
      <c r="Y185" s="1027"/>
      <c r="Z185" s="1027"/>
      <c r="AA185" s="1027"/>
      <c r="AB185" s="1027"/>
      <c r="AC185" s="1027"/>
      <c r="AD185" s="1027"/>
      <c r="AE185" s="1029"/>
      <c r="AF185" s="1029"/>
      <c r="AG185" s="1030"/>
    </row>
    <row r="186" spans="1:33" hidden="1" x14ac:dyDescent="0.35">
      <c r="A186" s="1020"/>
      <c r="B186" s="1021" t="s">
        <v>23</v>
      </c>
      <c r="C186" s="1022"/>
      <c r="D186" s="1023"/>
      <c r="E186" s="1024"/>
      <c r="F186" s="1024"/>
      <c r="G186" s="1024"/>
      <c r="H186" s="1024"/>
      <c r="I186" s="1024"/>
      <c r="J186" s="1024"/>
      <c r="K186" s="1024">
        <f t="shared" si="20"/>
        <v>0</v>
      </c>
      <c r="L186" s="1025"/>
      <c r="P186" s="1026"/>
      <c r="Q186" s="1027"/>
      <c r="R186" s="1027"/>
      <c r="S186" s="1027"/>
      <c r="T186" s="1028"/>
      <c r="U186" s="1027"/>
      <c r="V186" s="1027"/>
      <c r="W186" s="1027"/>
      <c r="X186" s="1027"/>
      <c r="Y186" s="1027"/>
      <c r="Z186" s="1027"/>
      <c r="AA186" s="1027"/>
      <c r="AB186" s="1027"/>
      <c r="AC186" s="1027"/>
      <c r="AD186" s="1027"/>
      <c r="AE186" s="1029"/>
      <c r="AF186" s="1029"/>
      <c r="AG186" s="1030"/>
    </row>
    <row r="187" spans="1:33" hidden="1" x14ac:dyDescent="0.35">
      <c r="A187" s="1020"/>
      <c r="B187" s="1021" t="s">
        <v>27</v>
      </c>
      <c r="C187" s="1022"/>
      <c r="D187" s="1023"/>
      <c r="E187" s="1024"/>
      <c r="F187" s="1024"/>
      <c r="G187" s="1024"/>
      <c r="H187" s="1024"/>
      <c r="I187" s="1024"/>
      <c r="J187" s="1024"/>
      <c r="K187" s="1024">
        <f t="shared" si="20"/>
        <v>0</v>
      </c>
      <c r="L187" s="1025"/>
      <c r="P187" s="1026"/>
      <c r="Q187" s="1027"/>
      <c r="R187" s="1027"/>
      <c r="S187" s="1027"/>
      <c r="T187" s="1028"/>
      <c r="U187" s="1027"/>
      <c r="V187" s="1027"/>
      <c r="W187" s="1027"/>
      <c r="X187" s="1027"/>
      <c r="Y187" s="1027"/>
      <c r="Z187" s="1027"/>
      <c r="AA187" s="1027"/>
      <c r="AB187" s="1027"/>
      <c r="AC187" s="1027"/>
      <c r="AD187" s="1027"/>
      <c r="AE187" s="1029"/>
      <c r="AF187" s="1029"/>
      <c r="AG187" s="1030"/>
    </row>
    <row r="188" spans="1:33" hidden="1" x14ac:dyDescent="0.35">
      <c r="A188" s="1020"/>
      <c r="B188" s="1021" t="s">
        <v>31</v>
      </c>
      <c r="C188" s="1022"/>
      <c r="D188" s="1023"/>
      <c r="E188" s="1024"/>
      <c r="F188" s="1024"/>
      <c r="G188" s="1024"/>
      <c r="H188" s="1024"/>
      <c r="I188" s="1024"/>
      <c r="J188" s="1024"/>
      <c r="K188" s="1024">
        <f t="shared" si="20"/>
        <v>0</v>
      </c>
      <c r="L188" s="1025"/>
      <c r="P188" s="1026"/>
      <c r="Q188" s="1027"/>
      <c r="R188" s="1027"/>
      <c r="S188" s="1027"/>
      <c r="T188" s="1028"/>
      <c r="U188" s="1027"/>
      <c r="V188" s="1027"/>
      <c r="W188" s="1027"/>
      <c r="X188" s="1027"/>
      <c r="Y188" s="1027"/>
      <c r="Z188" s="1027"/>
      <c r="AA188" s="1027"/>
      <c r="AB188" s="1027"/>
      <c r="AC188" s="1027"/>
      <c r="AD188" s="1027"/>
      <c r="AE188" s="1029"/>
      <c r="AF188" s="1029"/>
      <c r="AG188" s="1030"/>
    </row>
    <row r="189" spans="1:33" hidden="1" x14ac:dyDescent="0.35">
      <c r="A189" s="1020"/>
      <c r="B189" s="1021" t="s">
        <v>36</v>
      </c>
      <c r="C189" s="1022"/>
      <c r="D189" s="1023"/>
      <c r="E189" s="1024"/>
      <c r="F189" s="1024"/>
      <c r="G189" s="1024"/>
      <c r="H189" s="1024"/>
      <c r="I189" s="1024"/>
      <c r="J189" s="1024"/>
      <c r="K189" s="1024">
        <f t="shared" si="20"/>
        <v>0</v>
      </c>
      <c r="L189" s="1025"/>
      <c r="P189" s="1026"/>
      <c r="Q189" s="1027"/>
      <c r="R189" s="1027"/>
      <c r="S189" s="1027"/>
      <c r="T189" s="1028"/>
      <c r="U189" s="1027"/>
      <c r="V189" s="1027"/>
      <c r="W189" s="1027"/>
      <c r="X189" s="1027"/>
      <c r="Y189" s="1027"/>
      <c r="Z189" s="1027"/>
      <c r="AA189" s="1027"/>
      <c r="AB189" s="1027"/>
      <c r="AC189" s="1027"/>
      <c r="AD189" s="1027"/>
      <c r="AE189" s="1029"/>
      <c r="AF189" s="1029"/>
      <c r="AG189" s="1030"/>
    </row>
    <row r="190" spans="1:33" ht="15" hidden="1" thickBot="1" x14ac:dyDescent="0.4">
      <c r="A190" s="1073"/>
      <c r="B190" s="1031"/>
      <c r="C190" s="1074"/>
      <c r="D190" s="1023"/>
      <c r="E190" s="1039">
        <f t="shared" ref="E190:K190" si="21">SUM(E185:E189)</f>
        <v>0</v>
      </c>
      <c r="F190" s="1039">
        <f t="shared" si="21"/>
        <v>0</v>
      </c>
      <c r="G190" s="1039">
        <f t="shared" si="21"/>
        <v>0</v>
      </c>
      <c r="H190" s="1039">
        <f t="shared" si="21"/>
        <v>0</v>
      </c>
      <c r="I190" s="1039">
        <f t="shared" si="21"/>
        <v>0</v>
      </c>
      <c r="J190" s="1039">
        <f t="shared" si="21"/>
        <v>0</v>
      </c>
      <c r="K190" s="1039">
        <f t="shared" si="21"/>
        <v>0</v>
      </c>
      <c r="L190" s="1033"/>
      <c r="T190" s="1044"/>
    </row>
    <row r="191" spans="1:33" hidden="1" x14ac:dyDescent="0.35">
      <c r="A191" s="1075" t="s">
        <v>2582</v>
      </c>
      <c r="B191" s="1076"/>
      <c r="C191" s="1077"/>
      <c r="D191" s="1078"/>
      <c r="E191" s="1079"/>
      <c r="F191" s="1079"/>
      <c r="G191" s="1079"/>
      <c r="H191" s="1079"/>
      <c r="I191" s="1079"/>
      <c r="J191" s="1079"/>
      <c r="K191" s="1079"/>
      <c r="L191" s="1080"/>
    </row>
    <row r="192" spans="1:33" ht="15" hidden="1" thickBot="1" x14ac:dyDescent="0.4">
      <c r="A192" s="1081" t="s">
        <v>2583</v>
      </c>
      <c r="B192" s="1082"/>
      <c r="C192" s="1083"/>
      <c r="D192" s="1084"/>
      <c r="E192" s="1085">
        <f t="shared" ref="E192:K192" si="22">E183+E190</f>
        <v>0</v>
      </c>
      <c r="F192" s="1085">
        <f t="shared" si="22"/>
        <v>0</v>
      </c>
      <c r="G192" s="1085">
        <f t="shared" si="22"/>
        <v>0</v>
      </c>
      <c r="H192" s="1085">
        <f t="shared" si="22"/>
        <v>0</v>
      </c>
      <c r="I192" s="1085">
        <f t="shared" si="22"/>
        <v>0</v>
      </c>
      <c r="J192" s="1085">
        <f t="shared" si="22"/>
        <v>0</v>
      </c>
      <c r="K192" s="1085">
        <f t="shared" si="22"/>
        <v>0</v>
      </c>
      <c r="L192" s="1086"/>
    </row>
    <row r="193" spans="1:20" ht="16.5" x14ac:dyDescent="0.35">
      <c r="A193" s="1045"/>
      <c r="B193" s="1046"/>
      <c r="C193" s="1045"/>
      <c r="D193" s="1045"/>
      <c r="E193" s="1047"/>
      <c r="F193" s="1047"/>
      <c r="G193" s="1048" t="s">
        <v>2458</v>
      </c>
      <c r="H193" s="1047"/>
      <c r="I193" s="1047"/>
      <c r="J193" s="1047"/>
      <c r="K193" s="1047"/>
      <c r="L193" s="1049"/>
      <c r="T193" s="1050"/>
    </row>
    <row r="194" spans="1:20" x14ac:dyDescent="0.35">
      <c r="A194" s="1087" t="s">
        <v>597</v>
      </c>
      <c r="B194" s="1088" t="s">
        <v>2584</v>
      </c>
      <c r="C194" s="1089"/>
      <c r="D194" s="1023"/>
      <c r="E194" s="1090"/>
      <c r="F194" s="1090"/>
      <c r="G194" s="1090"/>
      <c r="H194" s="1090"/>
      <c r="I194" s="1090"/>
      <c r="J194" s="1090"/>
      <c r="K194" s="1024"/>
      <c r="L194" s="1091"/>
    </row>
    <row r="195" spans="1:20" x14ac:dyDescent="0.35">
      <c r="A195" s="1092"/>
      <c r="B195" s="1093" t="s">
        <v>2447</v>
      </c>
      <c r="C195" s="1094" t="s">
        <v>7408</v>
      </c>
      <c r="D195" s="2944" t="s">
        <v>7776</v>
      </c>
      <c r="E195" s="1095">
        <v>1600000</v>
      </c>
      <c r="F195" s="1095">
        <v>0</v>
      </c>
      <c r="G195" s="1095">
        <v>0</v>
      </c>
      <c r="H195" s="1095"/>
      <c r="I195" s="1095">
        <v>0</v>
      </c>
      <c r="J195" s="1095">
        <v>1880000</v>
      </c>
      <c r="K195" s="1024">
        <f t="shared" ref="K195:K214" si="23">SUM(E195:J195)</f>
        <v>3480000</v>
      </c>
      <c r="L195" s="1096"/>
      <c r="M195" s="1097">
        <v>233113930</v>
      </c>
    </row>
    <row r="196" spans="1:20" x14ac:dyDescent="0.35">
      <c r="A196" s="1092"/>
      <c r="B196" s="1093" t="s">
        <v>23</v>
      </c>
      <c r="C196" s="1094" t="s">
        <v>7409</v>
      </c>
      <c r="D196" s="2944" t="s">
        <v>7776</v>
      </c>
      <c r="E196" s="1095">
        <v>1200000</v>
      </c>
      <c r="F196" s="1095">
        <v>0</v>
      </c>
      <c r="G196" s="1095">
        <v>1200000</v>
      </c>
      <c r="H196" s="1095"/>
      <c r="I196" s="1095">
        <v>0</v>
      </c>
      <c r="J196" s="1095">
        <v>0</v>
      </c>
      <c r="K196" s="1024">
        <f t="shared" si="23"/>
        <v>2400000</v>
      </c>
      <c r="L196" s="1096"/>
      <c r="M196" s="1097">
        <v>0</v>
      </c>
    </row>
    <row r="197" spans="1:20" x14ac:dyDescent="0.35">
      <c r="A197" s="1092"/>
      <c r="B197" s="1093" t="s">
        <v>27</v>
      </c>
      <c r="C197" s="1094" t="s">
        <v>7410</v>
      </c>
      <c r="D197" s="2944" t="s">
        <v>7776</v>
      </c>
      <c r="E197" s="1095">
        <v>1000000</v>
      </c>
      <c r="F197" s="1095">
        <v>0</v>
      </c>
      <c r="G197" s="1095">
        <v>0</v>
      </c>
      <c r="H197" s="1095"/>
      <c r="I197" s="1095">
        <v>0</v>
      </c>
      <c r="J197" s="1095">
        <v>880000</v>
      </c>
      <c r="K197" s="1024">
        <f t="shared" si="23"/>
        <v>1880000</v>
      </c>
      <c r="L197" s="1096"/>
      <c r="M197" s="1097">
        <v>60425000</v>
      </c>
    </row>
    <row r="198" spans="1:20" x14ac:dyDescent="0.35">
      <c r="A198" s="1092"/>
      <c r="B198" s="1093" t="s">
        <v>31</v>
      </c>
      <c r="C198" s="1094" t="s">
        <v>7411</v>
      </c>
      <c r="D198" s="2944" t="s">
        <v>7776</v>
      </c>
      <c r="E198" s="1095">
        <v>1850000</v>
      </c>
      <c r="F198" s="1095">
        <v>0</v>
      </c>
      <c r="G198" s="1095">
        <v>0</v>
      </c>
      <c r="H198" s="1095"/>
      <c r="I198" s="1095">
        <v>0</v>
      </c>
      <c r="J198" s="1095">
        <v>1650000</v>
      </c>
      <c r="K198" s="1024">
        <f t="shared" si="23"/>
        <v>3500000</v>
      </c>
      <c r="L198" s="1096"/>
    </row>
    <row r="199" spans="1:20" x14ac:dyDescent="0.35">
      <c r="A199" s="1092"/>
      <c r="B199" s="1093" t="s">
        <v>36</v>
      </c>
      <c r="C199" s="1094" t="s">
        <v>7412</v>
      </c>
      <c r="D199" s="2944" t="s">
        <v>7776</v>
      </c>
      <c r="E199" s="1095">
        <v>0</v>
      </c>
      <c r="F199" s="1095">
        <v>0</v>
      </c>
      <c r="G199" s="1095">
        <v>0</v>
      </c>
      <c r="H199" s="1095"/>
      <c r="I199" s="1095">
        <v>0</v>
      </c>
      <c r="J199" s="1095">
        <v>2712000</v>
      </c>
      <c r="K199" s="1024">
        <f t="shared" si="23"/>
        <v>2712000</v>
      </c>
      <c r="L199" s="1096"/>
    </row>
    <row r="200" spans="1:20" x14ac:dyDescent="0.35">
      <c r="A200" s="1092"/>
      <c r="B200" s="1093" t="s">
        <v>2449</v>
      </c>
      <c r="C200" s="1094" t="s">
        <v>7413</v>
      </c>
      <c r="D200" s="2944" t="s">
        <v>7776</v>
      </c>
      <c r="E200" s="1095">
        <v>0</v>
      </c>
      <c r="F200" s="1095">
        <v>0</v>
      </c>
      <c r="G200" s="1095">
        <v>0</v>
      </c>
      <c r="H200" s="1095"/>
      <c r="I200" s="1095">
        <v>1560000</v>
      </c>
      <c r="J200" s="1095">
        <v>0</v>
      </c>
      <c r="K200" s="1024">
        <f t="shared" si="23"/>
        <v>1560000</v>
      </c>
      <c r="L200" s="1096"/>
    </row>
    <row r="201" spans="1:20" x14ac:dyDescent="0.35">
      <c r="A201" s="1092"/>
      <c r="B201" s="1093" t="s">
        <v>759</v>
      </c>
      <c r="C201" s="1094" t="s">
        <v>7414</v>
      </c>
      <c r="D201" s="2944" t="s">
        <v>7776</v>
      </c>
      <c r="E201" s="1095">
        <v>0</v>
      </c>
      <c r="F201" s="1095">
        <v>0</v>
      </c>
      <c r="G201" s="1095">
        <v>0</v>
      </c>
      <c r="H201" s="1095"/>
      <c r="I201" s="1095">
        <v>3541000</v>
      </c>
      <c r="J201" s="1095">
        <v>2582000</v>
      </c>
      <c r="K201" s="1024">
        <f t="shared" si="23"/>
        <v>6123000</v>
      </c>
      <c r="L201" s="1096"/>
    </row>
    <row r="202" spans="1:20" x14ac:dyDescent="0.35">
      <c r="A202" s="1092"/>
      <c r="B202" s="1093" t="s">
        <v>701</v>
      </c>
      <c r="C202" s="1094" t="s">
        <v>7415</v>
      </c>
      <c r="D202" s="2944" t="s">
        <v>7776</v>
      </c>
      <c r="E202" s="1095">
        <v>1400000</v>
      </c>
      <c r="F202" s="1095">
        <v>0</v>
      </c>
      <c r="G202" s="1095">
        <v>9000000</v>
      </c>
      <c r="H202" s="1095"/>
      <c r="I202" s="1095">
        <v>0</v>
      </c>
      <c r="J202" s="1095">
        <v>0</v>
      </c>
      <c r="K202" s="1024">
        <f t="shared" si="23"/>
        <v>10400000</v>
      </c>
      <c r="L202" s="1096"/>
    </row>
    <row r="203" spans="1:20" x14ac:dyDescent="0.35">
      <c r="A203" s="1092"/>
      <c r="B203" s="1093" t="s">
        <v>1027</v>
      </c>
      <c r="C203" s="1094" t="s">
        <v>7416</v>
      </c>
      <c r="D203" s="2944" t="s">
        <v>7776</v>
      </c>
      <c r="E203" s="1095">
        <v>1300000</v>
      </c>
      <c r="F203" s="1095">
        <v>0</v>
      </c>
      <c r="G203" s="1095">
        <v>0</v>
      </c>
      <c r="H203" s="1095">
        <v>0</v>
      </c>
      <c r="I203" s="1095">
        <v>0</v>
      </c>
      <c r="J203" s="1095">
        <v>0</v>
      </c>
      <c r="K203" s="1024">
        <f t="shared" si="23"/>
        <v>1300000</v>
      </c>
      <c r="L203" s="1096"/>
    </row>
    <row r="204" spans="1:20" x14ac:dyDescent="0.35">
      <c r="A204" s="1092"/>
      <c r="B204" s="1093" t="s">
        <v>762</v>
      </c>
      <c r="C204" s="1094" t="s">
        <v>7417</v>
      </c>
      <c r="D204" s="2944" t="s">
        <v>7776</v>
      </c>
      <c r="E204" s="1095">
        <v>10600000</v>
      </c>
      <c r="F204" s="1095">
        <v>0</v>
      </c>
      <c r="G204" s="1095">
        <v>12000000</v>
      </c>
      <c r="H204" s="1095">
        <v>0</v>
      </c>
      <c r="I204" s="1095">
        <v>0</v>
      </c>
      <c r="J204" s="1095">
        <v>0</v>
      </c>
      <c r="K204" s="1024">
        <f t="shared" si="23"/>
        <v>22600000</v>
      </c>
      <c r="L204" s="1096"/>
    </row>
    <row r="205" spans="1:20" x14ac:dyDescent="0.35">
      <c r="A205" s="1092"/>
      <c r="B205" s="1093" t="s">
        <v>874</v>
      </c>
      <c r="C205" s="1094" t="s">
        <v>7418</v>
      </c>
      <c r="D205" s="2944" t="s">
        <v>7776</v>
      </c>
      <c r="E205" s="1095">
        <v>18250000</v>
      </c>
      <c r="F205" s="1095">
        <v>0</v>
      </c>
      <c r="G205" s="1095">
        <v>3850000</v>
      </c>
      <c r="H205" s="1095">
        <v>0</v>
      </c>
      <c r="I205" s="1095">
        <v>2510000</v>
      </c>
      <c r="J205" s="1095">
        <v>0</v>
      </c>
      <c r="K205" s="1024">
        <f t="shared" si="23"/>
        <v>24610000</v>
      </c>
      <c r="L205" s="1096"/>
    </row>
    <row r="206" spans="1:20" x14ac:dyDescent="0.35">
      <c r="A206" s="1092"/>
      <c r="B206" s="1093" t="s">
        <v>2450</v>
      </c>
      <c r="C206" s="1094" t="s">
        <v>7419</v>
      </c>
      <c r="D206" s="2944" t="s">
        <v>7776</v>
      </c>
      <c r="E206" s="1095">
        <v>2600000</v>
      </c>
      <c r="F206" s="1095">
        <v>0</v>
      </c>
      <c r="G206" s="1095">
        <v>0</v>
      </c>
      <c r="H206" s="1095"/>
      <c r="I206" s="1095">
        <v>1638000</v>
      </c>
      <c r="J206" s="1095">
        <v>0</v>
      </c>
      <c r="K206" s="1024">
        <f t="shared" si="23"/>
        <v>4238000</v>
      </c>
      <c r="L206" s="1096"/>
    </row>
    <row r="207" spans="1:20" x14ac:dyDescent="0.35">
      <c r="A207" s="1092"/>
      <c r="B207" s="1093" t="s">
        <v>2451</v>
      </c>
      <c r="C207" s="1094" t="s">
        <v>7399</v>
      </c>
      <c r="D207" s="2944" t="s">
        <v>7776</v>
      </c>
      <c r="E207" s="1095">
        <v>10200000</v>
      </c>
      <c r="F207" s="1095">
        <v>0</v>
      </c>
      <c r="G207" s="1095">
        <v>0</v>
      </c>
      <c r="H207" s="1095"/>
      <c r="I207" s="1095">
        <v>1100000</v>
      </c>
      <c r="J207" s="1095">
        <v>0</v>
      </c>
      <c r="K207" s="1024">
        <f t="shared" si="23"/>
        <v>11300000</v>
      </c>
      <c r="L207" s="1096"/>
    </row>
    <row r="208" spans="1:20" x14ac:dyDescent="0.35">
      <c r="A208" s="1092"/>
      <c r="B208" s="1093" t="s">
        <v>2452</v>
      </c>
      <c r="C208" s="1094" t="s">
        <v>7405</v>
      </c>
      <c r="D208" s="2944" t="s">
        <v>7776</v>
      </c>
      <c r="E208" s="1095">
        <v>750000</v>
      </c>
      <c r="F208" s="1095">
        <v>0</v>
      </c>
      <c r="G208" s="1095">
        <v>0</v>
      </c>
      <c r="H208" s="1095"/>
      <c r="I208" s="1095">
        <v>320000</v>
      </c>
      <c r="J208" s="1095">
        <v>0</v>
      </c>
      <c r="K208" s="1024">
        <f t="shared" si="23"/>
        <v>1070000</v>
      </c>
      <c r="L208" s="1096"/>
    </row>
    <row r="209" spans="1:33" x14ac:dyDescent="0.35">
      <c r="A209" s="1092"/>
      <c r="B209" s="1093" t="s">
        <v>2453</v>
      </c>
      <c r="C209" s="1094" t="s">
        <v>7382</v>
      </c>
      <c r="D209" s="2944" t="s">
        <v>7776</v>
      </c>
      <c r="E209" s="1095">
        <v>37100000</v>
      </c>
      <c r="F209" s="1095">
        <v>0</v>
      </c>
      <c r="G209" s="1095">
        <v>8000000</v>
      </c>
      <c r="H209" s="1095"/>
      <c r="I209" s="1095">
        <v>4048000</v>
      </c>
      <c r="J209" s="1095">
        <v>0</v>
      </c>
      <c r="K209" s="1024">
        <f t="shared" si="23"/>
        <v>49148000</v>
      </c>
      <c r="L209" s="1096"/>
    </row>
    <row r="210" spans="1:33" x14ac:dyDescent="0.35">
      <c r="A210" s="1092"/>
      <c r="B210" s="1093" t="s">
        <v>2454</v>
      </c>
      <c r="C210" s="1094" t="s">
        <v>7384</v>
      </c>
      <c r="D210" s="2944" t="s">
        <v>7776</v>
      </c>
      <c r="E210" s="1095">
        <v>650000</v>
      </c>
      <c r="F210" s="1095">
        <v>0</v>
      </c>
      <c r="G210" s="1095">
        <v>0</v>
      </c>
      <c r="H210" s="1095"/>
      <c r="I210" s="1095">
        <v>0</v>
      </c>
      <c r="J210" s="1095">
        <v>0</v>
      </c>
      <c r="K210" s="1024">
        <f t="shared" si="23"/>
        <v>650000</v>
      </c>
      <c r="L210" s="1096"/>
    </row>
    <row r="211" spans="1:33" x14ac:dyDescent="0.35">
      <c r="A211" s="1092"/>
      <c r="B211" s="1093" t="s">
        <v>2455</v>
      </c>
      <c r="C211" s="1094" t="s">
        <v>7406</v>
      </c>
      <c r="D211" s="2944" t="s">
        <v>7776</v>
      </c>
      <c r="E211" s="1095">
        <v>3500000</v>
      </c>
      <c r="F211" s="1095">
        <v>0</v>
      </c>
      <c r="G211" s="1095">
        <v>0</v>
      </c>
      <c r="H211" s="1095"/>
      <c r="I211" s="1095">
        <v>2040000</v>
      </c>
      <c r="J211" s="1095">
        <v>0</v>
      </c>
      <c r="K211" s="1024">
        <f t="shared" si="23"/>
        <v>5540000</v>
      </c>
      <c r="L211" s="1096"/>
    </row>
    <row r="212" spans="1:33" x14ac:dyDescent="0.35">
      <c r="A212" s="1092"/>
      <c r="B212" s="1093" t="s">
        <v>168</v>
      </c>
      <c r="C212" s="1094" t="s">
        <v>7407</v>
      </c>
      <c r="D212" s="2944" t="s">
        <v>7776</v>
      </c>
      <c r="E212" s="1095">
        <v>28400000</v>
      </c>
      <c r="F212" s="1095">
        <v>0</v>
      </c>
      <c r="G212" s="1095">
        <v>0</v>
      </c>
      <c r="H212" s="1095"/>
      <c r="I212" s="1095">
        <v>2040000</v>
      </c>
      <c r="J212" s="1095">
        <v>0</v>
      </c>
      <c r="K212" s="1024">
        <f t="shared" si="23"/>
        <v>30440000</v>
      </c>
      <c r="L212" s="1096"/>
    </row>
    <row r="213" spans="1:33" x14ac:dyDescent="0.35">
      <c r="A213" s="1092"/>
      <c r="B213" s="1093" t="s">
        <v>171</v>
      </c>
      <c r="C213" s="1094"/>
      <c r="D213" s="1023"/>
      <c r="E213" s="1095"/>
      <c r="F213" s="1095"/>
      <c r="G213" s="1095"/>
      <c r="H213" s="1095"/>
      <c r="I213" s="1095"/>
      <c r="J213" s="1095"/>
      <c r="K213" s="1024">
        <f t="shared" si="23"/>
        <v>0</v>
      </c>
      <c r="L213" s="1096"/>
    </row>
    <row r="214" spans="1:33" ht="15" thickBot="1" x14ac:dyDescent="0.4">
      <c r="A214" s="1092"/>
      <c r="B214" s="1093" t="s">
        <v>173</v>
      </c>
      <c r="C214" s="1094"/>
      <c r="D214" s="1023"/>
      <c r="E214" s="1095"/>
      <c r="F214" s="1095"/>
      <c r="G214" s="1095"/>
      <c r="H214" s="1095"/>
      <c r="I214" s="1095"/>
      <c r="J214" s="1095"/>
      <c r="K214" s="1024">
        <f t="shared" si="23"/>
        <v>0</v>
      </c>
      <c r="L214" s="1096"/>
    </row>
    <row r="215" spans="1:33" x14ac:dyDescent="0.35">
      <c r="A215" s="1098" t="s">
        <v>2587</v>
      </c>
      <c r="B215" s="1099"/>
      <c r="C215" s="1100"/>
      <c r="D215" s="1101"/>
      <c r="E215" s="1102"/>
      <c r="F215" s="1102"/>
      <c r="G215" s="1102"/>
      <c r="H215" s="1102"/>
      <c r="I215" s="1102"/>
      <c r="J215" s="1102"/>
      <c r="K215" s="1103"/>
      <c r="L215" s="1104"/>
    </row>
    <row r="216" spans="1:33" ht="15" thickBot="1" x14ac:dyDescent="0.4">
      <c r="A216" s="1105" t="s">
        <v>2588</v>
      </c>
      <c r="B216" s="1106"/>
      <c r="C216" s="1107"/>
      <c r="D216" s="1084"/>
      <c r="E216" s="1108">
        <f t="shared" ref="E216:K216" si="24">SUM(E195:E214)</f>
        <v>120400000</v>
      </c>
      <c r="F216" s="1108">
        <f t="shared" si="24"/>
        <v>0</v>
      </c>
      <c r="G216" s="1108">
        <f t="shared" si="24"/>
        <v>34050000</v>
      </c>
      <c r="H216" s="1108">
        <f t="shared" si="24"/>
        <v>0</v>
      </c>
      <c r="I216" s="1108">
        <f t="shared" si="24"/>
        <v>18797000</v>
      </c>
      <c r="J216" s="1108">
        <f t="shared" si="24"/>
        <v>9704000</v>
      </c>
      <c r="K216" s="1108">
        <f t="shared" si="24"/>
        <v>182951000</v>
      </c>
      <c r="L216" s="1109"/>
    </row>
    <row r="217" spans="1:33" hidden="1" x14ac:dyDescent="0.35">
      <c r="A217" s="1110" t="s">
        <v>31</v>
      </c>
      <c r="B217" s="1088" t="s">
        <v>2589</v>
      </c>
      <c r="C217" s="1089"/>
      <c r="D217" s="1023"/>
      <c r="E217" s="1090"/>
      <c r="F217" s="1090"/>
      <c r="G217" s="1090"/>
      <c r="H217" s="1090"/>
      <c r="I217" s="1090"/>
      <c r="J217" s="1090"/>
      <c r="K217" s="1111"/>
      <c r="L217" s="1091"/>
    </row>
    <row r="218" spans="1:33" hidden="1" x14ac:dyDescent="0.35">
      <c r="A218" s="1112"/>
      <c r="B218" s="1113" t="s">
        <v>2590</v>
      </c>
      <c r="C218" s="1089"/>
      <c r="D218" s="1023"/>
      <c r="E218" s="1090"/>
      <c r="F218" s="1090"/>
      <c r="G218" s="1090"/>
      <c r="H218" s="1090"/>
      <c r="I218" s="1090"/>
      <c r="J218" s="1090"/>
      <c r="K218" s="1111"/>
      <c r="L218" s="1091"/>
    </row>
    <row r="219" spans="1:33" hidden="1" x14ac:dyDescent="0.35">
      <c r="A219" s="1114"/>
      <c r="B219" s="1093" t="s">
        <v>2447</v>
      </c>
      <c r="C219" s="1094"/>
      <c r="D219" s="1023"/>
      <c r="E219" s="1111"/>
      <c r="F219" s="1111"/>
      <c r="G219" s="1111"/>
      <c r="H219" s="1111"/>
      <c r="I219" s="1111"/>
      <c r="J219" s="1111"/>
      <c r="K219" s="1111">
        <f t="shared" ref="K219:K223" si="25">SUM(E219:J219)</f>
        <v>0</v>
      </c>
      <c r="L219" s="1115"/>
    </row>
    <row r="220" spans="1:33" hidden="1" x14ac:dyDescent="0.35">
      <c r="A220" s="1114"/>
      <c r="B220" s="1093" t="s">
        <v>23</v>
      </c>
      <c r="C220" s="1094"/>
      <c r="D220" s="1023"/>
      <c r="E220" s="1111"/>
      <c r="F220" s="1111"/>
      <c r="G220" s="1111"/>
      <c r="H220" s="1111"/>
      <c r="I220" s="1111"/>
      <c r="J220" s="1111"/>
      <c r="K220" s="1111">
        <f t="shared" si="25"/>
        <v>0</v>
      </c>
      <c r="L220" s="1115"/>
    </row>
    <row r="221" spans="1:33" hidden="1" x14ac:dyDescent="0.35">
      <c r="A221" s="1114"/>
      <c r="B221" s="1093" t="s">
        <v>27</v>
      </c>
      <c r="C221" s="1094"/>
      <c r="D221" s="1023"/>
      <c r="E221" s="1111"/>
      <c r="F221" s="1111"/>
      <c r="G221" s="1111"/>
      <c r="H221" s="1111"/>
      <c r="I221" s="1111"/>
      <c r="J221" s="1111"/>
      <c r="K221" s="1111">
        <f t="shared" si="25"/>
        <v>0</v>
      </c>
      <c r="L221" s="1115"/>
    </row>
    <row r="222" spans="1:33" hidden="1" x14ac:dyDescent="0.35">
      <c r="A222" s="1114"/>
      <c r="B222" s="1093" t="s">
        <v>31</v>
      </c>
      <c r="C222" s="1094"/>
      <c r="D222" s="1023"/>
      <c r="E222" s="1111"/>
      <c r="F222" s="1111"/>
      <c r="G222" s="1111"/>
      <c r="H222" s="1111"/>
      <c r="I222" s="1111"/>
      <c r="J222" s="1111"/>
      <c r="K222" s="1111">
        <f t="shared" si="25"/>
        <v>0</v>
      </c>
      <c r="L222" s="1115"/>
    </row>
    <row r="223" spans="1:33" hidden="1" x14ac:dyDescent="0.35">
      <c r="A223" s="1020"/>
      <c r="B223" s="1093" t="s">
        <v>36</v>
      </c>
      <c r="C223" s="1022" t="s">
        <v>2448</v>
      </c>
      <c r="D223" s="1023" t="s">
        <v>2448</v>
      </c>
      <c r="E223" s="1024" t="s">
        <v>2448</v>
      </c>
      <c r="F223" s="1024" t="s">
        <v>2448</v>
      </c>
      <c r="G223" s="1024" t="s">
        <v>2448</v>
      </c>
      <c r="H223" s="1024" t="s">
        <v>2448</v>
      </c>
      <c r="I223" s="1024" t="s">
        <v>2448</v>
      </c>
      <c r="J223" s="1024" t="s">
        <v>2448</v>
      </c>
      <c r="K223" s="1024">
        <f t="shared" si="25"/>
        <v>0</v>
      </c>
      <c r="L223" s="1025"/>
      <c r="P223" s="1026"/>
      <c r="Q223" s="1027"/>
      <c r="R223" s="1027"/>
      <c r="S223" s="1027"/>
      <c r="T223" s="1028"/>
      <c r="U223" s="1027"/>
      <c r="V223" s="1027"/>
      <c r="W223" s="1027"/>
      <c r="X223" s="1027"/>
      <c r="Y223" s="1027"/>
      <c r="Z223" s="1027"/>
      <c r="AA223" s="1027"/>
      <c r="AB223" s="1027"/>
      <c r="AC223" s="1027"/>
      <c r="AD223" s="1027"/>
      <c r="AE223" s="1029"/>
      <c r="AF223" s="1029"/>
      <c r="AG223" s="1030"/>
    </row>
    <row r="224" spans="1:33" hidden="1" x14ac:dyDescent="0.35">
      <c r="A224" s="1114"/>
      <c r="B224" s="1116"/>
      <c r="C224" s="1094"/>
      <c r="D224" s="1023"/>
      <c r="E224" s="1117">
        <f t="shared" ref="E224:K224" si="26">SUM(E219:E223)</f>
        <v>0</v>
      </c>
      <c r="F224" s="1117">
        <f t="shared" si="26"/>
        <v>0</v>
      </c>
      <c r="G224" s="1117">
        <f t="shared" si="26"/>
        <v>0</v>
      </c>
      <c r="H224" s="1117">
        <f t="shared" si="26"/>
        <v>0</v>
      </c>
      <c r="I224" s="1117">
        <f t="shared" si="26"/>
        <v>0</v>
      </c>
      <c r="J224" s="1117">
        <f t="shared" si="26"/>
        <v>0</v>
      </c>
      <c r="K224" s="1117">
        <f t="shared" si="26"/>
        <v>0</v>
      </c>
      <c r="L224" s="1118"/>
    </row>
    <row r="225" spans="1:20" hidden="1" x14ac:dyDescent="0.35">
      <c r="A225" s="1114"/>
      <c r="B225" s="1088" t="s">
        <v>576</v>
      </c>
      <c r="C225" s="1088" t="s">
        <v>2591</v>
      </c>
      <c r="D225" s="1023"/>
      <c r="E225" s="1111"/>
      <c r="F225" s="1111"/>
      <c r="G225" s="1111"/>
      <c r="H225" s="1111"/>
      <c r="I225" s="1111"/>
      <c r="J225" s="1111"/>
      <c r="K225" s="1111"/>
      <c r="L225" s="1119"/>
    </row>
    <row r="226" spans="1:20" hidden="1" x14ac:dyDescent="0.35">
      <c r="A226" s="1114"/>
      <c r="B226" s="1120" t="s">
        <v>2447</v>
      </c>
      <c r="C226" s="1094"/>
      <c r="D226" s="1023"/>
      <c r="E226" s="1111"/>
      <c r="F226" s="1111"/>
      <c r="G226" s="1111"/>
      <c r="H226" s="1111"/>
      <c r="I226" s="1111"/>
      <c r="J226" s="1111"/>
      <c r="K226" s="1111">
        <f t="shared" ref="K226:K230" si="27">SUM(E226:J226)</f>
        <v>0</v>
      </c>
      <c r="L226" s="1119"/>
    </row>
    <row r="227" spans="1:20" hidden="1" x14ac:dyDescent="0.35">
      <c r="A227" s="1114"/>
      <c r="B227" s="1093" t="s">
        <v>23</v>
      </c>
      <c r="C227" s="1094"/>
      <c r="D227" s="1023"/>
      <c r="E227" s="1111"/>
      <c r="F227" s="1111"/>
      <c r="G227" s="1111"/>
      <c r="H227" s="1111"/>
      <c r="I227" s="1111"/>
      <c r="J227" s="1111"/>
      <c r="K227" s="1111">
        <f t="shared" si="27"/>
        <v>0</v>
      </c>
      <c r="L227" s="1119"/>
    </row>
    <row r="228" spans="1:20" hidden="1" x14ac:dyDescent="0.35">
      <c r="A228" s="1114"/>
      <c r="B228" s="1093" t="s">
        <v>27</v>
      </c>
      <c r="C228" s="1094"/>
      <c r="D228" s="1023"/>
      <c r="E228" s="1111"/>
      <c r="F228" s="1111"/>
      <c r="G228" s="1111"/>
      <c r="H228" s="1111"/>
      <c r="I228" s="1111"/>
      <c r="J228" s="1111"/>
      <c r="K228" s="1111">
        <f t="shared" si="27"/>
        <v>0</v>
      </c>
      <c r="L228" s="1119"/>
    </row>
    <row r="229" spans="1:20" hidden="1" x14ac:dyDescent="0.35">
      <c r="A229" s="1114"/>
      <c r="B229" s="1120" t="s">
        <v>31</v>
      </c>
      <c r="C229" s="1094"/>
      <c r="D229" s="1023"/>
      <c r="E229" s="1111"/>
      <c r="F229" s="1111"/>
      <c r="G229" s="1111"/>
      <c r="H229" s="1111"/>
      <c r="I229" s="1111"/>
      <c r="J229" s="1111"/>
      <c r="K229" s="1111">
        <f t="shared" si="27"/>
        <v>0</v>
      </c>
      <c r="L229" s="1119"/>
    </row>
    <row r="230" spans="1:20" hidden="1" x14ac:dyDescent="0.35">
      <c r="A230" s="1114"/>
      <c r="B230" s="1093" t="s">
        <v>36</v>
      </c>
      <c r="C230" s="1094"/>
      <c r="D230" s="1023"/>
      <c r="E230" s="1111"/>
      <c r="F230" s="1111"/>
      <c r="G230" s="1111"/>
      <c r="H230" s="1111"/>
      <c r="I230" s="1111"/>
      <c r="J230" s="1111"/>
      <c r="K230" s="1111">
        <f t="shared" si="27"/>
        <v>0</v>
      </c>
      <c r="L230" s="1119"/>
    </row>
    <row r="231" spans="1:20" ht="15" hidden="1" thickBot="1" x14ac:dyDescent="0.4">
      <c r="A231" s="1114"/>
      <c r="B231" s="1116"/>
      <c r="C231" s="1094"/>
      <c r="D231" s="1023"/>
      <c r="E231" s="1121">
        <f t="shared" ref="E231:K231" si="28">SUM(E226:E230)</f>
        <v>0</v>
      </c>
      <c r="F231" s="1121">
        <f t="shared" si="28"/>
        <v>0</v>
      </c>
      <c r="G231" s="1121">
        <f t="shared" si="28"/>
        <v>0</v>
      </c>
      <c r="H231" s="1121">
        <f t="shared" si="28"/>
        <v>0</v>
      </c>
      <c r="I231" s="1121">
        <f t="shared" si="28"/>
        <v>0</v>
      </c>
      <c r="J231" s="1121">
        <f t="shared" si="28"/>
        <v>0</v>
      </c>
      <c r="K231" s="1121">
        <f t="shared" si="28"/>
        <v>0</v>
      </c>
      <c r="L231" s="1122"/>
    </row>
    <row r="232" spans="1:20" hidden="1" x14ac:dyDescent="0.35">
      <c r="A232" s="1132" t="s">
        <v>2592</v>
      </c>
      <c r="B232" s="1123"/>
      <c r="C232" s="1123"/>
      <c r="D232" s="1101"/>
      <c r="E232" s="1102"/>
      <c r="F232" s="1102"/>
      <c r="G232" s="1102"/>
      <c r="H232" s="1102"/>
      <c r="I232" s="1102"/>
      <c r="J232" s="1102"/>
      <c r="K232" s="1103"/>
      <c r="L232" s="1124"/>
    </row>
    <row r="233" spans="1:20" ht="15" hidden="1" thickBot="1" x14ac:dyDescent="0.4">
      <c r="A233" s="2874" t="s">
        <v>2593</v>
      </c>
      <c r="B233" s="1125"/>
      <c r="C233" s="1125"/>
      <c r="D233" s="1084"/>
      <c r="E233" s="1108">
        <f t="shared" ref="E233:K233" si="29">E224+E231</f>
        <v>0</v>
      </c>
      <c r="F233" s="1108">
        <f t="shared" si="29"/>
        <v>0</v>
      </c>
      <c r="G233" s="1108">
        <f t="shared" si="29"/>
        <v>0</v>
      </c>
      <c r="H233" s="1108">
        <f t="shared" si="29"/>
        <v>0</v>
      </c>
      <c r="I233" s="1108">
        <f t="shared" si="29"/>
        <v>0</v>
      </c>
      <c r="J233" s="1108">
        <f t="shared" si="29"/>
        <v>0</v>
      </c>
      <c r="K233" s="1108">
        <f t="shared" si="29"/>
        <v>0</v>
      </c>
      <c r="L233" s="1126"/>
    </row>
    <row r="234" spans="1:20" ht="15" thickBot="1" x14ac:dyDescent="0.4">
      <c r="A234" s="1127"/>
      <c r="B234" s="1128"/>
      <c r="C234" s="1128"/>
      <c r="D234" s="1129"/>
      <c r="E234" s="1130"/>
      <c r="F234" s="1130"/>
      <c r="G234" s="1130"/>
      <c r="H234" s="1130"/>
      <c r="I234" s="1130"/>
      <c r="J234" s="1130"/>
      <c r="K234" s="1111"/>
      <c r="L234" s="1131"/>
    </row>
    <row r="235" spans="1:20" x14ac:dyDescent="0.35">
      <c r="A235" s="2875" t="s">
        <v>2594</v>
      </c>
      <c r="B235" s="1133"/>
      <c r="C235" s="1133"/>
      <c r="D235" s="1134"/>
      <c r="E235" s="1135"/>
      <c r="F235" s="1135"/>
      <c r="G235" s="1135"/>
      <c r="H235" s="1135"/>
      <c r="I235" s="1135"/>
      <c r="J235" s="1135"/>
      <c r="K235" s="1103"/>
      <c r="L235" s="1136"/>
    </row>
    <row r="236" spans="1:20" ht="15" thickBot="1" x14ac:dyDescent="0.4">
      <c r="A236" s="2876" t="s">
        <v>2595</v>
      </c>
      <c r="B236" s="1137"/>
      <c r="C236" s="1137"/>
      <c r="D236" s="1138"/>
      <c r="E236" s="3021">
        <f t="shared" ref="E236:J236" si="30">E173+E192+E216+E233</f>
        <v>580557000</v>
      </c>
      <c r="F236" s="3021">
        <f t="shared" si="30"/>
        <v>0</v>
      </c>
      <c r="G236" s="3021">
        <f t="shared" si="30"/>
        <v>156058000</v>
      </c>
      <c r="H236" s="3021">
        <f t="shared" si="30"/>
        <v>0</v>
      </c>
      <c r="I236" s="3021">
        <f t="shared" si="30"/>
        <v>101455000</v>
      </c>
      <c r="J236" s="3021">
        <f t="shared" si="30"/>
        <v>9704000</v>
      </c>
      <c r="K236" s="3021">
        <f>K173+K192+K216+K233</f>
        <v>847774000</v>
      </c>
      <c r="L236" s="1139"/>
    </row>
    <row r="237" spans="1:20" x14ac:dyDescent="0.35">
      <c r="A237" s="1019"/>
      <c r="B237" s="1019"/>
      <c r="C237" s="1019"/>
      <c r="D237" s="1019"/>
      <c r="E237" s="1019"/>
      <c r="F237" s="1019"/>
      <c r="G237" s="1019"/>
      <c r="H237" s="1019"/>
      <c r="I237" s="1019" t="s">
        <v>690</v>
      </c>
      <c r="J237" s="1019"/>
      <c r="K237" s="1141">
        <f>[11]CP!$BL$491</f>
        <v>847774000</v>
      </c>
      <c r="L237" s="1140"/>
    </row>
    <row r="238" spans="1:20" ht="16.5" x14ac:dyDescent="0.35">
      <c r="A238" s="1045" t="str">
        <f>IN!C4</f>
        <v>Laporan Keuangan June 2026</v>
      </c>
      <c r="B238" s="1046"/>
      <c r="C238" s="1045"/>
      <c r="D238" s="1045"/>
      <c r="E238" s="1047"/>
      <c r="F238" s="1047"/>
      <c r="G238" s="1048">
        <v>1</v>
      </c>
      <c r="H238" s="1047"/>
      <c r="I238" s="1047"/>
      <c r="J238" s="1047"/>
      <c r="K238" s="1047"/>
      <c r="L238" s="1049" t="str">
        <f>IN!D4</f>
        <v>Financial Statement Jun 2026</v>
      </c>
      <c r="T238" s="1050"/>
    </row>
    <row r="239" spans="1:20" x14ac:dyDescent="0.35">
      <c r="A239" s="1019"/>
      <c r="B239" s="1019"/>
      <c r="C239" s="1019"/>
      <c r="D239" s="1019"/>
      <c r="E239" s="1019"/>
      <c r="F239" s="1019"/>
      <c r="G239" s="1019"/>
      <c r="H239" s="1019"/>
      <c r="I239" s="1019"/>
      <c r="J239" s="1019"/>
      <c r="K239" s="1019"/>
      <c r="L239" s="1140"/>
    </row>
    <row r="240" spans="1:20" x14ac:dyDescent="0.35">
      <c r="A240" s="1019"/>
      <c r="B240" s="1019"/>
      <c r="C240" s="1019"/>
      <c r="D240" s="1019"/>
      <c r="E240" s="1019"/>
      <c r="F240" s="1019"/>
      <c r="G240" s="1019"/>
      <c r="H240" s="1019"/>
      <c r="I240" s="1019"/>
      <c r="J240" s="1019"/>
      <c r="K240" s="3127">
        <f>K236-K237</f>
        <v>0</v>
      </c>
      <c r="L240" s="1140"/>
    </row>
    <row r="241" spans="1:12" x14ac:dyDescent="0.35">
      <c r="A241" s="1019"/>
      <c r="B241" s="1019"/>
      <c r="C241" s="1019"/>
      <c r="D241" s="1019"/>
      <c r="E241" s="1019"/>
      <c r="F241" s="1019"/>
      <c r="G241" s="1019"/>
      <c r="H241" s="1019"/>
      <c r="I241" s="1019"/>
      <c r="J241" s="1019"/>
      <c r="K241" s="1019"/>
      <c r="L241" s="1140"/>
    </row>
    <row r="242" spans="1:12" x14ac:dyDescent="0.35">
      <c r="A242" s="1019"/>
      <c r="B242" s="1019"/>
      <c r="C242" s="1019"/>
      <c r="D242" s="1019"/>
      <c r="E242" s="1019"/>
      <c r="F242" s="1019"/>
      <c r="G242" s="1019"/>
      <c r="H242" s="1019"/>
      <c r="I242" s="1019"/>
      <c r="J242" s="1019"/>
      <c r="K242" s="1019"/>
      <c r="L242" s="1140"/>
    </row>
    <row r="243" spans="1:12" x14ac:dyDescent="0.35">
      <c r="A243" s="1019"/>
      <c r="B243" s="1019"/>
      <c r="C243" s="1019"/>
      <c r="D243" s="1019"/>
      <c r="E243" s="1019"/>
      <c r="F243" s="1019"/>
      <c r="G243" s="1019"/>
      <c r="H243" s="1019"/>
      <c r="I243" s="1019"/>
      <c r="J243" s="1019"/>
      <c r="K243" s="1019"/>
      <c r="L243" s="1140"/>
    </row>
    <row r="244" spans="1:12" x14ac:dyDescent="0.35">
      <c r="A244" s="1019"/>
      <c r="B244" s="1019"/>
      <c r="C244" s="1019"/>
      <c r="D244" s="1019"/>
      <c r="E244" s="1019"/>
      <c r="F244" s="1019"/>
      <c r="G244" s="1019"/>
      <c r="H244" s="1019"/>
      <c r="I244" s="1019"/>
      <c r="J244" s="1019"/>
      <c r="K244" s="1019"/>
      <c r="L244" s="1140"/>
    </row>
    <row r="245" spans="1:12" x14ac:dyDescent="0.35">
      <c r="A245" s="1019"/>
      <c r="B245" s="1019"/>
      <c r="C245" s="1019"/>
      <c r="D245" s="1019"/>
      <c r="E245" s="1019"/>
      <c r="F245" s="1019"/>
      <c r="G245" s="1019"/>
      <c r="H245" s="1019"/>
      <c r="I245" s="1019"/>
      <c r="J245" s="1019"/>
      <c r="K245" s="1019"/>
      <c r="L245" s="1140"/>
    </row>
    <row r="246" spans="1:12" x14ac:dyDescent="0.35">
      <c r="A246" s="1019"/>
      <c r="B246" s="1019"/>
      <c r="C246" s="1019"/>
      <c r="D246" s="1019"/>
      <c r="E246" s="1019"/>
      <c r="F246" s="1019"/>
      <c r="G246" s="1019"/>
      <c r="H246" s="1019"/>
      <c r="I246" s="1019"/>
      <c r="J246" s="1019"/>
      <c r="K246" s="1019"/>
      <c r="L246" s="1140"/>
    </row>
    <row r="247" spans="1:12" x14ac:dyDescent="0.35">
      <c r="A247" s="1019"/>
      <c r="B247" s="1019"/>
      <c r="C247" s="1019"/>
      <c r="D247" s="1019"/>
      <c r="E247" s="1019"/>
      <c r="F247" s="1019"/>
      <c r="G247" s="1019"/>
      <c r="H247" s="1019"/>
      <c r="I247" s="1019"/>
      <c r="J247" s="1019"/>
      <c r="K247" s="1019"/>
      <c r="L247" s="1140"/>
    </row>
    <row r="248" spans="1:12" x14ac:dyDescent="0.35">
      <c r="A248" s="1019"/>
      <c r="B248" s="1019"/>
      <c r="C248" s="1019"/>
      <c r="D248" s="1019"/>
      <c r="E248" s="1019"/>
      <c r="F248" s="1019"/>
      <c r="G248" s="1019"/>
      <c r="H248" s="1019"/>
      <c r="I248" s="1019"/>
      <c r="J248" s="1019"/>
      <c r="K248" s="1019"/>
      <c r="L248" s="1140"/>
    </row>
    <row r="249" spans="1:12" x14ac:dyDescent="0.35">
      <c r="A249" s="1019"/>
      <c r="B249" s="1019"/>
      <c r="C249" s="1019"/>
      <c r="D249" s="1019"/>
      <c r="E249" s="1019"/>
      <c r="F249" s="1019"/>
      <c r="G249" s="1019"/>
      <c r="H249" s="1019"/>
      <c r="I249" s="1019"/>
      <c r="J249" s="1019"/>
      <c r="K249" s="1019"/>
      <c r="L249" s="1140"/>
    </row>
    <row r="250" spans="1:12" x14ac:dyDescent="0.35">
      <c r="A250" s="1019"/>
      <c r="B250" s="1019"/>
      <c r="C250" s="1019"/>
      <c r="D250" s="1019"/>
      <c r="E250" s="1019"/>
      <c r="F250" s="1019"/>
      <c r="G250" s="1019"/>
      <c r="H250" s="1019"/>
      <c r="I250" s="1019"/>
      <c r="J250" s="1019"/>
      <c r="K250" s="1019"/>
      <c r="L250" s="1140"/>
    </row>
    <row r="251" spans="1:12" x14ac:dyDescent="0.35">
      <c r="A251" s="1019"/>
      <c r="B251" s="1019"/>
      <c r="C251" s="1019"/>
      <c r="D251" s="1019"/>
      <c r="E251" s="1019"/>
      <c r="F251" s="1019"/>
      <c r="G251" s="1019"/>
      <c r="H251" s="1019"/>
      <c r="I251" s="1019"/>
      <c r="J251" s="1019"/>
      <c r="K251" s="1019"/>
      <c r="L251" s="1140"/>
    </row>
    <row r="252" spans="1:12" x14ac:dyDescent="0.35">
      <c r="A252" s="1019"/>
      <c r="B252" s="1019"/>
      <c r="C252" s="1019"/>
      <c r="D252" s="1019"/>
      <c r="E252" s="1019"/>
      <c r="F252" s="1019"/>
      <c r="G252" s="1019"/>
      <c r="H252" s="1019"/>
      <c r="I252" s="1019"/>
      <c r="J252" s="1019"/>
      <c r="K252" s="1019"/>
      <c r="L252" s="1140"/>
    </row>
    <row r="253" spans="1:12" x14ac:dyDescent="0.35">
      <c r="A253" s="1019"/>
      <c r="B253" s="1019"/>
      <c r="C253" s="1019"/>
      <c r="D253" s="1019"/>
      <c r="E253" s="1019"/>
      <c r="F253" s="1019"/>
      <c r="G253" s="1019"/>
      <c r="H253" s="1019"/>
      <c r="I253" s="1019"/>
      <c r="J253" s="1019"/>
      <c r="K253" s="1019"/>
      <c r="L253" s="1140"/>
    </row>
    <row r="254" spans="1:12" x14ac:dyDescent="0.35">
      <c r="A254" s="1019"/>
      <c r="B254" s="1019"/>
      <c r="C254" s="1019"/>
      <c r="D254" s="1019"/>
      <c r="E254" s="1019"/>
      <c r="F254" s="1019"/>
      <c r="G254" s="1019"/>
      <c r="H254" s="1019"/>
      <c r="I254" s="1019"/>
      <c r="J254" s="1019"/>
      <c r="K254" s="1019"/>
      <c r="L254" s="1140"/>
    </row>
    <row r="255" spans="1:12" x14ac:dyDescent="0.35">
      <c r="A255" s="1019"/>
      <c r="B255" s="1019"/>
      <c r="C255" s="1019"/>
      <c r="D255" s="1019"/>
      <c r="E255" s="1019"/>
      <c r="F255" s="1019"/>
      <c r="G255" s="1019"/>
      <c r="H255" s="1019"/>
      <c r="I255" s="1019"/>
      <c r="J255" s="1019"/>
      <c r="K255" s="1019"/>
      <c r="L255" s="1140"/>
    </row>
    <row r="256" spans="1:12" x14ac:dyDescent="0.35">
      <c r="A256" s="1019"/>
      <c r="B256" s="1019"/>
      <c r="C256" s="1019"/>
      <c r="D256" s="1019"/>
      <c r="E256" s="1019"/>
      <c r="F256" s="1019"/>
      <c r="G256" s="1019"/>
      <c r="H256" s="1019"/>
      <c r="I256" s="1019"/>
      <c r="J256" s="1019"/>
      <c r="K256" s="1019"/>
      <c r="L256" s="1140"/>
    </row>
    <row r="257" spans="1:12" x14ac:dyDescent="0.35">
      <c r="A257" s="1019"/>
      <c r="B257" s="1019"/>
      <c r="C257" s="1019"/>
      <c r="D257" s="1019"/>
      <c r="E257" s="1019"/>
      <c r="F257" s="1019"/>
      <c r="G257" s="1019"/>
      <c r="H257" s="1019"/>
      <c r="I257" s="1019"/>
      <c r="J257" s="1019"/>
      <c r="K257" s="1019"/>
      <c r="L257" s="1140"/>
    </row>
    <row r="258" spans="1:12" x14ac:dyDescent="0.35">
      <c r="A258" s="1019"/>
      <c r="B258" s="1019"/>
      <c r="C258" s="1019"/>
      <c r="D258" s="1019"/>
      <c r="E258" s="1019"/>
      <c r="F258" s="1019"/>
      <c r="G258" s="1019"/>
      <c r="H258" s="1019"/>
      <c r="I258" s="1019"/>
      <c r="J258" s="1019"/>
      <c r="K258" s="1019"/>
      <c r="L258" s="1140"/>
    </row>
    <row r="259" spans="1:12" x14ac:dyDescent="0.35">
      <c r="A259" s="1019"/>
      <c r="B259" s="1019"/>
      <c r="C259" s="1019"/>
      <c r="D259" s="1019"/>
      <c r="E259" s="1019"/>
      <c r="F259" s="1019"/>
      <c r="G259" s="1019"/>
      <c r="H259" s="1019"/>
      <c r="I259" s="1019"/>
      <c r="J259" s="1019"/>
      <c r="K259" s="1019"/>
      <c r="L259" s="1140"/>
    </row>
    <row r="260" spans="1:12" x14ac:dyDescent="0.35">
      <c r="A260" s="1019"/>
      <c r="B260" s="1019"/>
      <c r="C260" s="1019"/>
      <c r="D260" s="1019"/>
      <c r="E260" s="1019"/>
      <c r="F260" s="1019"/>
      <c r="G260" s="1019"/>
      <c r="H260" s="1019"/>
      <c r="I260" s="1019"/>
      <c r="J260" s="1019"/>
      <c r="K260" s="1019"/>
      <c r="L260" s="1140"/>
    </row>
    <row r="261" spans="1:12" x14ac:dyDescent="0.35">
      <c r="A261" s="1019"/>
      <c r="B261" s="1019"/>
      <c r="C261" s="1019"/>
      <c r="D261" s="1019"/>
      <c r="E261" s="1019"/>
      <c r="F261" s="1019"/>
      <c r="G261" s="1019"/>
      <c r="H261" s="1019"/>
      <c r="I261" s="1019"/>
      <c r="J261" s="1019"/>
      <c r="K261" s="1019"/>
      <c r="L261" s="1140"/>
    </row>
    <row r="262" spans="1:12" x14ac:dyDescent="0.35">
      <c r="A262" s="1019"/>
      <c r="B262" s="1019"/>
      <c r="C262" s="1019"/>
      <c r="D262" s="1019"/>
      <c r="E262" s="1019"/>
      <c r="F262" s="1019"/>
      <c r="G262" s="1019"/>
      <c r="H262" s="1019"/>
      <c r="I262" s="1019"/>
      <c r="J262" s="1019"/>
      <c r="K262" s="1019"/>
      <c r="L262" s="1140"/>
    </row>
    <row r="263" spans="1:12" x14ac:dyDescent="0.35">
      <c r="A263" s="1019"/>
      <c r="B263" s="1019"/>
      <c r="C263" s="1019"/>
      <c r="D263" s="1019"/>
      <c r="E263" s="1019"/>
      <c r="F263" s="1019"/>
      <c r="G263" s="1019"/>
      <c r="H263" s="1019"/>
      <c r="I263" s="1019"/>
      <c r="J263" s="1019"/>
      <c r="K263" s="1019"/>
      <c r="L263" s="1140"/>
    </row>
    <row r="264" spans="1:12" x14ac:dyDescent="0.35">
      <c r="A264" s="1019"/>
      <c r="B264" s="1019"/>
      <c r="C264" s="1019"/>
      <c r="D264" s="1019"/>
      <c r="E264" s="1019"/>
      <c r="F264" s="1019"/>
      <c r="G264" s="1019"/>
      <c r="H264" s="1019"/>
      <c r="I264" s="1019"/>
      <c r="J264" s="1019"/>
      <c r="K264" s="1019"/>
      <c r="L264" s="1140"/>
    </row>
    <row r="265" spans="1:12" x14ac:dyDescent="0.35">
      <c r="A265" s="1019"/>
      <c r="B265" s="1019"/>
      <c r="C265" s="1019"/>
      <c r="D265" s="1019"/>
      <c r="E265" s="1019"/>
      <c r="F265" s="1019"/>
      <c r="G265" s="1019"/>
      <c r="H265" s="1019"/>
      <c r="I265" s="1019"/>
      <c r="J265" s="1019"/>
      <c r="K265" s="1019"/>
      <c r="L265" s="1140"/>
    </row>
    <row r="266" spans="1:12" x14ac:dyDescent="0.35">
      <c r="A266" s="1019"/>
      <c r="B266" s="1019"/>
      <c r="C266" s="1019"/>
      <c r="D266" s="1019"/>
      <c r="E266" s="1019"/>
      <c r="F266" s="1019"/>
      <c r="G266" s="1019"/>
      <c r="H266" s="1019"/>
      <c r="I266" s="1019"/>
      <c r="J266" s="1019"/>
      <c r="K266" s="1019"/>
      <c r="L266" s="1140"/>
    </row>
    <row r="267" spans="1:12" x14ac:dyDescent="0.35">
      <c r="A267" s="1019"/>
      <c r="B267" s="1019"/>
      <c r="C267" s="1019"/>
      <c r="D267" s="1019"/>
      <c r="E267" s="1019"/>
      <c r="F267" s="1019"/>
      <c r="G267" s="1019"/>
      <c r="H267" s="1019"/>
      <c r="I267" s="1019"/>
      <c r="J267" s="1019"/>
      <c r="K267" s="1019"/>
      <c r="L267" s="1140"/>
    </row>
    <row r="268" spans="1:12" x14ac:dyDescent="0.35">
      <c r="A268" s="1019"/>
      <c r="B268" s="1019"/>
      <c r="C268" s="1019"/>
      <c r="D268" s="1019"/>
      <c r="E268" s="1019"/>
      <c r="F268" s="1019"/>
      <c r="G268" s="1019"/>
      <c r="H268" s="1019"/>
      <c r="I268" s="1019"/>
      <c r="J268" s="1019"/>
      <c r="K268" s="1019"/>
      <c r="L268" s="1140"/>
    </row>
    <row r="269" spans="1:12" x14ac:dyDescent="0.35">
      <c r="A269" s="1019"/>
      <c r="B269" s="1019"/>
      <c r="C269" s="1019"/>
      <c r="D269" s="1019"/>
      <c r="E269" s="1019"/>
      <c r="F269" s="1019"/>
      <c r="G269" s="1019"/>
      <c r="H269" s="1019"/>
      <c r="I269" s="1019"/>
      <c r="J269" s="1019"/>
      <c r="K269" s="1019"/>
      <c r="L269" s="1140"/>
    </row>
    <row r="270" spans="1:12" x14ac:dyDescent="0.35">
      <c r="A270" s="1019"/>
      <c r="B270" s="1019"/>
      <c r="C270" s="1019"/>
      <c r="D270" s="1019"/>
      <c r="E270" s="1019"/>
      <c r="F270" s="1019"/>
      <c r="G270" s="1019"/>
      <c r="H270" s="1019"/>
      <c r="I270" s="1019"/>
      <c r="J270" s="1019"/>
      <c r="K270" s="1019"/>
      <c r="L270" s="1140"/>
    </row>
    <row r="271" spans="1:12" x14ac:dyDescent="0.35">
      <c r="A271" s="1019"/>
      <c r="B271" s="1019"/>
      <c r="C271" s="1019"/>
      <c r="D271" s="1019"/>
      <c r="E271" s="1019"/>
      <c r="F271" s="1019"/>
      <c r="G271" s="1019"/>
      <c r="H271" s="1019"/>
      <c r="I271" s="1019"/>
      <c r="J271" s="1019"/>
      <c r="K271" s="1019"/>
      <c r="L271" s="1140"/>
    </row>
    <row r="272" spans="1:12" x14ac:dyDescent="0.35">
      <c r="A272" s="1019"/>
      <c r="B272" s="1019"/>
      <c r="C272" s="1019"/>
      <c r="D272" s="1019"/>
      <c r="E272" s="1019"/>
      <c r="F272" s="1019"/>
      <c r="G272" s="1019"/>
      <c r="H272" s="1019"/>
      <c r="I272" s="1019"/>
      <c r="J272" s="1019"/>
      <c r="K272" s="1019"/>
      <c r="L272" s="1140"/>
    </row>
    <row r="273" spans="1:12" x14ac:dyDescent="0.35">
      <c r="A273" s="1019"/>
      <c r="B273" s="1019"/>
      <c r="C273" s="1019"/>
      <c r="D273" s="1019"/>
      <c r="E273" s="1019"/>
      <c r="F273" s="1019"/>
      <c r="G273" s="1019"/>
      <c r="H273" s="1019"/>
      <c r="I273" s="1019"/>
      <c r="J273" s="1019"/>
      <c r="K273" s="1019"/>
      <c r="L273" s="1140"/>
    </row>
    <row r="274" spans="1:12" x14ac:dyDescent="0.35">
      <c r="A274" s="1019"/>
      <c r="B274" s="1019"/>
      <c r="C274" s="1019"/>
      <c r="D274" s="1019"/>
      <c r="E274" s="1019"/>
      <c r="F274" s="1019"/>
      <c r="G274" s="1019"/>
      <c r="H274" s="1019"/>
      <c r="I274" s="1019"/>
      <c r="J274" s="1019"/>
      <c r="K274" s="1019"/>
      <c r="L274" s="1140"/>
    </row>
    <row r="275" spans="1:12" x14ac:dyDescent="0.35">
      <c r="A275" s="1019"/>
      <c r="B275" s="1019"/>
      <c r="C275" s="1019"/>
      <c r="D275" s="1019"/>
      <c r="E275" s="1019"/>
      <c r="F275" s="1019"/>
      <c r="G275" s="1019"/>
      <c r="H275" s="1019"/>
      <c r="I275" s="1019"/>
      <c r="J275" s="1019"/>
      <c r="K275" s="1019"/>
      <c r="L275" s="1140"/>
    </row>
    <row r="276" spans="1:12" x14ac:dyDescent="0.35">
      <c r="A276" s="1019"/>
      <c r="B276" s="1019"/>
      <c r="C276" s="1019"/>
      <c r="D276" s="1019"/>
      <c r="E276" s="1019"/>
      <c r="F276" s="1019"/>
      <c r="G276" s="1019"/>
      <c r="H276" s="1019"/>
      <c r="I276" s="1019"/>
      <c r="J276" s="1019"/>
      <c r="K276" s="1019"/>
      <c r="L276" s="1140"/>
    </row>
    <row r="277" spans="1:12" x14ac:dyDescent="0.35">
      <c r="A277" s="1019"/>
      <c r="B277" s="1019"/>
      <c r="C277" s="1019"/>
      <c r="D277" s="1019"/>
      <c r="E277" s="1019"/>
      <c r="F277" s="1019"/>
      <c r="G277" s="1019"/>
      <c r="H277" s="1019"/>
      <c r="I277" s="1019"/>
      <c r="J277" s="1019"/>
      <c r="K277" s="1019"/>
      <c r="L277" s="1140"/>
    </row>
    <row r="278" spans="1:12" x14ac:dyDescent="0.35">
      <c r="A278" s="1019"/>
      <c r="B278" s="1019"/>
      <c r="C278" s="1019"/>
      <c r="D278" s="1019"/>
      <c r="E278" s="1019"/>
      <c r="F278" s="1019"/>
      <c r="G278" s="1019"/>
      <c r="H278" s="1019"/>
      <c r="I278" s="1019"/>
      <c r="J278" s="1019"/>
      <c r="K278" s="1019"/>
      <c r="L278" s="1140"/>
    </row>
    <row r="279" spans="1:12" x14ac:dyDescent="0.35">
      <c r="A279" s="1019"/>
      <c r="B279" s="1019"/>
      <c r="C279" s="1019"/>
      <c r="D279" s="1019"/>
      <c r="E279" s="1019"/>
      <c r="F279" s="1019"/>
      <c r="G279" s="1019"/>
      <c r="H279" s="1019"/>
      <c r="I279" s="1019"/>
      <c r="J279" s="1019"/>
      <c r="K279" s="1019"/>
      <c r="L279" s="1140"/>
    </row>
    <row r="280" spans="1:12" x14ac:dyDescent="0.35">
      <c r="A280" s="1019"/>
      <c r="B280" s="1019"/>
      <c r="C280" s="1019"/>
      <c r="D280" s="1019"/>
      <c r="E280" s="1019"/>
      <c r="F280" s="1019"/>
      <c r="G280" s="1019"/>
      <c r="H280" s="1019"/>
      <c r="I280" s="1019"/>
      <c r="J280" s="1019"/>
      <c r="K280" s="1019"/>
      <c r="L280" s="1140"/>
    </row>
    <row r="281" spans="1:12" x14ac:dyDescent="0.35">
      <c r="A281" s="1019"/>
      <c r="B281" s="1019"/>
      <c r="C281" s="1019"/>
      <c r="D281" s="1019"/>
      <c r="E281" s="1019"/>
      <c r="F281" s="1019"/>
      <c r="G281" s="1019"/>
      <c r="H281" s="1019"/>
      <c r="I281" s="1019"/>
      <c r="J281" s="1019"/>
      <c r="K281" s="1019"/>
      <c r="L281" s="1140"/>
    </row>
    <row r="282" spans="1:12" x14ac:dyDescent="0.35">
      <c r="A282" s="1019"/>
      <c r="B282" s="1019"/>
      <c r="C282" s="1019"/>
      <c r="D282" s="1019"/>
      <c r="E282" s="1019"/>
      <c r="F282" s="1019"/>
      <c r="G282" s="1019"/>
      <c r="H282" s="1019"/>
      <c r="I282" s="1019"/>
      <c r="J282" s="1019"/>
      <c r="K282" s="1019"/>
      <c r="L282" s="1140"/>
    </row>
    <row r="283" spans="1:12" x14ac:dyDescent="0.35">
      <c r="A283" s="1019"/>
      <c r="B283" s="1019"/>
      <c r="C283" s="1019"/>
      <c r="D283" s="1019"/>
      <c r="E283" s="1019"/>
      <c r="F283" s="1019"/>
      <c r="G283" s="1019"/>
      <c r="H283" s="1019"/>
      <c r="I283" s="1019"/>
      <c r="J283" s="1019"/>
      <c r="K283" s="1019"/>
      <c r="L283" s="1140"/>
    </row>
    <row r="284" spans="1:12" x14ac:dyDescent="0.35">
      <c r="A284" s="1019"/>
      <c r="B284" s="1019"/>
      <c r="C284" s="1019"/>
      <c r="D284" s="1019"/>
      <c r="E284" s="1019"/>
      <c r="F284" s="1019"/>
      <c r="G284" s="1019"/>
      <c r="H284" s="1019"/>
      <c r="I284" s="1019"/>
      <c r="J284" s="1019"/>
      <c r="K284" s="1019"/>
      <c r="L284" s="1140"/>
    </row>
    <row r="285" spans="1:12" x14ac:dyDescent="0.35">
      <c r="A285" s="1019"/>
      <c r="B285" s="1019"/>
      <c r="C285" s="1019"/>
      <c r="D285" s="1019"/>
      <c r="E285" s="1019"/>
      <c r="F285" s="1019"/>
      <c r="G285" s="1019"/>
      <c r="H285" s="1019"/>
      <c r="I285" s="1019"/>
      <c r="J285" s="1019"/>
      <c r="K285" s="1019"/>
      <c r="L285" s="1140"/>
    </row>
    <row r="286" spans="1:12" x14ac:dyDescent="0.35">
      <c r="A286" s="1019"/>
      <c r="B286" s="1019"/>
      <c r="C286" s="1019"/>
      <c r="D286" s="1019"/>
      <c r="E286" s="1019"/>
      <c r="F286" s="1019"/>
      <c r="G286" s="1019"/>
      <c r="H286" s="1019"/>
      <c r="I286" s="1019"/>
      <c r="J286" s="1019"/>
      <c r="K286" s="1019"/>
      <c r="L286" s="1140"/>
    </row>
    <row r="287" spans="1:12" x14ac:dyDescent="0.35">
      <c r="A287" s="1019"/>
      <c r="B287" s="1019"/>
      <c r="C287" s="1019"/>
      <c r="D287" s="1019"/>
      <c r="E287" s="1019"/>
      <c r="F287" s="1019"/>
      <c r="G287" s="1019"/>
      <c r="H287" s="1019"/>
      <c r="I287" s="1019"/>
      <c r="J287" s="1019"/>
      <c r="K287" s="1019"/>
      <c r="L287" s="1140"/>
    </row>
    <row r="288" spans="1:12" x14ac:dyDescent="0.35">
      <c r="A288" s="1019"/>
      <c r="B288" s="1019"/>
      <c r="C288" s="1019"/>
      <c r="D288" s="1019"/>
      <c r="E288" s="1019"/>
      <c r="F288" s="1019"/>
      <c r="G288" s="1019"/>
      <c r="H288" s="1019"/>
      <c r="I288" s="1019"/>
      <c r="J288" s="1019"/>
      <c r="K288" s="1019"/>
      <c r="L288" s="1140"/>
    </row>
    <row r="289" spans="1:12" x14ac:dyDescent="0.35">
      <c r="A289" s="1019"/>
      <c r="B289" s="1019"/>
      <c r="C289" s="1019"/>
      <c r="D289" s="1019"/>
      <c r="E289" s="1019"/>
      <c r="F289" s="1019"/>
      <c r="G289" s="1019"/>
      <c r="H289" s="1019"/>
      <c r="I289" s="1019"/>
      <c r="J289" s="1019"/>
      <c r="K289" s="1019"/>
      <c r="L289" s="1140"/>
    </row>
    <row r="290" spans="1:12" x14ac:dyDescent="0.35">
      <c r="A290" s="1019"/>
      <c r="B290" s="1019"/>
      <c r="C290" s="1019"/>
      <c r="D290" s="1019"/>
      <c r="E290" s="1019"/>
      <c r="F290" s="1019"/>
      <c r="G290" s="1019"/>
      <c r="H290" s="1019"/>
      <c r="I290" s="1019"/>
      <c r="J290" s="1019"/>
      <c r="K290" s="1019"/>
      <c r="L290" s="1140"/>
    </row>
    <row r="291" spans="1:12" x14ac:dyDescent="0.35">
      <c r="A291" s="1019"/>
      <c r="B291" s="1019"/>
      <c r="C291" s="1019"/>
      <c r="D291" s="1019"/>
      <c r="E291" s="1019"/>
      <c r="F291" s="1019"/>
      <c r="G291" s="1019"/>
      <c r="H291" s="1019"/>
      <c r="I291" s="1019"/>
      <c r="J291" s="1019"/>
      <c r="K291" s="1019"/>
      <c r="L291" s="1140"/>
    </row>
    <row r="292" spans="1:12" x14ac:dyDescent="0.35">
      <c r="A292" s="1019"/>
      <c r="B292" s="1019"/>
      <c r="C292" s="1019"/>
      <c r="D292" s="1019"/>
      <c r="E292" s="1019"/>
      <c r="F292" s="1019"/>
      <c r="G292" s="1019"/>
      <c r="H292" s="1019"/>
      <c r="I292" s="1019"/>
      <c r="J292" s="1019"/>
      <c r="K292" s="1019"/>
      <c r="L292" s="1140"/>
    </row>
    <row r="293" spans="1:12" x14ac:dyDescent="0.35">
      <c r="A293" s="1019"/>
      <c r="B293" s="1019"/>
      <c r="C293" s="1019"/>
      <c r="D293" s="1019"/>
      <c r="E293" s="1019"/>
      <c r="F293" s="1019"/>
      <c r="G293" s="1019"/>
      <c r="H293" s="1019"/>
      <c r="I293" s="1019"/>
      <c r="J293" s="1019"/>
      <c r="K293" s="1019"/>
      <c r="L293" s="1140"/>
    </row>
    <row r="294" spans="1:12" x14ac:dyDescent="0.35">
      <c r="A294" s="1019"/>
      <c r="B294" s="1019"/>
      <c r="C294" s="1019"/>
      <c r="D294" s="1019"/>
      <c r="E294" s="1019"/>
      <c r="F294" s="1019"/>
      <c r="G294" s="1019"/>
      <c r="H294" s="1019"/>
      <c r="I294" s="1019"/>
      <c r="J294" s="1019"/>
      <c r="K294" s="1019"/>
      <c r="L294" s="1140"/>
    </row>
    <row r="295" spans="1:12" x14ac:dyDescent="0.35">
      <c r="A295" s="1019"/>
      <c r="B295" s="1019"/>
      <c r="C295" s="1019"/>
      <c r="D295" s="1019"/>
      <c r="E295" s="1019"/>
      <c r="F295" s="1019"/>
      <c r="G295" s="1019"/>
      <c r="H295" s="1019"/>
      <c r="I295" s="1019"/>
      <c r="J295" s="1019"/>
      <c r="K295" s="1019"/>
      <c r="L295" s="1140"/>
    </row>
    <row r="296" spans="1:12" x14ac:dyDescent="0.35">
      <c r="A296" s="1019"/>
      <c r="B296" s="1019"/>
      <c r="C296" s="1019"/>
      <c r="D296" s="1019"/>
      <c r="E296" s="1019"/>
      <c r="F296" s="1019"/>
      <c r="G296" s="1019"/>
      <c r="H296" s="1019"/>
      <c r="I296" s="1019"/>
      <c r="J296" s="1019"/>
      <c r="K296" s="1019"/>
      <c r="L296" s="1140"/>
    </row>
    <row r="297" spans="1:12" x14ac:dyDescent="0.35">
      <c r="A297" s="1019"/>
      <c r="B297" s="1019"/>
      <c r="C297" s="1019"/>
      <c r="D297" s="1019"/>
      <c r="E297" s="1019"/>
      <c r="F297" s="1019"/>
      <c r="G297" s="1019"/>
      <c r="H297" s="1019"/>
      <c r="I297" s="1019"/>
      <c r="J297" s="1019"/>
      <c r="K297" s="1019"/>
      <c r="L297" s="1140"/>
    </row>
    <row r="298" spans="1:12" x14ac:dyDescent="0.35">
      <c r="A298" s="1019"/>
      <c r="B298" s="1019"/>
      <c r="C298" s="1019"/>
      <c r="D298" s="1019"/>
      <c r="E298" s="1019"/>
      <c r="F298" s="1019"/>
      <c r="G298" s="1019"/>
      <c r="H298" s="1019"/>
      <c r="I298" s="1019"/>
      <c r="J298" s="1019"/>
      <c r="K298" s="1019"/>
      <c r="L298" s="1140"/>
    </row>
    <row r="299" spans="1:12" x14ac:dyDescent="0.35">
      <c r="A299" s="1019"/>
      <c r="B299" s="1019"/>
      <c r="C299" s="1019"/>
      <c r="D299" s="1019"/>
      <c r="E299" s="1019"/>
      <c r="F299" s="1019"/>
      <c r="G299" s="1019"/>
      <c r="H299" s="1019"/>
      <c r="I299" s="1019"/>
      <c r="J299" s="1019"/>
      <c r="K299" s="1019"/>
      <c r="L299" s="1140"/>
    </row>
    <row r="300" spans="1:12" x14ac:dyDescent="0.35">
      <c r="A300" s="1019"/>
      <c r="B300" s="1019"/>
      <c r="C300" s="1019"/>
      <c r="D300" s="1019"/>
      <c r="E300" s="1019"/>
      <c r="F300" s="1019"/>
      <c r="G300" s="1019"/>
      <c r="H300" s="1019"/>
      <c r="I300" s="1019"/>
      <c r="J300" s="1019"/>
      <c r="K300" s="1019"/>
      <c r="L300" s="1140"/>
    </row>
    <row r="301" spans="1:12" x14ac:dyDescent="0.35">
      <c r="A301" s="1019"/>
      <c r="B301" s="1019"/>
      <c r="C301" s="1019"/>
      <c r="D301" s="1019"/>
      <c r="E301" s="1019"/>
      <c r="F301" s="1019"/>
      <c r="G301" s="1019"/>
      <c r="H301" s="1019"/>
      <c r="I301" s="1019"/>
      <c r="J301" s="1019"/>
      <c r="K301" s="1019"/>
      <c r="L301" s="1140"/>
    </row>
    <row r="302" spans="1:12" x14ac:dyDescent="0.35">
      <c r="A302" s="1019"/>
      <c r="B302" s="1019"/>
      <c r="C302" s="1019"/>
      <c r="D302" s="1019"/>
      <c r="E302" s="1019"/>
      <c r="F302" s="1019"/>
      <c r="G302" s="1019"/>
      <c r="H302" s="1019"/>
      <c r="I302" s="1019"/>
      <c r="J302" s="1019"/>
      <c r="K302" s="1019"/>
      <c r="L302" s="1140"/>
    </row>
    <row r="303" spans="1:12" x14ac:dyDescent="0.35">
      <c r="A303" s="1019"/>
      <c r="B303" s="1019"/>
      <c r="C303" s="1019"/>
      <c r="D303" s="1019"/>
      <c r="E303" s="1019"/>
      <c r="F303" s="1019"/>
      <c r="G303" s="1019"/>
      <c r="H303" s="1019"/>
      <c r="I303" s="1019"/>
      <c r="J303" s="1019"/>
      <c r="K303" s="1019"/>
      <c r="L303" s="1140"/>
    </row>
    <row r="304" spans="1:12" x14ac:dyDescent="0.35">
      <c r="A304" s="1019"/>
      <c r="B304" s="1019"/>
      <c r="C304" s="1019"/>
      <c r="D304" s="1019"/>
      <c r="E304" s="1019"/>
      <c r="F304" s="1019"/>
      <c r="G304" s="1019"/>
      <c r="H304" s="1019"/>
      <c r="I304" s="1019"/>
      <c r="J304" s="1019"/>
      <c r="K304" s="1019"/>
      <c r="L304" s="1140"/>
    </row>
    <row r="305" spans="1:12" x14ac:dyDescent="0.35">
      <c r="A305" s="1019"/>
      <c r="B305" s="1019"/>
      <c r="C305" s="1019"/>
      <c r="D305" s="1019"/>
      <c r="E305" s="1019"/>
      <c r="F305" s="1019"/>
      <c r="G305" s="1019"/>
      <c r="H305" s="1019"/>
      <c r="I305" s="1019"/>
      <c r="J305" s="1019"/>
      <c r="K305" s="1019"/>
      <c r="L305" s="1140"/>
    </row>
    <row r="306" spans="1:12" x14ac:dyDescent="0.35">
      <c r="A306" s="1019"/>
      <c r="B306" s="1019"/>
      <c r="C306" s="1019"/>
      <c r="D306" s="1019"/>
      <c r="E306" s="1019"/>
      <c r="F306" s="1019"/>
      <c r="G306" s="1019"/>
      <c r="H306" s="1019"/>
      <c r="I306" s="1019"/>
      <c r="J306" s="1019"/>
      <c r="K306" s="1019"/>
      <c r="L306" s="1140"/>
    </row>
    <row r="307" spans="1:12" x14ac:dyDescent="0.35">
      <c r="A307" s="1019"/>
      <c r="B307" s="1019"/>
      <c r="C307" s="1019"/>
      <c r="D307" s="1019"/>
      <c r="E307" s="1019"/>
      <c r="F307" s="1019"/>
      <c r="G307" s="1019"/>
      <c r="H307" s="1019"/>
      <c r="I307" s="1019"/>
      <c r="J307" s="1019"/>
      <c r="K307" s="1019"/>
      <c r="L307" s="1140"/>
    </row>
    <row r="308" spans="1:12" x14ac:dyDescent="0.35">
      <c r="A308" s="1019"/>
      <c r="B308" s="1019"/>
      <c r="C308" s="1019"/>
      <c r="D308" s="1019"/>
      <c r="E308" s="1019"/>
      <c r="F308" s="1019"/>
      <c r="G308" s="1019"/>
      <c r="H308" s="1019"/>
      <c r="I308" s="1019"/>
      <c r="J308" s="1019"/>
      <c r="K308" s="1019"/>
      <c r="L308" s="1140"/>
    </row>
    <row r="309" spans="1:12" x14ac:dyDescent="0.35">
      <c r="A309" s="1019"/>
      <c r="B309" s="1019"/>
      <c r="C309" s="1019"/>
      <c r="D309" s="1019"/>
      <c r="E309" s="1019"/>
      <c r="F309" s="1019"/>
      <c r="G309" s="1019"/>
      <c r="H309" s="1019"/>
      <c r="I309" s="1019"/>
      <c r="J309" s="1019"/>
      <c r="K309" s="1019"/>
      <c r="L309" s="1140"/>
    </row>
    <row r="310" spans="1:12" x14ac:dyDescent="0.35">
      <c r="A310" s="1019"/>
      <c r="B310" s="1019"/>
      <c r="C310" s="1019"/>
      <c r="D310" s="1019"/>
      <c r="E310" s="1019"/>
      <c r="F310" s="1019"/>
      <c r="G310" s="1019"/>
      <c r="H310" s="1019"/>
      <c r="I310" s="1019"/>
      <c r="J310" s="1019"/>
      <c r="K310" s="1019"/>
      <c r="L310" s="1140"/>
    </row>
    <row r="311" spans="1:12" x14ac:dyDescent="0.35">
      <c r="A311" s="1019"/>
      <c r="B311" s="1019"/>
      <c r="C311" s="1019"/>
      <c r="D311" s="1019"/>
      <c r="E311" s="1019"/>
      <c r="F311" s="1019"/>
      <c r="G311" s="1019"/>
      <c r="H311" s="1019"/>
      <c r="I311" s="1019"/>
      <c r="J311" s="1019"/>
      <c r="K311" s="1019"/>
      <c r="L311" s="1140"/>
    </row>
    <row r="312" spans="1:12" x14ac:dyDescent="0.35">
      <c r="A312" s="1019"/>
      <c r="B312" s="1019"/>
      <c r="C312" s="1019"/>
      <c r="D312" s="1019"/>
      <c r="E312" s="1019"/>
      <c r="F312" s="1019"/>
      <c r="G312" s="1019"/>
      <c r="H312" s="1019"/>
      <c r="I312" s="1019"/>
      <c r="J312" s="1019"/>
      <c r="K312" s="1019"/>
      <c r="L312" s="1140"/>
    </row>
    <row r="313" spans="1:12" x14ac:dyDescent="0.35">
      <c r="A313" s="1019"/>
      <c r="B313" s="1019"/>
      <c r="C313" s="1019"/>
      <c r="D313" s="1019"/>
      <c r="E313" s="1019"/>
      <c r="F313" s="1019"/>
      <c r="G313" s="1019"/>
      <c r="H313" s="1019"/>
      <c r="I313" s="1019"/>
      <c r="J313" s="1019"/>
      <c r="K313" s="1019"/>
      <c r="L313" s="1140"/>
    </row>
    <row r="314" spans="1:12" x14ac:dyDescent="0.35">
      <c r="A314" s="1019"/>
      <c r="B314" s="1019"/>
      <c r="C314" s="1019"/>
      <c r="D314" s="1019"/>
      <c r="E314" s="1019"/>
      <c r="F314" s="1019"/>
      <c r="G314" s="1019"/>
      <c r="H314" s="1019"/>
      <c r="I314" s="1019"/>
      <c r="J314" s="1019"/>
      <c r="K314" s="1019"/>
      <c r="L314" s="1140"/>
    </row>
    <row r="315" spans="1:12" x14ac:dyDescent="0.35">
      <c r="A315" s="1019"/>
      <c r="B315" s="1019"/>
      <c r="C315" s="1019"/>
      <c r="D315" s="1019"/>
      <c r="E315" s="1019"/>
      <c r="F315" s="1019"/>
      <c r="G315" s="1019"/>
      <c r="H315" s="1019"/>
      <c r="I315" s="1019"/>
      <c r="J315" s="1019"/>
      <c r="K315" s="1019"/>
      <c r="L315" s="1140"/>
    </row>
    <row r="316" spans="1:12" x14ac:dyDescent="0.35">
      <c r="A316" s="1019"/>
      <c r="B316" s="1019"/>
      <c r="C316" s="1019"/>
      <c r="D316" s="1019"/>
      <c r="E316" s="1019"/>
      <c r="F316" s="1019"/>
      <c r="G316" s="1019"/>
      <c r="H316" s="1019"/>
      <c r="I316" s="1019"/>
      <c r="J316" s="1019"/>
      <c r="K316" s="1019"/>
      <c r="L316" s="1140"/>
    </row>
    <row r="317" spans="1:12" x14ac:dyDescent="0.35">
      <c r="A317" s="1019"/>
      <c r="B317" s="1019"/>
      <c r="C317" s="1019"/>
      <c r="D317" s="1019"/>
      <c r="E317" s="1019"/>
      <c r="F317" s="1019"/>
      <c r="G317" s="1019"/>
      <c r="H317" s="1019"/>
      <c r="I317" s="1019"/>
      <c r="J317" s="1019"/>
      <c r="K317" s="1019"/>
      <c r="L317" s="1140"/>
    </row>
    <row r="318" spans="1:12" x14ac:dyDescent="0.35">
      <c r="A318" s="1019"/>
      <c r="B318" s="1019"/>
      <c r="C318" s="1019"/>
      <c r="D318" s="1019"/>
      <c r="E318" s="1019"/>
      <c r="F318" s="1019"/>
      <c r="G318" s="1019"/>
      <c r="H318" s="1019"/>
      <c r="I318" s="1019"/>
      <c r="J318" s="1019"/>
      <c r="K318" s="1019"/>
      <c r="L318" s="1140"/>
    </row>
    <row r="319" spans="1:12" x14ac:dyDescent="0.35">
      <c r="A319" s="1019"/>
      <c r="B319" s="1019"/>
      <c r="C319" s="1019"/>
      <c r="D319" s="1019"/>
      <c r="E319" s="1019"/>
      <c r="F319" s="1019"/>
      <c r="G319" s="1019"/>
      <c r="H319" s="1019"/>
      <c r="I319" s="1019"/>
      <c r="J319" s="1019"/>
      <c r="K319" s="1019"/>
      <c r="L319" s="1140"/>
    </row>
    <row r="320" spans="1:12" x14ac:dyDescent="0.35">
      <c r="A320" s="1019"/>
      <c r="B320" s="1019"/>
      <c r="C320" s="1019"/>
      <c r="D320" s="1019"/>
      <c r="E320" s="1019"/>
      <c r="F320" s="1019"/>
      <c r="G320" s="1019"/>
      <c r="H320" s="1019"/>
      <c r="I320" s="1019"/>
      <c r="J320" s="1019"/>
      <c r="K320" s="1019"/>
      <c r="L320" s="1140"/>
    </row>
    <row r="321" spans="1:12" x14ac:dyDescent="0.35">
      <c r="A321" s="1019"/>
      <c r="B321" s="1019"/>
      <c r="C321" s="1019"/>
      <c r="D321" s="1019"/>
      <c r="E321" s="1019"/>
      <c r="F321" s="1019"/>
      <c r="G321" s="1019"/>
      <c r="H321" s="1019"/>
      <c r="I321" s="1019"/>
      <c r="J321" s="1019"/>
      <c r="K321" s="1019"/>
      <c r="L321" s="1140"/>
    </row>
    <row r="322" spans="1:12" x14ac:dyDescent="0.35">
      <c r="A322" s="1019"/>
      <c r="B322" s="1019"/>
      <c r="C322" s="1019"/>
      <c r="D322" s="1019"/>
      <c r="E322" s="1019"/>
      <c r="F322" s="1019"/>
      <c r="G322" s="1019"/>
      <c r="H322" s="1019"/>
      <c r="I322" s="1019"/>
      <c r="J322" s="1019"/>
      <c r="K322" s="1019"/>
      <c r="L322" s="1140"/>
    </row>
    <row r="323" spans="1:12" x14ac:dyDescent="0.35">
      <c r="A323" s="1019"/>
      <c r="B323" s="1019"/>
      <c r="C323" s="1019"/>
      <c r="D323" s="1019"/>
      <c r="E323" s="1019"/>
      <c r="F323" s="1019"/>
      <c r="G323" s="1019"/>
      <c r="H323" s="1019"/>
      <c r="I323" s="1019"/>
      <c r="J323" s="1019"/>
      <c r="K323" s="1019"/>
      <c r="L323" s="1140"/>
    </row>
    <row r="324" spans="1:12" x14ac:dyDescent="0.35">
      <c r="A324" s="1019"/>
      <c r="B324" s="1019"/>
      <c r="C324" s="1019"/>
      <c r="D324" s="1019"/>
      <c r="E324" s="1019"/>
      <c r="F324" s="1019"/>
      <c r="G324" s="1019"/>
      <c r="H324" s="1019"/>
      <c r="I324" s="1019"/>
      <c r="J324" s="1019"/>
      <c r="K324" s="1019"/>
      <c r="L324" s="1140"/>
    </row>
    <row r="325" spans="1:12" x14ac:dyDescent="0.35">
      <c r="A325" s="1019"/>
      <c r="B325" s="1019"/>
      <c r="C325" s="1019"/>
      <c r="D325" s="1019"/>
      <c r="E325" s="1019"/>
      <c r="F325" s="1019"/>
      <c r="G325" s="1019"/>
      <c r="H325" s="1019"/>
      <c r="I325" s="1019"/>
      <c r="J325" s="1019"/>
      <c r="K325" s="1019"/>
      <c r="L325" s="1140"/>
    </row>
    <row r="326" spans="1:12" x14ac:dyDescent="0.35">
      <c r="A326" s="1019"/>
      <c r="B326" s="1019"/>
      <c r="C326" s="1019"/>
      <c r="D326" s="1019"/>
      <c r="E326" s="1019"/>
      <c r="F326" s="1019"/>
      <c r="G326" s="1019"/>
      <c r="H326" s="1019"/>
      <c r="I326" s="1019"/>
      <c r="J326" s="1019"/>
      <c r="K326" s="1019"/>
      <c r="L326" s="1140"/>
    </row>
    <row r="327" spans="1:12" x14ac:dyDescent="0.35">
      <c r="A327" s="1019"/>
      <c r="B327" s="1019"/>
      <c r="C327" s="1019"/>
      <c r="D327" s="1019"/>
      <c r="E327" s="1019"/>
      <c r="F327" s="1019"/>
      <c r="G327" s="1019"/>
      <c r="H327" s="1019"/>
      <c r="I327" s="1019"/>
      <c r="J327" s="1019"/>
      <c r="K327" s="1019"/>
      <c r="L327" s="1140"/>
    </row>
    <row r="328" spans="1:12" x14ac:dyDescent="0.35">
      <c r="A328" s="1019"/>
      <c r="B328" s="1019"/>
      <c r="C328" s="1019"/>
      <c r="D328" s="1019"/>
      <c r="E328" s="1019"/>
      <c r="F328" s="1019"/>
      <c r="G328" s="1019"/>
      <c r="H328" s="1019"/>
      <c r="I328" s="1019"/>
      <c r="J328" s="1019"/>
      <c r="K328" s="1019"/>
      <c r="L328" s="1140"/>
    </row>
    <row r="329" spans="1:12" x14ac:dyDescent="0.35">
      <c r="A329" s="1019"/>
      <c r="B329" s="1019"/>
      <c r="C329" s="1019"/>
      <c r="D329" s="1019"/>
      <c r="E329" s="1019"/>
      <c r="F329" s="1019"/>
      <c r="G329" s="1019"/>
      <c r="H329" s="1019"/>
      <c r="I329" s="1019"/>
      <c r="J329" s="1019"/>
      <c r="K329" s="1019"/>
      <c r="L329" s="1140"/>
    </row>
    <row r="330" spans="1:12" x14ac:dyDescent="0.35">
      <c r="A330" s="1019"/>
      <c r="B330" s="1019"/>
      <c r="C330" s="1019"/>
      <c r="D330" s="1019"/>
      <c r="E330" s="1019"/>
      <c r="F330" s="1019"/>
      <c r="G330" s="1019"/>
      <c r="H330" s="1019"/>
      <c r="I330" s="1019"/>
      <c r="J330" s="1019"/>
      <c r="K330" s="1019"/>
      <c r="L330" s="1140"/>
    </row>
    <row r="331" spans="1:12" x14ac:dyDescent="0.35">
      <c r="A331" s="1019"/>
      <c r="B331" s="1019"/>
      <c r="C331" s="1019"/>
      <c r="D331" s="1019"/>
      <c r="E331" s="1019"/>
      <c r="F331" s="1019"/>
      <c r="G331" s="1019"/>
      <c r="H331" s="1019"/>
      <c r="I331" s="1019"/>
      <c r="J331" s="1019"/>
      <c r="K331" s="1019"/>
      <c r="L331" s="1140"/>
    </row>
    <row r="332" spans="1:12" x14ac:dyDescent="0.35">
      <c r="A332" s="1019"/>
      <c r="B332" s="1019"/>
      <c r="C332" s="1019"/>
      <c r="D332" s="1019"/>
      <c r="E332" s="1019"/>
      <c r="F332" s="1019"/>
      <c r="G332" s="1019"/>
      <c r="H332" s="1019"/>
      <c r="I332" s="1019"/>
      <c r="J332" s="1019"/>
      <c r="K332" s="1019"/>
      <c r="L332" s="1140"/>
    </row>
    <row r="333" spans="1:12" x14ac:dyDescent="0.35">
      <c r="A333" s="1019"/>
      <c r="B333" s="1019"/>
      <c r="C333" s="1019"/>
      <c r="D333" s="1019"/>
      <c r="E333" s="1019"/>
      <c r="F333" s="1019"/>
      <c r="G333" s="1019"/>
      <c r="H333" s="1019"/>
      <c r="I333" s="1019"/>
      <c r="J333" s="1019"/>
      <c r="K333" s="1019"/>
      <c r="L333" s="1140"/>
    </row>
    <row r="334" spans="1:12" x14ac:dyDescent="0.35">
      <c r="A334" s="1019"/>
      <c r="B334" s="1019"/>
      <c r="C334" s="1019"/>
      <c r="D334" s="1019"/>
      <c r="E334" s="1019"/>
      <c r="F334" s="1019"/>
      <c r="G334" s="1019"/>
      <c r="H334" s="1019"/>
      <c r="I334" s="1019"/>
      <c r="J334" s="1019"/>
      <c r="K334" s="1019"/>
      <c r="L334" s="1140"/>
    </row>
    <row r="335" spans="1:12" x14ac:dyDescent="0.35">
      <c r="A335" s="1019"/>
      <c r="B335" s="1019"/>
      <c r="C335" s="1019"/>
      <c r="D335" s="1019"/>
      <c r="E335" s="1019"/>
      <c r="F335" s="1019"/>
      <c r="G335" s="1019"/>
      <c r="H335" s="1019"/>
      <c r="I335" s="1019"/>
      <c r="J335" s="1019"/>
      <c r="K335" s="1019"/>
      <c r="L335" s="1140"/>
    </row>
    <row r="336" spans="1:12" x14ac:dyDescent="0.35">
      <c r="A336" s="1019"/>
      <c r="B336" s="1019"/>
      <c r="C336" s="1019"/>
      <c r="D336" s="1019"/>
      <c r="E336" s="1019"/>
      <c r="F336" s="1019"/>
      <c r="G336" s="1019"/>
      <c r="H336" s="1019"/>
      <c r="I336" s="1019"/>
      <c r="J336" s="1019"/>
      <c r="K336" s="1019"/>
      <c r="L336" s="1140"/>
    </row>
    <row r="337" spans="1:12" x14ac:dyDescent="0.35">
      <c r="A337" s="1019"/>
      <c r="B337" s="1019"/>
      <c r="C337" s="1019"/>
      <c r="D337" s="1019"/>
      <c r="E337" s="1019"/>
      <c r="F337" s="1019"/>
      <c r="G337" s="1019"/>
      <c r="H337" s="1019"/>
      <c r="I337" s="1019"/>
      <c r="J337" s="1019"/>
      <c r="K337" s="1019"/>
      <c r="L337" s="1140"/>
    </row>
    <row r="338" spans="1:12" x14ac:dyDescent="0.35">
      <c r="A338" s="1019"/>
      <c r="B338" s="1019"/>
      <c r="C338" s="1019"/>
      <c r="D338" s="1019"/>
      <c r="E338" s="1019"/>
      <c r="F338" s="1019"/>
      <c r="G338" s="1019"/>
      <c r="H338" s="1019"/>
      <c r="I338" s="1019"/>
      <c r="J338" s="1019"/>
      <c r="K338" s="1019"/>
      <c r="L338" s="1140"/>
    </row>
    <row r="339" spans="1:12" x14ac:dyDescent="0.35">
      <c r="A339" s="1019"/>
      <c r="B339" s="1019"/>
      <c r="C339" s="1019"/>
      <c r="D339" s="1019"/>
      <c r="E339" s="1019"/>
      <c r="F339" s="1019"/>
      <c r="G339" s="1019"/>
      <c r="H339" s="1019"/>
      <c r="I339" s="1019"/>
      <c r="J339" s="1019"/>
      <c r="K339" s="1019"/>
      <c r="L339" s="1140"/>
    </row>
    <row r="340" spans="1:12" x14ac:dyDescent="0.35">
      <c r="A340" s="1019"/>
      <c r="B340" s="1019"/>
      <c r="C340" s="1019"/>
      <c r="D340" s="1019"/>
      <c r="E340" s="1019"/>
      <c r="F340" s="1019"/>
      <c r="G340" s="1019"/>
      <c r="H340" s="1019"/>
      <c r="I340" s="1019"/>
      <c r="J340" s="1019"/>
      <c r="K340" s="1019"/>
      <c r="L340" s="1140"/>
    </row>
    <row r="341" spans="1:12" x14ac:dyDescent="0.35">
      <c r="A341" s="1019"/>
      <c r="B341" s="1019"/>
      <c r="C341" s="1019"/>
      <c r="D341" s="1019"/>
      <c r="E341" s="1019"/>
      <c r="F341" s="1019"/>
      <c r="G341" s="1019"/>
      <c r="H341" s="1019"/>
      <c r="I341" s="1019"/>
      <c r="J341" s="1019"/>
      <c r="K341" s="1019"/>
      <c r="L341" s="1140"/>
    </row>
    <row r="342" spans="1:12" x14ac:dyDescent="0.35">
      <c r="A342" s="1019"/>
      <c r="B342" s="1019"/>
      <c r="C342" s="1019"/>
      <c r="D342" s="1019"/>
      <c r="E342" s="1019"/>
      <c r="F342" s="1019"/>
      <c r="G342" s="1019"/>
      <c r="H342" s="1019"/>
      <c r="I342" s="1019"/>
      <c r="J342" s="1019"/>
      <c r="K342" s="1019"/>
      <c r="L342" s="1140"/>
    </row>
    <row r="343" spans="1:12" x14ac:dyDescent="0.35">
      <c r="A343" s="1019"/>
      <c r="B343" s="1019"/>
      <c r="C343" s="1019"/>
      <c r="D343" s="1019"/>
      <c r="E343" s="1019"/>
      <c r="F343" s="1019"/>
      <c r="G343" s="1019"/>
      <c r="H343" s="1019"/>
      <c r="I343" s="1019"/>
      <c r="J343" s="1019"/>
      <c r="K343" s="1019"/>
      <c r="L343" s="1140"/>
    </row>
    <row r="344" spans="1:12" x14ac:dyDescent="0.35">
      <c r="A344" s="1019"/>
      <c r="B344" s="1019"/>
      <c r="C344" s="1019"/>
      <c r="D344" s="1019"/>
      <c r="E344" s="1019"/>
      <c r="F344" s="1019"/>
      <c r="G344" s="1019"/>
      <c r="H344" s="1019"/>
      <c r="I344" s="1019"/>
      <c r="J344" s="1019"/>
      <c r="K344" s="1019"/>
      <c r="L344" s="1140"/>
    </row>
    <row r="345" spans="1:12" x14ac:dyDescent="0.35">
      <c r="A345" s="1019"/>
      <c r="B345" s="1019"/>
      <c r="C345" s="1019"/>
      <c r="D345" s="1019"/>
      <c r="E345" s="1019"/>
      <c r="F345" s="1019"/>
      <c r="G345" s="1019"/>
      <c r="H345" s="1019"/>
      <c r="I345" s="1019"/>
      <c r="J345" s="1019"/>
      <c r="K345" s="1019"/>
      <c r="L345" s="1140"/>
    </row>
    <row r="346" spans="1:12" x14ac:dyDescent="0.35">
      <c r="A346" s="1019"/>
      <c r="B346" s="1019"/>
      <c r="C346" s="1019"/>
      <c r="D346" s="1019"/>
      <c r="E346" s="1019"/>
      <c r="F346" s="1019"/>
      <c r="G346" s="1019"/>
      <c r="H346" s="1019"/>
      <c r="I346" s="1019"/>
      <c r="J346" s="1019"/>
      <c r="K346" s="1019"/>
      <c r="L346" s="1140"/>
    </row>
    <row r="347" spans="1:12" x14ac:dyDescent="0.35">
      <c r="A347" s="1019"/>
      <c r="B347" s="1019"/>
      <c r="C347" s="1019"/>
      <c r="D347" s="1019"/>
      <c r="E347" s="1019"/>
      <c r="F347" s="1019"/>
      <c r="G347" s="1019"/>
      <c r="H347" s="1019"/>
      <c r="I347" s="1019"/>
      <c r="J347" s="1019"/>
      <c r="K347" s="1019"/>
      <c r="L347" s="1140"/>
    </row>
    <row r="348" spans="1:12" x14ac:dyDescent="0.35">
      <c r="A348" s="1019"/>
      <c r="B348" s="1019"/>
      <c r="C348" s="1019"/>
      <c r="D348" s="1019"/>
      <c r="E348" s="1019"/>
      <c r="F348" s="1019"/>
      <c r="G348" s="1019"/>
      <c r="H348" s="1019"/>
      <c r="I348" s="1019"/>
      <c r="J348" s="1019"/>
      <c r="K348" s="1019"/>
      <c r="L348" s="1140"/>
    </row>
    <row r="349" spans="1:12" x14ac:dyDescent="0.35">
      <c r="A349" s="1019"/>
      <c r="B349" s="1019"/>
      <c r="C349" s="1019"/>
      <c r="D349" s="1019"/>
      <c r="E349" s="1019"/>
      <c r="F349" s="1019"/>
      <c r="G349" s="1019"/>
      <c r="H349" s="1019"/>
      <c r="I349" s="1019"/>
      <c r="J349" s="1019"/>
      <c r="K349" s="1019"/>
      <c r="L349" s="1140"/>
    </row>
    <row r="350" spans="1:12" x14ac:dyDescent="0.35">
      <c r="A350" s="1019"/>
      <c r="B350" s="1019"/>
      <c r="C350" s="1019"/>
      <c r="D350" s="1019"/>
      <c r="E350" s="1019"/>
      <c r="F350" s="1019"/>
      <c r="G350" s="1019"/>
      <c r="H350" s="1019"/>
      <c r="I350" s="1019"/>
      <c r="J350" s="1019"/>
      <c r="K350" s="1019"/>
      <c r="L350" s="1140"/>
    </row>
    <row r="351" spans="1:12" x14ac:dyDescent="0.35">
      <c r="A351" s="1019"/>
      <c r="B351" s="1019"/>
      <c r="C351" s="1019"/>
      <c r="D351" s="1019"/>
      <c r="E351" s="1019"/>
      <c r="F351" s="1019"/>
      <c r="G351" s="1019"/>
      <c r="H351" s="1019"/>
      <c r="I351" s="1019"/>
      <c r="J351" s="1019"/>
      <c r="K351" s="1019"/>
      <c r="L351" s="1140"/>
    </row>
    <row r="352" spans="1:12" x14ac:dyDescent="0.35">
      <c r="A352" s="1019"/>
      <c r="B352" s="1019"/>
      <c r="C352" s="1019"/>
      <c r="D352" s="1019"/>
      <c r="E352" s="1019"/>
      <c r="F352" s="1019"/>
      <c r="G352" s="1019"/>
      <c r="H352" s="1019"/>
      <c r="I352" s="1019"/>
      <c r="J352" s="1019"/>
      <c r="K352" s="1019"/>
      <c r="L352" s="1140"/>
    </row>
    <row r="353" spans="1:12" x14ac:dyDescent="0.35">
      <c r="A353" s="1019"/>
      <c r="B353" s="1019"/>
      <c r="C353" s="1019"/>
      <c r="D353" s="1019"/>
      <c r="E353" s="1019"/>
      <c r="F353" s="1019"/>
      <c r="G353" s="1019"/>
      <c r="H353" s="1019"/>
      <c r="I353" s="1019"/>
      <c r="J353" s="1019"/>
      <c r="K353" s="1019"/>
      <c r="L353" s="1140"/>
    </row>
    <row r="354" spans="1:12" x14ac:dyDescent="0.35">
      <c r="A354" s="1019"/>
      <c r="B354" s="1019"/>
      <c r="C354" s="1019"/>
      <c r="D354" s="1019"/>
      <c r="E354" s="1019"/>
      <c r="F354" s="1019"/>
      <c r="G354" s="1019"/>
      <c r="H354" s="1019"/>
      <c r="I354" s="1019"/>
      <c r="J354" s="1019"/>
      <c r="K354" s="1019"/>
      <c r="L354" s="1140"/>
    </row>
    <row r="355" spans="1:12" x14ac:dyDescent="0.35">
      <c r="A355" s="1019"/>
      <c r="B355" s="1019"/>
      <c r="C355" s="1019"/>
      <c r="D355" s="1019"/>
      <c r="E355" s="1019"/>
      <c r="F355" s="1019"/>
      <c r="G355" s="1019"/>
      <c r="H355" s="1019"/>
      <c r="I355" s="1019"/>
      <c r="J355" s="1019"/>
      <c r="K355" s="1019"/>
      <c r="L355" s="1140"/>
    </row>
    <row r="356" spans="1:12" x14ac:dyDescent="0.35">
      <c r="A356" s="1019"/>
      <c r="B356" s="1019"/>
      <c r="C356" s="1019"/>
      <c r="D356" s="1019"/>
      <c r="E356" s="1019"/>
      <c r="F356" s="1019"/>
      <c r="G356" s="1019"/>
      <c r="H356" s="1019"/>
      <c r="I356" s="1019"/>
      <c r="J356" s="1019"/>
      <c r="K356" s="1019"/>
      <c r="L356" s="1140"/>
    </row>
    <row r="357" spans="1:12" x14ac:dyDescent="0.35">
      <c r="A357" s="1019"/>
      <c r="B357" s="1019"/>
      <c r="C357" s="1019"/>
      <c r="D357" s="1019"/>
      <c r="E357" s="1019"/>
      <c r="F357" s="1019"/>
      <c r="G357" s="1019"/>
      <c r="H357" s="1019"/>
      <c r="I357" s="1019"/>
      <c r="J357" s="1019"/>
      <c r="K357" s="1019"/>
      <c r="L357" s="1140"/>
    </row>
    <row r="358" spans="1:12" x14ac:dyDescent="0.35">
      <c r="A358" s="1019"/>
      <c r="B358" s="1019"/>
      <c r="C358" s="1019"/>
      <c r="D358" s="1019"/>
      <c r="E358" s="1019"/>
      <c r="F358" s="1019"/>
      <c r="G358" s="1019"/>
      <c r="H358" s="1019"/>
      <c r="I358" s="1019"/>
      <c r="J358" s="1019"/>
      <c r="K358" s="1019"/>
      <c r="L358" s="1140"/>
    </row>
    <row r="359" spans="1:12" x14ac:dyDescent="0.35">
      <c r="A359" s="1019"/>
      <c r="B359" s="1019"/>
      <c r="C359" s="1019"/>
      <c r="D359" s="1019"/>
      <c r="E359" s="1019"/>
      <c r="F359" s="1019"/>
      <c r="G359" s="1019"/>
      <c r="H359" s="1019"/>
      <c r="I359" s="1019"/>
      <c r="J359" s="1019"/>
      <c r="K359" s="1019"/>
      <c r="L359" s="1140"/>
    </row>
    <row r="360" spans="1:12" x14ac:dyDescent="0.35">
      <c r="A360" s="1019"/>
      <c r="B360" s="1019"/>
      <c r="C360" s="1019"/>
      <c r="D360" s="1019"/>
      <c r="E360" s="1019"/>
      <c r="F360" s="1019"/>
      <c r="G360" s="1019"/>
      <c r="H360" s="1019"/>
      <c r="I360" s="1019"/>
      <c r="J360" s="1019"/>
      <c r="K360" s="1019"/>
      <c r="L360" s="1140"/>
    </row>
    <row r="361" spans="1:12" x14ac:dyDescent="0.35">
      <c r="A361" s="1019"/>
      <c r="B361" s="1019"/>
      <c r="C361" s="1019"/>
      <c r="D361" s="1019"/>
      <c r="E361" s="1019"/>
      <c r="F361" s="1019"/>
      <c r="G361" s="1019"/>
      <c r="H361" s="1019"/>
      <c r="I361" s="1019"/>
      <c r="J361" s="1019"/>
      <c r="K361" s="1019"/>
      <c r="L361" s="1140"/>
    </row>
    <row r="362" spans="1:12" x14ac:dyDescent="0.35">
      <c r="A362" s="1019"/>
      <c r="B362" s="1019"/>
      <c r="C362" s="1019"/>
      <c r="D362" s="1019"/>
      <c r="E362" s="1019"/>
      <c r="F362" s="1019"/>
      <c r="G362" s="1019"/>
      <c r="H362" s="1019"/>
      <c r="I362" s="1019"/>
      <c r="J362" s="1019"/>
      <c r="K362" s="1019"/>
      <c r="L362" s="1140"/>
    </row>
    <row r="363" spans="1:12" x14ac:dyDescent="0.35">
      <c r="A363" s="1019"/>
      <c r="B363" s="1019"/>
      <c r="C363" s="1019"/>
      <c r="D363" s="1019"/>
      <c r="E363" s="1019"/>
      <c r="F363" s="1019"/>
      <c r="G363" s="1019"/>
      <c r="H363" s="1019"/>
      <c r="I363" s="1019"/>
      <c r="J363" s="1019"/>
      <c r="K363" s="1019"/>
      <c r="L363" s="1140"/>
    </row>
    <row r="364" spans="1:12" x14ac:dyDescent="0.35">
      <c r="A364" s="1019"/>
      <c r="B364" s="1019"/>
      <c r="C364" s="1019"/>
      <c r="D364" s="1019"/>
      <c r="E364" s="1019"/>
      <c r="F364" s="1019"/>
      <c r="G364" s="1019"/>
      <c r="H364" s="1019"/>
      <c r="I364" s="1019"/>
      <c r="J364" s="1019"/>
      <c r="K364" s="1019"/>
      <c r="L364" s="1140"/>
    </row>
    <row r="365" spans="1:12" x14ac:dyDescent="0.35">
      <c r="A365" s="1019"/>
      <c r="B365" s="1019"/>
      <c r="C365" s="1019"/>
      <c r="D365" s="1019"/>
      <c r="E365" s="1019"/>
      <c r="F365" s="1019"/>
      <c r="G365" s="1019"/>
      <c r="H365" s="1019"/>
      <c r="I365" s="1019"/>
      <c r="J365" s="1019"/>
      <c r="K365" s="1019"/>
      <c r="L365" s="1140"/>
    </row>
    <row r="366" spans="1:12" x14ac:dyDescent="0.35">
      <c r="A366" s="1019"/>
      <c r="B366" s="1019"/>
      <c r="C366" s="1019"/>
      <c r="D366" s="1019"/>
      <c r="E366" s="1019"/>
      <c r="F366" s="1019"/>
      <c r="G366" s="1019"/>
      <c r="H366" s="1019"/>
      <c r="I366" s="1019"/>
      <c r="J366" s="1019"/>
      <c r="K366" s="1019"/>
      <c r="L366" s="1140"/>
    </row>
    <row r="367" spans="1:12" x14ac:dyDescent="0.35">
      <c r="A367" s="1019"/>
      <c r="B367" s="1019"/>
      <c r="C367" s="1019"/>
      <c r="D367" s="1019"/>
      <c r="E367" s="1019"/>
      <c r="F367" s="1019"/>
      <c r="G367" s="1019"/>
      <c r="H367" s="1019"/>
      <c r="I367" s="1019"/>
      <c r="J367" s="1019"/>
      <c r="K367" s="1019"/>
      <c r="L367" s="1140"/>
    </row>
    <row r="368" spans="1:12" x14ac:dyDescent="0.35">
      <c r="A368" s="1019"/>
      <c r="B368" s="1019"/>
      <c r="C368" s="1019"/>
      <c r="D368" s="1019"/>
      <c r="E368" s="1019"/>
      <c r="F368" s="1019"/>
      <c r="G368" s="1019"/>
      <c r="H368" s="1019"/>
      <c r="I368" s="1019"/>
      <c r="J368" s="1019"/>
      <c r="K368" s="1019"/>
      <c r="L368" s="1140"/>
    </row>
    <row r="369" spans="1:12" x14ac:dyDescent="0.35">
      <c r="A369" s="1019"/>
      <c r="B369" s="1019"/>
      <c r="C369" s="1019"/>
      <c r="D369" s="1019"/>
      <c r="E369" s="1019"/>
      <c r="F369" s="1019"/>
      <c r="G369" s="1019"/>
      <c r="H369" s="1019"/>
      <c r="I369" s="1019"/>
      <c r="J369" s="1019"/>
      <c r="K369" s="1019"/>
      <c r="L369" s="1140"/>
    </row>
    <row r="370" spans="1:12" x14ac:dyDescent="0.35">
      <c r="A370" s="1019"/>
      <c r="B370" s="1019"/>
      <c r="C370" s="1019"/>
      <c r="D370" s="1019"/>
      <c r="E370" s="1019"/>
      <c r="F370" s="1019"/>
      <c r="G370" s="1019"/>
      <c r="H370" s="1019"/>
      <c r="I370" s="1019"/>
      <c r="J370" s="1019"/>
      <c r="K370" s="1019"/>
      <c r="L370" s="1140"/>
    </row>
    <row r="371" spans="1:12" x14ac:dyDescent="0.35">
      <c r="A371" s="1019"/>
      <c r="B371" s="1019"/>
      <c r="C371" s="1019"/>
      <c r="D371" s="1019"/>
      <c r="E371" s="1019"/>
      <c r="F371" s="1019"/>
      <c r="G371" s="1019"/>
      <c r="H371" s="1019"/>
      <c r="I371" s="1019"/>
      <c r="J371" s="1019"/>
      <c r="K371" s="1019"/>
      <c r="L371" s="1140"/>
    </row>
    <row r="372" spans="1:12" x14ac:dyDescent="0.35">
      <c r="A372" s="1019"/>
      <c r="B372" s="1019"/>
      <c r="C372" s="1019"/>
      <c r="D372" s="1019"/>
      <c r="E372" s="1019"/>
      <c r="F372" s="1019"/>
      <c r="G372" s="1019"/>
      <c r="H372" s="1019"/>
      <c r="I372" s="1019"/>
      <c r="J372" s="1019"/>
      <c r="K372" s="1019"/>
      <c r="L372" s="1140"/>
    </row>
    <row r="373" spans="1:12" x14ac:dyDescent="0.35">
      <c r="A373" s="1019"/>
      <c r="B373" s="1019"/>
      <c r="C373" s="1019"/>
      <c r="D373" s="1019"/>
      <c r="E373" s="1019"/>
      <c r="F373" s="1019"/>
      <c r="G373" s="1019"/>
      <c r="H373" s="1019"/>
      <c r="I373" s="1019"/>
      <c r="J373" s="1019"/>
      <c r="K373" s="1019"/>
      <c r="L373" s="1140"/>
    </row>
    <row r="374" spans="1:12" x14ac:dyDescent="0.35">
      <c r="A374" s="1019"/>
      <c r="B374" s="1019"/>
      <c r="C374" s="1019"/>
      <c r="D374" s="1019"/>
      <c r="E374" s="1019"/>
      <c r="F374" s="1019"/>
      <c r="G374" s="1019"/>
      <c r="H374" s="1019"/>
      <c r="I374" s="1019"/>
      <c r="J374" s="1019"/>
      <c r="K374" s="1019"/>
      <c r="L374" s="1140"/>
    </row>
    <row r="375" spans="1:12" x14ac:dyDescent="0.35">
      <c r="A375" s="1019"/>
      <c r="B375" s="1019"/>
      <c r="C375" s="1019"/>
      <c r="D375" s="1019"/>
      <c r="E375" s="1019"/>
      <c r="F375" s="1019"/>
      <c r="G375" s="1019"/>
      <c r="H375" s="1019"/>
      <c r="I375" s="1019"/>
      <c r="J375" s="1019"/>
      <c r="K375" s="1019"/>
      <c r="L375" s="1140"/>
    </row>
    <row r="376" spans="1:12" x14ac:dyDescent="0.35">
      <c r="A376" s="1019"/>
      <c r="B376" s="1019"/>
      <c r="C376" s="1019"/>
      <c r="D376" s="1019"/>
      <c r="E376" s="1019"/>
      <c r="F376" s="1019"/>
      <c r="G376" s="1019"/>
      <c r="H376" s="1019"/>
      <c r="I376" s="1019"/>
      <c r="J376" s="1019"/>
      <c r="K376" s="1019"/>
      <c r="L376" s="1140"/>
    </row>
    <row r="377" spans="1:12" x14ac:dyDescent="0.35">
      <c r="A377" s="1019"/>
      <c r="B377" s="1019"/>
      <c r="C377" s="1019"/>
      <c r="D377" s="1019"/>
      <c r="E377" s="1019"/>
      <c r="F377" s="1019"/>
      <c r="G377" s="1019"/>
      <c r="H377" s="1019"/>
      <c r="I377" s="1019"/>
      <c r="J377" s="1019"/>
      <c r="K377" s="1019"/>
      <c r="L377" s="1140"/>
    </row>
    <row r="378" spans="1:12" x14ac:dyDescent="0.35">
      <c r="A378" s="1019"/>
      <c r="B378" s="1019"/>
      <c r="C378" s="1019"/>
      <c r="D378" s="1019"/>
      <c r="E378" s="1019"/>
      <c r="F378" s="1019"/>
      <c r="G378" s="1019"/>
      <c r="H378" s="1019"/>
      <c r="I378" s="1019"/>
      <c r="J378" s="1019"/>
      <c r="K378" s="1019"/>
      <c r="L378" s="1140"/>
    </row>
    <row r="379" spans="1:12" x14ac:dyDescent="0.35">
      <c r="A379" s="1019"/>
      <c r="B379" s="1019"/>
      <c r="C379" s="1019"/>
      <c r="D379" s="1019"/>
      <c r="E379" s="1019"/>
      <c r="F379" s="1019"/>
      <c r="G379" s="1019"/>
      <c r="H379" s="1019"/>
      <c r="I379" s="1019"/>
      <c r="J379" s="1019"/>
      <c r="K379" s="1019"/>
      <c r="L379" s="1140"/>
    </row>
    <row r="380" spans="1:12" x14ac:dyDescent="0.35">
      <c r="A380" s="1019"/>
      <c r="B380" s="1019"/>
      <c r="C380" s="1019"/>
      <c r="D380" s="1019"/>
      <c r="E380" s="1019"/>
      <c r="F380" s="1019"/>
      <c r="G380" s="1019"/>
      <c r="H380" s="1019"/>
      <c r="I380" s="1019"/>
      <c r="J380" s="1019"/>
      <c r="K380" s="1019"/>
      <c r="L380" s="1140"/>
    </row>
    <row r="381" spans="1:12" x14ac:dyDescent="0.35">
      <c r="A381" s="1019"/>
      <c r="B381" s="1019"/>
      <c r="C381" s="1019"/>
      <c r="D381" s="1019"/>
      <c r="E381" s="1019"/>
      <c r="F381" s="1019"/>
      <c r="G381" s="1019"/>
      <c r="H381" s="1019"/>
      <c r="I381" s="1019"/>
      <c r="J381" s="1019"/>
      <c r="K381" s="1019"/>
      <c r="L381" s="1140"/>
    </row>
    <row r="382" spans="1:12" x14ac:dyDescent="0.35">
      <c r="A382" s="1019"/>
      <c r="B382" s="1019"/>
      <c r="C382" s="1019"/>
      <c r="D382" s="1019"/>
      <c r="E382" s="1019"/>
      <c r="F382" s="1019"/>
      <c r="G382" s="1019"/>
      <c r="H382" s="1019"/>
      <c r="I382" s="1019"/>
      <c r="J382" s="1019"/>
      <c r="K382" s="1019"/>
      <c r="L382" s="1140"/>
    </row>
    <row r="383" spans="1:12" x14ac:dyDescent="0.35">
      <c r="A383" s="1019"/>
      <c r="B383" s="1019"/>
      <c r="C383" s="1019"/>
      <c r="D383" s="1019"/>
      <c r="E383" s="1019"/>
      <c r="F383" s="1019"/>
      <c r="G383" s="1019"/>
      <c r="H383" s="1019"/>
      <c r="I383" s="1019"/>
      <c r="J383" s="1019"/>
      <c r="K383" s="1019"/>
      <c r="L383" s="1140"/>
    </row>
    <row r="384" spans="1:12" x14ac:dyDescent="0.35">
      <c r="A384" s="1019"/>
      <c r="B384" s="1019"/>
      <c r="C384" s="1019"/>
      <c r="D384" s="1019"/>
      <c r="E384" s="1019"/>
      <c r="F384" s="1019"/>
      <c r="G384" s="1019"/>
      <c r="H384" s="1019"/>
      <c r="I384" s="1019"/>
      <c r="J384" s="1019"/>
      <c r="K384" s="1019"/>
      <c r="L384" s="1140"/>
    </row>
    <row r="385" spans="1:12" x14ac:dyDescent="0.35">
      <c r="A385" s="1019"/>
      <c r="B385" s="1019"/>
      <c r="C385" s="1019"/>
      <c r="D385" s="1019"/>
      <c r="E385" s="1019"/>
      <c r="F385" s="1019"/>
      <c r="G385" s="1019"/>
      <c r="H385" s="1019"/>
      <c r="I385" s="1019"/>
      <c r="J385" s="1019"/>
      <c r="K385" s="1019"/>
      <c r="L385" s="1140"/>
    </row>
    <row r="386" spans="1:12" x14ac:dyDescent="0.35">
      <c r="A386" s="1019"/>
      <c r="B386" s="1019"/>
      <c r="C386" s="1019"/>
      <c r="D386" s="1019"/>
      <c r="E386" s="1019"/>
      <c r="F386" s="1019"/>
      <c r="G386" s="1019"/>
      <c r="H386" s="1019"/>
      <c r="I386" s="1019"/>
      <c r="J386" s="1019"/>
      <c r="K386" s="1019"/>
      <c r="L386" s="1140"/>
    </row>
    <row r="387" spans="1:12" x14ac:dyDescent="0.35">
      <c r="A387" s="1019"/>
      <c r="B387" s="1019"/>
      <c r="C387" s="1019"/>
      <c r="D387" s="1019"/>
      <c r="E387" s="1019"/>
      <c r="F387" s="1019"/>
      <c r="G387" s="1019"/>
      <c r="H387" s="1019"/>
      <c r="I387" s="1019"/>
      <c r="J387" s="1019"/>
      <c r="K387" s="1019"/>
      <c r="L387" s="1140"/>
    </row>
    <row r="388" spans="1:12" x14ac:dyDescent="0.35">
      <c r="A388" s="1019"/>
      <c r="B388" s="1019"/>
      <c r="C388" s="1019"/>
      <c r="D388" s="1019"/>
      <c r="E388" s="1019"/>
      <c r="F388" s="1019"/>
      <c r="G388" s="1019"/>
      <c r="H388" s="1019"/>
      <c r="I388" s="1019"/>
      <c r="J388" s="1019"/>
      <c r="K388" s="1019"/>
      <c r="L388" s="1140"/>
    </row>
    <row r="389" spans="1:12" x14ac:dyDescent="0.35">
      <c r="A389" s="1019"/>
      <c r="B389" s="1019"/>
      <c r="C389" s="1019"/>
      <c r="D389" s="1019"/>
      <c r="E389" s="1019"/>
      <c r="F389" s="1019"/>
      <c r="G389" s="1019"/>
      <c r="H389" s="1019"/>
      <c r="I389" s="1019"/>
      <c r="J389" s="1019"/>
      <c r="K389" s="1019"/>
      <c r="L389" s="1140"/>
    </row>
    <row r="390" spans="1:12" x14ac:dyDescent="0.35">
      <c r="A390" s="1019"/>
      <c r="B390" s="1019"/>
      <c r="C390" s="1019"/>
      <c r="D390" s="1019"/>
      <c r="E390" s="1019"/>
      <c r="F390" s="1019"/>
      <c r="G390" s="1019"/>
      <c r="H390" s="1019"/>
      <c r="I390" s="1019"/>
      <c r="J390" s="1019"/>
      <c r="K390" s="1019"/>
      <c r="L390" s="1140"/>
    </row>
    <row r="391" spans="1:12" x14ac:dyDescent="0.35">
      <c r="A391" s="1019"/>
      <c r="B391" s="1019"/>
      <c r="C391" s="1019"/>
      <c r="D391" s="1019"/>
      <c r="E391" s="1019"/>
      <c r="F391" s="1019"/>
      <c r="G391" s="1019"/>
      <c r="H391" s="1019"/>
      <c r="I391" s="1019"/>
      <c r="J391" s="1019"/>
      <c r="K391" s="1019"/>
      <c r="L391" s="1140"/>
    </row>
    <row r="392" spans="1:12" x14ac:dyDescent="0.35">
      <c r="A392" s="1019"/>
      <c r="B392" s="1019"/>
      <c r="C392" s="1019"/>
      <c r="D392" s="1019"/>
      <c r="E392" s="1019"/>
      <c r="F392" s="1019"/>
      <c r="G392" s="1019"/>
      <c r="H392" s="1019"/>
      <c r="I392" s="1019"/>
      <c r="J392" s="1019"/>
      <c r="K392" s="1019"/>
      <c r="L392" s="1140"/>
    </row>
    <row r="393" spans="1:12" x14ac:dyDescent="0.35">
      <c r="A393" s="1019"/>
      <c r="B393" s="1019"/>
      <c r="C393" s="1019"/>
      <c r="D393" s="1019"/>
      <c r="E393" s="1019"/>
      <c r="F393" s="1019"/>
      <c r="G393" s="1019"/>
      <c r="H393" s="1019"/>
      <c r="I393" s="1019"/>
      <c r="J393" s="1019"/>
      <c r="K393" s="1019"/>
      <c r="L393" s="1140"/>
    </row>
    <row r="394" spans="1:12" x14ac:dyDescent="0.35">
      <c r="A394" s="1019"/>
      <c r="B394" s="1019"/>
      <c r="C394" s="1019"/>
      <c r="D394" s="1019"/>
      <c r="E394" s="1019"/>
      <c r="F394" s="1019"/>
      <c r="G394" s="1019"/>
      <c r="H394" s="1019"/>
      <c r="I394" s="1019"/>
      <c r="J394" s="1019"/>
      <c r="K394" s="1019"/>
      <c r="L394" s="1140"/>
    </row>
    <row r="395" spans="1:12" x14ac:dyDescent="0.35">
      <c r="A395" s="1019"/>
      <c r="B395" s="1019"/>
      <c r="C395" s="1019"/>
      <c r="D395" s="1019"/>
      <c r="E395" s="1019"/>
      <c r="F395" s="1019"/>
      <c r="G395" s="1019"/>
      <c r="H395" s="1019"/>
      <c r="I395" s="1019"/>
      <c r="J395" s="1019"/>
      <c r="K395" s="1019"/>
      <c r="L395" s="1140"/>
    </row>
    <row r="396" spans="1:12" x14ac:dyDescent="0.35">
      <c r="A396" s="1019"/>
      <c r="B396" s="1019"/>
      <c r="C396" s="1019"/>
      <c r="D396" s="1019"/>
      <c r="E396" s="1019"/>
      <c r="F396" s="1019"/>
      <c r="G396" s="1019"/>
      <c r="H396" s="1019"/>
      <c r="I396" s="1019"/>
      <c r="J396" s="1019"/>
      <c r="K396" s="1019"/>
      <c r="L396" s="1140"/>
    </row>
    <row r="397" spans="1:12" x14ac:dyDescent="0.35">
      <c r="A397" s="1019"/>
      <c r="B397" s="1019"/>
      <c r="C397" s="1019"/>
      <c r="D397" s="1019"/>
      <c r="E397" s="1019"/>
      <c r="F397" s="1019"/>
      <c r="G397" s="1019"/>
      <c r="H397" s="1019"/>
      <c r="I397" s="1019"/>
      <c r="J397" s="1019"/>
      <c r="K397" s="1019"/>
      <c r="L397" s="1140"/>
    </row>
    <row r="398" spans="1:12" x14ac:dyDescent="0.35">
      <c r="A398" s="1019"/>
      <c r="B398" s="1019"/>
      <c r="C398" s="1019"/>
      <c r="D398" s="1019"/>
      <c r="E398" s="1019"/>
      <c r="F398" s="1019"/>
      <c r="G398" s="1019"/>
      <c r="H398" s="1019"/>
      <c r="I398" s="1019"/>
      <c r="J398" s="1019"/>
      <c r="K398" s="1019"/>
      <c r="L398" s="1140"/>
    </row>
    <row r="399" spans="1:12" x14ac:dyDescent="0.35">
      <c r="A399" s="1019"/>
      <c r="B399" s="1019"/>
      <c r="C399" s="1019"/>
      <c r="D399" s="1019"/>
      <c r="E399" s="1019"/>
      <c r="F399" s="1019"/>
      <c r="G399" s="1019"/>
      <c r="H399" s="1019"/>
      <c r="I399" s="1019"/>
      <c r="J399" s="1019"/>
      <c r="K399" s="1019"/>
      <c r="L399" s="1140"/>
    </row>
    <row r="400" spans="1:12" x14ac:dyDescent="0.35">
      <c r="A400" s="1019"/>
      <c r="B400" s="1019"/>
      <c r="C400" s="1019"/>
      <c r="D400" s="1019"/>
      <c r="E400" s="1019"/>
      <c r="F400" s="1019"/>
      <c r="G400" s="1019"/>
      <c r="H400" s="1019"/>
      <c r="I400" s="1019"/>
      <c r="J400" s="1019"/>
      <c r="K400" s="1019"/>
      <c r="L400" s="1140"/>
    </row>
    <row r="401" spans="1:12" x14ac:dyDescent="0.35">
      <c r="A401" s="1019"/>
      <c r="B401" s="1019"/>
      <c r="C401" s="1019"/>
      <c r="D401" s="1019"/>
      <c r="E401" s="1019"/>
      <c r="F401" s="1019"/>
      <c r="G401" s="1019"/>
      <c r="H401" s="1019"/>
      <c r="I401" s="1019"/>
      <c r="J401" s="1019"/>
      <c r="K401" s="1019"/>
      <c r="L401" s="1140"/>
    </row>
    <row r="402" spans="1:12" x14ac:dyDescent="0.35">
      <c r="A402" s="1019"/>
      <c r="B402" s="1019"/>
      <c r="C402" s="1019"/>
      <c r="D402" s="1019"/>
      <c r="E402" s="1019"/>
      <c r="F402" s="1019"/>
      <c r="G402" s="1019"/>
      <c r="H402" s="1019"/>
      <c r="I402" s="1019"/>
      <c r="J402" s="1019"/>
      <c r="K402" s="1019"/>
      <c r="L402" s="1140"/>
    </row>
    <row r="403" spans="1:12" x14ac:dyDescent="0.35">
      <c r="A403" s="1019"/>
      <c r="B403" s="1019"/>
      <c r="C403" s="1019"/>
      <c r="D403" s="1019"/>
      <c r="E403" s="1019"/>
      <c r="F403" s="1019"/>
      <c r="G403" s="1019"/>
      <c r="H403" s="1019"/>
      <c r="I403" s="1019"/>
      <c r="J403" s="1019"/>
      <c r="K403" s="1019"/>
      <c r="L403" s="1140"/>
    </row>
    <row r="404" spans="1:12" x14ac:dyDescent="0.35">
      <c r="A404" s="1019"/>
      <c r="B404" s="1019"/>
      <c r="C404" s="1019"/>
      <c r="D404" s="1019"/>
      <c r="E404" s="1019"/>
      <c r="F404" s="1019"/>
      <c r="G404" s="1019"/>
      <c r="H404" s="1019"/>
      <c r="I404" s="1019"/>
      <c r="J404" s="1019"/>
      <c r="K404" s="1019"/>
      <c r="L404" s="1140"/>
    </row>
    <row r="405" spans="1:12" x14ac:dyDescent="0.35">
      <c r="A405" s="1019"/>
      <c r="B405" s="1019"/>
      <c r="C405" s="1019"/>
      <c r="D405" s="1019"/>
      <c r="E405" s="1019"/>
      <c r="F405" s="1019"/>
      <c r="G405" s="1019"/>
      <c r="H405" s="1019"/>
      <c r="I405" s="1019"/>
      <c r="J405" s="1019"/>
      <c r="K405" s="1019"/>
      <c r="L405" s="1140"/>
    </row>
    <row r="406" spans="1:12" x14ac:dyDescent="0.35">
      <c r="A406" s="1019"/>
      <c r="B406" s="1019"/>
      <c r="C406" s="1019"/>
      <c r="D406" s="1019"/>
      <c r="E406" s="1019"/>
      <c r="F406" s="1019"/>
      <c r="G406" s="1019"/>
      <c r="H406" s="1019"/>
      <c r="I406" s="1019"/>
      <c r="J406" s="1019"/>
      <c r="K406" s="1019"/>
      <c r="L406" s="1140"/>
    </row>
    <row r="407" spans="1:12" x14ac:dyDescent="0.35">
      <c r="A407" s="1019"/>
      <c r="B407" s="1019"/>
      <c r="C407" s="1019"/>
      <c r="D407" s="1019"/>
      <c r="E407" s="1019"/>
      <c r="F407" s="1019"/>
      <c r="G407" s="1019"/>
      <c r="H407" s="1019"/>
      <c r="I407" s="1019"/>
      <c r="J407" s="1019"/>
      <c r="K407" s="1019"/>
      <c r="L407" s="1140"/>
    </row>
    <row r="408" spans="1:12" x14ac:dyDescent="0.35">
      <c r="A408" s="1019"/>
      <c r="B408" s="1019"/>
      <c r="C408" s="1019"/>
      <c r="D408" s="1019"/>
      <c r="E408" s="1019"/>
      <c r="F408" s="1019"/>
      <c r="G408" s="1019"/>
      <c r="H408" s="1019"/>
      <c r="I408" s="1019"/>
      <c r="J408" s="1019"/>
      <c r="K408" s="1019"/>
      <c r="L408" s="1140"/>
    </row>
    <row r="409" spans="1:12" x14ac:dyDescent="0.35">
      <c r="A409" s="1019"/>
      <c r="B409" s="1019"/>
      <c r="C409" s="1019"/>
      <c r="D409" s="1019"/>
      <c r="E409" s="1019"/>
      <c r="F409" s="1019"/>
      <c r="G409" s="1019"/>
      <c r="H409" s="1019"/>
      <c r="I409" s="1019"/>
      <c r="J409" s="1019"/>
      <c r="K409" s="1019"/>
      <c r="L409" s="1140"/>
    </row>
    <row r="410" spans="1:12" x14ac:dyDescent="0.35">
      <c r="A410" s="1019"/>
      <c r="B410" s="1019"/>
      <c r="C410" s="1019"/>
      <c r="D410" s="1019"/>
      <c r="E410" s="1019"/>
      <c r="F410" s="1019"/>
      <c r="G410" s="1019"/>
      <c r="H410" s="1019"/>
      <c r="I410" s="1019"/>
      <c r="J410" s="1019"/>
      <c r="K410" s="1019"/>
      <c r="L410" s="1140"/>
    </row>
    <row r="411" spans="1:12" x14ac:dyDescent="0.35">
      <c r="A411" s="1019"/>
      <c r="B411" s="1019"/>
      <c r="C411" s="1019"/>
      <c r="D411" s="1019"/>
      <c r="E411" s="1019"/>
      <c r="F411" s="1019"/>
      <c r="G411" s="1019"/>
      <c r="H411" s="1019"/>
      <c r="I411" s="1019"/>
      <c r="J411" s="1019"/>
      <c r="K411" s="1019"/>
      <c r="L411" s="1140"/>
    </row>
    <row r="412" spans="1:12" x14ac:dyDescent="0.35">
      <c r="A412" s="1019"/>
      <c r="B412" s="1019"/>
      <c r="C412" s="1019"/>
      <c r="D412" s="1019"/>
      <c r="E412" s="1019"/>
      <c r="F412" s="1019"/>
      <c r="G412" s="1019"/>
      <c r="H412" s="1019"/>
      <c r="I412" s="1019"/>
      <c r="J412" s="1019"/>
      <c r="K412" s="1019"/>
      <c r="L412" s="1140"/>
    </row>
    <row r="413" spans="1:12" x14ac:dyDescent="0.35">
      <c r="A413" s="1019"/>
      <c r="B413" s="1019"/>
      <c r="C413" s="1019"/>
      <c r="D413" s="1019"/>
      <c r="E413" s="1019"/>
      <c r="F413" s="1019"/>
      <c r="G413" s="1019"/>
      <c r="H413" s="1019"/>
      <c r="I413" s="1019"/>
      <c r="J413" s="1019"/>
      <c r="K413" s="1019"/>
      <c r="L413" s="1140"/>
    </row>
    <row r="414" spans="1:12" x14ac:dyDescent="0.35">
      <c r="A414" s="1019"/>
      <c r="B414" s="1019"/>
      <c r="C414" s="1019"/>
      <c r="D414" s="1019"/>
      <c r="E414" s="1019"/>
      <c r="F414" s="1019"/>
      <c r="G414" s="1019"/>
      <c r="H414" s="1019"/>
      <c r="I414" s="1019"/>
      <c r="J414" s="1019"/>
      <c r="K414" s="1019"/>
      <c r="L414" s="1140"/>
    </row>
    <row r="415" spans="1:12" x14ac:dyDescent="0.35">
      <c r="A415" s="1019"/>
      <c r="B415" s="1019"/>
      <c r="C415" s="1019"/>
      <c r="D415" s="1019"/>
      <c r="E415" s="1019"/>
      <c r="F415" s="1019"/>
      <c r="G415" s="1019"/>
      <c r="H415" s="1019"/>
      <c r="I415" s="1019"/>
      <c r="J415" s="1019"/>
      <c r="K415" s="1019"/>
      <c r="L415" s="1140"/>
    </row>
    <row r="416" spans="1:12" x14ac:dyDescent="0.35">
      <c r="A416" s="1019"/>
      <c r="B416" s="1019"/>
      <c r="C416" s="1019"/>
      <c r="D416" s="1019"/>
      <c r="E416" s="1019"/>
      <c r="F416" s="1019"/>
      <c r="G416" s="1019"/>
      <c r="H416" s="1019"/>
      <c r="I416" s="1019"/>
      <c r="J416" s="1019"/>
      <c r="K416" s="1019"/>
      <c r="L416" s="1140"/>
    </row>
    <row r="417" spans="1:12" x14ac:dyDescent="0.35">
      <c r="A417" s="1019"/>
      <c r="B417" s="1019"/>
      <c r="C417" s="1019"/>
      <c r="D417" s="1019"/>
      <c r="E417" s="1019"/>
      <c r="F417" s="1019"/>
      <c r="G417" s="1019"/>
      <c r="H417" s="1019"/>
      <c r="I417" s="1019"/>
      <c r="J417" s="1019"/>
      <c r="K417" s="1019"/>
      <c r="L417" s="1140"/>
    </row>
    <row r="418" spans="1:12" x14ac:dyDescent="0.35">
      <c r="A418" s="1019"/>
      <c r="B418" s="1019"/>
      <c r="C418" s="1019"/>
      <c r="D418" s="1019"/>
      <c r="E418" s="1019"/>
      <c r="F418" s="1019"/>
      <c r="G418" s="1019"/>
      <c r="H418" s="1019"/>
      <c r="I418" s="1019"/>
      <c r="J418" s="1019"/>
      <c r="K418" s="1019"/>
      <c r="L418" s="1140"/>
    </row>
    <row r="419" spans="1:12" x14ac:dyDescent="0.35">
      <c r="A419" s="1019"/>
      <c r="B419" s="1019"/>
      <c r="C419" s="1019"/>
      <c r="D419" s="1019"/>
      <c r="E419" s="1019"/>
      <c r="F419" s="1019"/>
      <c r="G419" s="1019"/>
      <c r="H419" s="1019"/>
      <c r="I419" s="1019"/>
      <c r="J419" s="1019"/>
      <c r="K419" s="1019"/>
      <c r="L419" s="1140"/>
    </row>
    <row r="420" spans="1:12" x14ac:dyDescent="0.35">
      <c r="A420" s="1019"/>
      <c r="B420" s="1019"/>
      <c r="C420" s="1019"/>
      <c r="D420" s="1019"/>
      <c r="E420" s="1019"/>
      <c r="F420" s="1019"/>
      <c r="G420" s="1019"/>
      <c r="H420" s="1019"/>
      <c r="I420" s="1019"/>
      <c r="J420" s="1019"/>
      <c r="K420" s="1019"/>
      <c r="L420" s="1140"/>
    </row>
    <row r="421" spans="1:12" x14ac:dyDescent="0.35">
      <c r="A421" s="1019"/>
      <c r="B421" s="1019"/>
      <c r="C421" s="1019"/>
      <c r="D421" s="1019"/>
      <c r="E421" s="1019"/>
      <c r="F421" s="1019"/>
      <c r="G421" s="1019"/>
      <c r="H421" s="1019"/>
      <c r="I421" s="1019"/>
      <c r="J421" s="1019"/>
      <c r="K421" s="1019"/>
      <c r="L421" s="1140"/>
    </row>
    <row r="422" spans="1:12" x14ac:dyDescent="0.35">
      <c r="A422" s="1019"/>
      <c r="B422" s="1019"/>
      <c r="C422" s="1019"/>
      <c r="D422" s="1019"/>
      <c r="E422" s="1019"/>
      <c r="F422" s="1019"/>
      <c r="G422" s="1019"/>
      <c r="H422" s="1019"/>
      <c r="I422" s="1019"/>
      <c r="J422" s="1019"/>
      <c r="K422" s="1019"/>
      <c r="L422" s="1140"/>
    </row>
    <row r="423" spans="1:12" x14ac:dyDescent="0.35">
      <c r="A423" s="1019"/>
      <c r="B423" s="1019"/>
      <c r="C423" s="1019"/>
      <c r="D423" s="1019"/>
      <c r="E423" s="1019"/>
      <c r="F423" s="1019"/>
      <c r="G423" s="1019"/>
      <c r="H423" s="1019"/>
      <c r="I423" s="1019"/>
      <c r="J423" s="1019"/>
      <c r="K423" s="1019"/>
      <c r="L423" s="1140"/>
    </row>
    <row r="424" spans="1:12" x14ac:dyDescent="0.35">
      <c r="A424" s="1019"/>
      <c r="B424" s="1019"/>
      <c r="C424" s="1019"/>
      <c r="D424" s="1019"/>
      <c r="E424" s="1019"/>
      <c r="F424" s="1019"/>
      <c r="G424" s="1019"/>
      <c r="H424" s="1019"/>
      <c r="I424" s="1019"/>
      <c r="J424" s="1019"/>
      <c r="K424" s="1019"/>
      <c r="L424" s="1140"/>
    </row>
    <row r="425" spans="1:12" x14ac:dyDescent="0.35">
      <c r="A425" s="1019"/>
      <c r="B425" s="1019"/>
      <c r="C425" s="1019"/>
      <c r="D425" s="1019"/>
      <c r="E425" s="1019"/>
      <c r="F425" s="1019"/>
      <c r="G425" s="1019"/>
      <c r="H425" s="1019"/>
      <c r="I425" s="1019"/>
      <c r="J425" s="1019"/>
      <c r="K425" s="1019"/>
      <c r="L425" s="1140"/>
    </row>
    <row r="426" spans="1:12" x14ac:dyDescent="0.35">
      <c r="A426" s="1019"/>
      <c r="B426" s="1019"/>
      <c r="C426" s="1019"/>
      <c r="D426" s="1019"/>
      <c r="E426" s="1019"/>
      <c r="F426" s="1019"/>
      <c r="G426" s="1019"/>
      <c r="H426" s="1019"/>
      <c r="I426" s="1019"/>
      <c r="J426" s="1019"/>
      <c r="K426" s="1019"/>
      <c r="L426" s="1140"/>
    </row>
    <row r="427" spans="1:12" x14ac:dyDescent="0.35">
      <c r="A427" s="1019"/>
      <c r="B427" s="1019"/>
      <c r="C427" s="1019"/>
      <c r="D427" s="1019"/>
      <c r="E427" s="1019"/>
      <c r="F427" s="1019"/>
      <c r="G427" s="1019"/>
      <c r="H427" s="1019"/>
      <c r="I427" s="1019"/>
      <c r="J427" s="1019"/>
      <c r="K427" s="1019"/>
      <c r="L427" s="1140"/>
    </row>
    <row r="428" spans="1:12" x14ac:dyDescent="0.35">
      <c r="A428" s="1019"/>
      <c r="B428" s="1019"/>
      <c r="C428" s="1019"/>
      <c r="D428" s="1019"/>
      <c r="E428" s="1019"/>
      <c r="F428" s="1019"/>
      <c r="G428" s="1019"/>
      <c r="H428" s="1019"/>
      <c r="I428" s="1019"/>
      <c r="J428" s="1019"/>
      <c r="K428" s="1019"/>
      <c r="L428" s="1140"/>
    </row>
    <row r="429" spans="1:12" x14ac:dyDescent="0.35">
      <c r="A429" s="1019"/>
      <c r="B429" s="1019"/>
      <c r="C429" s="1019"/>
      <c r="D429" s="1019"/>
      <c r="E429" s="1019"/>
      <c r="F429" s="1019"/>
      <c r="G429" s="1019"/>
      <c r="H429" s="1019"/>
      <c r="I429" s="1019"/>
      <c r="J429" s="1019"/>
      <c r="K429" s="1019"/>
      <c r="L429" s="1140"/>
    </row>
    <row r="430" spans="1:12" x14ac:dyDescent="0.35">
      <c r="A430" s="1019"/>
      <c r="B430" s="1019"/>
      <c r="C430" s="1019"/>
      <c r="D430" s="1019"/>
      <c r="E430" s="1019"/>
      <c r="F430" s="1019"/>
      <c r="G430" s="1019"/>
      <c r="H430" s="1019"/>
      <c r="I430" s="1019"/>
      <c r="J430" s="1019"/>
      <c r="K430" s="1019"/>
      <c r="L430" s="1140"/>
    </row>
    <row r="431" spans="1:12" x14ac:dyDescent="0.35">
      <c r="A431" s="1019"/>
      <c r="B431" s="1019"/>
      <c r="C431" s="1019"/>
      <c r="D431" s="1019"/>
      <c r="E431" s="1019"/>
      <c r="F431" s="1019"/>
      <c r="G431" s="1019"/>
      <c r="H431" s="1019"/>
      <c r="I431" s="1019"/>
      <c r="J431" s="1019"/>
      <c r="K431" s="1019"/>
      <c r="L431" s="1140"/>
    </row>
    <row r="432" spans="1:12" x14ac:dyDescent="0.35">
      <c r="A432" s="1019"/>
      <c r="B432" s="1019"/>
      <c r="C432" s="1019"/>
      <c r="D432" s="1019"/>
      <c r="E432" s="1019"/>
      <c r="F432" s="1019"/>
      <c r="G432" s="1019"/>
      <c r="H432" s="1019"/>
      <c r="I432" s="1019"/>
      <c r="J432" s="1019"/>
      <c r="K432" s="1019"/>
      <c r="L432" s="1140"/>
    </row>
    <row r="433" spans="1:12" x14ac:dyDescent="0.35">
      <c r="A433" s="1019"/>
      <c r="B433" s="1019"/>
      <c r="C433" s="1019"/>
      <c r="D433" s="1019"/>
      <c r="E433" s="1019"/>
      <c r="F433" s="1019"/>
      <c r="G433" s="1019"/>
      <c r="H433" s="1019"/>
      <c r="I433" s="1019"/>
      <c r="J433" s="1019"/>
      <c r="K433" s="1019"/>
      <c r="L433" s="1140"/>
    </row>
    <row r="434" spans="1:12" x14ac:dyDescent="0.35">
      <c r="A434" s="1019"/>
      <c r="B434" s="1019"/>
      <c r="C434" s="1019"/>
      <c r="D434" s="1019"/>
      <c r="E434" s="1019"/>
      <c r="F434" s="1019"/>
      <c r="G434" s="1019"/>
      <c r="H434" s="1019"/>
      <c r="I434" s="1019"/>
      <c r="J434" s="1019"/>
      <c r="K434" s="1019"/>
      <c r="L434" s="1140"/>
    </row>
    <row r="435" spans="1:12" x14ac:dyDescent="0.35">
      <c r="A435" s="1019"/>
      <c r="B435" s="1019"/>
      <c r="C435" s="1019"/>
      <c r="D435" s="1019"/>
      <c r="E435" s="1019"/>
      <c r="F435" s="1019"/>
      <c r="G435" s="1019"/>
      <c r="H435" s="1019"/>
      <c r="I435" s="1019"/>
      <c r="J435" s="1019"/>
      <c r="K435" s="1019"/>
      <c r="L435" s="1140"/>
    </row>
    <row r="436" spans="1:12" x14ac:dyDescent="0.35">
      <c r="A436" s="1019"/>
      <c r="B436" s="1019"/>
      <c r="C436" s="1019"/>
      <c r="D436" s="1019"/>
      <c r="E436" s="1019"/>
      <c r="F436" s="1019"/>
      <c r="G436" s="1019"/>
      <c r="H436" s="1019"/>
      <c r="I436" s="1019"/>
      <c r="J436" s="1019"/>
      <c r="K436" s="1019"/>
      <c r="L436" s="1140"/>
    </row>
    <row r="437" spans="1:12" x14ac:dyDescent="0.35">
      <c r="A437" s="1019"/>
      <c r="B437" s="1019"/>
      <c r="C437" s="1019"/>
      <c r="D437" s="1019"/>
      <c r="E437" s="1019"/>
      <c r="F437" s="1019"/>
      <c r="G437" s="1019"/>
      <c r="H437" s="1019"/>
      <c r="I437" s="1019"/>
      <c r="J437" s="1019"/>
      <c r="K437" s="1019"/>
      <c r="L437" s="1140"/>
    </row>
    <row r="438" spans="1:12" x14ac:dyDescent="0.35">
      <c r="A438" s="1019"/>
      <c r="B438" s="1019"/>
      <c r="C438" s="1019"/>
      <c r="D438" s="1019"/>
      <c r="E438" s="1019"/>
      <c r="F438" s="1019"/>
      <c r="G438" s="1019"/>
      <c r="H438" s="1019"/>
      <c r="I438" s="1019"/>
      <c r="J438" s="1019"/>
      <c r="K438" s="1019"/>
      <c r="L438" s="1140"/>
    </row>
    <row r="439" spans="1:12" x14ac:dyDescent="0.35">
      <c r="A439" s="1019"/>
      <c r="B439" s="1019"/>
      <c r="C439" s="1019"/>
      <c r="D439" s="1019"/>
      <c r="E439" s="1019"/>
      <c r="F439" s="1019"/>
      <c r="G439" s="1019"/>
      <c r="H439" s="1019"/>
      <c r="I439" s="1019"/>
      <c r="J439" s="1019"/>
      <c r="K439" s="1019"/>
      <c r="L439" s="1140"/>
    </row>
    <row r="440" spans="1:12" x14ac:dyDescent="0.35">
      <c r="A440" s="1019"/>
      <c r="B440" s="1019"/>
      <c r="C440" s="1019"/>
      <c r="D440" s="1019"/>
      <c r="E440" s="1019"/>
      <c r="F440" s="1019"/>
      <c r="G440" s="1019"/>
      <c r="H440" s="1019"/>
      <c r="I440" s="1019"/>
      <c r="J440" s="1019"/>
      <c r="K440" s="1019"/>
      <c r="L440" s="1140"/>
    </row>
    <row r="441" spans="1:12" x14ac:dyDescent="0.35">
      <c r="A441" s="1019"/>
      <c r="B441" s="1019"/>
      <c r="C441" s="1019"/>
      <c r="D441" s="1019"/>
      <c r="E441" s="1019"/>
      <c r="F441" s="1019"/>
      <c r="G441" s="1019"/>
      <c r="H441" s="1019"/>
      <c r="I441" s="1019"/>
      <c r="J441" s="1019"/>
      <c r="K441" s="1019"/>
      <c r="L441" s="1140"/>
    </row>
    <row r="442" spans="1:12" x14ac:dyDescent="0.35">
      <c r="A442" s="1019"/>
      <c r="B442" s="1019"/>
      <c r="C442" s="1019"/>
      <c r="D442" s="1019"/>
      <c r="E442" s="1019"/>
      <c r="F442" s="1019"/>
      <c r="G442" s="1019"/>
      <c r="H442" s="1019"/>
      <c r="I442" s="1019"/>
      <c r="J442" s="1019"/>
      <c r="K442" s="1019"/>
      <c r="L442" s="1140"/>
    </row>
    <row r="443" spans="1:12" x14ac:dyDescent="0.35">
      <c r="A443" s="1019"/>
      <c r="B443" s="1019"/>
      <c r="C443" s="1019"/>
      <c r="D443" s="1019"/>
      <c r="E443" s="1019"/>
      <c r="F443" s="1019"/>
      <c r="G443" s="1019"/>
      <c r="H443" s="1019"/>
      <c r="I443" s="1019"/>
      <c r="J443" s="1019"/>
      <c r="K443" s="1019"/>
      <c r="L443" s="1140"/>
    </row>
    <row r="444" spans="1:12" x14ac:dyDescent="0.35">
      <c r="A444" s="1019"/>
      <c r="B444" s="1019"/>
      <c r="C444" s="1019"/>
      <c r="D444" s="1019"/>
      <c r="E444" s="1019"/>
      <c r="F444" s="1019"/>
      <c r="G444" s="1019"/>
      <c r="H444" s="1019"/>
      <c r="I444" s="1019"/>
      <c r="J444" s="1019"/>
      <c r="K444" s="1019"/>
      <c r="L444" s="1140"/>
    </row>
    <row r="445" spans="1:12" x14ac:dyDescent="0.35">
      <c r="A445" s="1019"/>
      <c r="B445" s="1019"/>
      <c r="C445" s="1019"/>
      <c r="D445" s="1019"/>
      <c r="E445" s="1019"/>
      <c r="F445" s="1019"/>
      <c r="G445" s="1019"/>
      <c r="H445" s="1019"/>
      <c r="I445" s="1019"/>
      <c r="J445" s="1019"/>
      <c r="K445" s="1019"/>
      <c r="L445" s="1140"/>
    </row>
    <row r="446" spans="1:12" x14ac:dyDescent="0.35">
      <c r="A446" s="1019"/>
      <c r="B446" s="1019"/>
      <c r="C446" s="1019"/>
      <c r="D446" s="1019"/>
      <c r="E446" s="1019"/>
      <c r="F446" s="1019"/>
      <c r="G446" s="1019"/>
      <c r="H446" s="1019"/>
      <c r="I446" s="1019"/>
      <c r="J446" s="1019"/>
      <c r="K446" s="1019"/>
      <c r="L446" s="1140"/>
    </row>
    <row r="447" spans="1:12" x14ac:dyDescent="0.35">
      <c r="A447" s="1019"/>
      <c r="B447" s="1019"/>
      <c r="C447" s="1019"/>
      <c r="D447" s="1019"/>
      <c r="E447" s="1019"/>
      <c r="F447" s="1019"/>
      <c r="G447" s="1019"/>
      <c r="H447" s="1019"/>
      <c r="I447" s="1019"/>
      <c r="J447" s="1019"/>
      <c r="K447" s="1019"/>
      <c r="L447" s="1140"/>
    </row>
    <row r="448" spans="1:12" x14ac:dyDescent="0.35">
      <c r="A448" s="1019"/>
      <c r="B448" s="1019"/>
      <c r="C448" s="1019"/>
      <c r="D448" s="1019"/>
      <c r="E448" s="1019"/>
      <c r="F448" s="1019"/>
      <c r="G448" s="1019"/>
      <c r="H448" s="1019"/>
      <c r="I448" s="1019"/>
      <c r="J448" s="1019"/>
      <c r="K448" s="1019"/>
      <c r="L448" s="1140"/>
    </row>
    <row r="449" spans="1:12" x14ac:dyDescent="0.35">
      <c r="A449" s="1019"/>
      <c r="B449" s="1019"/>
      <c r="C449" s="1019"/>
      <c r="D449" s="1019"/>
      <c r="E449" s="1019"/>
      <c r="F449" s="1019"/>
      <c r="G449" s="1019"/>
      <c r="H449" s="1019"/>
      <c r="I449" s="1019"/>
      <c r="J449" s="1019"/>
      <c r="K449" s="1019"/>
      <c r="L449" s="1140"/>
    </row>
    <row r="450" spans="1:12" x14ac:dyDescent="0.35">
      <c r="A450" s="1019"/>
      <c r="B450" s="1019"/>
      <c r="C450" s="1019"/>
      <c r="D450" s="1019"/>
      <c r="E450" s="1019"/>
      <c r="F450" s="1019"/>
      <c r="G450" s="1019"/>
      <c r="H450" s="1019"/>
      <c r="I450" s="1019"/>
      <c r="J450" s="1019"/>
      <c r="K450" s="1019"/>
      <c r="L450" s="1140"/>
    </row>
    <row r="451" spans="1:12" x14ac:dyDescent="0.35">
      <c r="A451" s="1019"/>
      <c r="B451" s="1019"/>
      <c r="C451" s="1019"/>
      <c r="D451" s="1019"/>
      <c r="E451" s="1019"/>
      <c r="F451" s="1019"/>
      <c r="G451" s="1019"/>
      <c r="H451" s="1019"/>
      <c r="I451" s="1019"/>
      <c r="J451" s="1019"/>
      <c r="K451" s="1019"/>
      <c r="L451" s="1140"/>
    </row>
    <row r="452" spans="1:12" x14ac:dyDescent="0.35">
      <c r="A452" s="1019"/>
      <c r="B452" s="1019"/>
      <c r="C452" s="1019"/>
      <c r="D452" s="1019"/>
      <c r="E452" s="1019"/>
      <c r="F452" s="1019"/>
      <c r="G452" s="1019"/>
      <c r="H452" s="1019"/>
      <c r="I452" s="1019"/>
      <c r="J452" s="1019"/>
      <c r="K452" s="1019"/>
      <c r="L452" s="1140"/>
    </row>
    <row r="453" spans="1:12" x14ac:dyDescent="0.35">
      <c r="A453" s="1019"/>
      <c r="B453" s="1019"/>
      <c r="C453" s="1019"/>
      <c r="D453" s="1019"/>
      <c r="E453" s="1019"/>
      <c r="F453" s="1019"/>
      <c r="G453" s="1019"/>
      <c r="H453" s="1019"/>
      <c r="I453" s="1019"/>
      <c r="J453" s="1019"/>
      <c r="K453" s="1019"/>
      <c r="L453" s="1140"/>
    </row>
    <row r="454" spans="1:12" x14ac:dyDescent="0.35">
      <c r="A454" s="1019"/>
      <c r="B454" s="1019"/>
      <c r="C454" s="1019"/>
      <c r="D454" s="1019"/>
      <c r="E454" s="1019"/>
      <c r="F454" s="1019"/>
      <c r="G454" s="1019"/>
      <c r="H454" s="1019"/>
      <c r="I454" s="1019"/>
      <c r="J454" s="1019"/>
      <c r="K454" s="1019"/>
      <c r="L454" s="1140"/>
    </row>
    <row r="455" spans="1:12" x14ac:dyDescent="0.35">
      <c r="A455" s="1019"/>
      <c r="B455" s="1019"/>
      <c r="C455" s="1019"/>
      <c r="D455" s="1019"/>
      <c r="E455" s="1019"/>
      <c r="F455" s="1019"/>
      <c r="G455" s="1019"/>
      <c r="H455" s="1019"/>
      <c r="I455" s="1019"/>
      <c r="J455" s="1019"/>
      <c r="K455" s="1019"/>
      <c r="L455" s="1140"/>
    </row>
    <row r="456" spans="1:12" x14ac:dyDescent="0.35">
      <c r="A456" s="1019"/>
      <c r="B456" s="1019"/>
      <c r="C456" s="1019"/>
      <c r="D456" s="1019"/>
      <c r="E456" s="1019"/>
      <c r="F456" s="1019"/>
      <c r="G456" s="1019"/>
      <c r="H456" s="1019"/>
      <c r="I456" s="1019"/>
      <c r="J456" s="1019"/>
      <c r="K456" s="1019"/>
      <c r="L456" s="1140"/>
    </row>
    <row r="457" spans="1:12" x14ac:dyDescent="0.35">
      <c r="A457" s="1019"/>
      <c r="B457" s="1019"/>
      <c r="C457" s="1019"/>
      <c r="D457" s="1019"/>
      <c r="E457" s="1019"/>
      <c r="F457" s="1019"/>
      <c r="G457" s="1019"/>
      <c r="H457" s="1019"/>
      <c r="I457" s="1019"/>
      <c r="J457" s="1019"/>
      <c r="K457" s="1019"/>
      <c r="L457" s="1140"/>
    </row>
    <row r="458" spans="1:12" x14ac:dyDescent="0.35">
      <c r="A458" s="1019"/>
      <c r="B458" s="1019"/>
      <c r="C458" s="1019"/>
      <c r="D458" s="1019"/>
      <c r="E458" s="1019"/>
      <c r="F458" s="1019"/>
      <c r="G458" s="1019"/>
      <c r="H458" s="1019"/>
      <c r="I458" s="1019"/>
      <c r="J458" s="1019"/>
      <c r="K458" s="1019"/>
      <c r="L458" s="1140"/>
    </row>
    <row r="459" spans="1:12" x14ac:dyDescent="0.35">
      <c r="A459" s="1019"/>
      <c r="B459" s="1019"/>
      <c r="C459" s="1019"/>
      <c r="D459" s="1019"/>
      <c r="E459" s="1019"/>
      <c r="F459" s="1019"/>
      <c r="G459" s="1019"/>
      <c r="H459" s="1019"/>
      <c r="I459" s="1019"/>
      <c r="J459" s="1019"/>
      <c r="K459" s="1019"/>
      <c r="L459" s="1140"/>
    </row>
    <row r="460" spans="1:12" x14ac:dyDescent="0.35">
      <c r="A460" s="1019"/>
      <c r="B460" s="1019"/>
      <c r="C460" s="1019"/>
      <c r="D460" s="1019"/>
      <c r="E460" s="1019"/>
      <c r="F460" s="1019"/>
      <c r="G460" s="1019"/>
      <c r="H460" s="1019"/>
      <c r="I460" s="1019"/>
      <c r="J460" s="1019"/>
      <c r="K460" s="1019"/>
      <c r="L460" s="1140"/>
    </row>
    <row r="461" spans="1:12" x14ac:dyDescent="0.35">
      <c r="A461" s="1019"/>
      <c r="B461" s="1019"/>
      <c r="C461" s="1019"/>
      <c r="D461" s="1019"/>
      <c r="E461" s="1019"/>
      <c r="F461" s="1019"/>
      <c r="G461" s="1019"/>
      <c r="H461" s="1019"/>
      <c r="I461" s="1019"/>
      <c r="J461" s="1019"/>
      <c r="K461" s="1019"/>
      <c r="L461" s="1140"/>
    </row>
    <row r="462" spans="1:12" x14ac:dyDescent="0.35">
      <c r="A462" s="1019"/>
      <c r="B462" s="1019"/>
      <c r="C462" s="1019"/>
      <c r="D462" s="1019"/>
      <c r="E462" s="1019"/>
      <c r="F462" s="1019"/>
      <c r="G462" s="1019"/>
      <c r="H462" s="1019"/>
      <c r="I462" s="1019"/>
      <c r="J462" s="1019"/>
      <c r="K462" s="1019"/>
      <c r="L462" s="1140"/>
    </row>
    <row r="463" spans="1:12" x14ac:dyDescent="0.35">
      <c r="A463" s="1019"/>
      <c r="B463" s="1019"/>
      <c r="C463" s="1019"/>
      <c r="D463" s="1019"/>
      <c r="E463" s="1019"/>
      <c r="F463" s="1019"/>
      <c r="G463" s="1019"/>
      <c r="H463" s="1019"/>
      <c r="I463" s="1019"/>
      <c r="J463" s="1019"/>
      <c r="K463" s="1019"/>
      <c r="L463" s="1140"/>
    </row>
    <row r="464" spans="1:12" x14ac:dyDescent="0.35">
      <c r="A464" s="1019"/>
      <c r="B464" s="1019"/>
      <c r="C464" s="1019"/>
      <c r="D464" s="1019"/>
      <c r="E464" s="1019"/>
      <c r="F464" s="1019"/>
      <c r="G464" s="1019"/>
      <c r="H464" s="1019"/>
      <c r="I464" s="1019"/>
      <c r="J464" s="1019"/>
      <c r="K464" s="1019"/>
      <c r="L464" s="1140"/>
    </row>
    <row r="465" spans="1:12" x14ac:dyDescent="0.35">
      <c r="A465" s="1019"/>
      <c r="B465" s="1019"/>
      <c r="C465" s="1019"/>
      <c r="D465" s="1019"/>
      <c r="E465" s="1019"/>
      <c r="F465" s="1019"/>
      <c r="G465" s="1019"/>
      <c r="H465" s="1019"/>
      <c r="I465" s="1019"/>
      <c r="J465" s="1019"/>
      <c r="K465" s="1019"/>
      <c r="L465" s="1140"/>
    </row>
    <row r="466" spans="1:12" x14ac:dyDescent="0.35">
      <c r="A466" s="1019"/>
      <c r="B466" s="1019"/>
      <c r="C466" s="1019"/>
      <c r="D466" s="1019"/>
      <c r="E466" s="1019"/>
      <c r="F466" s="1019"/>
      <c r="G466" s="1019"/>
      <c r="H466" s="1019"/>
      <c r="I466" s="1019"/>
      <c r="J466" s="1019"/>
      <c r="K466" s="1019"/>
      <c r="L466" s="1140"/>
    </row>
    <row r="467" spans="1:12" x14ac:dyDescent="0.35">
      <c r="A467" s="1019"/>
      <c r="B467" s="1019"/>
      <c r="C467" s="1019"/>
      <c r="D467" s="1019"/>
      <c r="E467" s="1019"/>
      <c r="F467" s="1019"/>
      <c r="G467" s="1019"/>
      <c r="H467" s="1019"/>
      <c r="I467" s="1019"/>
      <c r="J467" s="1019"/>
      <c r="K467" s="1019"/>
      <c r="L467" s="1140"/>
    </row>
    <row r="468" spans="1:12" x14ac:dyDescent="0.35">
      <c r="A468" s="1019"/>
      <c r="B468" s="1019"/>
      <c r="C468" s="1019"/>
      <c r="D468" s="1019"/>
      <c r="E468" s="1019"/>
      <c r="F468" s="1019"/>
      <c r="G468" s="1019"/>
      <c r="H468" s="1019"/>
      <c r="I468" s="1019"/>
      <c r="J468" s="1019"/>
      <c r="K468" s="1019"/>
      <c r="L468" s="1140"/>
    </row>
    <row r="469" spans="1:12" x14ac:dyDescent="0.35">
      <c r="A469" s="1019"/>
      <c r="B469" s="1019"/>
      <c r="C469" s="1019"/>
      <c r="D469" s="1019"/>
      <c r="E469" s="1019"/>
      <c r="F469" s="1019"/>
      <c r="G469" s="1019"/>
      <c r="H469" s="1019"/>
      <c r="I469" s="1019"/>
      <c r="J469" s="1019"/>
      <c r="K469" s="1019"/>
      <c r="L469" s="1140"/>
    </row>
    <row r="470" spans="1:12" x14ac:dyDescent="0.35">
      <c r="A470" s="1019"/>
      <c r="B470" s="1019"/>
      <c r="C470" s="1019"/>
      <c r="D470" s="1019"/>
      <c r="E470" s="1019"/>
      <c r="F470" s="1019"/>
      <c r="G470" s="1019"/>
      <c r="H470" s="1019"/>
      <c r="I470" s="1019"/>
      <c r="J470" s="1019"/>
      <c r="K470" s="1019"/>
      <c r="L470" s="1140"/>
    </row>
    <row r="471" spans="1:12" x14ac:dyDescent="0.35">
      <c r="A471" s="1019"/>
      <c r="B471" s="1019"/>
      <c r="C471" s="1019"/>
      <c r="D471" s="1019"/>
      <c r="E471" s="1019"/>
      <c r="F471" s="1019"/>
      <c r="G471" s="1019"/>
      <c r="H471" s="1019"/>
      <c r="I471" s="1019"/>
      <c r="J471" s="1019"/>
      <c r="K471" s="1019"/>
      <c r="L471" s="1140"/>
    </row>
    <row r="472" spans="1:12" x14ac:dyDescent="0.35">
      <c r="A472" s="1019"/>
      <c r="B472" s="1019"/>
      <c r="C472" s="1019"/>
      <c r="D472" s="1019"/>
      <c r="E472" s="1019"/>
      <c r="F472" s="1019"/>
      <c r="G472" s="1019"/>
      <c r="H472" s="1019"/>
      <c r="I472" s="1019"/>
      <c r="J472" s="1019"/>
      <c r="K472" s="1019"/>
      <c r="L472" s="1140"/>
    </row>
    <row r="473" spans="1:12" x14ac:dyDescent="0.35">
      <c r="A473" s="1019"/>
      <c r="B473" s="1019"/>
      <c r="C473" s="1019"/>
      <c r="D473" s="1019"/>
      <c r="E473" s="1019"/>
      <c r="F473" s="1019"/>
      <c r="G473" s="1019"/>
      <c r="H473" s="1019"/>
      <c r="I473" s="1019"/>
      <c r="J473" s="1019"/>
      <c r="K473" s="1019"/>
      <c r="L473" s="1140"/>
    </row>
    <row r="474" spans="1:12" x14ac:dyDescent="0.35">
      <c r="A474" s="1019"/>
      <c r="B474" s="1019"/>
      <c r="C474" s="1019"/>
      <c r="D474" s="1019"/>
      <c r="E474" s="1019"/>
      <c r="F474" s="1019"/>
      <c r="G474" s="1019"/>
      <c r="H474" s="1019"/>
      <c r="I474" s="1019"/>
      <c r="J474" s="1019"/>
      <c r="K474" s="1019"/>
      <c r="L474" s="1140"/>
    </row>
    <row r="475" spans="1:12" x14ac:dyDescent="0.35">
      <c r="A475" s="1019"/>
      <c r="B475" s="1019"/>
      <c r="C475" s="1019"/>
      <c r="D475" s="1019"/>
      <c r="E475" s="1019"/>
      <c r="F475" s="1019"/>
      <c r="G475" s="1019"/>
      <c r="H475" s="1019"/>
      <c r="I475" s="1019"/>
      <c r="J475" s="1019"/>
      <c r="K475" s="1019"/>
      <c r="L475" s="1140"/>
    </row>
    <row r="476" spans="1:12" x14ac:dyDescent="0.35">
      <c r="A476" s="1019"/>
      <c r="B476" s="1019"/>
      <c r="C476" s="1019"/>
      <c r="D476" s="1019"/>
      <c r="E476" s="1019"/>
      <c r="F476" s="1019"/>
      <c r="G476" s="1019"/>
      <c r="H476" s="1019"/>
      <c r="I476" s="1019"/>
      <c r="J476" s="1019"/>
      <c r="K476" s="1019"/>
      <c r="L476" s="1140"/>
    </row>
    <row r="477" spans="1:12" x14ac:dyDescent="0.35">
      <c r="A477" s="1019"/>
      <c r="B477" s="1019"/>
      <c r="C477" s="1019"/>
      <c r="D477" s="1019"/>
      <c r="E477" s="1019"/>
      <c r="F477" s="1019"/>
      <c r="G477" s="1019"/>
      <c r="H477" s="1019"/>
      <c r="I477" s="1019"/>
      <c r="J477" s="1019"/>
      <c r="K477" s="1019"/>
      <c r="L477" s="1140"/>
    </row>
    <row r="478" spans="1:12" x14ac:dyDescent="0.35">
      <c r="A478" s="1019"/>
      <c r="B478" s="1019"/>
      <c r="C478" s="1019"/>
      <c r="D478" s="1019"/>
      <c r="E478" s="1019"/>
      <c r="F478" s="1019"/>
      <c r="G478" s="1019"/>
      <c r="H478" s="1019"/>
      <c r="I478" s="1019"/>
      <c r="J478" s="1019"/>
      <c r="K478" s="1019"/>
      <c r="L478" s="1140"/>
    </row>
    <row r="479" spans="1:12" x14ac:dyDescent="0.35">
      <c r="A479" s="1019"/>
      <c r="B479" s="1019"/>
      <c r="C479" s="1019"/>
      <c r="D479" s="1019"/>
      <c r="E479" s="1019"/>
      <c r="F479" s="1019"/>
      <c r="G479" s="1019"/>
      <c r="H479" s="1019"/>
      <c r="I479" s="1019"/>
      <c r="J479" s="1019"/>
      <c r="K479" s="1019"/>
      <c r="L479" s="1140"/>
    </row>
    <row r="480" spans="1:12" x14ac:dyDescent="0.35">
      <c r="A480" s="1019"/>
      <c r="B480" s="1019"/>
      <c r="C480" s="1019"/>
      <c r="D480" s="1019"/>
      <c r="E480" s="1019"/>
      <c r="F480" s="1019"/>
      <c r="G480" s="1019"/>
      <c r="H480" s="1019"/>
      <c r="I480" s="1019"/>
      <c r="J480" s="1019"/>
      <c r="K480" s="1019"/>
      <c r="L480" s="1140"/>
    </row>
    <row r="481" spans="1:12" x14ac:dyDescent="0.35">
      <c r="A481" s="1019"/>
      <c r="B481" s="1019"/>
      <c r="C481" s="1019"/>
      <c r="D481" s="1019"/>
      <c r="E481" s="1019"/>
      <c r="F481" s="1019"/>
      <c r="G481" s="1019"/>
      <c r="H481" s="1019"/>
      <c r="I481" s="1019"/>
      <c r="J481" s="1019"/>
      <c r="K481" s="1019"/>
      <c r="L481" s="1140"/>
    </row>
    <row r="482" spans="1:12" x14ac:dyDescent="0.35">
      <c r="A482" s="1019"/>
      <c r="B482" s="1019"/>
      <c r="C482" s="1019"/>
      <c r="D482" s="1019"/>
      <c r="E482" s="1019"/>
      <c r="F482" s="1019"/>
      <c r="G482" s="1019"/>
      <c r="H482" s="1019"/>
      <c r="I482" s="1019"/>
      <c r="J482" s="1019"/>
      <c r="K482" s="1019"/>
      <c r="L482" s="1140"/>
    </row>
    <row r="483" spans="1:12" x14ac:dyDescent="0.35">
      <c r="A483" s="1019"/>
      <c r="B483" s="1019"/>
      <c r="C483" s="1019"/>
      <c r="D483" s="1019"/>
      <c r="E483" s="1019"/>
      <c r="F483" s="1019"/>
      <c r="G483" s="1019"/>
      <c r="H483" s="1019"/>
      <c r="I483" s="1019"/>
      <c r="J483" s="1019"/>
      <c r="K483" s="1019"/>
      <c r="L483" s="1140"/>
    </row>
    <row r="484" spans="1:12" x14ac:dyDescent="0.35">
      <c r="A484" s="1019"/>
      <c r="B484" s="1019"/>
      <c r="C484" s="1019"/>
      <c r="D484" s="1019"/>
      <c r="E484" s="1019"/>
      <c r="F484" s="1019"/>
      <c r="G484" s="1019"/>
      <c r="H484" s="1019"/>
      <c r="I484" s="1019"/>
      <c r="J484" s="1019"/>
      <c r="K484" s="1019"/>
      <c r="L484" s="1140"/>
    </row>
    <row r="485" spans="1:12" x14ac:dyDescent="0.35">
      <c r="A485" s="1019"/>
      <c r="B485" s="1019"/>
      <c r="C485" s="1019"/>
      <c r="D485" s="1019"/>
      <c r="E485" s="1019"/>
      <c r="F485" s="1019"/>
      <c r="G485" s="1019"/>
      <c r="H485" s="1019"/>
      <c r="I485" s="1019"/>
      <c r="J485" s="1019"/>
      <c r="K485" s="1019"/>
      <c r="L485" s="1140"/>
    </row>
    <row r="486" spans="1:12" x14ac:dyDescent="0.35">
      <c r="A486" s="1019"/>
      <c r="B486" s="1019"/>
      <c r="C486" s="1019"/>
      <c r="D486" s="1019"/>
      <c r="E486" s="1019"/>
      <c r="F486" s="1019"/>
      <c r="G486" s="1019"/>
      <c r="H486" s="1019"/>
      <c r="I486" s="1019"/>
      <c r="J486" s="1019"/>
      <c r="K486" s="1019"/>
      <c r="L486" s="1140"/>
    </row>
    <row r="487" spans="1:12" x14ac:dyDescent="0.35">
      <c r="A487" s="1019"/>
      <c r="B487" s="1019"/>
      <c r="C487" s="1019"/>
      <c r="D487" s="1019"/>
      <c r="E487" s="1019"/>
      <c r="F487" s="1019"/>
      <c r="G487" s="1019"/>
      <c r="H487" s="1019"/>
      <c r="I487" s="1019"/>
      <c r="J487" s="1019"/>
      <c r="K487" s="1019"/>
      <c r="L487" s="1140"/>
    </row>
    <row r="488" spans="1:12" x14ac:dyDescent="0.35">
      <c r="A488" s="1019"/>
      <c r="B488" s="1019"/>
      <c r="C488" s="1019"/>
      <c r="D488" s="1019"/>
      <c r="E488" s="1019"/>
      <c r="F488" s="1019"/>
      <c r="G488" s="1019"/>
      <c r="H488" s="1019"/>
      <c r="I488" s="1019"/>
      <c r="J488" s="1019"/>
      <c r="K488" s="1019"/>
      <c r="L488" s="1140"/>
    </row>
    <row r="489" spans="1:12" x14ac:dyDescent="0.35">
      <c r="A489" s="1019"/>
      <c r="B489" s="1019"/>
      <c r="C489" s="1019"/>
      <c r="D489" s="1019"/>
      <c r="E489" s="1019"/>
      <c r="F489" s="1019"/>
      <c r="G489" s="1019"/>
      <c r="H489" s="1019"/>
      <c r="I489" s="1019"/>
      <c r="J489" s="1019"/>
      <c r="K489" s="1019"/>
      <c r="L489" s="1140"/>
    </row>
    <row r="490" spans="1:12" x14ac:dyDescent="0.35">
      <c r="A490" s="1019"/>
      <c r="B490" s="1019"/>
      <c r="C490" s="1019"/>
      <c r="D490" s="1019"/>
      <c r="E490" s="1019"/>
      <c r="F490" s="1019"/>
      <c r="G490" s="1019"/>
      <c r="H490" s="1019"/>
      <c r="I490" s="1019"/>
      <c r="J490" s="1019"/>
      <c r="K490" s="1019"/>
      <c r="L490" s="1140"/>
    </row>
    <row r="491" spans="1:12" x14ac:dyDescent="0.35">
      <c r="A491" s="1019"/>
      <c r="B491" s="1019"/>
      <c r="C491" s="1019"/>
      <c r="D491" s="1019"/>
      <c r="E491" s="1019"/>
      <c r="F491" s="1019"/>
      <c r="G491" s="1019"/>
      <c r="H491" s="1019"/>
      <c r="I491" s="1019"/>
      <c r="J491" s="1019"/>
      <c r="K491" s="1019"/>
      <c r="L491" s="1140"/>
    </row>
    <row r="492" spans="1:12" x14ac:dyDescent="0.35">
      <c r="A492" s="1019"/>
      <c r="B492" s="1019"/>
      <c r="C492" s="1019"/>
      <c r="D492" s="1019"/>
      <c r="E492" s="1019"/>
      <c r="F492" s="1019"/>
      <c r="G492" s="1019"/>
      <c r="H492" s="1019"/>
      <c r="I492" s="1019"/>
      <c r="J492" s="1019"/>
      <c r="K492" s="1019"/>
      <c r="L492" s="1140"/>
    </row>
    <row r="493" spans="1:12" x14ac:dyDescent="0.35">
      <c r="A493" s="1019"/>
      <c r="B493" s="1019"/>
      <c r="C493" s="1019"/>
      <c r="D493" s="1019"/>
      <c r="E493" s="1019"/>
      <c r="F493" s="1019"/>
      <c r="G493" s="1019"/>
      <c r="H493" s="1019"/>
      <c r="I493" s="1019"/>
      <c r="J493" s="1019"/>
      <c r="K493" s="1019"/>
      <c r="L493" s="1140"/>
    </row>
    <row r="494" spans="1:12" x14ac:dyDescent="0.35">
      <c r="A494" s="1019"/>
      <c r="B494" s="1019"/>
      <c r="C494" s="1019"/>
      <c r="D494" s="1019"/>
      <c r="E494" s="1019"/>
      <c r="F494" s="1019"/>
      <c r="G494" s="1019"/>
      <c r="H494" s="1019"/>
      <c r="I494" s="1019"/>
      <c r="J494" s="1019"/>
      <c r="K494" s="1019"/>
      <c r="L494" s="1140"/>
    </row>
    <row r="495" spans="1:12" x14ac:dyDescent="0.35">
      <c r="A495" s="1019"/>
      <c r="B495" s="1019"/>
      <c r="C495" s="1019"/>
      <c r="D495" s="1019"/>
      <c r="E495" s="1019"/>
      <c r="F495" s="1019"/>
      <c r="G495" s="1019"/>
      <c r="H495" s="1019"/>
      <c r="I495" s="1019"/>
      <c r="J495" s="1019"/>
      <c r="K495" s="1019"/>
      <c r="L495" s="1140"/>
    </row>
    <row r="496" spans="1:12" x14ac:dyDescent="0.35">
      <c r="A496" s="1019"/>
      <c r="B496" s="1019"/>
      <c r="C496" s="1019"/>
      <c r="D496" s="1019"/>
      <c r="E496" s="1019"/>
      <c r="F496" s="1019"/>
      <c r="G496" s="1019"/>
      <c r="H496" s="1019"/>
      <c r="I496" s="1019"/>
      <c r="J496" s="1019"/>
      <c r="K496" s="1019"/>
      <c r="L496" s="1140"/>
    </row>
    <row r="497" spans="1:12" x14ac:dyDescent="0.35">
      <c r="A497" s="1019"/>
      <c r="B497" s="1019"/>
      <c r="C497" s="1019"/>
      <c r="D497" s="1019"/>
      <c r="E497" s="1019"/>
      <c r="F497" s="1019"/>
      <c r="G497" s="1019"/>
      <c r="H497" s="1019"/>
      <c r="I497" s="1019"/>
      <c r="J497" s="1019"/>
      <c r="K497" s="1019"/>
      <c r="L497" s="1140"/>
    </row>
    <row r="498" spans="1:12" x14ac:dyDescent="0.35">
      <c r="A498" s="1019"/>
      <c r="B498" s="1019"/>
      <c r="C498" s="1019"/>
      <c r="D498" s="1019"/>
      <c r="E498" s="1019"/>
      <c r="F498" s="1019"/>
      <c r="G498" s="1019"/>
      <c r="H498" s="1019"/>
      <c r="I498" s="1019"/>
      <c r="J498" s="1019"/>
      <c r="K498" s="1019"/>
      <c r="L498" s="1140"/>
    </row>
    <row r="499" spans="1:12" x14ac:dyDescent="0.35">
      <c r="A499" s="1019"/>
      <c r="B499" s="1019"/>
      <c r="C499" s="1019"/>
      <c r="D499" s="1019"/>
      <c r="E499" s="1019"/>
      <c r="F499" s="1019"/>
      <c r="G499" s="1019"/>
      <c r="H499" s="1019"/>
      <c r="I499" s="1019"/>
      <c r="J499" s="1019"/>
      <c r="K499" s="1019"/>
      <c r="L499" s="1140"/>
    </row>
    <row r="500" spans="1:12" x14ac:dyDescent="0.35">
      <c r="A500" s="1019"/>
      <c r="B500" s="1019"/>
      <c r="C500" s="1019"/>
      <c r="D500" s="1019"/>
      <c r="E500" s="1019"/>
      <c r="F500" s="1019"/>
      <c r="G500" s="1019"/>
      <c r="H500" s="1019"/>
      <c r="I500" s="1019"/>
      <c r="J500" s="1019"/>
      <c r="K500" s="1019"/>
      <c r="L500" s="1140"/>
    </row>
    <row r="501" spans="1:12" x14ac:dyDescent="0.35">
      <c r="A501" s="1019"/>
      <c r="B501" s="1019"/>
      <c r="C501" s="1019"/>
      <c r="D501" s="1019"/>
      <c r="E501" s="1019"/>
      <c r="F501" s="1019"/>
      <c r="G501" s="1019"/>
      <c r="H501" s="1019"/>
      <c r="I501" s="1019"/>
      <c r="J501" s="1019"/>
      <c r="K501" s="1019"/>
      <c r="L501" s="1140"/>
    </row>
    <row r="502" spans="1:12" x14ac:dyDescent="0.35">
      <c r="A502" s="1019"/>
      <c r="B502" s="1019"/>
      <c r="C502" s="1019"/>
      <c r="D502" s="1019"/>
      <c r="E502" s="1019"/>
      <c r="F502" s="1019"/>
      <c r="G502" s="1019"/>
      <c r="H502" s="1019"/>
      <c r="I502" s="1019"/>
      <c r="J502" s="1019"/>
      <c r="K502" s="1019"/>
      <c r="L502" s="1140"/>
    </row>
    <row r="503" spans="1:12" x14ac:dyDescent="0.35">
      <c r="A503" s="1019"/>
      <c r="B503" s="1019"/>
      <c r="C503" s="1019"/>
      <c r="D503" s="1019"/>
      <c r="E503" s="1019"/>
      <c r="F503" s="1019"/>
      <c r="G503" s="1019"/>
      <c r="H503" s="1019"/>
      <c r="I503" s="1019"/>
      <c r="J503" s="1019"/>
      <c r="K503" s="1019"/>
      <c r="L503" s="1140"/>
    </row>
    <row r="504" spans="1:12" x14ac:dyDescent="0.35">
      <c r="A504" s="1019"/>
      <c r="B504" s="1019"/>
      <c r="C504" s="1019"/>
      <c r="D504" s="1019"/>
      <c r="E504" s="1019"/>
      <c r="F504" s="1019"/>
      <c r="G504" s="1019"/>
      <c r="H504" s="1019"/>
      <c r="I504" s="1019"/>
      <c r="J504" s="1019"/>
      <c r="K504" s="1019"/>
      <c r="L504" s="1140"/>
    </row>
    <row r="505" spans="1:12" x14ac:dyDescent="0.35">
      <c r="A505" s="1019"/>
      <c r="B505" s="1019"/>
      <c r="C505" s="1019"/>
      <c r="D505" s="1019"/>
      <c r="E505" s="1019"/>
      <c r="F505" s="1019"/>
      <c r="G505" s="1019"/>
      <c r="H505" s="1019"/>
      <c r="I505" s="1019"/>
      <c r="J505" s="1019"/>
      <c r="K505" s="1019"/>
      <c r="L505" s="1140"/>
    </row>
    <row r="506" spans="1:12" x14ac:dyDescent="0.35">
      <c r="A506" s="1019"/>
      <c r="B506" s="1019"/>
      <c r="C506" s="1019"/>
      <c r="D506" s="1019"/>
      <c r="E506" s="1019"/>
      <c r="F506" s="1019"/>
      <c r="G506" s="1019"/>
      <c r="H506" s="1019"/>
      <c r="I506" s="1019"/>
      <c r="J506" s="1019"/>
      <c r="K506" s="1019"/>
      <c r="L506" s="1140"/>
    </row>
    <row r="507" spans="1:12" x14ac:dyDescent="0.35">
      <c r="A507" s="1019"/>
      <c r="B507" s="1019"/>
      <c r="C507" s="1019"/>
      <c r="D507" s="1019"/>
      <c r="E507" s="1019"/>
      <c r="F507" s="1019"/>
      <c r="G507" s="1019"/>
      <c r="H507" s="1019"/>
      <c r="I507" s="1019"/>
      <c r="J507" s="1019"/>
      <c r="K507" s="1019"/>
      <c r="L507" s="1140"/>
    </row>
    <row r="508" spans="1:12" x14ac:dyDescent="0.35">
      <c r="A508" s="1019"/>
      <c r="B508" s="1019"/>
      <c r="C508" s="1019"/>
      <c r="D508" s="1019"/>
      <c r="E508" s="1019"/>
      <c r="F508" s="1019"/>
      <c r="G508" s="1019"/>
      <c r="H508" s="1019"/>
      <c r="I508" s="1019"/>
      <c r="J508" s="1019"/>
      <c r="K508" s="1019"/>
      <c r="L508" s="1140"/>
    </row>
    <row r="509" spans="1:12" x14ac:dyDescent="0.35">
      <c r="A509" s="1019"/>
      <c r="B509" s="1019"/>
      <c r="C509" s="1019"/>
      <c r="D509" s="1019"/>
      <c r="E509" s="1019"/>
      <c r="F509" s="1019"/>
      <c r="G509" s="1019"/>
      <c r="H509" s="1019"/>
      <c r="I509" s="1019"/>
      <c r="J509" s="1019"/>
      <c r="K509" s="1019"/>
      <c r="L509" s="1140"/>
    </row>
    <row r="510" spans="1:12" x14ac:dyDescent="0.35">
      <c r="A510" s="1019"/>
      <c r="B510" s="1019"/>
      <c r="C510" s="1019"/>
      <c r="D510" s="1019"/>
      <c r="E510" s="1019"/>
      <c r="F510" s="1019"/>
      <c r="G510" s="1019"/>
      <c r="H510" s="1019"/>
      <c r="I510" s="1019"/>
      <c r="J510" s="1019"/>
      <c r="K510" s="1019"/>
      <c r="L510" s="1140"/>
    </row>
    <row r="511" spans="1:12" x14ac:dyDescent="0.35">
      <c r="A511" s="1019"/>
      <c r="B511" s="1019"/>
      <c r="C511" s="1019"/>
      <c r="D511" s="1019"/>
      <c r="E511" s="1019"/>
      <c r="F511" s="1019"/>
      <c r="G511" s="1019"/>
      <c r="H511" s="1019"/>
      <c r="I511" s="1019"/>
      <c r="J511" s="1019"/>
      <c r="K511" s="1019"/>
      <c r="L511" s="1140"/>
    </row>
    <row r="512" spans="1:12" x14ac:dyDescent="0.35">
      <c r="A512" s="1019"/>
      <c r="B512" s="1019"/>
      <c r="C512" s="1019"/>
      <c r="D512" s="1019"/>
      <c r="E512" s="1019"/>
      <c r="F512" s="1019"/>
      <c r="G512" s="1019"/>
      <c r="H512" s="1019"/>
      <c r="I512" s="1019"/>
      <c r="J512" s="1019"/>
      <c r="K512" s="1019"/>
      <c r="L512" s="1140"/>
    </row>
    <row r="513" spans="1:12" x14ac:dyDescent="0.35">
      <c r="A513" s="1019"/>
      <c r="B513" s="1019"/>
      <c r="C513" s="1019"/>
      <c r="D513" s="1019"/>
      <c r="E513" s="1019"/>
      <c r="F513" s="1019"/>
      <c r="G513" s="1019"/>
      <c r="H513" s="1019"/>
      <c r="I513" s="1019"/>
      <c r="J513" s="1019"/>
      <c r="K513" s="1019"/>
      <c r="L513" s="1140"/>
    </row>
    <row r="514" spans="1:12" x14ac:dyDescent="0.35">
      <c r="A514" s="1019"/>
      <c r="B514" s="1019"/>
      <c r="C514" s="1019"/>
      <c r="D514" s="1019"/>
      <c r="E514" s="1019"/>
      <c r="F514" s="1019"/>
      <c r="G514" s="1019"/>
      <c r="H514" s="1019"/>
      <c r="I514" s="1019"/>
      <c r="J514" s="1019"/>
      <c r="K514" s="1019"/>
      <c r="L514" s="1140"/>
    </row>
    <row r="515" spans="1:12" x14ac:dyDescent="0.35">
      <c r="A515" s="1019"/>
      <c r="B515" s="1019"/>
      <c r="C515" s="1019"/>
      <c r="D515" s="1019"/>
      <c r="E515" s="1019"/>
      <c r="F515" s="1019"/>
      <c r="G515" s="1019"/>
      <c r="H515" s="1019"/>
      <c r="I515" s="1019"/>
      <c r="J515" s="1019"/>
      <c r="K515" s="1019"/>
      <c r="L515" s="1140"/>
    </row>
    <row r="516" spans="1:12" x14ac:dyDescent="0.35">
      <c r="A516" s="1019"/>
      <c r="B516" s="1019"/>
      <c r="C516" s="1019"/>
      <c r="D516" s="1019"/>
      <c r="E516" s="1019"/>
      <c r="F516" s="1019"/>
      <c r="G516" s="1019"/>
      <c r="H516" s="1019"/>
      <c r="I516" s="1019"/>
      <c r="J516" s="1019"/>
      <c r="K516" s="1019"/>
      <c r="L516" s="1140"/>
    </row>
    <row r="517" spans="1:12" x14ac:dyDescent="0.35">
      <c r="A517" s="1019"/>
      <c r="B517" s="1019"/>
      <c r="C517" s="1019"/>
      <c r="D517" s="1019"/>
      <c r="E517" s="1019"/>
      <c r="F517" s="1019"/>
      <c r="G517" s="1019"/>
      <c r="H517" s="1019"/>
      <c r="I517" s="1019"/>
      <c r="J517" s="1019"/>
      <c r="K517" s="1019"/>
      <c r="L517" s="1140"/>
    </row>
    <row r="518" spans="1:12" x14ac:dyDescent="0.35">
      <c r="A518" s="1019"/>
      <c r="B518" s="1019"/>
      <c r="C518" s="1019"/>
      <c r="D518" s="1019"/>
      <c r="E518" s="1019"/>
      <c r="F518" s="1019"/>
      <c r="G518" s="1019"/>
      <c r="H518" s="1019"/>
      <c r="I518" s="1019"/>
      <c r="J518" s="1019"/>
      <c r="K518" s="1019"/>
      <c r="L518" s="1140"/>
    </row>
    <row r="519" spans="1:12" x14ac:dyDescent="0.35">
      <c r="A519" s="1019"/>
      <c r="B519" s="1019"/>
      <c r="C519" s="1019"/>
      <c r="D519" s="1019"/>
      <c r="E519" s="1019"/>
      <c r="F519" s="1019"/>
      <c r="G519" s="1019"/>
      <c r="H519" s="1019"/>
      <c r="I519" s="1019"/>
      <c r="J519" s="1019"/>
      <c r="K519" s="1019"/>
      <c r="L519" s="1140"/>
    </row>
    <row r="520" spans="1:12" x14ac:dyDescent="0.35">
      <c r="A520" s="1019"/>
      <c r="B520" s="1019"/>
      <c r="C520" s="1019"/>
      <c r="D520" s="1019"/>
      <c r="E520" s="1019"/>
      <c r="F520" s="1019"/>
      <c r="G520" s="1019"/>
      <c r="H520" s="1019"/>
      <c r="I520" s="1019"/>
      <c r="J520" s="1019"/>
      <c r="K520" s="1019"/>
      <c r="L520" s="1140"/>
    </row>
    <row r="521" spans="1:12" x14ac:dyDescent="0.35">
      <c r="A521" s="1019"/>
      <c r="B521" s="1019"/>
      <c r="C521" s="1019"/>
      <c r="D521" s="1019"/>
      <c r="E521" s="1019"/>
      <c r="F521" s="1019"/>
      <c r="G521" s="1019"/>
      <c r="H521" s="1019"/>
      <c r="I521" s="1019"/>
      <c r="J521" s="1019"/>
      <c r="K521" s="1019"/>
      <c r="L521" s="1140"/>
    </row>
    <row r="522" spans="1:12" x14ac:dyDescent="0.35">
      <c r="A522" s="1019"/>
      <c r="B522" s="1019"/>
      <c r="C522" s="1019"/>
      <c r="D522" s="1019"/>
      <c r="E522" s="1019"/>
      <c r="F522" s="1019"/>
      <c r="G522" s="1019"/>
      <c r="H522" s="1019"/>
      <c r="I522" s="1019"/>
      <c r="J522" s="1019"/>
      <c r="K522" s="1019"/>
      <c r="L522" s="1140"/>
    </row>
    <row r="523" spans="1:12" x14ac:dyDescent="0.35">
      <c r="A523" s="1019"/>
      <c r="B523" s="1019"/>
      <c r="C523" s="1019"/>
      <c r="D523" s="1019"/>
      <c r="E523" s="1019"/>
      <c r="F523" s="1019"/>
      <c r="G523" s="1019"/>
      <c r="H523" s="1019"/>
      <c r="I523" s="1019"/>
      <c r="J523" s="1019"/>
      <c r="K523" s="1019"/>
      <c r="L523" s="1140"/>
    </row>
    <row r="524" spans="1:12" x14ac:dyDescent="0.35">
      <c r="A524" s="1019"/>
      <c r="B524" s="1019"/>
      <c r="C524" s="1019"/>
      <c r="D524" s="1019"/>
      <c r="E524" s="1019"/>
      <c r="F524" s="1019"/>
      <c r="G524" s="1019"/>
      <c r="H524" s="1019"/>
      <c r="I524" s="1019"/>
      <c r="J524" s="1019"/>
      <c r="K524" s="1019"/>
      <c r="L524" s="1140"/>
    </row>
    <row r="525" spans="1:12" x14ac:dyDescent="0.35">
      <c r="A525" s="1019"/>
      <c r="B525" s="1019"/>
      <c r="C525" s="1019"/>
      <c r="D525" s="1019"/>
      <c r="E525" s="1019"/>
      <c r="F525" s="1019"/>
      <c r="G525" s="1019"/>
      <c r="H525" s="1019"/>
      <c r="I525" s="1019"/>
      <c r="J525" s="1019"/>
      <c r="K525" s="1019"/>
      <c r="L525" s="1140"/>
    </row>
    <row r="526" spans="1:12" x14ac:dyDescent="0.35">
      <c r="A526" s="1019"/>
      <c r="B526" s="1019"/>
      <c r="C526" s="1019"/>
      <c r="D526" s="1019"/>
      <c r="E526" s="1019"/>
      <c r="F526" s="1019"/>
      <c r="G526" s="1019"/>
      <c r="H526" s="1019"/>
      <c r="I526" s="1019"/>
      <c r="J526" s="1019"/>
      <c r="K526" s="1019"/>
      <c r="L526" s="1140"/>
    </row>
    <row r="527" spans="1:12" x14ac:dyDescent="0.35">
      <c r="A527" s="1019"/>
      <c r="B527" s="1019"/>
      <c r="C527" s="1019"/>
      <c r="D527" s="1019"/>
      <c r="E527" s="1019"/>
      <c r="F527" s="1019"/>
      <c r="G527" s="1019"/>
      <c r="H527" s="1019"/>
      <c r="I527" s="1019"/>
      <c r="J527" s="1019"/>
      <c r="K527" s="1019"/>
      <c r="L527" s="1140"/>
    </row>
    <row r="528" spans="1:12" x14ac:dyDescent="0.35">
      <c r="A528" s="1019"/>
      <c r="B528" s="1019"/>
      <c r="C528" s="1019"/>
      <c r="D528" s="1019"/>
      <c r="E528" s="1019"/>
      <c r="F528" s="1019"/>
      <c r="G528" s="1019"/>
      <c r="H528" s="1019"/>
      <c r="I528" s="1019"/>
      <c r="J528" s="1019"/>
      <c r="K528" s="1019"/>
      <c r="L528" s="1140"/>
    </row>
    <row r="529" spans="1:12" x14ac:dyDescent="0.35">
      <c r="A529" s="1019"/>
      <c r="B529" s="1019"/>
      <c r="C529" s="1019"/>
      <c r="D529" s="1019"/>
      <c r="E529" s="1019"/>
      <c r="F529" s="1019"/>
      <c r="G529" s="1019"/>
      <c r="H529" s="1019"/>
      <c r="I529" s="1019"/>
      <c r="J529" s="1019"/>
      <c r="K529" s="1019"/>
      <c r="L529" s="1140"/>
    </row>
    <row r="530" spans="1:12" x14ac:dyDescent="0.35">
      <c r="A530" s="1019"/>
      <c r="B530" s="1019"/>
      <c r="C530" s="1019"/>
      <c r="D530" s="1019"/>
      <c r="E530" s="1019"/>
      <c r="F530" s="1019"/>
      <c r="G530" s="1019"/>
      <c r="H530" s="1019"/>
      <c r="I530" s="1019"/>
      <c r="J530" s="1019"/>
      <c r="K530" s="1019"/>
      <c r="L530" s="1140"/>
    </row>
    <row r="531" spans="1:12" x14ac:dyDescent="0.35">
      <c r="A531" s="1019"/>
      <c r="B531" s="1019"/>
      <c r="C531" s="1019"/>
      <c r="D531" s="1019"/>
      <c r="E531" s="1019"/>
      <c r="F531" s="1019"/>
      <c r="G531" s="1019"/>
      <c r="H531" s="1019"/>
      <c r="I531" s="1019"/>
      <c r="J531" s="1019"/>
      <c r="K531" s="1019"/>
      <c r="L531" s="1140"/>
    </row>
    <row r="532" spans="1:12" x14ac:dyDescent="0.35">
      <c r="A532" s="1019"/>
      <c r="B532" s="1019"/>
      <c r="C532" s="1019"/>
      <c r="D532" s="1019"/>
      <c r="E532" s="1019"/>
      <c r="F532" s="1019"/>
      <c r="G532" s="1019"/>
      <c r="H532" s="1019"/>
      <c r="I532" s="1019"/>
      <c r="J532" s="1019"/>
      <c r="K532" s="1019"/>
      <c r="L532" s="1140"/>
    </row>
    <row r="533" spans="1:12" x14ac:dyDescent="0.35">
      <c r="A533" s="1019"/>
      <c r="B533" s="1019"/>
      <c r="C533" s="1019"/>
      <c r="D533" s="1019"/>
      <c r="E533" s="1019"/>
      <c r="F533" s="1019"/>
      <c r="G533" s="1019"/>
      <c r="H533" s="1019"/>
      <c r="I533" s="1019"/>
      <c r="J533" s="1019"/>
      <c r="K533" s="1019"/>
      <c r="L533" s="1140"/>
    </row>
    <row r="534" spans="1:12" x14ac:dyDescent="0.35">
      <c r="A534" s="1019"/>
      <c r="B534" s="1019"/>
      <c r="C534" s="1019"/>
      <c r="D534" s="1019"/>
      <c r="E534" s="1019"/>
      <c r="F534" s="1019"/>
      <c r="G534" s="1019"/>
      <c r="H534" s="1019"/>
      <c r="I534" s="1019"/>
      <c r="J534" s="1019"/>
      <c r="K534" s="1019"/>
      <c r="L534" s="1140"/>
    </row>
    <row r="535" spans="1:12" x14ac:dyDescent="0.35">
      <c r="A535" s="1019"/>
      <c r="B535" s="1019"/>
      <c r="C535" s="1019"/>
      <c r="D535" s="1019"/>
      <c r="E535" s="1019"/>
      <c r="F535" s="1019"/>
      <c r="G535" s="1019"/>
      <c r="H535" s="1019"/>
      <c r="I535" s="1019"/>
      <c r="J535" s="1019"/>
      <c r="K535" s="1019"/>
      <c r="L535" s="1140"/>
    </row>
    <row r="536" spans="1:12" x14ac:dyDescent="0.35">
      <c r="A536" s="1019"/>
      <c r="B536" s="1019"/>
      <c r="C536" s="1019"/>
      <c r="D536" s="1019"/>
      <c r="E536" s="1019"/>
      <c r="F536" s="1019"/>
      <c r="G536" s="1019"/>
      <c r="H536" s="1019"/>
      <c r="I536" s="1019"/>
      <c r="J536" s="1019"/>
      <c r="K536" s="1019"/>
      <c r="L536" s="1140"/>
    </row>
    <row r="537" spans="1:12" x14ac:dyDescent="0.35">
      <c r="A537" s="1019"/>
      <c r="B537" s="1019"/>
      <c r="C537" s="1019"/>
      <c r="D537" s="1019"/>
      <c r="E537" s="1019"/>
      <c r="F537" s="1019"/>
      <c r="G537" s="1019"/>
      <c r="H537" s="1019"/>
      <c r="I537" s="1019"/>
      <c r="J537" s="1019"/>
      <c r="K537" s="1019"/>
      <c r="L537" s="1140"/>
    </row>
    <row r="538" spans="1:12" x14ac:dyDescent="0.35">
      <c r="A538" s="1019"/>
      <c r="B538" s="1019"/>
      <c r="C538" s="1019"/>
      <c r="D538" s="1019"/>
      <c r="E538" s="1019"/>
      <c r="F538" s="1019"/>
      <c r="G538" s="1019"/>
      <c r="H538" s="1019"/>
      <c r="I538" s="1019"/>
      <c r="J538" s="1019"/>
      <c r="K538" s="1019"/>
      <c r="L538" s="1140"/>
    </row>
    <row r="539" spans="1:12" x14ac:dyDescent="0.35">
      <c r="A539" s="1019"/>
      <c r="B539" s="1019"/>
      <c r="C539" s="1019"/>
      <c r="D539" s="1019"/>
      <c r="E539" s="1019"/>
      <c r="F539" s="1019"/>
      <c r="G539" s="1019"/>
      <c r="H539" s="1019"/>
      <c r="I539" s="1019"/>
      <c r="J539" s="1019"/>
      <c r="K539" s="1019"/>
      <c r="L539" s="1140"/>
    </row>
    <row r="540" spans="1:12" x14ac:dyDescent="0.35">
      <c r="A540" s="1019"/>
      <c r="B540" s="1019"/>
      <c r="C540" s="1019"/>
      <c r="D540" s="1019"/>
      <c r="E540" s="1019"/>
      <c r="F540" s="1019"/>
      <c r="G540" s="1019"/>
      <c r="H540" s="1019"/>
      <c r="I540" s="1019"/>
      <c r="J540" s="1019"/>
      <c r="K540" s="1019"/>
      <c r="L540" s="1140"/>
    </row>
    <row r="541" spans="1:12" x14ac:dyDescent="0.35">
      <c r="A541" s="1019"/>
      <c r="B541" s="1019"/>
      <c r="C541" s="1019"/>
      <c r="D541" s="1019"/>
      <c r="E541" s="1019"/>
      <c r="F541" s="1019"/>
      <c r="G541" s="1019"/>
      <c r="H541" s="1019"/>
      <c r="I541" s="1019"/>
      <c r="J541" s="1019"/>
      <c r="K541" s="1019"/>
      <c r="L541" s="1140"/>
    </row>
    <row r="542" spans="1:12" x14ac:dyDescent="0.35">
      <c r="A542" s="1019"/>
      <c r="B542" s="1019"/>
      <c r="C542" s="1019"/>
      <c r="D542" s="1019"/>
      <c r="E542" s="1019"/>
      <c r="F542" s="1019"/>
      <c r="G542" s="1019"/>
      <c r="H542" s="1019"/>
      <c r="I542" s="1019"/>
      <c r="J542" s="1019"/>
      <c r="K542" s="1019"/>
      <c r="L542" s="1140"/>
    </row>
    <row r="543" spans="1:12" x14ac:dyDescent="0.35">
      <c r="A543" s="1019"/>
      <c r="B543" s="1019"/>
      <c r="C543" s="1019"/>
      <c r="D543" s="1019"/>
      <c r="E543" s="1019"/>
      <c r="F543" s="1019"/>
      <c r="G543" s="1019"/>
      <c r="H543" s="1019"/>
      <c r="I543" s="1019"/>
      <c r="J543" s="1019"/>
      <c r="K543" s="1019"/>
      <c r="L543" s="1140"/>
    </row>
    <row r="544" spans="1:12" x14ac:dyDescent="0.35">
      <c r="A544" s="1019"/>
      <c r="B544" s="1019"/>
      <c r="C544" s="1019"/>
      <c r="D544" s="1019"/>
      <c r="E544" s="1019"/>
      <c r="F544" s="1019"/>
      <c r="G544" s="1019"/>
      <c r="H544" s="1019"/>
      <c r="I544" s="1019"/>
      <c r="J544" s="1019"/>
      <c r="K544" s="1019"/>
      <c r="L544" s="1140"/>
    </row>
    <row r="545" spans="1:12" x14ac:dyDescent="0.35">
      <c r="A545" s="1019"/>
      <c r="B545" s="1019"/>
      <c r="C545" s="1019"/>
      <c r="D545" s="1019"/>
      <c r="E545" s="1019"/>
      <c r="F545" s="1019"/>
      <c r="G545" s="1019"/>
      <c r="H545" s="1019"/>
      <c r="I545" s="1019"/>
      <c r="J545" s="1019"/>
      <c r="K545" s="1019"/>
      <c r="L545" s="1140"/>
    </row>
    <row r="546" spans="1:12" x14ac:dyDescent="0.35">
      <c r="A546" s="1019"/>
      <c r="B546" s="1019"/>
      <c r="C546" s="1019"/>
      <c r="D546" s="1019"/>
      <c r="E546" s="1019"/>
      <c r="F546" s="1019"/>
      <c r="G546" s="1019"/>
      <c r="H546" s="1019"/>
      <c r="I546" s="1019"/>
      <c r="J546" s="1019"/>
      <c r="K546" s="1019"/>
      <c r="L546" s="1140"/>
    </row>
    <row r="547" spans="1:12" x14ac:dyDescent="0.35">
      <c r="A547" s="1019"/>
      <c r="B547" s="1019"/>
      <c r="C547" s="1019"/>
      <c r="D547" s="1019"/>
      <c r="E547" s="1019"/>
      <c r="F547" s="1019"/>
      <c r="G547" s="1019"/>
      <c r="H547" s="1019"/>
      <c r="I547" s="1019"/>
      <c r="J547" s="1019"/>
      <c r="K547" s="1019"/>
      <c r="L547" s="1140"/>
    </row>
    <row r="548" spans="1:12" x14ac:dyDescent="0.35">
      <c r="A548" s="1019"/>
      <c r="B548" s="1019"/>
      <c r="C548" s="1019"/>
      <c r="D548" s="1019"/>
      <c r="E548" s="1019"/>
      <c r="F548" s="1019"/>
      <c r="G548" s="1019"/>
      <c r="H548" s="1019"/>
      <c r="I548" s="1019"/>
      <c r="J548" s="1019"/>
      <c r="K548" s="1019"/>
      <c r="L548" s="1140"/>
    </row>
    <row r="549" spans="1:12" x14ac:dyDescent="0.35">
      <c r="A549" s="1019"/>
      <c r="B549" s="1019"/>
      <c r="C549" s="1019"/>
      <c r="D549" s="1019"/>
      <c r="E549" s="1019"/>
      <c r="F549" s="1019"/>
      <c r="G549" s="1019"/>
      <c r="H549" s="1019"/>
      <c r="I549" s="1019"/>
      <c r="J549" s="1019"/>
      <c r="K549" s="1019"/>
      <c r="L549" s="1140"/>
    </row>
    <row r="550" spans="1:12" x14ac:dyDescent="0.35">
      <c r="A550" s="1019"/>
      <c r="B550" s="1019"/>
      <c r="C550" s="1019"/>
      <c r="D550" s="1019"/>
      <c r="E550" s="1019"/>
      <c r="F550" s="1019"/>
      <c r="G550" s="1019"/>
      <c r="H550" s="1019"/>
      <c r="I550" s="1019"/>
      <c r="J550" s="1019"/>
      <c r="K550" s="1019"/>
      <c r="L550" s="1140"/>
    </row>
    <row r="551" spans="1:12" x14ac:dyDescent="0.35">
      <c r="A551" s="1019"/>
      <c r="B551" s="1019"/>
      <c r="C551" s="1019"/>
      <c r="D551" s="1019"/>
      <c r="E551" s="1019"/>
      <c r="F551" s="1019"/>
      <c r="G551" s="1019"/>
      <c r="H551" s="1019"/>
      <c r="I551" s="1019"/>
      <c r="J551" s="1019"/>
      <c r="K551" s="1019"/>
      <c r="L551" s="1140"/>
    </row>
    <row r="552" spans="1:12" x14ac:dyDescent="0.35">
      <c r="A552" s="1019"/>
      <c r="B552" s="1019"/>
      <c r="C552" s="1019"/>
      <c r="D552" s="1019"/>
      <c r="E552" s="1019"/>
      <c r="F552" s="1019"/>
      <c r="G552" s="1019"/>
      <c r="H552" s="1019"/>
      <c r="I552" s="1019"/>
      <c r="J552" s="1019"/>
      <c r="K552" s="1019"/>
      <c r="L552" s="1140"/>
    </row>
    <row r="553" spans="1:12" x14ac:dyDescent="0.35">
      <c r="A553" s="1019"/>
      <c r="B553" s="1019"/>
      <c r="C553" s="1019"/>
      <c r="D553" s="1019"/>
      <c r="E553" s="1019"/>
      <c r="F553" s="1019"/>
      <c r="G553" s="1019"/>
      <c r="H553" s="1019"/>
      <c r="I553" s="1019"/>
      <c r="J553" s="1019"/>
      <c r="K553" s="1019"/>
      <c r="L553" s="1140"/>
    </row>
    <row r="554" spans="1:12" x14ac:dyDescent="0.35">
      <c r="A554" s="1019"/>
      <c r="B554" s="1019"/>
      <c r="C554" s="1019"/>
      <c r="D554" s="1019"/>
      <c r="E554" s="1019"/>
      <c r="F554" s="1019"/>
      <c r="G554" s="1019"/>
      <c r="H554" s="1019"/>
      <c r="I554" s="1019"/>
      <c r="J554" s="1019"/>
      <c r="K554" s="1019"/>
      <c r="L554" s="1140"/>
    </row>
    <row r="555" spans="1:12" x14ac:dyDescent="0.35">
      <c r="A555" s="1019"/>
      <c r="B555" s="1019"/>
      <c r="C555" s="1019"/>
      <c r="D555" s="1019"/>
      <c r="E555" s="1019"/>
      <c r="F555" s="1019"/>
      <c r="G555" s="1019"/>
      <c r="H555" s="1019"/>
      <c r="I555" s="1019"/>
      <c r="J555" s="1019"/>
      <c r="K555" s="1019"/>
      <c r="L555" s="1140"/>
    </row>
    <row r="556" spans="1:12" x14ac:dyDescent="0.35">
      <c r="A556" s="1019"/>
      <c r="B556" s="1019"/>
      <c r="C556" s="1019"/>
      <c r="D556" s="1019"/>
      <c r="E556" s="1019"/>
      <c r="F556" s="1019"/>
      <c r="G556" s="1019"/>
      <c r="H556" s="1019"/>
      <c r="I556" s="1019"/>
      <c r="J556" s="1019"/>
      <c r="K556" s="1019"/>
      <c r="L556" s="1140"/>
    </row>
    <row r="557" spans="1:12" x14ac:dyDescent="0.35">
      <c r="A557" s="1019"/>
      <c r="B557" s="1019"/>
      <c r="C557" s="1019"/>
      <c r="D557" s="1019"/>
      <c r="E557" s="1019"/>
      <c r="F557" s="1019"/>
      <c r="G557" s="1019"/>
      <c r="H557" s="1019"/>
      <c r="I557" s="1019"/>
      <c r="J557" s="1019"/>
      <c r="K557" s="1019"/>
      <c r="L557" s="1140"/>
    </row>
    <row r="558" spans="1:12" x14ac:dyDescent="0.35">
      <c r="A558" s="1019"/>
      <c r="B558" s="1019"/>
      <c r="C558" s="1019"/>
      <c r="D558" s="1019"/>
      <c r="E558" s="1019"/>
      <c r="F558" s="1019"/>
      <c r="G558" s="1019"/>
      <c r="H558" s="1019"/>
      <c r="I558" s="1019"/>
      <c r="J558" s="1019"/>
      <c r="K558" s="1019"/>
      <c r="L558" s="1140"/>
    </row>
    <row r="559" spans="1:12" x14ac:dyDescent="0.35">
      <c r="A559" s="1019"/>
      <c r="B559" s="1019"/>
      <c r="C559" s="1019"/>
      <c r="D559" s="1019"/>
      <c r="E559" s="1019"/>
      <c r="F559" s="1019"/>
      <c r="G559" s="1019"/>
      <c r="H559" s="1019"/>
      <c r="I559" s="1019"/>
      <c r="J559" s="1019"/>
      <c r="K559" s="1019"/>
      <c r="L559" s="1140"/>
    </row>
    <row r="560" spans="1:12" x14ac:dyDescent="0.35">
      <c r="A560" s="1019"/>
      <c r="B560" s="1019"/>
      <c r="C560" s="1019"/>
      <c r="D560" s="1019"/>
      <c r="E560" s="1019"/>
      <c r="F560" s="1019"/>
      <c r="G560" s="1019"/>
      <c r="H560" s="1019"/>
      <c r="I560" s="1019"/>
      <c r="J560" s="1019"/>
      <c r="K560" s="1019"/>
      <c r="L560" s="1140"/>
    </row>
    <row r="561" spans="1:12" x14ac:dyDescent="0.35">
      <c r="A561" s="1019"/>
      <c r="B561" s="1019"/>
      <c r="C561" s="1019"/>
      <c r="D561" s="1019"/>
      <c r="E561" s="1019"/>
      <c r="F561" s="1019"/>
      <c r="G561" s="1019"/>
      <c r="H561" s="1019"/>
      <c r="I561" s="1019"/>
      <c r="J561" s="1019"/>
      <c r="K561" s="1019"/>
      <c r="L561" s="1140"/>
    </row>
    <row r="562" spans="1:12" x14ac:dyDescent="0.35">
      <c r="A562" s="1019"/>
      <c r="B562" s="1019"/>
      <c r="C562" s="1019"/>
      <c r="D562" s="1019"/>
      <c r="E562" s="1019"/>
      <c r="F562" s="1019"/>
      <c r="G562" s="1019"/>
      <c r="H562" s="1019"/>
      <c r="I562" s="1019"/>
      <c r="J562" s="1019"/>
      <c r="K562" s="1019"/>
      <c r="L562" s="1140"/>
    </row>
    <row r="563" spans="1:12" x14ac:dyDescent="0.35">
      <c r="A563" s="1019"/>
      <c r="B563" s="1019"/>
      <c r="C563" s="1019"/>
      <c r="D563" s="1019"/>
      <c r="E563" s="1019"/>
      <c r="F563" s="1019"/>
      <c r="G563" s="1019"/>
      <c r="H563" s="1019"/>
      <c r="I563" s="1019"/>
      <c r="J563" s="1019"/>
      <c r="K563" s="1019"/>
      <c r="L563" s="1140"/>
    </row>
    <row r="564" spans="1:12" x14ac:dyDescent="0.35">
      <c r="A564" s="1019"/>
      <c r="B564" s="1019"/>
      <c r="C564" s="1019"/>
      <c r="D564" s="1019"/>
      <c r="E564" s="1019"/>
      <c r="F564" s="1019"/>
      <c r="G564" s="1019"/>
      <c r="H564" s="1019"/>
      <c r="I564" s="1019"/>
      <c r="J564" s="1019"/>
      <c r="K564" s="1019"/>
      <c r="L564" s="1140"/>
    </row>
    <row r="565" spans="1:12" x14ac:dyDescent="0.35">
      <c r="A565" s="1019"/>
      <c r="B565" s="1019"/>
      <c r="C565" s="1019"/>
      <c r="D565" s="1019"/>
      <c r="E565" s="1019"/>
      <c r="F565" s="1019"/>
      <c r="G565" s="1019"/>
      <c r="H565" s="1019"/>
      <c r="I565" s="1019"/>
      <c r="J565" s="1019"/>
      <c r="K565" s="1019"/>
      <c r="L565" s="1140"/>
    </row>
    <row r="566" spans="1:12" x14ac:dyDescent="0.35">
      <c r="A566" s="1019"/>
      <c r="B566" s="1019"/>
      <c r="C566" s="1019"/>
      <c r="D566" s="1019"/>
      <c r="E566" s="1019"/>
      <c r="F566" s="1019"/>
      <c r="G566" s="1019"/>
      <c r="H566" s="1019"/>
      <c r="I566" s="1019"/>
      <c r="J566" s="1019"/>
      <c r="K566" s="1019"/>
      <c r="L566" s="1140"/>
    </row>
    <row r="567" spans="1:12" x14ac:dyDescent="0.35">
      <c r="A567" s="1019"/>
      <c r="B567" s="1019"/>
      <c r="C567" s="1019"/>
      <c r="D567" s="1019"/>
      <c r="E567" s="1019"/>
      <c r="F567" s="1019"/>
      <c r="G567" s="1019"/>
      <c r="H567" s="1019"/>
      <c r="I567" s="1019"/>
      <c r="J567" s="1019"/>
      <c r="K567" s="1019"/>
      <c r="L567" s="1140"/>
    </row>
    <row r="568" spans="1:12" x14ac:dyDescent="0.35">
      <c r="A568" s="1019"/>
      <c r="B568" s="1019"/>
      <c r="C568" s="1019"/>
      <c r="D568" s="1019"/>
      <c r="E568" s="1019"/>
      <c r="F568" s="1019"/>
      <c r="G568" s="1019"/>
      <c r="H568" s="1019"/>
      <c r="I568" s="1019"/>
      <c r="J568" s="1019"/>
      <c r="K568" s="1019"/>
      <c r="L568" s="1140"/>
    </row>
    <row r="569" spans="1:12" x14ac:dyDescent="0.35">
      <c r="A569" s="1019"/>
      <c r="B569" s="1019"/>
      <c r="C569" s="1019"/>
      <c r="D569" s="1019"/>
      <c r="E569" s="1019"/>
      <c r="F569" s="1019"/>
      <c r="G569" s="1019"/>
      <c r="H569" s="1019"/>
      <c r="I569" s="1019"/>
      <c r="J569" s="1019"/>
      <c r="K569" s="1019"/>
      <c r="L569" s="1140"/>
    </row>
    <row r="570" spans="1:12" x14ac:dyDescent="0.35">
      <c r="A570" s="1019"/>
      <c r="B570" s="1019"/>
      <c r="C570" s="1019"/>
      <c r="D570" s="1019"/>
      <c r="E570" s="1019"/>
      <c r="F570" s="1019"/>
      <c r="G570" s="1019"/>
      <c r="H570" s="1019"/>
      <c r="I570" s="1019"/>
      <c r="J570" s="1019"/>
      <c r="K570" s="1019"/>
      <c r="L570" s="1140"/>
    </row>
    <row r="571" spans="1:12" x14ac:dyDescent="0.35">
      <c r="A571" s="1019"/>
      <c r="B571" s="1019"/>
      <c r="C571" s="1019"/>
      <c r="D571" s="1019"/>
      <c r="E571" s="1019"/>
      <c r="F571" s="1019"/>
      <c r="G571" s="1019"/>
      <c r="H571" s="1019"/>
      <c r="I571" s="1019"/>
      <c r="J571" s="1019"/>
      <c r="K571" s="1019"/>
      <c r="L571" s="1140"/>
    </row>
    <row r="572" spans="1:12" x14ac:dyDescent="0.35">
      <c r="A572" s="1019"/>
      <c r="B572" s="1019"/>
      <c r="C572" s="1019"/>
      <c r="D572" s="1019"/>
      <c r="E572" s="1019"/>
      <c r="F572" s="1019"/>
      <c r="G572" s="1019"/>
      <c r="H572" s="1019"/>
      <c r="I572" s="1019"/>
      <c r="J572" s="1019"/>
      <c r="K572" s="1019"/>
      <c r="L572" s="1140"/>
    </row>
    <row r="573" spans="1:12" x14ac:dyDescent="0.35">
      <c r="A573" s="1019"/>
      <c r="B573" s="1019"/>
      <c r="C573" s="1019"/>
      <c r="D573" s="1019"/>
      <c r="E573" s="1019"/>
      <c r="F573" s="1019"/>
      <c r="G573" s="1019"/>
      <c r="H573" s="1019"/>
      <c r="I573" s="1019"/>
      <c r="J573" s="1019"/>
      <c r="K573" s="1019"/>
      <c r="L573" s="1140"/>
    </row>
    <row r="574" spans="1:12" x14ac:dyDescent="0.35">
      <c r="A574" s="1019"/>
      <c r="B574" s="1019"/>
      <c r="C574" s="1019"/>
      <c r="D574" s="1019"/>
      <c r="E574" s="1019"/>
      <c r="F574" s="1019"/>
      <c r="G574" s="1019"/>
      <c r="H574" s="1019"/>
      <c r="I574" s="1019"/>
      <c r="J574" s="1019"/>
      <c r="K574" s="1019"/>
      <c r="L574" s="1140"/>
    </row>
    <row r="575" spans="1:12" x14ac:dyDescent="0.35">
      <c r="A575" s="1019"/>
      <c r="B575" s="1019"/>
      <c r="C575" s="1019"/>
      <c r="D575" s="1019"/>
      <c r="E575" s="1019"/>
      <c r="F575" s="1019"/>
      <c r="G575" s="1019"/>
      <c r="H575" s="1019"/>
      <c r="I575" s="1019"/>
      <c r="J575" s="1019"/>
      <c r="K575" s="1019"/>
      <c r="L575" s="1140"/>
    </row>
    <row r="576" spans="1:12" x14ac:dyDescent="0.35">
      <c r="A576" s="1019"/>
      <c r="B576" s="1019"/>
      <c r="C576" s="1019"/>
      <c r="D576" s="1019"/>
      <c r="E576" s="1019"/>
      <c r="F576" s="1019"/>
      <c r="G576" s="1019"/>
      <c r="H576" s="1019"/>
      <c r="I576" s="1019"/>
      <c r="J576" s="1019"/>
      <c r="K576" s="1019"/>
      <c r="L576" s="1140"/>
    </row>
    <row r="577" spans="1:12" x14ac:dyDescent="0.35">
      <c r="A577" s="1019"/>
      <c r="B577" s="1019"/>
      <c r="C577" s="1019"/>
      <c r="D577" s="1019"/>
      <c r="E577" s="1019"/>
      <c r="F577" s="1019"/>
      <c r="G577" s="1019"/>
      <c r="H577" s="1019"/>
      <c r="I577" s="1019"/>
      <c r="J577" s="1019"/>
      <c r="K577" s="1019"/>
      <c r="L577" s="1140"/>
    </row>
    <row r="578" spans="1:12" x14ac:dyDescent="0.35">
      <c r="A578" s="1019"/>
      <c r="B578" s="1019"/>
      <c r="C578" s="1019"/>
      <c r="D578" s="1019"/>
      <c r="E578" s="1019"/>
      <c r="F578" s="1019"/>
      <c r="G578" s="1019"/>
      <c r="H578" s="1019"/>
      <c r="I578" s="1019"/>
      <c r="J578" s="1019"/>
      <c r="K578" s="1019"/>
      <c r="L578" s="1140"/>
    </row>
    <row r="579" spans="1:12" x14ac:dyDescent="0.35">
      <c r="A579" s="1019"/>
      <c r="B579" s="1019"/>
      <c r="C579" s="1019"/>
      <c r="D579" s="1019"/>
      <c r="E579" s="1019"/>
      <c r="F579" s="1019"/>
      <c r="G579" s="1019"/>
      <c r="H579" s="1019"/>
      <c r="I579" s="1019"/>
      <c r="J579" s="1019"/>
      <c r="K579" s="1019"/>
      <c r="L579" s="1140"/>
    </row>
    <row r="580" spans="1:12" x14ac:dyDescent="0.35">
      <c r="A580" s="1019"/>
      <c r="B580" s="1019"/>
      <c r="C580" s="1019"/>
      <c r="D580" s="1019"/>
      <c r="E580" s="1019"/>
      <c r="F580" s="1019"/>
      <c r="G580" s="1019"/>
      <c r="H580" s="1019"/>
      <c r="I580" s="1019"/>
      <c r="J580" s="1019"/>
      <c r="K580" s="1019"/>
      <c r="L580" s="1140"/>
    </row>
    <row r="581" spans="1:12" x14ac:dyDescent="0.35">
      <c r="A581" s="1019"/>
      <c r="B581" s="1019"/>
      <c r="C581" s="1019"/>
      <c r="D581" s="1019"/>
      <c r="E581" s="1019"/>
      <c r="F581" s="1019"/>
      <c r="G581" s="1019"/>
      <c r="H581" s="1019"/>
      <c r="I581" s="1019"/>
      <c r="J581" s="1019"/>
      <c r="K581" s="1019"/>
      <c r="L581" s="1140"/>
    </row>
    <row r="582" spans="1:12" x14ac:dyDescent="0.35">
      <c r="A582" s="1019"/>
      <c r="B582" s="1019"/>
      <c r="C582" s="1019"/>
      <c r="D582" s="1019"/>
      <c r="E582" s="1019"/>
      <c r="F582" s="1019"/>
      <c r="G582" s="1019"/>
      <c r="H582" s="1019"/>
      <c r="I582" s="1019"/>
      <c r="J582" s="1019"/>
      <c r="K582" s="1019"/>
      <c r="L582" s="1140"/>
    </row>
    <row r="583" spans="1:12" x14ac:dyDescent="0.35">
      <c r="A583" s="1019"/>
      <c r="B583" s="1019"/>
      <c r="C583" s="1019"/>
      <c r="D583" s="1019"/>
      <c r="E583" s="1019"/>
      <c r="F583" s="1019"/>
      <c r="G583" s="1019"/>
      <c r="H583" s="1019"/>
      <c r="I583" s="1019"/>
      <c r="J583" s="1019"/>
      <c r="K583" s="1019"/>
      <c r="L583" s="1140"/>
    </row>
    <row r="584" spans="1:12" x14ac:dyDescent="0.35">
      <c r="A584" s="1019"/>
      <c r="B584" s="1019"/>
      <c r="C584" s="1019"/>
      <c r="D584" s="1019"/>
      <c r="E584" s="1019"/>
      <c r="F584" s="1019"/>
      <c r="G584" s="1019"/>
      <c r="H584" s="1019"/>
      <c r="I584" s="1019"/>
      <c r="J584" s="1019"/>
      <c r="K584" s="1019"/>
      <c r="L584" s="1140"/>
    </row>
    <row r="585" spans="1:12" x14ac:dyDescent="0.35">
      <c r="A585" s="1019"/>
      <c r="B585" s="1019"/>
      <c r="C585" s="1019"/>
      <c r="D585" s="1019"/>
      <c r="E585" s="1019"/>
      <c r="F585" s="1019"/>
      <c r="G585" s="1019"/>
      <c r="H585" s="1019"/>
      <c r="I585" s="1019"/>
      <c r="J585" s="1019"/>
      <c r="K585" s="1019"/>
      <c r="L585" s="1140"/>
    </row>
    <row r="586" spans="1:12" x14ac:dyDescent="0.35">
      <c r="A586" s="1019"/>
      <c r="B586" s="1019"/>
      <c r="C586" s="1019"/>
      <c r="D586" s="1019"/>
      <c r="E586" s="1019"/>
      <c r="F586" s="1019"/>
      <c r="G586" s="1019"/>
      <c r="H586" s="1019"/>
      <c r="I586" s="1019"/>
      <c r="J586" s="1019"/>
      <c r="K586" s="1019"/>
      <c r="L586" s="1140"/>
    </row>
    <row r="587" spans="1:12" x14ac:dyDescent="0.35">
      <c r="A587" s="1019"/>
      <c r="B587" s="1019"/>
      <c r="C587" s="1019"/>
      <c r="D587" s="1019"/>
      <c r="E587" s="1019"/>
      <c r="F587" s="1019"/>
      <c r="G587" s="1019"/>
      <c r="H587" s="1019"/>
      <c r="I587" s="1019"/>
      <c r="J587" s="1019"/>
      <c r="K587" s="1019"/>
      <c r="L587" s="1140"/>
    </row>
    <row r="588" spans="1:12" x14ac:dyDescent="0.35">
      <c r="A588" s="1019"/>
      <c r="B588" s="1019"/>
      <c r="C588" s="1019"/>
      <c r="D588" s="1019"/>
      <c r="E588" s="1019"/>
      <c r="F588" s="1019"/>
      <c r="G588" s="1019"/>
      <c r="H588" s="1019"/>
      <c r="I588" s="1019"/>
      <c r="J588" s="1019"/>
      <c r="K588" s="1019"/>
      <c r="L588" s="1140"/>
    </row>
    <row r="589" spans="1:12" x14ac:dyDescent="0.35">
      <c r="A589" s="1019"/>
      <c r="B589" s="1019"/>
      <c r="C589" s="1019"/>
      <c r="D589" s="1019"/>
      <c r="E589" s="1019"/>
      <c r="F589" s="1019"/>
      <c r="G589" s="1019"/>
      <c r="H589" s="1019"/>
      <c r="I589" s="1019"/>
      <c r="J589" s="1019"/>
      <c r="K589" s="1019"/>
      <c r="L589" s="1140"/>
    </row>
    <row r="590" spans="1:12" x14ac:dyDescent="0.35">
      <c r="A590" s="1019"/>
      <c r="B590" s="1019"/>
      <c r="C590" s="1019"/>
      <c r="D590" s="1019"/>
      <c r="E590" s="1019"/>
      <c r="F590" s="1019"/>
      <c r="G590" s="1019"/>
      <c r="H590" s="1019"/>
      <c r="I590" s="1019"/>
      <c r="J590" s="1019"/>
      <c r="K590" s="1019"/>
      <c r="L590" s="1140"/>
    </row>
    <row r="591" spans="1:12" x14ac:dyDescent="0.35">
      <c r="A591" s="1019"/>
      <c r="B591" s="1019"/>
      <c r="C591" s="1019"/>
      <c r="D591" s="1019"/>
      <c r="E591" s="1019"/>
      <c r="F591" s="1019"/>
      <c r="G591" s="1019"/>
      <c r="H591" s="1019"/>
      <c r="I591" s="1019"/>
      <c r="J591" s="1019"/>
      <c r="K591" s="1019"/>
      <c r="L591" s="1140"/>
    </row>
    <row r="592" spans="1:12" x14ac:dyDescent="0.35">
      <c r="A592" s="1019"/>
      <c r="B592" s="1019"/>
      <c r="C592" s="1019"/>
      <c r="D592" s="1019"/>
      <c r="E592" s="1019"/>
      <c r="F592" s="1019"/>
      <c r="G592" s="1019"/>
      <c r="H592" s="1019"/>
      <c r="I592" s="1019"/>
      <c r="J592" s="1019"/>
      <c r="K592" s="1019"/>
      <c r="L592" s="1140"/>
    </row>
    <row r="593" spans="1:12" x14ac:dyDescent="0.35">
      <c r="A593" s="1019"/>
      <c r="B593" s="1019"/>
      <c r="C593" s="1019"/>
      <c r="D593" s="1019"/>
      <c r="E593" s="1019"/>
      <c r="F593" s="1019"/>
      <c r="G593" s="1019"/>
      <c r="H593" s="1019"/>
      <c r="I593" s="1019"/>
      <c r="J593" s="1019"/>
      <c r="K593" s="1019"/>
      <c r="L593" s="1140"/>
    </row>
    <row r="594" spans="1:12" x14ac:dyDescent="0.35">
      <c r="A594" s="1019"/>
      <c r="B594" s="1019"/>
      <c r="C594" s="1019"/>
      <c r="D594" s="1019"/>
      <c r="E594" s="1019"/>
      <c r="F594" s="1019"/>
      <c r="G594" s="1019"/>
      <c r="H594" s="1019"/>
      <c r="I594" s="1019"/>
      <c r="J594" s="1019"/>
      <c r="K594" s="1019"/>
      <c r="L594" s="1140"/>
    </row>
    <row r="595" spans="1:12" x14ac:dyDescent="0.35">
      <c r="A595" s="1019"/>
      <c r="B595" s="1019"/>
      <c r="C595" s="1019"/>
      <c r="D595" s="1019"/>
      <c r="E595" s="1019"/>
      <c r="F595" s="1019"/>
      <c r="G595" s="1019"/>
      <c r="H595" s="1019"/>
      <c r="I595" s="1019"/>
      <c r="J595" s="1019"/>
      <c r="K595" s="1019"/>
      <c r="L595" s="1140"/>
    </row>
    <row r="596" spans="1:12" x14ac:dyDescent="0.35">
      <c r="A596" s="1019"/>
      <c r="B596" s="1019"/>
      <c r="C596" s="1019"/>
      <c r="D596" s="1019"/>
      <c r="E596" s="1019"/>
      <c r="F596" s="1019"/>
      <c r="G596" s="1019"/>
      <c r="H596" s="1019"/>
      <c r="I596" s="1019"/>
      <c r="J596" s="1019"/>
      <c r="K596" s="1019"/>
      <c r="L596" s="1140"/>
    </row>
    <row r="597" spans="1:12" x14ac:dyDescent="0.35">
      <c r="A597" s="1019"/>
      <c r="B597" s="1019"/>
      <c r="C597" s="1019"/>
      <c r="D597" s="1019"/>
      <c r="E597" s="1019"/>
      <c r="F597" s="1019"/>
      <c r="G597" s="1019"/>
      <c r="H597" s="1019"/>
      <c r="I597" s="1019"/>
      <c r="J597" s="1019"/>
      <c r="K597" s="1019"/>
      <c r="L597" s="1140"/>
    </row>
    <row r="598" spans="1:12" x14ac:dyDescent="0.35">
      <c r="A598" s="1019"/>
      <c r="B598" s="1019"/>
      <c r="C598" s="1019"/>
      <c r="D598" s="1019"/>
      <c r="E598" s="1019"/>
      <c r="F598" s="1019"/>
      <c r="G598" s="1019"/>
      <c r="H598" s="1019"/>
      <c r="I598" s="1019"/>
      <c r="J598" s="1019"/>
      <c r="K598" s="1019"/>
      <c r="L598" s="1140"/>
    </row>
    <row r="599" spans="1:12" x14ac:dyDescent="0.35">
      <c r="A599" s="1019"/>
      <c r="B599" s="1019"/>
      <c r="C599" s="1019"/>
      <c r="D599" s="1019"/>
      <c r="E599" s="1019"/>
      <c r="F599" s="1019"/>
      <c r="G599" s="1019"/>
      <c r="H599" s="1019"/>
      <c r="I599" s="1019"/>
      <c r="J599" s="1019"/>
      <c r="K599" s="1019"/>
      <c r="L599" s="1140"/>
    </row>
    <row r="600" spans="1:12" x14ac:dyDescent="0.35">
      <c r="A600" s="1019"/>
      <c r="B600" s="1019"/>
      <c r="C600" s="1019"/>
      <c r="D600" s="1019"/>
      <c r="E600" s="1019"/>
      <c r="F600" s="1019"/>
      <c r="G600" s="1019"/>
      <c r="H600" s="1019"/>
      <c r="I600" s="1019"/>
      <c r="J600" s="1019"/>
      <c r="K600" s="1019"/>
      <c r="L600" s="1140"/>
    </row>
    <row r="601" spans="1:12" x14ac:dyDescent="0.35">
      <c r="A601" s="1019"/>
      <c r="B601" s="1019"/>
      <c r="C601" s="1019"/>
      <c r="D601" s="1019"/>
      <c r="E601" s="1019"/>
      <c r="F601" s="1019"/>
      <c r="G601" s="1019"/>
      <c r="H601" s="1019"/>
      <c r="I601" s="1019"/>
      <c r="J601" s="1019"/>
      <c r="K601" s="1019"/>
      <c r="L601" s="1140"/>
    </row>
    <row r="602" spans="1:12" x14ac:dyDescent="0.35">
      <c r="A602" s="1019"/>
      <c r="B602" s="1019"/>
      <c r="C602" s="1019"/>
      <c r="D602" s="1019"/>
      <c r="E602" s="1019"/>
      <c r="F602" s="1019"/>
      <c r="G602" s="1019"/>
      <c r="H602" s="1019"/>
      <c r="I602" s="1019"/>
      <c r="J602" s="1019"/>
      <c r="K602" s="1019"/>
      <c r="L602" s="1140"/>
    </row>
    <row r="603" spans="1:12" x14ac:dyDescent="0.35">
      <c r="A603" s="1019"/>
      <c r="B603" s="1019"/>
      <c r="C603" s="1019"/>
      <c r="D603" s="1019"/>
      <c r="E603" s="1019"/>
      <c r="F603" s="1019"/>
      <c r="G603" s="1019"/>
      <c r="H603" s="1019"/>
      <c r="I603" s="1019"/>
      <c r="J603" s="1019"/>
      <c r="K603" s="1019"/>
      <c r="L603" s="1140"/>
    </row>
    <row r="604" spans="1:12" x14ac:dyDescent="0.35">
      <c r="A604" s="1019"/>
      <c r="B604" s="1019"/>
      <c r="C604" s="1019"/>
      <c r="D604" s="1019"/>
      <c r="E604" s="1019"/>
      <c r="F604" s="1019"/>
      <c r="G604" s="1019"/>
      <c r="H604" s="1019"/>
      <c r="I604" s="1019"/>
      <c r="J604" s="1019"/>
      <c r="K604" s="1019"/>
      <c r="L604" s="1140"/>
    </row>
    <row r="605" spans="1:12" x14ac:dyDescent="0.35">
      <c r="A605" s="1019"/>
      <c r="B605" s="1019"/>
      <c r="C605" s="1019"/>
      <c r="D605" s="1019"/>
      <c r="E605" s="1019"/>
      <c r="F605" s="1019"/>
      <c r="G605" s="1019"/>
      <c r="H605" s="1019"/>
      <c r="I605" s="1019"/>
      <c r="J605" s="1019"/>
      <c r="K605" s="1019"/>
      <c r="L605" s="1140"/>
    </row>
    <row r="606" spans="1:12" x14ac:dyDescent="0.35">
      <c r="A606" s="1019"/>
      <c r="B606" s="1019"/>
      <c r="C606" s="1019"/>
      <c r="D606" s="1019"/>
      <c r="E606" s="1019"/>
      <c r="F606" s="1019"/>
      <c r="G606" s="1019"/>
      <c r="H606" s="1019"/>
      <c r="I606" s="1019"/>
      <c r="J606" s="1019"/>
      <c r="K606" s="1019"/>
      <c r="L606" s="1140"/>
    </row>
    <row r="607" spans="1:12" x14ac:dyDescent="0.35">
      <c r="A607" s="1019"/>
      <c r="B607" s="1019"/>
      <c r="C607" s="1019"/>
      <c r="D607" s="1019"/>
      <c r="E607" s="1019"/>
      <c r="F607" s="1019"/>
      <c r="G607" s="1019"/>
      <c r="H607" s="1019"/>
      <c r="I607" s="1019"/>
      <c r="J607" s="1019"/>
      <c r="K607" s="1019"/>
      <c r="L607" s="1140"/>
    </row>
    <row r="608" spans="1:12" x14ac:dyDescent="0.35">
      <c r="A608" s="1019"/>
      <c r="B608" s="1019"/>
      <c r="C608" s="1019"/>
      <c r="D608" s="1019"/>
      <c r="E608" s="1019"/>
      <c r="F608" s="1019"/>
      <c r="G608" s="1019"/>
      <c r="H608" s="1019"/>
      <c r="I608" s="1019"/>
      <c r="J608" s="1019"/>
      <c r="K608" s="1019"/>
      <c r="L608" s="1140"/>
    </row>
    <row r="609" spans="1:12" x14ac:dyDescent="0.35">
      <c r="A609" s="1019"/>
      <c r="B609" s="1019"/>
      <c r="C609" s="1019"/>
      <c r="D609" s="1019"/>
      <c r="E609" s="1019"/>
      <c r="F609" s="1019"/>
      <c r="G609" s="1019"/>
      <c r="H609" s="1019"/>
      <c r="I609" s="1019"/>
      <c r="J609" s="1019"/>
      <c r="K609" s="1019"/>
      <c r="L609" s="1140"/>
    </row>
    <row r="610" spans="1:12" x14ac:dyDescent="0.35">
      <c r="A610" s="1019"/>
      <c r="B610" s="1019"/>
      <c r="C610" s="1019"/>
      <c r="D610" s="1019"/>
      <c r="E610" s="1019"/>
      <c r="F610" s="1019"/>
      <c r="G610" s="1019"/>
      <c r="H610" s="1019"/>
      <c r="I610" s="1019"/>
      <c r="J610" s="1019"/>
      <c r="K610" s="1019"/>
      <c r="L610" s="1140"/>
    </row>
    <row r="611" spans="1:12" x14ac:dyDescent="0.35">
      <c r="A611" s="1019"/>
      <c r="B611" s="1019"/>
      <c r="C611" s="1019"/>
      <c r="D611" s="1019"/>
      <c r="E611" s="1019"/>
      <c r="F611" s="1019"/>
      <c r="G611" s="1019"/>
      <c r="H611" s="1019"/>
      <c r="I611" s="1019"/>
      <c r="J611" s="1019"/>
      <c r="K611" s="1019"/>
      <c r="L611" s="1140"/>
    </row>
    <row r="612" spans="1:12" x14ac:dyDescent="0.35">
      <c r="A612" s="1019"/>
      <c r="B612" s="1019"/>
      <c r="C612" s="1019"/>
      <c r="D612" s="1019"/>
      <c r="E612" s="1019"/>
      <c r="F612" s="1019"/>
      <c r="G612" s="1019"/>
      <c r="H612" s="1019"/>
      <c r="I612" s="1019"/>
      <c r="J612" s="1019"/>
      <c r="K612" s="1019"/>
      <c r="L612" s="1140"/>
    </row>
    <row r="613" spans="1:12" x14ac:dyDescent="0.35">
      <c r="A613" s="1019"/>
      <c r="B613" s="1019"/>
      <c r="C613" s="1019"/>
      <c r="D613" s="1019"/>
      <c r="E613" s="1019"/>
      <c r="F613" s="1019"/>
      <c r="G613" s="1019"/>
      <c r="H613" s="1019"/>
      <c r="I613" s="1019"/>
      <c r="J613" s="1019"/>
      <c r="K613" s="1019"/>
      <c r="L613" s="1140"/>
    </row>
    <row r="614" spans="1:12" x14ac:dyDescent="0.35">
      <c r="A614" s="1019"/>
      <c r="B614" s="1019"/>
      <c r="C614" s="1019"/>
      <c r="D614" s="1019"/>
      <c r="E614" s="1019"/>
      <c r="F614" s="1019"/>
      <c r="G614" s="1019"/>
      <c r="H614" s="1019"/>
      <c r="I614" s="1019"/>
      <c r="J614" s="1019"/>
      <c r="K614" s="1019"/>
      <c r="L614" s="1140"/>
    </row>
    <row r="615" spans="1:12" x14ac:dyDescent="0.35">
      <c r="A615" s="1019"/>
      <c r="B615" s="1019"/>
      <c r="C615" s="1019"/>
      <c r="D615" s="1019"/>
      <c r="E615" s="1019"/>
      <c r="F615" s="1019"/>
      <c r="G615" s="1019"/>
      <c r="H615" s="1019"/>
      <c r="I615" s="1019"/>
      <c r="J615" s="1019"/>
      <c r="K615" s="1019"/>
      <c r="L615" s="1140"/>
    </row>
    <row r="616" spans="1:12" x14ac:dyDescent="0.35">
      <c r="A616" s="1019"/>
      <c r="B616" s="1019"/>
      <c r="C616" s="1019"/>
      <c r="D616" s="1019"/>
      <c r="E616" s="1019"/>
      <c r="F616" s="1019"/>
      <c r="G616" s="1019"/>
      <c r="H616" s="1019"/>
      <c r="I616" s="1019"/>
      <c r="J616" s="1019"/>
      <c r="K616" s="1019"/>
      <c r="L616" s="1140"/>
    </row>
    <row r="617" spans="1:12" x14ac:dyDescent="0.35">
      <c r="A617" s="1019"/>
      <c r="B617" s="1019"/>
      <c r="C617" s="1019"/>
      <c r="D617" s="1019"/>
      <c r="E617" s="1019"/>
      <c r="F617" s="1019"/>
      <c r="G617" s="1019"/>
      <c r="H617" s="1019"/>
      <c r="I617" s="1019"/>
      <c r="J617" s="1019"/>
      <c r="K617" s="1019"/>
      <c r="L617" s="1140"/>
    </row>
    <row r="618" spans="1:12" x14ac:dyDescent="0.35">
      <c r="A618" s="1019"/>
      <c r="B618" s="1019"/>
      <c r="C618" s="1019"/>
      <c r="D618" s="1019"/>
      <c r="E618" s="1019"/>
      <c r="F618" s="1019"/>
      <c r="G618" s="1019"/>
      <c r="H618" s="1019"/>
      <c r="I618" s="1019"/>
      <c r="J618" s="1019"/>
      <c r="K618" s="1019"/>
      <c r="L618" s="1140"/>
    </row>
    <row r="619" spans="1:12" x14ac:dyDescent="0.35">
      <c r="A619" s="1019"/>
      <c r="B619" s="1019"/>
      <c r="C619" s="1019"/>
      <c r="D619" s="1019"/>
      <c r="E619" s="1019"/>
      <c r="F619" s="1019"/>
      <c r="G619" s="1019"/>
      <c r="H619" s="1019"/>
      <c r="I619" s="1019"/>
      <c r="J619" s="1019"/>
      <c r="K619" s="1019"/>
      <c r="L619" s="1140"/>
    </row>
    <row r="620" spans="1:12" x14ac:dyDescent="0.35">
      <c r="A620" s="1019"/>
      <c r="B620" s="1019"/>
      <c r="C620" s="1019"/>
      <c r="D620" s="1019"/>
      <c r="E620" s="1019"/>
      <c r="F620" s="1019"/>
      <c r="G620" s="1019"/>
      <c r="H620" s="1019"/>
      <c r="I620" s="1019"/>
      <c r="J620" s="1019"/>
      <c r="K620" s="1019"/>
      <c r="L620" s="1140"/>
    </row>
    <row r="621" spans="1:12" x14ac:dyDescent="0.35">
      <c r="A621" s="1019"/>
      <c r="B621" s="1019"/>
      <c r="C621" s="1019"/>
      <c r="D621" s="1019"/>
      <c r="E621" s="1019"/>
      <c r="F621" s="1019"/>
      <c r="G621" s="1019"/>
      <c r="H621" s="1019"/>
      <c r="I621" s="1019"/>
      <c r="J621" s="1019"/>
      <c r="K621" s="1019"/>
      <c r="L621" s="1140"/>
    </row>
    <row r="622" spans="1:12" x14ac:dyDescent="0.35">
      <c r="A622" s="1019"/>
      <c r="B622" s="1019"/>
      <c r="C622" s="1019"/>
      <c r="D622" s="1019"/>
      <c r="E622" s="1019"/>
      <c r="F622" s="1019"/>
      <c r="G622" s="1019"/>
      <c r="H622" s="1019"/>
      <c r="I622" s="1019"/>
      <c r="J622" s="1019"/>
      <c r="K622" s="1019"/>
      <c r="L622" s="1140"/>
    </row>
    <row r="623" spans="1:12" x14ac:dyDescent="0.35">
      <c r="A623" s="1019"/>
      <c r="B623" s="1019"/>
      <c r="C623" s="1019"/>
      <c r="D623" s="1019"/>
      <c r="E623" s="1019"/>
      <c r="F623" s="1019"/>
      <c r="G623" s="1019"/>
      <c r="H623" s="1019"/>
      <c r="I623" s="1019"/>
      <c r="J623" s="1019"/>
      <c r="K623" s="1019"/>
      <c r="L623" s="1140"/>
    </row>
    <row r="624" spans="1:12" x14ac:dyDescent="0.35">
      <c r="A624" s="1019"/>
      <c r="B624" s="1019"/>
      <c r="C624" s="1019"/>
      <c r="D624" s="1019"/>
      <c r="E624" s="1019"/>
      <c r="F624" s="1019"/>
      <c r="G624" s="1019"/>
      <c r="H624" s="1019"/>
      <c r="I624" s="1019"/>
      <c r="J624" s="1019"/>
      <c r="K624" s="1019"/>
      <c r="L624" s="1140"/>
    </row>
    <row r="625" spans="1:12" x14ac:dyDescent="0.35">
      <c r="A625" s="1019"/>
      <c r="B625" s="1019"/>
      <c r="C625" s="1019"/>
      <c r="D625" s="1019"/>
      <c r="E625" s="1019"/>
      <c r="F625" s="1019"/>
      <c r="G625" s="1019"/>
      <c r="H625" s="1019"/>
      <c r="I625" s="1019"/>
      <c r="J625" s="1019"/>
      <c r="K625" s="1019"/>
      <c r="L625" s="1140"/>
    </row>
    <row r="626" spans="1:12" x14ac:dyDescent="0.35">
      <c r="A626" s="1019"/>
      <c r="B626" s="1019"/>
      <c r="C626" s="1019"/>
      <c r="D626" s="1019"/>
      <c r="E626" s="1019"/>
      <c r="F626" s="1019"/>
      <c r="G626" s="1019"/>
      <c r="H626" s="1019"/>
      <c r="I626" s="1019"/>
      <c r="J626" s="1019"/>
      <c r="K626" s="1019"/>
      <c r="L626" s="1140"/>
    </row>
    <row r="627" spans="1:12" x14ac:dyDescent="0.35">
      <c r="A627" s="1019"/>
      <c r="B627" s="1019"/>
      <c r="C627" s="1019"/>
      <c r="D627" s="1019"/>
      <c r="E627" s="1019"/>
      <c r="F627" s="1019"/>
      <c r="G627" s="1019"/>
      <c r="H627" s="1019"/>
      <c r="I627" s="1019"/>
      <c r="J627" s="1019"/>
      <c r="K627" s="1019"/>
      <c r="L627" s="1140"/>
    </row>
    <row r="628" spans="1:12" x14ac:dyDescent="0.35">
      <c r="A628" s="1019"/>
      <c r="B628" s="1019"/>
      <c r="C628" s="1019"/>
      <c r="D628" s="1019"/>
      <c r="E628" s="1019"/>
      <c r="F628" s="1019"/>
      <c r="G628" s="1019"/>
      <c r="H628" s="1019"/>
      <c r="I628" s="1019"/>
      <c r="J628" s="1019"/>
      <c r="K628" s="1019"/>
      <c r="L628" s="1140"/>
    </row>
    <row r="629" spans="1:12" x14ac:dyDescent="0.35">
      <c r="A629" s="1019"/>
      <c r="B629" s="1019"/>
      <c r="C629" s="1019"/>
      <c r="D629" s="1019"/>
      <c r="E629" s="1019"/>
      <c r="F629" s="1019"/>
      <c r="G629" s="1019"/>
      <c r="H629" s="1019"/>
      <c r="I629" s="1019"/>
      <c r="J629" s="1019"/>
      <c r="K629" s="1019"/>
      <c r="L629" s="1140"/>
    </row>
    <row r="630" spans="1:12" x14ac:dyDescent="0.35">
      <c r="A630" s="1019"/>
      <c r="B630" s="1019"/>
      <c r="C630" s="1019"/>
      <c r="D630" s="1019"/>
      <c r="E630" s="1019"/>
      <c r="F630" s="1019"/>
      <c r="G630" s="1019"/>
      <c r="H630" s="1019"/>
      <c r="I630" s="1019"/>
      <c r="J630" s="1019"/>
      <c r="K630" s="1019"/>
      <c r="L630" s="1140"/>
    </row>
    <row r="631" spans="1:12" x14ac:dyDescent="0.35">
      <c r="A631" s="1019"/>
      <c r="B631" s="1019"/>
      <c r="C631" s="1019"/>
      <c r="D631" s="1019"/>
      <c r="E631" s="1019"/>
      <c r="F631" s="1019"/>
      <c r="G631" s="1019"/>
      <c r="H631" s="1019"/>
      <c r="I631" s="1019"/>
      <c r="J631" s="1019"/>
      <c r="K631" s="1019"/>
      <c r="L631" s="1140"/>
    </row>
    <row r="632" spans="1:12" x14ac:dyDescent="0.35">
      <c r="A632" s="1019"/>
      <c r="B632" s="1019"/>
      <c r="C632" s="1019"/>
      <c r="D632" s="1019"/>
      <c r="E632" s="1019"/>
      <c r="F632" s="1019"/>
      <c r="G632" s="1019"/>
      <c r="H632" s="1019"/>
      <c r="I632" s="1019"/>
      <c r="J632" s="1019"/>
      <c r="K632" s="1019"/>
      <c r="L632" s="1140"/>
    </row>
    <row r="633" spans="1:12" x14ac:dyDescent="0.35">
      <c r="A633" s="1019"/>
      <c r="B633" s="1019"/>
      <c r="C633" s="1019"/>
      <c r="D633" s="1019"/>
      <c r="E633" s="1019"/>
      <c r="F633" s="1019"/>
      <c r="G633" s="1019"/>
      <c r="H633" s="1019"/>
      <c r="I633" s="1019"/>
      <c r="J633" s="1019"/>
      <c r="K633" s="1019"/>
      <c r="L633" s="1140"/>
    </row>
    <row r="634" spans="1:12" x14ac:dyDescent="0.35">
      <c r="A634" s="1019"/>
      <c r="B634" s="1019"/>
      <c r="C634" s="1019"/>
      <c r="D634" s="1019"/>
      <c r="E634" s="1019"/>
      <c r="F634" s="1019"/>
      <c r="G634" s="1019"/>
      <c r="H634" s="1019"/>
      <c r="I634" s="1019"/>
      <c r="J634" s="1019"/>
      <c r="K634" s="1019"/>
      <c r="L634" s="1140"/>
    </row>
    <row r="635" spans="1:12" x14ac:dyDescent="0.35">
      <c r="A635" s="1019"/>
      <c r="B635" s="1019"/>
      <c r="C635" s="1019"/>
      <c r="D635" s="1019"/>
      <c r="E635" s="1019"/>
      <c r="F635" s="1019"/>
      <c r="G635" s="1019"/>
      <c r="H635" s="1019"/>
      <c r="I635" s="1019"/>
      <c r="J635" s="1019"/>
      <c r="K635" s="1019"/>
      <c r="L635" s="1140"/>
    </row>
    <row r="636" spans="1:12" x14ac:dyDescent="0.35">
      <c r="A636" s="1019"/>
      <c r="B636" s="1019"/>
      <c r="C636" s="1019"/>
      <c r="D636" s="1019"/>
      <c r="E636" s="1019"/>
      <c r="F636" s="1019"/>
      <c r="G636" s="1019"/>
      <c r="H636" s="1019"/>
      <c r="I636" s="1019"/>
      <c r="J636" s="1019"/>
      <c r="K636" s="1019"/>
      <c r="L636" s="1140"/>
    </row>
    <row r="637" spans="1:12" x14ac:dyDescent="0.35">
      <c r="A637" s="1019"/>
      <c r="B637" s="1019"/>
      <c r="C637" s="1019"/>
      <c r="D637" s="1019"/>
      <c r="E637" s="1019"/>
      <c r="F637" s="1019"/>
      <c r="G637" s="1019"/>
      <c r="H637" s="1019"/>
      <c r="I637" s="1019"/>
      <c r="J637" s="1019"/>
      <c r="K637" s="1019"/>
      <c r="L637" s="1140"/>
    </row>
    <row r="638" spans="1:12" x14ac:dyDescent="0.35">
      <c r="A638" s="1019"/>
      <c r="B638" s="1019"/>
      <c r="C638" s="1019"/>
      <c r="D638" s="1019"/>
      <c r="E638" s="1019"/>
      <c r="F638" s="1019"/>
      <c r="G638" s="1019"/>
      <c r="H638" s="1019"/>
      <c r="I638" s="1019"/>
      <c r="J638" s="1019"/>
      <c r="K638" s="1019"/>
      <c r="L638" s="1140"/>
    </row>
    <row r="639" spans="1:12" x14ac:dyDescent="0.35">
      <c r="A639" s="1019"/>
      <c r="B639" s="1019"/>
      <c r="C639" s="1019"/>
      <c r="D639" s="1019"/>
      <c r="E639" s="1019"/>
      <c r="F639" s="1019"/>
      <c r="G639" s="1019"/>
      <c r="H639" s="1019"/>
      <c r="I639" s="1019"/>
      <c r="J639" s="1019"/>
      <c r="K639" s="1019"/>
      <c r="L639" s="1140"/>
    </row>
    <row r="640" spans="1:12" x14ac:dyDescent="0.35">
      <c r="A640" s="1019"/>
      <c r="B640" s="1019"/>
      <c r="C640" s="1019"/>
      <c r="D640" s="1019"/>
      <c r="E640" s="1019"/>
      <c r="F640" s="1019"/>
      <c r="G640" s="1019"/>
      <c r="H640" s="1019"/>
      <c r="I640" s="1019"/>
      <c r="J640" s="1019"/>
      <c r="K640" s="1019"/>
      <c r="L640" s="1140"/>
    </row>
    <row r="641" spans="1:12" x14ac:dyDescent="0.35">
      <c r="A641" s="1019"/>
      <c r="B641" s="1019"/>
      <c r="C641" s="1019"/>
      <c r="D641" s="1019"/>
      <c r="E641" s="1019"/>
      <c r="F641" s="1019"/>
      <c r="G641" s="1019"/>
      <c r="H641" s="1019"/>
      <c r="I641" s="1019"/>
      <c r="J641" s="1019"/>
      <c r="K641" s="1019"/>
      <c r="L641" s="1140"/>
    </row>
    <row r="642" spans="1:12" x14ac:dyDescent="0.35">
      <c r="A642" s="1019"/>
      <c r="B642" s="1019"/>
      <c r="C642" s="1019"/>
      <c r="D642" s="1019"/>
      <c r="E642" s="1019"/>
      <c r="F642" s="1019"/>
      <c r="G642" s="1019"/>
      <c r="H642" s="1019"/>
      <c r="I642" s="1019"/>
      <c r="J642" s="1019"/>
      <c r="K642" s="1019"/>
      <c r="L642" s="1140"/>
    </row>
    <row r="643" spans="1:12" x14ac:dyDescent="0.35">
      <c r="A643" s="1019"/>
      <c r="B643" s="1019"/>
      <c r="C643" s="1019"/>
      <c r="D643" s="1019"/>
      <c r="E643" s="1019"/>
      <c r="F643" s="1019"/>
      <c r="G643" s="1019"/>
      <c r="H643" s="1019"/>
      <c r="I643" s="1019"/>
      <c r="J643" s="1019"/>
      <c r="K643" s="1019"/>
      <c r="L643" s="1140"/>
    </row>
    <row r="644" spans="1:12" x14ac:dyDescent="0.35">
      <c r="A644" s="1019"/>
      <c r="B644" s="1019"/>
      <c r="C644" s="1019"/>
      <c r="D644" s="1019"/>
      <c r="E644" s="1019"/>
      <c r="F644" s="1019"/>
      <c r="G644" s="1019"/>
      <c r="H644" s="1019"/>
      <c r="I644" s="1019"/>
      <c r="J644" s="1019"/>
      <c r="K644" s="1019"/>
      <c r="L644" s="1140"/>
    </row>
    <row r="645" spans="1:12" x14ac:dyDescent="0.35">
      <c r="A645" s="1019"/>
      <c r="B645" s="1019"/>
      <c r="C645" s="1019"/>
      <c r="D645" s="1019"/>
      <c r="E645" s="1019"/>
      <c r="F645" s="1019"/>
      <c r="G645" s="1019"/>
      <c r="H645" s="1019"/>
      <c r="I645" s="1019"/>
      <c r="J645" s="1019"/>
      <c r="K645" s="1019"/>
      <c r="L645" s="1140"/>
    </row>
    <row r="646" spans="1:12" x14ac:dyDescent="0.35">
      <c r="A646" s="1019"/>
      <c r="B646" s="1019"/>
      <c r="C646" s="1019"/>
      <c r="D646" s="1019"/>
      <c r="E646" s="1019"/>
      <c r="F646" s="1019"/>
      <c r="G646" s="1019"/>
      <c r="H646" s="1019"/>
      <c r="I646" s="1019"/>
      <c r="J646" s="1019"/>
      <c r="K646" s="1019"/>
      <c r="L646" s="1140"/>
    </row>
    <row r="647" spans="1:12" x14ac:dyDescent="0.35">
      <c r="A647" s="1019"/>
      <c r="B647" s="1019"/>
      <c r="C647" s="1019"/>
      <c r="D647" s="1019"/>
      <c r="E647" s="1019"/>
      <c r="F647" s="1019"/>
      <c r="G647" s="1019"/>
      <c r="H647" s="1019"/>
      <c r="I647" s="1019"/>
      <c r="J647" s="1019"/>
      <c r="K647" s="1019"/>
      <c r="L647" s="1140"/>
    </row>
    <row r="648" spans="1:12" x14ac:dyDescent="0.35">
      <c r="A648" s="1019"/>
      <c r="B648" s="1019"/>
      <c r="C648" s="1019"/>
      <c r="D648" s="1019"/>
      <c r="E648" s="1019"/>
      <c r="F648" s="1019"/>
      <c r="G648" s="1019"/>
      <c r="H648" s="1019"/>
      <c r="I648" s="1019"/>
      <c r="J648" s="1019"/>
      <c r="K648" s="1019"/>
      <c r="L648" s="1140"/>
    </row>
    <row r="649" spans="1:12" x14ac:dyDescent="0.35">
      <c r="A649" s="1019"/>
      <c r="B649" s="1019"/>
      <c r="C649" s="1019"/>
      <c r="D649" s="1019"/>
      <c r="E649" s="1019"/>
      <c r="F649" s="1019"/>
      <c r="G649" s="1019"/>
      <c r="H649" s="1019"/>
      <c r="I649" s="1019"/>
      <c r="J649" s="1019"/>
      <c r="K649" s="1019"/>
      <c r="L649" s="1140"/>
    </row>
    <row r="650" spans="1:12" x14ac:dyDescent="0.35">
      <c r="A650" s="1019"/>
      <c r="B650" s="1019"/>
      <c r="C650" s="1019"/>
      <c r="D650" s="1019"/>
      <c r="E650" s="1019"/>
      <c r="F650" s="1019"/>
      <c r="G650" s="1019"/>
      <c r="H650" s="1019"/>
      <c r="I650" s="1019"/>
      <c r="J650" s="1019"/>
      <c r="K650" s="1019"/>
      <c r="L650" s="1140"/>
    </row>
    <row r="651" spans="1:12" x14ac:dyDescent="0.35">
      <c r="A651" s="1019"/>
      <c r="B651" s="1019"/>
      <c r="C651" s="1019"/>
      <c r="D651" s="1019"/>
      <c r="E651" s="1019"/>
      <c r="F651" s="1019"/>
      <c r="G651" s="1019"/>
      <c r="H651" s="1019"/>
      <c r="I651" s="1019"/>
      <c r="J651" s="1019"/>
      <c r="K651" s="1019"/>
      <c r="L651" s="1140"/>
    </row>
    <row r="652" spans="1:12" x14ac:dyDescent="0.35">
      <c r="A652" s="1019"/>
      <c r="B652" s="1019"/>
      <c r="C652" s="1019"/>
      <c r="D652" s="1019"/>
      <c r="E652" s="1019"/>
      <c r="F652" s="1019"/>
      <c r="G652" s="1019"/>
      <c r="H652" s="1019"/>
      <c r="I652" s="1019"/>
      <c r="J652" s="1019"/>
      <c r="K652" s="1019"/>
      <c r="L652" s="1140"/>
    </row>
    <row r="653" spans="1:12" x14ac:dyDescent="0.35">
      <c r="A653" s="1019"/>
      <c r="B653" s="1019"/>
      <c r="C653" s="1019"/>
      <c r="D653" s="1019"/>
      <c r="E653" s="1019"/>
      <c r="F653" s="1019"/>
      <c r="G653" s="1019"/>
      <c r="H653" s="1019"/>
      <c r="I653" s="1019"/>
      <c r="J653" s="1019"/>
      <c r="K653" s="1019"/>
      <c r="L653" s="1140"/>
    </row>
    <row r="654" spans="1:12" x14ac:dyDescent="0.35">
      <c r="A654" s="1019"/>
      <c r="B654" s="1019"/>
      <c r="C654" s="1019"/>
      <c r="D654" s="1019"/>
      <c r="E654" s="1019"/>
      <c r="F654" s="1019"/>
      <c r="G654" s="1019"/>
      <c r="H654" s="1019"/>
      <c r="I654" s="1019"/>
      <c r="J654" s="1019"/>
      <c r="K654" s="1019"/>
      <c r="L654" s="1140"/>
    </row>
    <row r="655" spans="1:12" x14ac:dyDescent="0.35">
      <c r="A655" s="1019"/>
      <c r="B655" s="1019"/>
      <c r="C655" s="1019"/>
      <c r="D655" s="1019"/>
      <c r="E655" s="1019"/>
      <c r="F655" s="1019"/>
      <c r="G655" s="1019"/>
      <c r="H655" s="1019"/>
      <c r="I655" s="1019"/>
      <c r="J655" s="1019"/>
      <c r="K655" s="1019"/>
      <c r="L655" s="1140"/>
    </row>
    <row r="656" spans="1:12" x14ac:dyDescent="0.35">
      <c r="A656" s="1019"/>
      <c r="B656" s="1019"/>
      <c r="C656" s="1019"/>
      <c r="D656" s="1019"/>
      <c r="E656" s="1019"/>
      <c r="F656" s="1019"/>
      <c r="G656" s="1019"/>
      <c r="H656" s="1019"/>
      <c r="I656" s="1019"/>
      <c r="J656" s="1019"/>
      <c r="K656" s="1019"/>
      <c r="L656" s="1140"/>
    </row>
    <row r="657" spans="1:12" x14ac:dyDescent="0.35">
      <c r="A657" s="1019"/>
      <c r="B657" s="1019"/>
      <c r="C657" s="1019"/>
      <c r="D657" s="1019"/>
      <c r="E657" s="1019"/>
      <c r="F657" s="1019"/>
      <c r="G657" s="1019"/>
      <c r="H657" s="1019"/>
      <c r="I657" s="1019"/>
      <c r="J657" s="1019"/>
      <c r="K657" s="1019"/>
      <c r="L657" s="1140"/>
    </row>
    <row r="658" spans="1:12" x14ac:dyDescent="0.35">
      <c r="A658" s="1019"/>
      <c r="B658" s="1019"/>
      <c r="C658" s="1019"/>
      <c r="D658" s="1019"/>
      <c r="E658" s="1019"/>
      <c r="F658" s="1019"/>
      <c r="G658" s="1019"/>
      <c r="H658" s="1019"/>
      <c r="I658" s="1019"/>
      <c r="J658" s="1019"/>
      <c r="K658" s="1019"/>
      <c r="L658" s="1140"/>
    </row>
    <row r="659" spans="1:12" x14ac:dyDescent="0.35">
      <c r="A659" s="1019"/>
      <c r="B659" s="1019"/>
      <c r="C659" s="1019"/>
      <c r="D659" s="1019"/>
      <c r="E659" s="1019"/>
      <c r="F659" s="1019"/>
      <c r="G659" s="1019"/>
      <c r="H659" s="1019"/>
      <c r="I659" s="1019"/>
      <c r="J659" s="1019"/>
      <c r="K659" s="1019"/>
      <c r="L659" s="1140"/>
    </row>
    <row r="660" spans="1:12" x14ac:dyDescent="0.35">
      <c r="A660" s="1019"/>
      <c r="B660" s="1019"/>
      <c r="C660" s="1019"/>
      <c r="D660" s="1019"/>
      <c r="E660" s="1019"/>
      <c r="F660" s="1019"/>
      <c r="G660" s="1019"/>
      <c r="H660" s="1019"/>
      <c r="I660" s="1019"/>
      <c r="J660" s="1019"/>
      <c r="K660" s="1019"/>
      <c r="L660" s="1140"/>
    </row>
    <row r="661" spans="1:12" x14ac:dyDescent="0.35">
      <c r="A661" s="1019"/>
      <c r="B661" s="1019"/>
      <c r="C661" s="1019"/>
      <c r="D661" s="1019"/>
      <c r="E661" s="1019"/>
      <c r="F661" s="1019"/>
      <c r="G661" s="1019"/>
      <c r="H661" s="1019"/>
      <c r="I661" s="1019"/>
      <c r="J661" s="1019"/>
      <c r="K661" s="1019"/>
      <c r="L661" s="1140"/>
    </row>
    <row r="662" spans="1:12" x14ac:dyDescent="0.35">
      <c r="A662" s="1019"/>
      <c r="B662" s="1019"/>
      <c r="C662" s="1019"/>
      <c r="D662" s="1019"/>
      <c r="E662" s="1019"/>
      <c r="F662" s="1019"/>
      <c r="G662" s="1019"/>
      <c r="H662" s="1019"/>
      <c r="I662" s="1019"/>
      <c r="J662" s="1019"/>
      <c r="K662" s="1019"/>
      <c r="L662" s="1140"/>
    </row>
    <row r="663" spans="1:12" x14ac:dyDescent="0.35">
      <c r="A663" s="1019"/>
      <c r="B663" s="1019"/>
      <c r="C663" s="1019"/>
      <c r="D663" s="1019"/>
      <c r="E663" s="1019"/>
      <c r="F663" s="1019"/>
      <c r="G663" s="1019"/>
      <c r="H663" s="1019"/>
      <c r="I663" s="1019"/>
      <c r="J663" s="1019"/>
      <c r="K663" s="1019"/>
      <c r="L663" s="1140"/>
    </row>
    <row r="664" spans="1:12" x14ac:dyDescent="0.35">
      <c r="A664" s="1019"/>
      <c r="B664" s="1019"/>
      <c r="C664" s="1019"/>
      <c r="D664" s="1019"/>
      <c r="E664" s="1019"/>
      <c r="F664" s="1019"/>
      <c r="G664" s="1019"/>
      <c r="H664" s="1019"/>
      <c r="I664" s="1019"/>
      <c r="J664" s="1019"/>
      <c r="K664" s="1019"/>
      <c r="L664" s="1140"/>
    </row>
    <row r="665" spans="1:12" x14ac:dyDescent="0.35">
      <c r="A665" s="1019"/>
      <c r="B665" s="1019"/>
      <c r="C665" s="1019"/>
      <c r="D665" s="1019"/>
      <c r="E665" s="1019"/>
      <c r="F665" s="1019"/>
      <c r="G665" s="1019"/>
      <c r="H665" s="1019"/>
      <c r="I665" s="1019"/>
      <c r="J665" s="1019"/>
      <c r="K665" s="1019"/>
      <c r="L665" s="1140"/>
    </row>
    <row r="666" spans="1:12" x14ac:dyDescent="0.35">
      <c r="A666" s="1019"/>
      <c r="B666" s="1019"/>
      <c r="C666" s="1019"/>
      <c r="D666" s="1019"/>
      <c r="E666" s="1019"/>
      <c r="F666" s="1019"/>
      <c r="G666" s="1019"/>
      <c r="H666" s="1019"/>
      <c r="I666" s="1019"/>
      <c r="J666" s="1019"/>
      <c r="K666" s="1019"/>
      <c r="L666" s="1140"/>
    </row>
    <row r="667" spans="1:12" x14ac:dyDescent="0.35">
      <c r="A667" s="1019"/>
      <c r="B667" s="1019"/>
      <c r="C667" s="1019"/>
      <c r="D667" s="1019"/>
      <c r="E667" s="1019"/>
      <c r="F667" s="1019"/>
      <c r="G667" s="1019"/>
      <c r="H667" s="1019"/>
      <c r="I667" s="1019"/>
      <c r="J667" s="1019"/>
      <c r="K667" s="1019"/>
      <c r="L667" s="1140"/>
    </row>
    <row r="668" spans="1:12" x14ac:dyDescent="0.35">
      <c r="A668" s="1019"/>
      <c r="B668" s="1019"/>
      <c r="C668" s="1019"/>
      <c r="D668" s="1019"/>
      <c r="E668" s="1019"/>
      <c r="F668" s="1019"/>
      <c r="G668" s="1019"/>
      <c r="H668" s="1019"/>
      <c r="I668" s="1019"/>
      <c r="J668" s="1019"/>
      <c r="K668" s="1019"/>
      <c r="L668" s="1140"/>
    </row>
    <row r="669" spans="1:12" x14ac:dyDescent="0.35">
      <c r="A669" s="1019"/>
      <c r="B669" s="1019"/>
      <c r="C669" s="1019"/>
      <c r="D669" s="1019"/>
      <c r="E669" s="1019"/>
      <c r="F669" s="1019"/>
      <c r="G669" s="1019"/>
      <c r="H669" s="1019"/>
      <c r="I669" s="1019"/>
      <c r="J669" s="1019"/>
      <c r="K669" s="1019"/>
      <c r="L669" s="1140"/>
    </row>
    <row r="670" spans="1:12" x14ac:dyDescent="0.35">
      <c r="A670" s="1019"/>
      <c r="B670" s="1019"/>
      <c r="C670" s="1019"/>
      <c r="D670" s="1019"/>
      <c r="E670" s="1019"/>
      <c r="F670" s="1019"/>
      <c r="G670" s="1019"/>
      <c r="H670" s="1019"/>
      <c r="I670" s="1019"/>
      <c r="J670" s="1019"/>
      <c r="K670" s="1019"/>
      <c r="L670" s="1140"/>
    </row>
    <row r="671" spans="1:12" x14ac:dyDescent="0.35">
      <c r="A671" s="1019"/>
      <c r="B671" s="1019"/>
      <c r="C671" s="1019"/>
      <c r="D671" s="1019"/>
      <c r="E671" s="1019"/>
      <c r="F671" s="1019"/>
      <c r="G671" s="1019"/>
      <c r="H671" s="1019"/>
      <c r="I671" s="1019"/>
      <c r="J671" s="1019"/>
      <c r="K671" s="1019"/>
      <c r="L671" s="1140"/>
    </row>
    <row r="672" spans="1:12" x14ac:dyDescent="0.35">
      <c r="A672" s="1019"/>
      <c r="B672" s="1019"/>
      <c r="C672" s="1019"/>
      <c r="D672" s="1019"/>
      <c r="E672" s="1019"/>
      <c r="F672" s="1019"/>
      <c r="G672" s="1019"/>
      <c r="H672" s="1019"/>
      <c r="I672" s="1019"/>
      <c r="J672" s="1019"/>
      <c r="K672" s="1019"/>
      <c r="L672" s="1140"/>
    </row>
    <row r="673" spans="1:12" x14ac:dyDescent="0.35">
      <c r="A673" s="1019"/>
      <c r="B673" s="1019"/>
      <c r="C673" s="1019"/>
      <c r="D673" s="1019"/>
      <c r="E673" s="1019"/>
      <c r="F673" s="1019"/>
      <c r="G673" s="1019"/>
      <c r="H673" s="1019"/>
      <c r="I673" s="1019"/>
      <c r="J673" s="1019"/>
      <c r="K673" s="1019"/>
      <c r="L673" s="1140"/>
    </row>
    <row r="674" spans="1:12" x14ac:dyDescent="0.35">
      <c r="A674" s="1019"/>
      <c r="B674" s="1019"/>
      <c r="C674" s="1019"/>
      <c r="D674" s="1019"/>
      <c r="E674" s="1019"/>
      <c r="F674" s="1019"/>
      <c r="G674" s="1019"/>
      <c r="H674" s="1019"/>
      <c r="I674" s="1019"/>
      <c r="J674" s="1019"/>
      <c r="K674" s="1019"/>
      <c r="L674" s="1140"/>
    </row>
    <row r="675" spans="1:12" x14ac:dyDescent="0.35">
      <c r="A675" s="1019"/>
      <c r="B675" s="1019"/>
      <c r="C675" s="1019"/>
      <c r="D675" s="1019"/>
      <c r="E675" s="1019"/>
      <c r="F675" s="1019"/>
      <c r="G675" s="1019"/>
      <c r="H675" s="1019"/>
      <c r="I675" s="1019"/>
      <c r="J675" s="1019"/>
      <c r="K675" s="1019"/>
      <c r="L675" s="1140"/>
    </row>
    <row r="676" spans="1:12" x14ac:dyDescent="0.35">
      <c r="A676" s="1019"/>
      <c r="B676" s="1019"/>
      <c r="C676" s="1019"/>
      <c r="D676" s="1019"/>
      <c r="E676" s="1019"/>
      <c r="F676" s="1019"/>
      <c r="G676" s="1019"/>
      <c r="H676" s="1019"/>
      <c r="I676" s="1019"/>
      <c r="J676" s="1019"/>
      <c r="K676" s="1019"/>
      <c r="L676" s="1140"/>
    </row>
    <row r="677" spans="1:12" x14ac:dyDescent="0.35">
      <c r="A677" s="1019"/>
      <c r="B677" s="1019"/>
      <c r="C677" s="1019"/>
      <c r="D677" s="1019"/>
      <c r="E677" s="1019"/>
      <c r="F677" s="1019"/>
      <c r="G677" s="1019"/>
      <c r="H677" s="1019"/>
      <c r="I677" s="1019"/>
      <c r="J677" s="1019"/>
      <c r="K677" s="1019"/>
      <c r="L677" s="1140"/>
    </row>
    <row r="678" spans="1:12" x14ac:dyDescent="0.35">
      <c r="A678" s="1019"/>
      <c r="B678" s="1019"/>
      <c r="C678" s="1019"/>
      <c r="D678" s="1019"/>
      <c r="E678" s="1019"/>
      <c r="F678" s="1019"/>
      <c r="G678" s="1019"/>
      <c r="H678" s="1019"/>
      <c r="I678" s="1019"/>
      <c r="J678" s="1019"/>
      <c r="K678" s="1019"/>
      <c r="L678" s="1140"/>
    </row>
    <row r="679" spans="1:12" x14ac:dyDescent="0.35">
      <c r="A679" s="1019"/>
      <c r="B679" s="1019"/>
      <c r="C679" s="1019"/>
      <c r="D679" s="1019"/>
      <c r="E679" s="1019"/>
      <c r="F679" s="1019"/>
      <c r="G679" s="1019"/>
      <c r="H679" s="1019"/>
      <c r="I679" s="1019"/>
      <c r="J679" s="1019"/>
      <c r="K679" s="1019"/>
      <c r="L679" s="1140"/>
    </row>
    <row r="680" spans="1:12" x14ac:dyDescent="0.35">
      <c r="A680" s="1019"/>
      <c r="B680" s="1019"/>
      <c r="C680" s="1019"/>
      <c r="D680" s="1019"/>
      <c r="E680" s="1019"/>
      <c r="F680" s="1019"/>
      <c r="G680" s="1019"/>
      <c r="H680" s="1019"/>
      <c r="I680" s="1019"/>
      <c r="J680" s="1019"/>
      <c r="K680" s="1019"/>
      <c r="L680" s="1140"/>
    </row>
    <row r="681" spans="1:12" x14ac:dyDescent="0.35">
      <c r="A681" s="1019"/>
      <c r="B681" s="1019"/>
      <c r="C681" s="1019"/>
      <c r="D681" s="1019"/>
      <c r="E681" s="1019"/>
      <c r="F681" s="1019"/>
      <c r="G681" s="1019"/>
      <c r="H681" s="1019"/>
      <c r="I681" s="1019"/>
      <c r="J681" s="1019"/>
      <c r="K681" s="1019"/>
      <c r="L681" s="1140"/>
    </row>
    <row r="682" spans="1:12" x14ac:dyDescent="0.35">
      <c r="A682" s="1019"/>
      <c r="B682" s="1019"/>
      <c r="C682" s="1019"/>
      <c r="D682" s="1019"/>
      <c r="E682" s="1019"/>
      <c r="F682" s="1019"/>
      <c r="G682" s="1019"/>
      <c r="H682" s="1019"/>
      <c r="I682" s="1019"/>
      <c r="J682" s="1019"/>
      <c r="K682" s="1019"/>
      <c r="L682" s="1140"/>
    </row>
    <row r="683" spans="1:12" x14ac:dyDescent="0.35">
      <c r="A683" s="1019"/>
      <c r="B683" s="1019"/>
      <c r="C683" s="1019"/>
      <c r="D683" s="1019"/>
      <c r="E683" s="1019"/>
      <c r="F683" s="1019"/>
      <c r="G683" s="1019"/>
      <c r="H683" s="1019"/>
      <c r="I683" s="1019"/>
      <c r="J683" s="1019"/>
      <c r="K683" s="1019"/>
      <c r="L683" s="1140"/>
    </row>
    <row r="684" spans="1:12" x14ac:dyDescent="0.35">
      <c r="A684" s="1019"/>
      <c r="B684" s="1019"/>
      <c r="C684" s="1019"/>
      <c r="D684" s="1019"/>
      <c r="E684" s="1019"/>
      <c r="F684" s="1019"/>
      <c r="G684" s="1019"/>
      <c r="H684" s="1019"/>
      <c r="I684" s="1019"/>
      <c r="J684" s="1019"/>
      <c r="K684" s="1019"/>
      <c r="L684" s="1140"/>
    </row>
    <row r="685" spans="1:12" x14ac:dyDescent="0.35">
      <c r="A685" s="1019"/>
      <c r="B685" s="1019"/>
      <c r="C685" s="1019"/>
      <c r="D685" s="1019"/>
      <c r="E685" s="1019"/>
      <c r="F685" s="1019"/>
      <c r="G685" s="1019"/>
      <c r="H685" s="1019"/>
      <c r="I685" s="1019"/>
      <c r="J685" s="1019"/>
      <c r="K685" s="1019"/>
      <c r="L685" s="1140"/>
    </row>
    <row r="686" spans="1:12" x14ac:dyDescent="0.35">
      <c r="A686" s="1019"/>
      <c r="B686" s="1019"/>
      <c r="C686" s="1019"/>
      <c r="D686" s="1019"/>
      <c r="E686" s="1019"/>
      <c r="F686" s="1019"/>
      <c r="G686" s="1019"/>
      <c r="H686" s="1019"/>
      <c r="I686" s="1019"/>
      <c r="J686" s="1019"/>
      <c r="K686" s="1019"/>
      <c r="L686" s="1140"/>
    </row>
    <row r="687" spans="1:12" x14ac:dyDescent="0.35">
      <c r="A687" s="1019"/>
      <c r="B687" s="1019"/>
      <c r="C687" s="1019"/>
      <c r="D687" s="1019"/>
      <c r="E687" s="1019"/>
      <c r="F687" s="1019"/>
      <c r="G687" s="1019"/>
      <c r="H687" s="1019"/>
      <c r="I687" s="1019"/>
      <c r="J687" s="1019"/>
      <c r="K687" s="1019"/>
      <c r="L687" s="1140"/>
    </row>
    <row r="688" spans="1:12" x14ac:dyDescent="0.35">
      <c r="A688" s="1019"/>
      <c r="B688" s="1019"/>
      <c r="C688" s="1019"/>
      <c r="D688" s="1019"/>
      <c r="E688" s="1019"/>
      <c r="F688" s="1019"/>
      <c r="G688" s="1019"/>
      <c r="H688" s="1019"/>
      <c r="I688" s="1019"/>
      <c r="J688" s="1019"/>
      <c r="K688" s="1019"/>
      <c r="L688" s="1140"/>
    </row>
    <row r="689" spans="1:12" x14ac:dyDescent="0.35">
      <c r="A689" s="1019"/>
      <c r="B689" s="1019"/>
      <c r="C689" s="1019"/>
      <c r="D689" s="1019"/>
      <c r="E689" s="1019"/>
      <c r="F689" s="1019"/>
      <c r="G689" s="1019"/>
      <c r="H689" s="1019"/>
      <c r="I689" s="1019"/>
      <c r="J689" s="1019"/>
      <c r="K689" s="1019"/>
      <c r="L689" s="1140"/>
    </row>
    <row r="690" spans="1:12" x14ac:dyDescent="0.35">
      <c r="A690" s="1019"/>
      <c r="B690" s="1019"/>
      <c r="C690" s="1019"/>
      <c r="D690" s="1019"/>
      <c r="E690" s="1019"/>
      <c r="F690" s="1019"/>
      <c r="G690" s="1019"/>
      <c r="H690" s="1019"/>
      <c r="I690" s="1019"/>
      <c r="J690" s="1019"/>
      <c r="K690" s="1019"/>
      <c r="L690" s="1140"/>
    </row>
    <row r="691" spans="1:12" x14ac:dyDescent="0.35">
      <c r="A691" s="1019"/>
      <c r="B691" s="1019"/>
      <c r="C691" s="1019"/>
      <c r="D691" s="1019"/>
      <c r="E691" s="1019"/>
      <c r="F691" s="1019"/>
      <c r="G691" s="1019"/>
      <c r="H691" s="1019"/>
      <c r="I691" s="1019"/>
      <c r="J691" s="1019"/>
      <c r="K691" s="1019"/>
      <c r="L691" s="1140"/>
    </row>
    <row r="692" spans="1:12" x14ac:dyDescent="0.35">
      <c r="A692" s="1019"/>
      <c r="B692" s="1019"/>
      <c r="C692" s="1019"/>
      <c r="D692" s="1019"/>
      <c r="E692" s="1019"/>
      <c r="F692" s="1019"/>
      <c r="G692" s="1019"/>
      <c r="H692" s="1019"/>
      <c r="I692" s="1019"/>
      <c r="J692" s="1019"/>
      <c r="K692" s="1019"/>
      <c r="L692" s="1140"/>
    </row>
    <row r="693" spans="1:12" x14ac:dyDescent="0.35">
      <c r="A693" s="1019"/>
      <c r="B693" s="1019"/>
      <c r="C693" s="1019"/>
      <c r="D693" s="1019"/>
      <c r="E693" s="1019"/>
      <c r="F693" s="1019"/>
      <c r="G693" s="1019"/>
      <c r="H693" s="1019"/>
      <c r="I693" s="1019"/>
      <c r="J693" s="1019"/>
      <c r="K693" s="1019"/>
      <c r="L693" s="1140"/>
    </row>
    <row r="694" spans="1:12" x14ac:dyDescent="0.35">
      <c r="A694" s="1019"/>
      <c r="B694" s="1019"/>
      <c r="C694" s="1019"/>
      <c r="D694" s="1019"/>
      <c r="E694" s="1019"/>
      <c r="F694" s="1019"/>
      <c r="G694" s="1019"/>
      <c r="H694" s="1019"/>
      <c r="I694" s="1019"/>
      <c r="J694" s="1019"/>
      <c r="K694" s="1019"/>
      <c r="L694" s="1140"/>
    </row>
    <row r="695" spans="1:12" x14ac:dyDescent="0.35">
      <c r="A695" s="1019"/>
      <c r="B695" s="1019"/>
      <c r="C695" s="1019"/>
      <c r="D695" s="1019"/>
      <c r="E695" s="1019"/>
      <c r="F695" s="1019"/>
      <c r="G695" s="1019"/>
      <c r="H695" s="1019"/>
      <c r="I695" s="1019"/>
      <c r="J695" s="1019"/>
      <c r="K695" s="1019"/>
      <c r="L695" s="1140"/>
    </row>
    <row r="696" spans="1:12" x14ac:dyDescent="0.35">
      <c r="A696" s="1019"/>
      <c r="B696" s="1019"/>
      <c r="C696" s="1019"/>
      <c r="D696" s="1019"/>
      <c r="E696" s="1019"/>
      <c r="F696" s="1019"/>
      <c r="G696" s="1019"/>
      <c r="H696" s="1019"/>
      <c r="I696" s="1019"/>
      <c r="J696" s="1019"/>
      <c r="K696" s="1019"/>
      <c r="L696" s="1140"/>
    </row>
    <row r="697" spans="1:12" x14ac:dyDescent="0.35">
      <c r="A697" s="1019"/>
      <c r="B697" s="1019"/>
      <c r="C697" s="1019"/>
      <c r="D697" s="1019"/>
      <c r="E697" s="1019"/>
      <c r="F697" s="1019"/>
      <c r="G697" s="1019"/>
      <c r="H697" s="1019"/>
      <c r="I697" s="1019"/>
      <c r="J697" s="1019"/>
      <c r="K697" s="1019"/>
      <c r="L697" s="1140"/>
    </row>
    <row r="698" spans="1:12" x14ac:dyDescent="0.35">
      <c r="A698" s="1019"/>
      <c r="B698" s="1019"/>
      <c r="C698" s="1019"/>
      <c r="D698" s="1019"/>
      <c r="E698" s="1019"/>
      <c r="F698" s="1019"/>
      <c r="G698" s="1019"/>
      <c r="H698" s="1019"/>
      <c r="I698" s="1019"/>
      <c r="J698" s="1019"/>
      <c r="K698" s="1019"/>
      <c r="L698" s="1140"/>
    </row>
    <row r="699" spans="1:12" x14ac:dyDescent="0.35">
      <c r="A699" s="1019"/>
      <c r="B699" s="1019"/>
      <c r="C699" s="1019"/>
      <c r="D699" s="1019"/>
      <c r="E699" s="1019"/>
      <c r="F699" s="1019"/>
      <c r="G699" s="1019"/>
      <c r="H699" s="1019"/>
      <c r="I699" s="1019"/>
      <c r="J699" s="1019"/>
      <c r="K699" s="1019"/>
      <c r="L699" s="1140"/>
    </row>
    <row r="700" spans="1:12" x14ac:dyDescent="0.35">
      <c r="A700" s="1019"/>
      <c r="B700" s="1019"/>
      <c r="C700" s="1019"/>
      <c r="D700" s="1019"/>
      <c r="E700" s="1019"/>
      <c r="F700" s="1019"/>
      <c r="G700" s="1019"/>
      <c r="H700" s="1019"/>
      <c r="I700" s="1019"/>
      <c r="J700" s="1019"/>
      <c r="K700" s="1019"/>
      <c r="L700" s="1140"/>
    </row>
    <row r="701" spans="1:12" x14ac:dyDescent="0.35">
      <c r="A701" s="1019"/>
      <c r="B701" s="1019"/>
      <c r="C701" s="1019"/>
      <c r="D701" s="1019"/>
      <c r="E701" s="1019"/>
      <c r="F701" s="1019"/>
      <c r="G701" s="1019"/>
      <c r="H701" s="1019"/>
      <c r="I701" s="1019"/>
      <c r="J701" s="1019"/>
      <c r="K701" s="1019"/>
      <c r="L701" s="1140"/>
    </row>
    <row r="702" spans="1:12" x14ac:dyDescent="0.35">
      <c r="A702" s="1019"/>
      <c r="B702" s="1019"/>
      <c r="C702" s="1019"/>
      <c r="D702" s="1019"/>
      <c r="E702" s="1019"/>
      <c r="F702" s="1019"/>
      <c r="G702" s="1019"/>
      <c r="H702" s="1019"/>
      <c r="I702" s="1019"/>
      <c r="J702" s="1019"/>
      <c r="K702" s="1019"/>
      <c r="L702" s="1140"/>
    </row>
    <row r="703" spans="1:12" x14ac:dyDescent="0.35">
      <c r="A703" s="1019"/>
      <c r="B703" s="1019"/>
      <c r="C703" s="1019"/>
      <c r="D703" s="1019"/>
      <c r="E703" s="1019"/>
      <c r="F703" s="1019"/>
      <c r="G703" s="1019"/>
      <c r="H703" s="1019"/>
      <c r="I703" s="1019"/>
      <c r="J703" s="1019"/>
      <c r="K703" s="1019"/>
      <c r="L703" s="1140"/>
    </row>
    <row r="704" spans="1:12" x14ac:dyDescent="0.35">
      <c r="A704" s="1019"/>
      <c r="B704" s="1019"/>
      <c r="C704" s="1019"/>
      <c r="D704" s="1019"/>
      <c r="E704" s="1019"/>
      <c r="F704" s="1019"/>
      <c r="G704" s="1019"/>
      <c r="H704" s="1019"/>
      <c r="I704" s="1019"/>
      <c r="J704" s="1019"/>
      <c r="K704" s="1019"/>
      <c r="L704" s="1140"/>
    </row>
    <row r="705" spans="1:12" x14ac:dyDescent="0.35">
      <c r="A705" s="1019"/>
      <c r="B705" s="1019"/>
      <c r="C705" s="1019"/>
      <c r="D705" s="1019"/>
      <c r="E705" s="1019"/>
      <c r="F705" s="1019"/>
      <c r="G705" s="1019"/>
      <c r="H705" s="1019"/>
      <c r="I705" s="1019"/>
      <c r="J705" s="1019"/>
      <c r="K705" s="1019"/>
      <c r="L705" s="1140"/>
    </row>
    <row r="706" spans="1:12" x14ac:dyDescent="0.35">
      <c r="A706" s="1019"/>
      <c r="B706" s="1019"/>
      <c r="C706" s="1019"/>
      <c r="D706" s="1019"/>
      <c r="E706" s="1019"/>
      <c r="F706" s="1019"/>
      <c r="G706" s="1019"/>
      <c r="H706" s="1019"/>
      <c r="I706" s="1019"/>
      <c r="J706" s="1019"/>
      <c r="K706" s="1019"/>
      <c r="L706" s="1140"/>
    </row>
    <row r="707" spans="1:12" x14ac:dyDescent="0.35">
      <c r="A707" s="1019"/>
      <c r="B707" s="1019"/>
      <c r="C707" s="1019"/>
      <c r="D707" s="1019"/>
      <c r="E707" s="1019"/>
      <c r="F707" s="1019"/>
      <c r="G707" s="1019"/>
      <c r="H707" s="1019"/>
      <c r="I707" s="1019"/>
      <c r="J707" s="1019"/>
      <c r="K707" s="1019"/>
      <c r="L707" s="1140"/>
    </row>
    <row r="708" spans="1:12" x14ac:dyDescent="0.35">
      <c r="A708" s="1019"/>
      <c r="B708" s="1019"/>
      <c r="C708" s="1019"/>
      <c r="D708" s="1019"/>
      <c r="E708" s="1019"/>
      <c r="F708" s="1019"/>
      <c r="G708" s="1019"/>
      <c r="H708" s="1019"/>
      <c r="I708" s="1019"/>
      <c r="J708" s="1019"/>
      <c r="K708" s="1019"/>
      <c r="L708" s="1140"/>
    </row>
    <row r="709" spans="1:12" x14ac:dyDescent="0.35">
      <c r="A709" s="1019"/>
      <c r="B709" s="1019"/>
      <c r="C709" s="1019"/>
      <c r="D709" s="1019"/>
      <c r="E709" s="1019"/>
      <c r="F709" s="1019"/>
      <c r="G709" s="1019"/>
      <c r="H709" s="1019"/>
      <c r="I709" s="1019"/>
      <c r="J709" s="1019"/>
      <c r="K709" s="1019"/>
      <c r="L709" s="1140"/>
    </row>
    <row r="710" spans="1:12" x14ac:dyDescent="0.35">
      <c r="A710" s="1019"/>
      <c r="B710" s="1019"/>
      <c r="C710" s="1019"/>
      <c r="D710" s="1019"/>
      <c r="E710" s="1019"/>
      <c r="F710" s="1019"/>
      <c r="G710" s="1019"/>
      <c r="H710" s="1019"/>
      <c r="I710" s="1019"/>
      <c r="J710" s="1019"/>
      <c r="K710" s="1019"/>
      <c r="L710" s="1140"/>
    </row>
    <row r="711" spans="1:12" x14ac:dyDescent="0.35">
      <c r="A711" s="1019"/>
      <c r="B711" s="1019"/>
      <c r="C711" s="1019"/>
      <c r="D711" s="1019"/>
      <c r="E711" s="1019"/>
      <c r="F711" s="1019"/>
      <c r="G711" s="1019"/>
      <c r="H711" s="1019"/>
      <c r="I711" s="1019"/>
      <c r="J711" s="1019"/>
      <c r="K711" s="1019"/>
      <c r="L711" s="1140"/>
    </row>
    <row r="712" spans="1:12" x14ac:dyDescent="0.35">
      <c r="A712" s="1019"/>
      <c r="B712" s="1019"/>
      <c r="C712" s="1019"/>
      <c r="D712" s="1019"/>
      <c r="E712" s="1019"/>
      <c r="F712" s="1019"/>
      <c r="G712" s="1019"/>
      <c r="H712" s="1019"/>
      <c r="I712" s="1019"/>
      <c r="J712" s="1019"/>
      <c r="K712" s="1019"/>
      <c r="L712" s="1140"/>
    </row>
    <row r="713" spans="1:12" x14ac:dyDescent="0.35">
      <c r="A713" s="1019"/>
      <c r="B713" s="1019"/>
      <c r="C713" s="1019"/>
      <c r="D713" s="1019"/>
      <c r="E713" s="1019"/>
      <c r="F713" s="1019"/>
      <c r="G713" s="1019"/>
      <c r="H713" s="1019"/>
      <c r="I713" s="1019"/>
      <c r="J713" s="1019"/>
      <c r="K713" s="1019"/>
      <c r="L713" s="1140"/>
    </row>
    <row r="714" spans="1:12" x14ac:dyDescent="0.35">
      <c r="A714" s="1019"/>
      <c r="B714" s="1019"/>
      <c r="C714" s="1019"/>
      <c r="D714" s="1019"/>
      <c r="E714" s="1019"/>
      <c r="F714" s="1019"/>
      <c r="G714" s="1019"/>
      <c r="H714" s="1019"/>
      <c r="I714" s="1019"/>
      <c r="J714" s="1019"/>
      <c r="K714" s="1019"/>
      <c r="L714" s="1140"/>
    </row>
    <row r="715" spans="1:12" x14ac:dyDescent="0.35">
      <c r="A715" s="1019"/>
      <c r="B715" s="1019"/>
      <c r="C715" s="1019"/>
      <c r="D715" s="1019"/>
      <c r="E715" s="1019"/>
      <c r="F715" s="1019"/>
      <c r="G715" s="1019"/>
      <c r="H715" s="1019"/>
      <c r="I715" s="1019"/>
      <c r="J715" s="1019"/>
      <c r="K715" s="1019"/>
      <c r="L715" s="1140"/>
    </row>
    <row r="716" spans="1:12" x14ac:dyDescent="0.35">
      <c r="A716" s="1019"/>
      <c r="B716" s="1019"/>
      <c r="C716" s="1019"/>
      <c r="D716" s="1019"/>
      <c r="E716" s="1019"/>
      <c r="F716" s="1019"/>
      <c r="G716" s="1019"/>
      <c r="H716" s="1019"/>
      <c r="I716" s="1019"/>
      <c r="J716" s="1019"/>
      <c r="K716" s="1019"/>
      <c r="L716" s="1140"/>
    </row>
    <row r="717" spans="1:12" x14ac:dyDescent="0.35">
      <c r="A717" s="1019"/>
      <c r="B717" s="1019"/>
      <c r="C717" s="1019"/>
      <c r="D717" s="1019"/>
      <c r="E717" s="1019"/>
      <c r="F717" s="1019"/>
      <c r="G717" s="1019"/>
      <c r="H717" s="1019"/>
      <c r="I717" s="1019"/>
      <c r="J717" s="1019"/>
      <c r="K717" s="1019"/>
      <c r="L717" s="1140"/>
    </row>
    <row r="718" spans="1:12" x14ac:dyDescent="0.35">
      <c r="A718" s="1019"/>
      <c r="B718" s="1019"/>
      <c r="C718" s="1019"/>
      <c r="D718" s="1019"/>
      <c r="E718" s="1019"/>
      <c r="F718" s="1019"/>
      <c r="G718" s="1019"/>
      <c r="H718" s="1019"/>
      <c r="I718" s="1019"/>
      <c r="J718" s="1019"/>
      <c r="K718" s="1019"/>
      <c r="L718" s="1140"/>
    </row>
    <row r="719" spans="1:12" x14ac:dyDescent="0.35">
      <c r="A719" s="1019"/>
      <c r="B719" s="1019"/>
      <c r="C719" s="1019"/>
      <c r="D719" s="1019"/>
      <c r="E719" s="1019"/>
      <c r="F719" s="1019"/>
      <c r="G719" s="1019"/>
      <c r="H719" s="1019"/>
      <c r="I719" s="1019"/>
      <c r="J719" s="1019"/>
      <c r="K719" s="1019"/>
      <c r="L719" s="1140"/>
    </row>
    <row r="720" spans="1:12" x14ac:dyDescent="0.35">
      <c r="A720" s="1019"/>
      <c r="B720" s="1019"/>
      <c r="C720" s="1019"/>
      <c r="D720" s="1019"/>
      <c r="E720" s="1019"/>
      <c r="F720" s="1019"/>
      <c r="G720" s="1019"/>
      <c r="H720" s="1019"/>
      <c r="I720" s="1019"/>
      <c r="J720" s="1019"/>
      <c r="K720" s="1019"/>
      <c r="L720" s="1140"/>
    </row>
    <row r="721" spans="1:12" x14ac:dyDescent="0.35">
      <c r="A721" s="1019"/>
      <c r="B721" s="1019"/>
      <c r="C721" s="1019"/>
      <c r="D721" s="1019"/>
      <c r="E721" s="1019"/>
      <c r="F721" s="1019"/>
      <c r="G721" s="1019"/>
      <c r="H721" s="1019"/>
      <c r="I721" s="1019"/>
      <c r="J721" s="1019"/>
      <c r="K721" s="1019"/>
      <c r="L721" s="1140"/>
    </row>
    <row r="722" spans="1:12" x14ac:dyDescent="0.35">
      <c r="A722" s="1019"/>
      <c r="B722" s="1019"/>
      <c r="C722" s="1019"/>
      <c r="D722" s="1019"/>
      <c r="E722" s="1019"/>
      <c r="F722" s="1019"/>
      <c r="G722" s="1019"/>
      <c r="H722" s="1019"/>
      <c r="I722" s="1019"/>
      <c r="J722" s="1019"/>
      <c r="K722" s="1019"/>
      <c r="L722" s="1140"/>
    </row>
    <row r="723" spans="1:12" x14ac:dyDescent="0.35">
      <c r="A723" s="1019"/>
      <c r="B723" s="1019"/>
      <c r="C723" s="1019"/>
      <c r="D723" s="1019"/>
      <c r="E723" s="1019"/>
      <c r="F723" s="1019"/>
      <c r="G723" s="1019"/>
      <c r="H723" s="1019"/>
      <c r="I723" s="1019"/>
      <c r="J723" s="1019"/>
      <c r="K723" s="1019"/>
      <c r="L723" s="1140"/>
    </row>
    <row r="724" spans="1:12" x14ac:dyDescent="0.35">
      <c r="A724" s="1019"/>
      <c r="B724" s="1019"/>
      <c r="C724" s="1019"/>
      <c r="D724" s="1019"/>
      <c r="E724" s="1019"/>
      <c r="F724" s="1019"/>
      <c r="G724" s="1019"/>
      <c r="H724" s="1019"/>
      <c r="I724" s="1019"/>
      <c r="J724" s="1019"/>
      <c r="K724" s="1019"/>
      <c r="L724" s="1140"/>
    </row>
    <row r="725" spans="1:12" x14ac:dyDescent="0.35">
      <c r="A725" s="1019"/>
      <c r="B725" s="1019"/>
      <c r="C725" s="1019"/>
      <c r="D725" s="1019"/>
      <c r="E725" s="1019"/>
      <c r="F725" s="1019"/>
      <c r="G725" s="1019"/>
      <c r="H725" s="1019"/>
      <c r="I725" s="1019"/>
      <c r="J725" s="1019"/>
      <c r="K725" s="1019"/>
      <c r="L725" s="1140"/>
    </row>
    <row r="726" spans="1:12" x14ac:dyDescent="0.35">
      <c r="A726" s="1019"/>
      <c r="B726" s="1019"/>
      <c r="C726" s="1019"/>
      <c r="D726" s="1019"/>
      <c r="E726" s="1019"/>
      <c r="F726" s="1019"/>
      <c r="G726" s="1019"/>
      <c r="H726" s="1019"/>
      <c r="I726" s="1019"/>
      <c r="J726" s="1019"/>
      <c r="K726" s="1019"/>
      <c r="L726" s="1140"/>
    </row>
    <row r="727" spans="1:12" x14ac:dyDescent="0.35">
      <c r="A727" s="1019"/>
      <c r="B727" s="1019"/>
      <c r="C727" s="1019"/>
      <c r="D727" s="1019"/>
      <c r="E727" s="1019"/>
      <c r="F727" s="1019"/>
      <c r="G727" s="1019"/>
      <c r="H727" s="1019"/>
      <c r="I727" s="1019"/>
      <c r="J727" s="1019"/>
      <c r="K727" s="1019"/>
      <c r="L727" s="1140"/>
    </row>
    <row r="728" spans="1:12" x14ac:dyDescent="0.35">
      <c r="A728" s="1019"/>
      <c r="B728" s="1019"/>
      <c r="C728" s="1019"/>
      <c r="D728" s="1019"/>
      <c r="E728" s="1019"/>
      <c r="F728" s="1019"/>
      <c r="G728" s="1019"/>
      <c r="H728" s="1019"/>
      <c r="I728" s="1019"/>
      <c r="J728" s="1019"/>
      <c r="K728" s="1019"/>
      <c r="L728" s="1140"/>
    </row>
    <row r="729" spans="1:12" x14ac:dyDescent="0.35">
      <c r="A729" s="1019"/>
      <c r="B729" s="1019"/>
      <c r="C729" s="1019"/>
      <c r="D729" s="1019"/>
      <c r="E729" s="1019"/>
      <c r="F729" s="1019"/>
      <c r="G729" s="1019"/>
      <c r="H729" s="1019"/>
      <c r="I729" s="1019"/>
      <c r="J729" s="1019"/>
      <c r="K729" s="1019"/>
      <c r="L729" s="1140"/>
    </row>
    <row r="730" spans="1:12" x14ac:dyDescent="0.35">
      <c r="A730" s="1019"/>
      <c r="B730" s="1019"/>
      <c r="C730" s="1019"/>
      <c r="D730" s="1019"/>
      <c r="E730" s="1019"/>
      <c r="F730" s="1019"/>
      <c r="G730" s="1019"/>
      <c r="H730" s="1019"/>
      <c r="I730" s="1019"/>
      <c r="J730" s="1019"/>
      <c r="K730" s="1019"/>
      <c r="L730" s="1140"/>
    </row>
    <row r="731" spans="1:12" x14ac:dyDescent="0.35">
      <c r="A731" s="1019"/>
      <c r="B731" s="1019"/>
      <c r="C731" s="1019"/>
      <c r="D731" s="1019"/>
      <c r="E731" s="1019"/>
      <c r="F731" s="1019"/>
      <c r="G731" s="1019"/>
      <c r="H731" s="1019"/>
      <c r="I731" s="1019"/>
      <c r="J731" s="1019"/>
      <c r="K731" s="1019"/>
      <c r="L731" s="1140"/>
    </row>
    <row r="732" spans="1:12" x14ac:dyDescent="0.35">
      <c r="A732" s="1019"/>
      <c r="B732" s="1019"/>
      <c r="C732" s="1019"/>
      <c r="D732" s="1019"/>
      <c r="E732" s="1019"/>
      <c r="F732" s="1019"/>
      <c r="G732" s="1019"/>
      <c r="H732" s="1019"/>
      <c r="I732" s="1019"/>
      <c r="J732" s="1019"/>
      <c r="K732" s="1019"/>
      <c r="L732" s="1140"/>
    </row>
    <row r="733" spans="1:12" x14ac:dyDescent="0.35">
      <c r="A733" s="1019"/>
      <c r="B733" s="1019"/>
      <c r="C733" s="1019"/>
      <c r="D733" s="1019"/>
      <c r="E733" s="1019"/>
      <c r="F733" s="1019"/>
      <c r="G733" s="1019"/>
      <c r="H733" s="1019"/>
      <c r="I733" s="1019"/>
      <c r="J733" s="1019"/>
      <c r="K733" s="1019"/>
      <c r="L733" s="1140"/>
    </row>
    <row r="734" spans="1:12" x14ac:dyDescent="0.35">
      <c r="A734" s="1019"/>
      <c r="B734" s="1019"/>
      <c r="C734" s="1019"/>
      <c r="D734" s="1019"/>
      <c r="E734" s="1019"/>
      <c r="F734" s="1019"/>
      <c r="G734" s="1019"/>
      <c r="H734" s="1019"/>
      <c r="I734" s="1019"/>
      <c r="J734" s="1019"/>
      <c r="K734" s="1019"/>
      <c r="L734" s="1140"/>
    </row>
    <row r="735" spans="1:12" x14ac:dyDescent="0.35">
      <c r="A735" s="1019"/>
      <c r="B735" s="1019"/>
      <c r="C735" s="1019"/>
      <c r="D735" s="1019"/>
      <c r="E735" s="1019"/>
      <c r="F735" s="1019"/>
      <c r="G735" s="1019"/>
      <c r="H735" s="1019"/>
      <c r="I735" s="1019"/>
      <c r="J735" s="1019"/>
      <c r="K735" s="1019"/>
      <c r="L735" s="1140"/>
    </row>
    <row r="736" spans="1:12" x14ac:dyDescent="0.35">
      <c r="A736" s="1019"/>
      <c r="B736" s="1019"/>
      <c r="C736" s="1019"/>
      <c r="D736" s="1019"/>
      <c r="E736" s="1019"/>
      <c r="F736" s="1019"/>
      <c r="G736" s="1019"/>
      <c r="H736" s="1019"/>
      <c r="I736" s="1019"/>
      <c r="J736" s="1019"/>
      <c r="K736" s="1019"/>
      <c r="L736" s="1140"/>
    </row>
    <row r="737" spans="1:12" x14ac:dyDescent="0.35">
      <c r="A737" s="1019"/>
      <c r="B737" s="1019"/>
      <c r="C737" s="1019"/>
      <c r="D737" s="1019"/>
      <c r="E737" s="1019"/>
      <c r="F737" s="1019"/>
      <c r="G737" s="1019"/>
      <c r="H737" s="1019"/>
      <c r="I737" s="1019"/>
      <c r="J737" s="1019"/>
      <c r="K737" s="1019"/>
      <c r="L737" s="1140"/>
    </row>
    <row r="738" spans="1:12" x14ac:dyDescent="0.35">
      <c r="A738" s="1019"/>
      <c r="B738" s="1019"/>
      <c r="C738" s="1019"/>
      <c r="D738" s="1019"/>
      <c r="E738" s="1019"/>
      <c r="F738" s="1019"/>
      <c r="G738" s="1019"/>
      <c r="H738" s="1019"/>
      <c r="I738" s="1019"/>
      <c r="J738" s="1019"/>
      <c r="K738" s="1019"/>
      <c r="L738" s="1140"/>
    </row>
    <row r="739" spans="1:12" x14ac:dyDescent="0.35">
      <c r="A739" s="1019"/>
      <c r="B739" s="1019"/>
      <c r="C739" s="1019"/>
      <c r="D739" s="1019"/>
      <c r="E739" s="1019"/>
      <c r="F739" s="1019"/>
      <c r="G739" s="1019"/>
      <c r="H739" s="1019"/>
      <c r="I739" s="1019"/>
      <c r="J739" s="1019"/>
      <c r="K739" s="1019"/>
      <c r="L739" s="1140"/>
    </row>
    <row r="740" spans="1:12" x14ac:dyDescent="0.35">
      <c r="A740" s="1019"/>
      <c r="B740" s="1019"/>
      <c r="C740" s="1019"/>
      <c r="D740" s="1019"/>
      <c r="E740" s="1019"/>
      <c r="F740" s="1019"/>
      <c r="G740" s="1019"/>
      <c r="H740" s="1019"/>
      <c r="I740" s="1019"/>
      <c r="J740" s="1019"/>
      <c r="K740" s="1019"/>
      <c r="L740" s="1140"/>
    </row>
    <row r="741" spans="1:12" x14ac:dyDescent="0.35">
      <c r="A741" s="1019"/>
      <c r="B741" s="1019"/>
      <c r="C741" s="1019"/>
      <c r="D741" s="1019"/>
      <c r="E741" s="1019"/>
      <c r="F741" s="1019"/>
      <c r="G741" s="1019"/>
      <c r="H741" s="1019"/>
      <c r="I741" s="1019"/>
      <c r="J741" s="1019"/>
      <c r="K741" s="1019"/>
      <c r="L741" s="1140"/>
    </row>
    <row r="742" spans="1:12" x14ac:dyDescent="0.35">
      <c r="A742" s="1019"/>
      <c r="B742" s="1019"/>
      <c r="C742" s="1019"/>
      <c r="D742" s="1019"/>
      <c r="E742" s="1019"/>
      <c r="F742" s="1019"/>
      <c r="G742" s="1019"/>
      <c r="H742" s="1019"/>
      <c r="I742" s="1019"/>
      <c r="J742" s="1019"/>
      <c r="K742" s="1019"/>
      <c r="L742" s="1140"/>
    </row>
    <row r="743" spans="1:12" x14ac:dyDescent="0.35">
      <c r="A743" s="1019"/>
      <c r="B743" s="1019"/>
      <c r="C743" s="1019"/>
      <c r="D743" s="1019"/>
      <c r="E743" s="1019"/>
      <c r="F743" s="1019"/>
      <c r="G743" s="1019"/>
      <c r="H743" s="1019"/>
      <c r="I743" s="1019"/>
      <c r="J743" s="1019"/>
      <c r="K743" s="1019"/>
      <c r="L743" s="1140"/>
    </row>
    <row r="744" spans="1:12" x14ac:dyDescent="0.35">
      <c r="A744" s="1019"/>
      <c r="B744" s="1019"/>
      <c r="C744" s="1019"/>
      <c r="D744" s="1019"/>
      <c r="E744" s="1019"/>
      <c r="F744" s="1019"/>
      <c r="G744" s="1019"/>
      <c r="H744" s="1019"/>
      <c r="I744" s="1019"/>
      <c r="J744" s="1019"/>
      <c r="K744" s="1019"/>
      <c r="L744" s="1140"/>
    </row>
    <row r="745" spans="1:12" x14ac:dyDescent="0.35">
      <c r="A745" s="1019"/>
      <c r="B745" s="1019"/>
      <c r="C745" s="1019"/>
      <c r="D745" s="1019"/>
      <c r="E745" s="1019"/>
      <c r="F745" s="1019"/>
      <c r="G745" s="1019"/>
      <c r="H745" s="1019"/>
      <c r="I745" s="1019"/>
      <c r="J745" s="1019"/>
      <c r="K745" s="1019"/>
      <c r="L745" s="1140"/>
    </row>
    <row r="746" spans="1:12" x14ac:dyDescent="0.35">
      <c r="A746" s="1019"/>
      <c r="B746" s="1019"/>
      <c r="C746" s="1019"/>
      <c r="D746" s="1019"/>
      <c r="E746" s="1019"/>
      <c r="F746" s="1019"/>
      <c r="G746" s="1019"/>
      <c r="H746" s="1019"/>
      <c r="I746" s="1019"/>
      <c r="J746" s="1019"/>
      <c r="K746" s="1019"/>
      <c r="L746" s="1140"/>
    </row>
    <row r="747" spans="1:12" x14ac:dyDescent="0.35">
      <c r="A747" s="1019"/>
      <c r="B747" s="1019"/>
      <c r="C747" s="1019"/>
      <c r="D747" s="1019"/>
      <c r="E747" s="1019"/>
      <c r="F747" s="1019"/>
      <c r="G747" s="1019"/>
      <c r="H747" s="1019"/>
      <c r="I747" s="1019"/>
      <c r="J747" s="1019"/>
      <c r="K747" s="1019"/>
      <c r="L747" s="1140"/>
    </row>
    <row r="748" spans="1:12" x14ac:dyDescent="0.35">
      <c r="A748" s="1019"/>
      <c r="B748" s="1019"/>
      <c r="C748" s="1019"/>
      <c r="D748" s="1019"/>
      <c r="E748" s="1019"/>
      <c r="F748" s="1019"/>
      <c r="G748" s="1019"/>
      <c r="H748" s="1019"/>
      <c r="I748" s="1019"/>
      <c r="J748" s="1019"/>
      <c r="K748" s="1019"/>
      <c r="L748" s="1140"/>
    </row>
    <row r="749" spans="1:12" x14ac:dyDescent="0.35">
      <c r="A749" s="1019"/>
      <c r="B749" s="1019"/>
      <c r="C749" s="1019"/>
      <c r="D749" s="1019"/>
      <c r="E749" s="1019"/>
      <c r="F749" s="1019"/>
      <c r="G749" s="1019"/>
      <c r="H749" s="1019"/>
      <c r="I749" s="1019"/>
      <c r="J749" s="1019"/>
      <c r="K749" s="1019"/>
      <c r="L749" s="1140"/>
    </row>
    <row r="750" spans="1:12" x14ac:dyDescent="0.35">
      <c r="A750" s="1019"/>
      <c r="B750" s="1019"/>
      <c r="C750" s="1019"/>
      <c r="D750" s="1019"/>
      <c r="E750" s="1019"/>
      <c r="F750" s="1019"/>
      <c r="G750" s="1019"/>
      <c r="H750" s="1019"/>
      <c r="I750" s="1019"/>
      <c r="J750" s="1019"/>
      <c r="K750" s="1019"/>
      <c r="L750" s="1140"/>
    </row>
    <row r="751" spans="1:12" x14ac:dyDescent="0.35">
      <c r="A751" s="1019"/>
      <c r="B751" s="1019"/>
      <c r="C751" s="1019"/>
      <c r="D751" s="1019"/>
      <c r="E751" s="1019"/>
      <c r="F751" s="1019"/>
      <c r="G751" s="1019"/>
      <c r="H751" s="1019"/>
      <c r="I751" s="1019"/>
      <c r="J751" s="1019"/>
      <c r="K751" s="1019"/>
      <c r="L751" s="1140"/>
    </row>
    <row r="752" spans="1:12" x14ac:dyDescent="0.35">
      <c r="A752" s="1019"/>
      <c r="B752" s="1019"/>
      <c r="C752" s="1019"/>
      <c r="D752" s="1019"/>
      <c r="E752" s="1019"/>
      <c r="F752" s="1019"/>
      <c r="G752" s="1019"/>
      <c r="H752" s="1019"/>
      <c r="I752" s="1019"/>
      <c r="J752" s="1019"/>
      <c r="K752" s="1019"/>
      <c r="L752" s="1140"/>
    </row>
    <row r="753" spans="1:12" x14ac:dyDescent="0.35">
      <c r="A753" s="1019"/>
      <c r="B753" s="1019"/>
      <c r="C753" s="1019"/>
      <c r="D753" s="1019"/>
      <c r="E753" s="1019"/>
      <c r="F753" s="1019"/>
      <c r="G753" s="1019"/>
      <c r="H753" s="1019"/>
      <c r="I753" s="1019"/>
      <c r="J753" s="1019"/>
      <c r="K753" s="1019"/>
      <c r="L753" s="1140"/>
    </row>
    <row r="754" spans="1:12" x14ac:dyDescent="0.35">
      <c r="A754" s="1019"/>
      <c r="B754" s="1019"/>
      <c r="C754" s="1019"/>
      <c r="D754" s="1019"/>
      <c r="E754" s="1019"/>
      <c r="F754" s="1019"/>
      <c r="G754" s="1019"/>
      <c r="H754" s="1019"/>
      <c r="I754" s="1019"/>
      <c r="J754" s="1019"/>
      <c r="K754" s="1019"/>
      <c r="L754" s="1140"/>
    </row>
    <row r="755" spans="1:12" x14ac:dyDescent="0.35">
      <c r="A755" s="1019"/>
      <c r="B755" s="1019"/>
      <c r="C755" s="1019"/>
      <c r="D755" s="1019"/>
      <c r="E755" s="1019"/>
      <c r="F755" s="1019"/>
      <c r="G755" s="1019"/>
      <c r="H755" s="1019"/>
      <c r="I755" s="1019"/>
      <c r="J755" s="1019"/>
      <c r="K755" s="1019"/>
      <c r="L755" s="1140"/>
    </row>
    <row r="756" spans="1:12" x14ac:dyDescent="0.35">
      <c r="A756" s="1019"/>
      <c r="B756" s="1019"/>
      <c r="C756" s="1019"/>
      <c r="D756" s="1019"/>
      <c r="E756" s="1019"/>
      <c r="F756" s="1019"/>
      <c r="G756" s="1019"/>
      <c r="H756" s="1019"/>
      <c r="I756" s="1019"/>
      <c r="J756" s="1019"/>
      <c r="K756" s="1019"/>
      <c r="L756" s="1140"/>
    </row>
    <row r="757" spans="1:12" x14ac:dyDescent="0.35">
      <c r="A757" s="1019"/>
      <c r="B757" s="1019"/>
      <c r="C757" s="1019"/>
      <c r="D757" s="1019"/>
      <c r="E757" s="1019"/>
      <c r="F757" s="1019"/>
      <c r="G757" s="1019"/>
      <c r="H757" s="1019"/>
      <c r="I757" s="1019"/>
      <c r="J757" s="1019"/>
      <c r="K757" s="1019"/>
      <c r="L757" s="1140"/>
    </row>
    <row r="758" spans="1:12" x14ac:dyDescent="0.35">
      <c r="A758" s="1019"/>
      <c r="B758" s="1019"/>
      <c r="C758" s="1019"/>
      <c r="D758" s="1019"/>
      <c r="E758" s="1019"/>
      <c r="F758" s="1019"/>
      <c r="G758" s="1019"/>
      <c r="H758" s="1019"/>
      <c r="I758" s="1019"/>
      <c r="J758" s="1019"/>
      <c r="K758" s="1019"/>
      <c r="L758" s="1140"/>
    </row>
    <row r="759" spans="1:12" x14ac:dyDescent="0.35">
      <c r="A759" s="1019"/>
      <c r="B759" s="1019"/>
      <c r="C759" s="1019"/>
      <c r="D759" s="1019"/>
      <c r="E759" s="1019"/>
      <c r="F759" s="1019"/>
      <c r="G759" s="1019"/>
      <c r="H759" s="1019"/>
      <c r="I759" s="1019"/>
      <c r="J759" s="1019"/>
      <c r="K759" s="1019"/>
      <c r="L759" s="1140"/>
    </row>
    <row r="760" spans="1:12" x14ac:dyDescent="0.35">
      <c r="A760" s="1019"/>
      <c r="B760" s="1019"/>
      <c r="C760" s="1019"/>
      <c r="D760" s="1019"/>
      <c r="E760" s="1019"/>
      <c r="F760" s="1019"/>
      <c r="G760" s="1019"/>
      <c r="H760" s="1019"/>
      <c r="I760" s="1019"/>
      <c r="J760" s="1019"/>
      <c r="K760" s="1019"/>
      <c r="L760" s="1140"/>
    </row>
    <row r="761" spans="1:12" x14ac:dyDescent="0.35">
      <c r="A761" s="1019"/>
      <c r="B761" s="1019"/>
      <c r="C761" s="1019"/>
      <c r="D761" s="1019"/>
      <c r="E761" s="1019"/>
      <c r="F761" s="1019"/>
      <c r="G761" s="1019"/>
      <c r="H761" s="1019"/>
      <c r="I761" s="1019"/>
      <c r="J761" s="1019"/>
      <c r="K761" s="1019"/>
      <c r="L761" s="1140"/>
    </row>
    <row r="762" spans="1:12" x14ac:dyDescent="0.35">
      <c r="A762" s="1019"/>
      <c r="B762" s="1019"/>
      <c r="C762" s="1019"/>
      <c r="D762" s="1019"/>
      <c r="E762" s="1019"/>
      <c r="F762" s="1019"/>
      <c r="G762" s="1019"/>
      <c r="H762" s="1019"/>
      <c r="I762" s="1019"/>
      <c r="J762" s="1019"/>
      <c r="K762" s="1019"/>
      <c r="L762" s="1140"/>
    </row>
    <row r="763" spans="1:12" x14ac:dyDescent="0.35">
      <c r="A763" s="1019"/>
      <c r="B763" s="1019"/>
      <c r="C763" s="1019"/>
      <c r="D763" s="1019"/>
      <c r="E763" s="1019"/>
      <c r="F763" s="1019"/>
      <c r="G763" s="1019"/>
      <c r="H763" s="1019"/>
      <c r="I763" s="1019"/>
      <c r="J763" s="1019"/>
      <c r="K763" s="1019"/>
      <c r="L763" s="1140"/>
    </row>
    <row r="764" spans="1:12" x14ac:dyDescent="0.35">
      <c r="A764" s="1019"/>
      <c r="B764" s="1019"/>
      <c r="C764" s="1019"/>
      <c r="D764" s="1019"/>
      <c r="E764" s="1019"/>
      <c r="F764" s="1019"/>
      <c r="G764" s="1019"/>
      <c r="H764" s="1019"/>
      <c r="I764" s="1019"/>
      <c r="J764" s="1019"/>
      <c r="K764" s="1019"/>
      <c r="L764" s="1140"/>
    </row>
    <row r="765" spans="1:12" x14ac:dyDescent="0.35">
      <c r="A765" s="1019"/>
      <c r="B765" s="1019"/>
      <c r="C765" s="1019"/>
      <c r="D765" s="1019"/>
      <c r="E765" s="1019"/>
      <c r="F765" s="1019"/>
      <c r="G765" s="1019"/>
      <c r="H765" s="1019"/>
      <c r="I765" s="1019"/>
      <c r="J765" s="1019"/>
      <c r="K765" s="1019"/>
      <c r="L765" s="1140"/>
    </row>
    <row r="766" spans="1:12" x14ac:dyDescent="0.35">
      <c r="A766" s="1019"/>
      <c r="B766" s="1019"/>
      <c r="C766" s="1019"/>
      <c r="D766" s="1019"/>
      <c r="E766" s="1019"/>
      <c r="F766" s="1019"/>
      <c r="G766" s="1019"/>
      <c r="H766" s="1019"/>
      <c r="I766" s="1019"/>
      <c r="J766" s="1019"/>
      <c r="K766" s="1019"/>
      <c r="L766" s="1140"/>
    </row>
    <row r="767" spans="1:12" x14ac:dyDescent="0.35">
      <c r="A767" s="1019"/>
      <c r="B767" s="1019"/>
      <c r="C767" s="1019"/>
      <c r="D767" s="1019"/>
      <c r="E767" s="1019"/>
      <c r="F767" s="1019"/>
      <c r="G767" s="1019"/>
      <c r="H767" s="1019"/>
      <c r="I767" s="1019"/>
      <c r="J767" s="1019"/>
      <c r="K767" s="1019"/>
      <c r="L767" s="1140"/>
    </row>
    <row r="768" spans="1:12" x14ac:dyDescent="0.35">
      <c r="A768" s="1019"/>
      <c r="B768" s="1019"/>
      <c r="C768" s="1019"/>
      <c r="D768" s="1019"/>
      <c r="E768" s="1019"/>
      <c r="F768" s="1019"/>
      <c r="G768" s="1019"/>
      <c r="H768" s="1019"/>
      <c r="I768" s="1019"/>
      <c r="J768" s="1019"/>
      <c r="K768" s="1019"/>
      <c r="L768" s="1140"/>
    </row>
    <row r="769" spans="1:12" x14ac:dyDescent="0.35">
      <c r="A769" s="1019"/>
      <c r="B769" s="1019"/>
      <c r="C769" s="1019"/>
      <c r="D769" s="1019"/>
      <c r="E769" s="1019"/>
      <c r="F769" s="1019"/>
      <c r="G769" s="1019"/>
      <c r="H769" s="1019"/>
      <c r="I769" s="1019"/>
      <c r="J769" s="1019"/>
      <c r="K769" s="1019"/>
      <c r="L769" s="1140"/>
    </row>
    <row r="770" spans="1:12" x14ac:dyDescent="0.35">
      <c r="A770" s="1019"/>
      <c r="B770" s="1019"/>
      <c r="C770" s="1019"/>
      <c r="D770" s="1019"/>
      <c r="E770" s="1019"/>
      <c r="F770" s="1019"/>
      <c r="G770" s="1019"/>
      <c r="H770" s="1019"/>
      <c r="I770" s="1019"/>
      <c r="J770" s="1019"/>
      <c r="K770" s="1019"/>
      <c r="L770" s="1140"/>
    </row>
    <row r="771" spans="1:12" x14ac:dyDescent="0.35">
      <c r="A771" s="1019"/>
      <c r="B771" s="1019"/>
      <c r="C771" s="1019"/>
      <c r="D771" s="1019"/>
      <c r="E771" s="1019"/>
      <c r="F771" s="1019"/>
      <c r="G771" s="1019"/>
      <c r="H771" s="1019"/>
      <c r="I771" s="1019"/>
      <c r="J771" s="1019"/>
      <c r="K771" s="1019"/>
      <c r="L771" s="1140"/>
    </row>
    <row r="772" spans="1:12" x14ac:dyDescent="0.35">
      <c r="A772" s="1019"/>
      <c r="B772" s="1019"/>
      <c r="C772" s="1019"/>
      <c r="D772" s="1019"/>
      <c r="E772" s="1019"/>
      <c r="F772" s="1019"/>
      <c r="G772" s="1019"/>
      <c r="H772" s="1019"/>
      <c r="I772" s="1019"/>
      <c r="J772" s="1019"/>
      <c r="K772" s="1019"/>
      <c r="L772" s="1140"/>
    </row>
    <row r="773" spans="1:12" x14ac:dyDescent="0.35">
      <c r="A773" s="1019"/>
      <c r="B773" s="1019"/>
      <c r="C773" s="1019"/>
      <c r="D773" s="1019"/>
      <c r="E773" s="1019"/>
      <c r="F773" s="1019"/>
      <c r="G773" s="1019"/>
      <c r="H773" s="1019"/>
      <c r="I773" s="1019"/>
      <c r="J773" s="1019"/>
      <c r="K773" s="1019"/>
      <c r="L773" s="1140"/>
    </row>
    <row r="774" spans="1:12" x14ac:dyDescent="0.35">
      <c r="A774" s="1019"/>
      <c r="B774" s="1019"/>
      <c r="C774" s="1019"/>
      <c r="D774" s="1019"/>
      <c r="E774" s="1019"/>
      <c r="F774" s="1019"/>
      <c r="G774" s="1019"/>
      <c r="H774" s="1019"/>
      <c r="I774" s="1019"/>
      <c r="J774" s="1019"/>
      <c r="K774" s="1019"/>
      <c r="L774" s="1140"/>
    </row>
    <row r="775" spans="1:12" x14ac:dyDescent="0.35">
      <c r="A775" s="1019"/>
      <c r="B775" s="1019"/>
      <c r="C775" s="1019"/>
      <c r="D775" s="1019"/>
      <c r="E775" s="1019"/>
      <c r="F775" s="1019"/>
      <c r="G775" s="1019"/>
      <c r="H775" s="1019"/>
      <c r="I775" s="1019"/>
      <c r="J775" s="1019"/>
      <c r="K775" s="1019"/>
      <c r="L775" s="1140"/>
    </row>
    <row r="776" spans="1:12" x14ac:dyDescent="0.35">
      <c r="A776" s="1019"/>
      <c r="B776" s="1019"/>
      <c r="C776" s="1019"/>
      <c r="D776" s="1019"/>
      <c r="E776" s="1019"/>
      <c r="F776" s="1019"/>
      <c r="G776" s="1019"/>
      <c r="H776" s="1019"/>
      <c r="I776" s="1019"/>
      <c r="J776" s="1019"/>
      <c r="K776" s="1019"/>
      <c r="L776" s="1140"/>
    </row>
    <row r="777" spans="1:12" x14ac:dyDescent="0.35">
      <c r="A777" s="1019"/>
      <c r="B777" s="1019"/>
      <c r="C777" s="1019"/>
      <c r="D777" s="1019"/>
      <c r="E777" s="1019"/>
      <c r="F777" s="1019"/>
      <c r="G777" s="1019"/>
      <c r="H777" s="1019"/>
      <c r="I777" s="1019"/>
      <c r="J777" s="1019"/>
      <c r="K777" s="1019"/>
      <c r="L777" s="1140"/>
    </row>
    <row r="778" spans="1:12" x14ac:dyDescent="0.35">
      <c r="A778" s="1019"/>
      <c r="B778" s="1019"/>
      <c r="C778" s="1019"/>
      <c r="D778" s="1019"/>
      <c r="E778" s="1019"/>
      <c r="F778" s="1019"/>
      <c r="G778" s="1019"/>
      <c r="H778" s="1019"/>
      <c r="I778" s="1019"/>
      <c r="J778" s="1019"/>
      <c r="K778" s="1019"/>
      <c r="L778" s="1140"/>
    </row>
    <row r="779" spans="1:12" x14ac:dyDescent="0.35">
      <c r="A779" s="1019"/>
      <c r="B779" s="1019"/>
      <c r="C779" s="1019"/>
      <c r="D779" s="1019"/>
      <c r="E779" s="1019"/>
      <c r="F779" s="1019"/>
      <c r="G779" s="1019"/>
      <c r="H779" s="1019"/>
      <c r="I779" s="1019"/>
      <c r="J779" s="1019"/>
      <c r="K779" s="1019"/>
      <c r="L779" s="1140"/>
    </row>
    <row r="780" spans="1:12" x14ac:dyDescent="0.35">
      <c r="A780" s="1019"/>
      <c r="B780" s="1019"/>
      <c r="C780" s="1019"/>
      <c r="D780" s="1019"/>
      <c r="E780" s="1019"/>
      <c r="F780" s="1019"/>
      <c r="G780" s="1019"/>
      <c r="H780" s="1019"/>
      <c r="I780" s="1019"/>
      <c r="J780" s="1019"/>
      <c r="K780" s="1019"/>
      <c r="L780" s="1140"/>
    </row>
    <row r="781" spans="1:12" x14ac:dyDescent="0.35">
      <c r="A781" s="1019"/>
      <c r="B781" s="1019"/>
      <c r="C781" s="1019"/>
      <c r="D781" s="1019"/>
      <c r="E781" s="1019"/>
      <c r="F781" s="1019"/>
      <c r="G781" s="1019"/>
      <c r="H781" s="1019"/>
      <c r="I781" s="1019"/>
      <c r="J781" s="1019"/>
      <c r="K781" s="1019"/>
      <c r="L781" s="1140"/>
    </row>
    <row r="782" spans="1:12" x14ac:dyDescent="0.35">
      <c r="A782" s="1019"/>
      <c r="B782" s="1019"/>
      <c r="C782" s="1019"/>
      <c r="D782" s="1019"/>
      <c r="E782" s="1019"/>
      <c r="F782" s="1019"/>
      <c r="G782" s="1019"/>
      <c r="H782" s="1019"/>
      <c r="I782" s="1019"/>
      <c r="J782" s="1019"/>
      <c r="K782" s="1019"/>
      <c r="L782" s="1140"/>
    </row>
    <row r="783" spans="1:12" x14ac:dyDescent="0.35">
      <c r="A783" s="1019"/>
      <c r="B783" s="1019"/>
      <c r="C783" s="1019"/>
      <c r="D783" s="1019"/>
      <c r="E783" s="1019"/>
      <c r="F783" s="1019"/>
      <c r="G783" s="1019"/>
      <c r="H783" s="1019"/>
      <c r="I783" s="1019"/>
      <c r="J783" s="1019"/>
      <c r="K783" s="1019"/>
      <c r="L783" s="1140"/>
    </row>
    <row r="784" spans="1:12" x14ac:dyDescent="0.35">
      <c r="A784" s="1019"/>
      <c r="B784" s="1019"/>
      <c r="C784" s="1019"/>
      <c r="D784" s="1019"/>
      <c r="E784" s="1019"/>
      <c r="F784" s="1019"/>
      <c r="G784" s="1019"/>
      <c r="H784" s="1019"/>
      <c r="I784" s="1019"/>
      <c r="J784" s="1019"/>
      <c r="K784" s="1019"/>
      <c r="L784" s="1140"/>
    </row>
    <row r="785" spans="1:12" x14ac:dyDescent="0.35">
      <c r="A785" s="1019"/>
      <c r="B785" s="1019"/>
      <c r="C785" s="1019"/>
      <c r="D785" s="1019"/>
      <c r="E785" s="1019"/>
      <c r="F785" s="1019"/>
      <c r="G785" s="1019"/>
      <c r="H785" s="1019"/>
      <c r="I785" s="1019"/>
      <c r="J785" s="1019"/>
      <c r="K785" s="1019"/>
      <c r="L785" s="1140"/>
    </row>
    <row r="786" spans="1:12" x14ac:dyDescent="0.35">
      <c r="A786" s="1019"/>
      <c r="B786" s="1019"/>
      <c r="C786" s="1019"/>
      <c r="D786" s="1019"/>
      <c r="E786" s="1019"/>
      <c r="F786" s="1019"/>
      <c r="G786" s="1019"/>
      <c r="H786" s="1019"/>
      <c r="I786" s="1019"/>
      <c r="J786" s="1019"/>
      <c r="K786" s="1019"/>
      <c r="L786" s="1140"/>
    </row>
    <row r="787" spans="1:12" x14ac:dyDescent="0.35">
      <c r="A787" s="1019"/>
      <c r="B787" s="1019"/>
      <c r="C787" s="1019"/>
      <c r="D787" s="1019"/>
      <c r="E787" s="1019"/>
      <c r="F787" s="1019"/>
      <c r="G787" s="1019"/>
      <c r="H787" s="1019"/>
      <c r="I787" s="1019"/>
      <c r="J787" s="1019"/>
      <c r="K787" s="1019"/>
      <c r="L787" s="1140"/>
    </row>
    <row r="788" spans="1:12" x14ac:dyDescent="0.35">
      <c r="A788" s="1019"/>
      <c r="B788" s="1019"/>
      <c r="C788" s="1019"/>
      <c r="D788" s="1019"/>
      <c r="E788" s="1019"/>
      <c r="F788" s="1019"/>
      <c r="G788" s="1019"/>
      <c r="H788" s="1019"/>
      <c r="I788" s="1019"/>
      <c r="J788" s="1019"/>
      <c r="K788" s="1019"/>
      <c r="L788" s="1140"/>
    </row>
    <row r="789" spans="1:12" x14ac:dyDescent="0.35">
      <c r="A789" s="1019"/>
      <c r="B789" s="1019"/>
      <c r="C789" s="1019"/>
      <c r="D789" s="1019"/>
      <c r="E789" s="1019"/>
      <c r="F789" s="1019"/>
      <c r="G789" s="1019"/>
      <c r="H789" s="1019"/>
      <c r="I789" s="1019"/>
      <c r="J789" s="1019"/>
      <c r="K789" s="1019"/>
      <c r="L789" s="1140"/>
    </row>
    <row r="790" spans="1:12" x14ac:dyDescent="0.35">
      <c r="A790" s="1019"/>
      <c r="B790" s="1019"/>
      <c r="C790" s="1019"/>
      <c r="D790" s="1019"/>
      <c r="E790" s="1019"/>
      <c r="F790" s="1019"/>
      <c r="G790" s="1019"/>
      <c r="H790" s="1019"/>
      <c r="I790" s="1019"/>
      <c r="J790" s="1019"/>
      <c r="K790" s="1019"/>
      <c r="L790" s="1140"/>
    </row>
    <row r="791" spans="1:12" x14ac:dyDescent="0.35">
      <c r="A791" s="1019"/>
      <c r="B791" s="1019"/>
      <c r="C791" s="1019"/>
      <c r="D791" s="1019"/>
      <c r="E791" s="1019"/>
      <c r="F791" s="1019"/>
      <c r="G791" s="1019"/>
      <c r="H791" s="1019"/>
      <c r="I791" s="1019"/>
      <c r="J791" s="1019"/>
      <c r="K791" s="1019"/>
      <c r="L791" s="1140"/>
    </row>
    <row r="792" spans="1:12" x14ac:dyDescent="0.35">
      <c r="A792" s="1019"/>
      <c r="B792" s="1019"/>
      <c r="C792" s="1019"/>
      <c r="D792" s="1019"/>
      <c r="E792" s="1019"/>
      <c r="F792" s="1019"/>
      <c r="G792" s="1019"/>
      <c r="H792" s="1019"/>
      <c r="I792" s="1019"/>
      <c r="J792" s="1019"/>
      <c r="K792" s="1019"/>
      <c r="L792" s="1140"/>
    </row>
    <row r="793" spans="1:12" x14ac:dyDescent="0.35">
      <c r="A793" s="1019"/>
      <c r="B793" s="1019"/>
      <c r="C793" s="1019"/>
      <c r="D793" s="1019"/>
      <c r="E793" s="1019"/>
      <c r="F793" s="1019"/>
      <c r="G793" s="1019"/>
      <c r="H793" s="1019"/>
      <c r="I793" s="1019"/>
      <c r="J793" s="1019"/>
      <c r="K793" s="1019"/>
      <c r="L793" s="1140"/>
    </row>
    <row r="794" spans="1:12" x14ac:dyDescent="0.35">
      <c r="A794" s="1019"/>
      <c r="B794" s="1019"/>
      <c r="C794" s="1019"/>
      <c r="D794" s="1019"/>
      <c r="E794" s="1019"/>
      <c r="F794" s="1019"/>
      <c r="G794" s="1019"/>
      <c r="H794" s="1019"/>
      <c r="I794" s="1019"/>
      <c r="J794" s="1019"/>
      <c r="K794" s="1019"/>
      <c r="L794" s="1140"/>
    </row>
    <row r="795" spans="1:12" x14ac:dyDescent="0.35">
      <c r="A795" s="1019"/>
      <c r="B795" s="1019"/>
      <c r="C795" s="1019"/>
      <c r="D795" s="1019"/>
      <c r="E795" s="1019"/>
      <c r="F795" s="1019"/>
      <c r="G795" s="1019"/>
      <c r="H795" s="1019"/>
      <c r="I795" s="1019"/>
      <c r="J795" s="1019"/>
      <c r="K795" s="1019"/>
      <c r="L795" s="1140"/>
    </row>
    <row r="796" spans="1:12" x14ac:dyDescent="0.35">
      <c r="A796" s="1019"/>
      <c r="B796" s="1019"/>
      <c r="C796" s="1019"/>
      <c r="D796" s="1019"/>
      <c r="E796" s="1019"/>
      <c r="F796" s="1019"/>
      <c r="G796" s="1019"/>
      <c r="H796" s="1019"/>
      <c r="I796" s="1019"/>
      <c r="J796" s="1019"/>
      <c r="K796" s="1019"/>
      <c r="L796" s="1140"/>
    </row>
    <row r="797" spans="1:12" x14ac:dyDescent="0.35">
      <c r="A797" s="1019"/>
      <c r="B797" s="1019"/>
      <c r="C797" s="1019"/>
      <c r="D797" s="1019"/>
      <c r="E797" s="1019"/>
      <c r="F797" s="1019"/>
      <c r="G797" s="1019"/>
      <c r="H797" s="1019"/>
      <c r="I797" s="1019"/>
      <c r="J797" s="1019"/>
      <c r="K797" s="1019"/>
      <c r="L797" s="1140"/>
    </row>
    <row r="798" spans="1:12" x14ac:dyDescent="0.35">
      <c r="A798" s="1019"/>
      <c r="B798" s="1019"/>
      <c r="C798" s="1019"/>
      <c r="D798" s="1019"/>
      <c r="E798" s="1019"/>
      <c r="F798" s="1019"/>
      <c r="G798" s="1019"/>
      <c r="H798" s="1019"/>
      <c r="I798" s="1019"/>
      <c r="J798" s="1019"/>
      <c r="K798" s="1019"/>
      <c r="L798" s="1140"/>
    </row>
    <row r="799" spans="1:12" x14ac:dyDescent="0.35">
      <c r="A799" s="1019"/>
      <c r="B799" s="1019"/>
      <c r="C799" s="1019"/>
      <c r="D799" s="1019"/>
      <c r="E799" s="1019"/>
      <c r="F799" s="1019"/>
      <c r="G799" s="1019"/>
      <c r="H799" s="1019"/>
      <c r="I799" s="1019"/>
      <c r="J799" s="1019"/>
      <c r="K799" s="1019"/>
      <c r="L799" s="1140"/>
    </row>
    <row r="800" spans="1:12" x14ac:dyDescent="0.35">
      <c r="A800" s="1019"/>
      <c r="B800" s="1019"/>
      <c r="C800" s="1019"/>
      <c r="D800" s="1019"/>
      <c r="E800" s="1019"/>
      <c r="F800" s="1019"/>
      <c r="G800" s="1019"/>
      <c r="H800" s="1019"/>
      <c r="I800" s="1019"/>
      <c r="J800" s="1019"/>
      <c r="K800" s="1019"/>
      <c r="L800" s="1140"/>
    </row>
    <row r="801" spans="1:12" x14ac:dyDescent="0.35">
      <c r="A801" s="1019"/>
      <c r="B801" s="1019"/>
      <c r="C801" s="1019"/>
      <c r="D801" s="1019"/>
      <c r="E801" s="1019"/>
      <c r="F801" s="1019"/>
      <c r="G801" s="1019"/>
      <c r="H801" s="1019"/>
      <c r="I801" s="1019"/>
      <c r="J801" s="1019"/>
      <c r="K801" s="1019"/>
      <c r="L801" s="1140"/>
    </row>
    <row r="802" spans="1:12" x14ac:dyDescent="0.35">
      <c r="A802" s="1019"/>
      <c r="B802" s="1019"/>
      <c r="C802" s="1019"/>
      <c r="D802" s="1019"/>
      <c r="E802" s="1019"/>
      <c r="F802" s="1019"/>
      <c r="G802" s="1019"/>
      <c r="H802" s="1019"/>
      <c r="I802" s="1019"/>
      <c r="J802" s="1019"/>
      <c r="K802" s="1019"/>
      <c r="L802" s="1140"/>
    </row>
    <row r="803" spans="1:12" x14ac:dyDescent="0.35">
      <c r="A803" s="1019"/>
      <c r="B803" s="1019"/>
      <c r="C803" s="1019"/>
      <c r="D803" s="1019"/>
      <c r="E803" s="1019"/>
      <c r="F803" s="1019"/>
      <c r="G803" s="1019"/>
      <c r="H803" s="1019"/>
      <c r="I803" s="1019"/>
      <c r="J803" s="1019"/>
      <c r="K803" s="1019"/>
      <c r="L803" s="1140"/>
    </row>
    <row r="804" spans="1:12" x14ac:dyDescent="0.35">
      <c r="A804" s="1019"/>
      <c r="B804" s="1019"/>
      <c r="C804" s="1019"/>
      <c r="D804" s="1019"/>
      <c r="E804" s="1019"/>
      <c r="F804" s="1019"/>
      <c r="G804" s="1019"/>
      <c r="H804" s="1019"/>
      <c r="I804" s="1019"/>
      <c r="J804" s="1019"/>
      <c r="K804" s="1019"/>
      <c r="L804" s="1140"/>
    </row>
    <row r="805" spans="1:12" x14ac:dyDescent="0.35">
      <c r="A805" s="1019"/>
      <c r="B805" s="1019"/>
      <c r="C805" s="1019"/>
      <c r="D805" s="1019"/>
      <c r="E805" s="1019"/>
      <c r="F805" s="1019"/>
      <c r="G805" s="1019"/>
      <c r="H805" s="1019"/>
      <c r="I805" s="1019"/>
      <c r="J805" s="1019"/>
      <c r="K805" s="1019"/>
      <c r="L805" s="1140"/>
    </row>
    <row r="806" spans="1:12" x14ac:dyDescent="0.35">
      <c r="A806" s="1019"/>
      <c r="B806" s="1019"/>
      <c r="C806" s="1019"/>
      <c r="D806" s="1019"/>
      <c r="E806" s="1019"/>
      <c r="F806" s="1019"/>
      <c r="G806" s="1019"/>
      <c r="H806" s="1019"/>
      <c r="I806" s="1019"/>
      <c r="J806" s="1019"/>
      <c r="K806" s="1019"/>
      <c r="L806" s="1140"/>
    </row>
    <row r="807" spans="1:12" x14ac:dyDescent="0.35">
      <c r="A807" s="1019"/>
      <c r="B807" s="1019"/>
      <c r="C807" s="1019"/>
      <c r="D807" s="1019"/>
      <c r="E807" s="1019"/>
      <c r="F807" s="1019"/>
      <c r="G807" s="1019"/>
      <c r="H807" s="1019"/>
      <c r="I807" s="1019"/>
      <c r="J807" s="1019"/>
      <c r="K807" s="1019"/>
      <c r="L807" s="1140"/>
    </row>
    <row r="808" spans="1:12" x14ac:dyDescent="0.35">
      <c r="A808" s="1019"/>
      <c r="B808" s="1019"/>
      <c r="C808" s="1019"/>
      <c r="D808" s="1019"/>
      <c r="E808" s="1019"/>
      <c r="F808" s="1019"/>
      <c r="G808" s="1019"/>
      <c r="H808" s="1019"/>
      <c r="I808" s="1019"/>
      <c r="J808" s="1019"/>
      <c r="K808" s="1019"/>
      <c r="L808" s="1140"/>
    </row>
    <row r="809" spans="1:12" x14ac:dyDescent="0.35">
      <c r="A809" s="1019"/>
      <c r="B809" s="1019"/>
      <c r="C809" s="1019"/>
      <c r="D809" s="1019"/>
      <c r="E809" s="1019"/>
      <c r="F809" s="1019"/>
      <c r="G809" s="1019"/>
      <c r="H809" s="1019"/>
      <c r="I809" s="1019"/>
      <c r="J809" s="1019"/>
      <c r="K809" s="1019"/>
      <c r="L809" s="1140"/>
    </row>
    <row r="810" spans="1:12" x14ac:dyDescent="0.35">
      <c r="A810" s="1019"/>
      <c r="B810" s="1019"/>
      <c r="C810" s="1019"/>
      <c r="D810" s="1019"/>
      <c r="E810" s="1019"/>
      <c r="F810" s="1019"/>
      <c r="G810" s="1019"/>
      <c r="H810" s="1019"/>
      <c r="I810" s="1019"/>
      <c r="J810" s="1019"/>
      <c r="K810" s="1019"/>
      <c r="L810" s="1140"/>
    </row>
    <row r="811" spans="1:12" x14ac:dyDescent="0.35">
      <c r="A811" s="1019"/>
      <c r="B811" s="1019"/>
      <c r="C811" s="1019"/>
      <c r="D811" s="1019"/>
      <c r="E811" s="1019"/>
      <c r="F811" s="1019"/>
      <c r="G811" s="1019"/>
      <c r="H811" s="1019"/>
      <c r="I811" s="1019"/>
      <c r="J811" s="1019"/>
      <c r="K811" s="1019"/>
      <c r="L811" s="1140"/>
    </row>
    <row r="812" spans="1:12" x14ac:dyDescent="0.35">
      <c r="A812" s="1019"/>
      <c r="B812" s="1019"/>
      <c r="C812" s="1019"/>
      <c r="D812" s="1019"/>
      <c r="E812" s="1019"/>
      <c r="F812" s="1019"/>
      <c r="G812" s="1019"/>
      <c r="H812" s="1019"/>
      <c r="I812" s="1019"/>
      <c r="J812" s="1019"/>
      <c r="K812" s="1019"/>
      <c r="L812" s="1140"/>
    </row>
    <row r="813" spans="1:12" x14ac:dyDescent="0.35">
      <c r="A813" s="1019"/>
      <c r="B813" s="1019"/>
      <c r="C813" s="1019"/>
      <c r="D813" s="1019"/>
      <c r="E813" s="1019"/>
      <c r="F813" s="1019"/>
      <c r="G813" s="1019"/>
      <c r="H813" s="1019"/>
      <c r="I813" s="1019"/>
      <c r="J813" s="1019"/>
      <c r="K813" s="1019"/>
      <c r="L813" s="1140"/>
    </row>
    <row r="814" spans="1:12" x14ac:dyDescent="0.35">
      <c r="A814" s="1019"/>
      <c r="B814" s="1019"/>
      <c r="C814" s="1019"/>
      <c r="D814" s="1019"/>
      <c r="E814" s="1019"/>
      <c r="F814" s="1019"/>
      <c r="G814" s="1019"/>
      <c r="H814" s="1019"/>
      <c r="I814" s="1019"/>
      <c r="J814" s="1019"/>
      <c r="K814" s="1019"/>
      <c r="L814" s="1140"/>
    </row>
    <row r="815" spans="1:12" x14ac:dyDescent="0.35">
      <c r="A815" s="1019"/>
      <c r="B815" s="1019"/>
      <c r="C815" s="1019"/>
      <c r="D815" s="1019"/>
      <c r="E815" s="1019"/>
      <c r="F815" s="1019"/>
      <c r="G815" s="1019"/>
      <c r="H815" s="1019"/>
      <c r="I815" s="1019"/>
      <c r="J815" s="1019"/>
      <c r="K815" s="1019"/>
      <c r="L815" s="1140"/>
    </row>
    <row r="816" spans="1:12" x14ac:dyDescent="0.35">
      <c r="A816" s="1019"/>
      <c r="B816" s="1019"/>
      <c r="C816" s="1019"/>
      <c r="D816" s="1019"/>
      <c r="E816" s="1019"/>
      <c r="F816" s="1019"/>
      <c r="G816" s="1019"/>
      <c r="H816" s="1019"/>
      <c r="I816" s="1019"/>
      <c r="J816" s="1019"/>
      <c r="K816" s="1019"/>
      <c r="L816" s="1140"/>
    </row>
    <row r="817" spans="1:12" x14ac:dyDescent="0.35">
      <c r="A817" s="1019"/>
      <c r="B817" s="1019"/>
      <c r="C817" s="1019"/>
      <c r="D817" s="1019"/>
      <c r="E817" s="1019"/>
      <c r="F817" s="1019"/>
      <c r="G817" s="1019"/>
      <c r="H817" s="1019"/>
      <c r="I817" s="1019"/>
      <c r="J817" s="1019"/>
      <c r="K817" s="1019"/>
      <c r="L817" s="1140"/>
    </row>
    <row r="818" spans="1:12" x14ac:dyDescent="0.35">
      <c r="A818" s="1019"/>
      <c r="B818" s="1019"/>
      <c r="C818" s="1019"/>
      <c r="D818" s="1019"/>
      <c r="E818" s="1019"/>
      <c r="F818" s="1019"/>
      <c r="G818" s="1019"/>
      <c r="H818" s="1019"/>
      <c r="I818" s="1019"/>
      <c r="J818" s="1019"/>
      <c r="K818" s="1019"/>
      <c r="L818" s="1140"/>
    </row>
    <row r="819" spans="1:12" x14ac:dyDescent="0.35">
      <c r="A819" s="1019"/>
      <c r="B819" s="1019"/>
      <c r="C819" s="1019"/>
      <c r="D819" s="1019"/>
      <c r="E819" s="1019"/>
      <c r="F819" s="1019"/>
      <c r="G819" s="1019"/>
      <c r="H819" s="1019"/>
      <c r="I819" s="1019"/>
      <c r="J819" s="1019"/>
      <c r="K819" s="1019"/>
      <c r="L819" s="1140"/>
    </row>
    <row r="820" spans="1:12" x14ac:dyDescent="0.35">
      <c r="A820" s="1019"/>
      <c r="B820" s="1019"/>
      <c r="C820" s="1019"/>
      <c r="D820" s="1019"/>
      <c r="E820" s="1019"/>
      <c r="F820" s="1019"/>
      <c r="G820" s="1019"/>
      <c r="H820" s="1019"/>
      <c r="I820" s="1019"/>
      <c r="J820" s="1019"/>
      <c r="K820" s="1019"/>
      <c r="L820" s="1140"/>
    </row>
    <row r="821" spans="1:12" x14ac:dyDescent="0.35">
      <c r="A821" s="1019"/>
      <c r="B821" s="1019"/>
      <c r="C821" s="1019"/>
      <c r="D821" s="1019"/>
      <c r="E821" s="1019"/>
      <c r="F821" s="1019"/>
      <c r="G821" s="1019"/>
      <c r="H821" s="1019"/>
      <c r="I821" s="1019"/>
      <c r="J821" s="1019"/>
      <c r="K821" s="1019"/>
      <c r="L821" s="1140"/>
    </row>
    <row r="822" spans="1:12" x14ac:dyDescent="0.35">
      <c r="A822" s="1019"/>
      <c r="B822" s="1019"/>
      <c r="C822" s="1019"/>
      <c r="D822" s="1019"/>
      <c r="E822" s="1019"/>
      <c r="F822" s="1019"/>
      <c r="G822" s="1019"/>
      <c r="H822" s="1019"/>
      <c r="I822" s="1019"/>
      <c r="J822" s="1019"/>
      <c r="K822" s="1019"/>
      <c r="L822" s="1140"/>
    </row>
    <row r="823" spans="1:12" x14ac:dyDescent="0.35">
      <c r="A823" s="1019"/>
      <c r="B823" s="1019"/>
      <c r="C823" s="1019"/>
      <c r="D823" s="1019"/>
      <c r="E823" s="1019"/>
      <c r="F823" s="1019"/>
      <c r="G823" s="1019"/>
      <c r="H823" s="1019"/>
      <c r="I823" s="1019"/>
      <c r="J823" s="1019"/>
      <c r="K823" s="1019"/>
      <c r="L823" s="1140"/>
    </row>
    <row r="824" spans="1:12" x14ac:dyDescent="0.35">
      <c r="A824" s="1019"/>
      <c r="B824" s="1019"/>
      <c r="C824" s="1019"/>
      <c r="D824" s="1019"/>
      <c r="E824" s="1019"/>
      <c r="F824" s="1019"/>
      <c r="G824" s="1019"/>
      <c r="H824" s="1019"/>
      <c r="I824" s="1019"/>
      <c r="J824" s="1019"/>
      <c r="K824" s="1019"/>
      <c r="L824" s="1140"/>
    </row>
    <row r="825" spans="1:12" x14ac:dyDescent="0.35">
      <c r="A825" s="1019"/>
      <c r="B825" s="1019"/>
      <c r="C825" s="1019"/>
      <c r="D825" s="1019"/>
      <c r="E825" s="1019"/>
      <c r="F825" s="1019"/>
      <c r="G825" s="1019"/>
      <c r="H825" s="1019"/>
      <c r="I825" s="1019"/>
      <c r="J825" s="1019"/>
      <c r="K825" s="1019"/>
      <c r="L825" s="1140"/>
    </row>
    <row r="826" spans="1:12" x14ac:dyDescent="0.35">
      <c r="A826" s="1019"/>
      <c r="B826" s="1019"/>
      <c r="C826" s="1019"/>
      <c r="D826" s="1019"/>
      <c r="E826" s="1019"/>
      <c r="F826" s="1019"/>
      <c r="G826" s="1019"/>
      <c r="H826" s="1019"/>
      <c r="I826" s="1019"/>
      <c r="J826" s="1019"/>
      <c r="K826" s="1019"/>
      <c r="L826" s="1140"/>
    </row>
    <row r="827" spans="1:12" x14ac:dyDescent="0.35">
      <c r="A827" s="1019"/>
      <c r="B827" s="1019"/>
      <c r="C827" s="1019"/>
      <c r="D827" s="1019"/>
      <c r="E827" s="1019"/>
      <c r="F827" s="1019"/>
      <c r="G827" s="1019"/>
      <c r="H827" s="1019"/>
      <c r="I827" s="1019"/>
      <c r="J827" s="1019"/>
      <c r="K827" s="1019"/>
      <c r="L827" s="1140"/>
    </row>
    <row r="828" spans="1:12" x14ac:dyDescent="0.35">
      <c r="A828" s="1019"/>
      <c r="B828" s="1019"/>
      <c r="C828" s="1019"/>
      <c r="D828" s="1019"/>
      <c r="E828" s="1019"/>
      <c r="F828" s="1019"/>
      <c r="G828" s="1019"/>
      <c r="H828" s="1019"/>
      <c r="I828" s="1019"/>
      <c r="J828" s="1019"/>
      <c r="K828" s="1019"/>
      <c r="L828" s="1140"/>
    </row>
    <row r="829" spans="1:12" x14ac:dyDescent="0.35">
      <c r="A829" s="1019"/>
      <c r="B829" s="1019"/>
      <c r="C829" s="1019"/>
      <c r="D829" s="1019"/>
      <c r="E829" s="1019"/>
      <c r="F829" s="1019"/>
      <c r="G829" s="1019"/>
      <c r="H829" s="1019"/>
      <c r="I829" s="1019"/>
      <c r="J829" s="1019"/>
      <c r="K829" s="1019"/>
      <c r="L829" s="1140"/>
    </row>
    <row r="830" spans="1:12" x14ac:dyDescent="0.35">
      <c r="A830" s="1019"/>
      <c r="B830" s="1019"/>
      <c r="C830" s="1019"/>
      <c r="D830" s="1019"/>
      <c r="E830" s="1019"/>
      <c r="F830" s="1019"/>
      <c r="G830" s="1019"/>
      <c r="H830" s="1019"/>
      <c r="I830" s="1019"/>
      <c r="J830" s="1019"/>
      <c r="K830" s="1019"/>
      <c r="L830" s="1140"/>
    </row>
    <row r="831" spans="1:12" x14ac:dyDescent="0.35">
      <c r="A831" s="1019"/>
      <c r="B831" s="1019"/>
      <c r="C831" s="1019"/>
      <c r="D831" s="1019"/>
      <c r="E831" s="1019"/>
      <c r="F831" s="1019"/>
      <c r="G831" s="1019"/>
      <c r="H831" s="1019"/>
      <c r="I831" s="1019"/>
      <c r="J831" s="1019"/>
      <c r="K831" s="1019"/>
      <c r="L831" s="1140"/>
    </row>
    <row r="832" spans="1:12" x14ac:dyDescent="0.35">
      <c r="A832" s="1019"/>
      <c r="B832" s="1019"/>
      <c r="C832" s="1019"/>
      <c r="D832" s="1019"/>
      <c r="E832" s="1019"/>
      <c r="F832" s="1019"/>
      <c r="G832" s="1019"/>
      <c r="H832" s="1019"/>
      <c r="I832" s="1019"/>
      <c r="J832" s="1019"/>
      <c r="K832" s="1019"/>
      <c r="L832" s="1140"/>
    </row>
    <row r="833" spans="1:12" x14ac:dyDescent="0.35">
      <c r="A833" s="1019"/>
      <c r="B833" s="1019"/>
      <c r="C833" s="1019"/>
      <c r="D833" s="1019"/>
      <c r="E833" s="1019"/>
      <c r="F833" s="1019"/>
      <c r="G833" s="1019"/>
      <c r="H833" s="1019"/>
      <c r="I833" s="1019"/>
      <c r="J833" s="1019"/>
      <c r="K833" s="1019"/>
      <c r="L833" s="1140"/>
    </row>
    <row r="834" spans="1:12" x14ac:dyDescent="0.35">
      <c r="A834" s="1019"/>
      <c r="B834" s="1019"/>
      <c r="C834" s="1019"/>
      <c r="D834" s="1019"/>
      <c r="E834" s="1019"/>
      <c r="F834" s="1019"/>
      <c r="G834" s="1019"/>
      <c r="H834" s="1019"/>
      <c r="I834" s="1019"/>
      <c r="J834" s="1019"/>
      <c r="K834" s="1019"/>
      <c r="L834" s="1140"/>
    </row>
    <row r="835" spans="1:12" x14ac:dyDescent="0.35">
      <c r="A835" s="1019"/>
      <c r="B835" s="1019"/>
      <c r="C835" s="1019"/>
      <c r="D835" s="1019"/>
      <c r="E835" s="1019"/>
      <c r="F835" s="1019"/>
      <c r="G835" s="1019"/>
      <c r="H835" s="1019"/>
      <c r="I835" s="1019"/>
      <c r="J835" s="1019"/>
      <c r="K835" s="1019"/>
      <c r="L835" s="1140"/>
    </row>
    <row r="836" spans="1:12" x14ac:dyDescent="0.35">
      <c r="A836" s="1019"/>
      <c r="B836" s="1019"/>
      <c r="C836" s="1019"/>
      <c r="D836" s="1019"/>
      <c r="E836" s="1019"/>
      <c r="F836" s="1019"/>
      <c r="G836" s="1019"/>
      <c r="H836" s="1019"/>
      <c r="I836" s="1019"/>
      <c r="J836" s="1019"/>
      <c r="K836" s="1019"/>
      <c r="L836" s="1140"/>
    </row>
    <row r="837" spans="1:12" x14ac:dyDescent="0.35">
      <c r="A837" s="1019"/>
      <c r="B837" s="1019"/>
      <c r="C837" s="1019"/>
      <c r="D837" s="1019"/>
      <c r="E837" s="1019"/>
      <c r="F837" s="1019"/>
      <c r="G837" s="1019"/>
      <c r="H837" s="1019"/>
      <c r="I837" s="1019"/>
      <c r="J837" s="1019"/>
      <c r="K837" s="1019"/>
      <c r="L837" s="1140"/>
    </row>
    <row r="838" spans="1:12" x14ac:dyDescent="0.35">
      <c r="A838" s="1019"/>
      <c r="B838" s="1019"/>
      <c r="C838" s="1019"/>
      <c r="D838" s="1019"/>
      <c r="E838" s="1019"/>
      <c r="F838" s="1019"/>
      <c r="G838" s="1019"/>
      <c r="H838" s="1019"/>
      <c r="I838" s="1019"/>
      <c r="J838" s="1019"/>
      <c r="K838" s="1019"/>
      <c r="L838" s="1140"/>
    </row>
    <row r="839" spans="1:12" x14ac:dyDescent="0.35">
      <c r="A839" s="1019"/>
      <c r="B839" s="1019"/>
      <c r="C839" s="1019"/>
      <c r="D839" s="1019"/>
      <c r="E839" s="1019"/>
      <c r="F839" s="1019"/>
      <c r="G839" s="1019"/>
      <c r="H839" s="1019"/>
      <c r="I839" s="1019"/>
      <c r="J839" s="1019"/>
      <c r="K839" s="1019"/>
      <c r="L839" s="1140"/>
    </row>
    <row r="840" spans="1:12" x14ac:dyDescent="0.35">
      <c r="A840" s="1019"/>
      <c r="B840" s="1019"/>
      <c r="C840" s="1019"/>
      <c r="D840" s="1019"/>
      <c r="E840" s="1019"/>
      <c r="F840" s="1019"/>
      <c r="G840" s="1019"/>
      <c r="H840" s="1019"/>
      <c r="I840" s="1019"/>
      <c r="J840" s="1019"/>
      <c r="K840" s="1019"/>
      <c r="L840" s="1140"/>
    </row>
    <row r="841" spans="1:12" x14ac:dyDescent="0.35">
      <c r="A841" s="1019"/>
      <c r="B841" s="1019"/>
      <c r="C841" s="1019"/>
      <c r="D841" s="1019"/>
      <c r="E841" s="1019"/>
      <c r="F841" s="1019"/>
      <c r="G841" s="1019"/>
      <c r="H841" s="1019"/>
      <c r="I841" s="1019"/>
      <c r="J841" s="1019"/>
      <c r="K841" s="1019"/>
      <c r="L841" s="1140"/>
    </row>
    <row r="842" spans="1:12" x14ac:dyDescent="0.35">
      <c r="A842" s="1019"/>
      <c r="B842" s="1019"/>
      <c r="C842" s="1019"/>
      <c r="D842" s="1019"/>
      <c r="E842" s="1019"/>
      <c r="F842" s="1019"/>
      <c r="G842" s="1019"/>
      <c r="H842" s="1019"/>
      <c r="I842" s="1019"/>
      <c r="J842" s="1019"/>
      <c r="K842" s="1019"/>
      <c r="L842" s="1140"/>
    </row>
    <row r="843" spans="1:12" x14ac:dyDescent="0.35">
      <c r="A843" s="1019"/>
      <c r="B843" s="1019"/>
      <c r="C843" s="1019"/>
      <c r="D843" s="1019"/>
      <c r="E843" s="1019"/>
      <c r="F843" s="1019"/>
      <c r="G843" s="1019"/>
      <c r="H843" s="1019"/>
      <c r="I843" s="1019"/>
      <c r="J843" s="1019"/>
      <c r="K843" s="1019"/>
      <c r="L843" s="1140"/>
    </row>
    <row r="844" spans="1:12" x14ac:dyDescent="0.35">
      <c r="A844" s="1019"/>
      <c r="B844" s="1019"/>
      <c r="C844" s="1019"/>
      <c r="D844" s="1019"/>
      <c r="E844" s="1019"/>
      <c r="F844" s="1019"/>
      <c r="G844" s="1019"/>
      <c r="H844" s="1019"/>
      <c r="I844" s="1019"/>
      <c r="J844" s="1019"/>
      <c r="K844" s="1019"/>
      <c r="L844" s="1140"/>
    </row>
    <row r="845" spans="1:12" x14ac:dyDescent="0.35">
      <c r="A845" s="1019"/>
      <c r="B845" s="1019"/>
      <c r="C845" s="1019"/>
      <c r="D845" s="1019"/>
      <c r="E845" s="1019"/>
      <c r="F845" s="1019"/>
      <c r="G845" s="1019"/>
      <c r="H845" s="1019"/>
      <c r="I845" s="1019"/>
      <c r="J845" s="1019"/>
      <c r="K845" s="1019"/>
      <c r="L845" s="1140"/>
    </row>
    <row r="846" spans="1:12" x14ac:dyDescent="0.35">
      <c r="A846" s="1019"/>
      <c r="B846" s="1019"/>
      <c r="C846" s="1019"/>
      <c r="D846" s="1019"/>
      <c r="E846" s="1019"/>
      <c r="F846" s="1019"/>
      <c r="G846" s="1019"/>
      <c r="H846" s="1019"/>
      <c r="I846" s="1019"/>
      <c r="J846" s="1019"/>
      <c r="K846" s="1019"/>
      <c r="L846" s="1140"/>
    </row>
    <row r="847" spans="1:12" x14ac:dyDescent="0.35">
      <c r="A847" s="1019"/>
      <c r="B847" s="1019"/>
      <c r="C847" s="1019"/>
      <c r="D847" s="1019"/>
      <c r="E847" s="1019"/>
      <c r="F847" s="1019"/>
      <c r="G847" s="1019"/>
      <c r="H847" s="1019"/>
      <c r="I847" s="1019"/>
      <c r="J847" s="1019"/>
      <c r="K847" s="1019"/>
      <c r="L847" s="1140"/>
    </row>
    <row r="848" spans="1:12" x14ac:dyDescent="0.35">
      <c r="A848" s="1019"/>
      <c r="B848" s="1019"/>
      <c r="C848" s="1019"/>
      <c r="D848" s="1019"/>
      <c r="E848" s="1019"/>
      <c r="F848" s="1019"/>
      <c r="G848" s="1019"/>
      <c r="H848" s="1019"/>
      <c r="I848" s="1019"/>
      <c r="J848" s="1019"/>
      <c r="K848" s="1019"/>
      <c r="L848" s="1140"/>
    </row>
    <row r="849" spans="1:12" x14ac:dyDescent="0.35">
      <c r="A849" s="1019"/>
      <c r="B849" s="1019"/>
      <c r="C849" s="1019"/>
      <c r="D849" s="1019"/>
      <c r="E849" s="1019"/>
      <c r="F849" s="1019"/>
      <c r="G849" s="1019"/>
      <c r="H849" s="1019"/>
      <c r="I849" s="1019"/>
      <c r="J849" s="1019"/>
      <c r="K849" s="1019"/>
      <c r="L849" s="1140"/>
    </row>
    <row r="850" spans="1:12" x14ac:dyDescent="0.35">
      <c r="A850" s="1019"/>
      <c r="B850" s="1019"/>
      <c r="C850" s="1019"/>
      <c r="D850" s="1019"/>
      <c r="E850" s="1019"/>
      <c r="F850" s="1019"/>
      <c r="G850" s="1019"/>
      <c r="H850" s="1019"/>
      <c r="I850" s="1019"/>
      <c r="J850" s="1019"/>
      <c r="K850" s="1019"/>
      <c r="L850" s="1140"/>
    </row>
    <row r="851" spans="1:12" x14ac:dyDescent="0.35">
      <c r="A851" s="1019"/>
      <c r="B851" s="1019"/>
      <c r="C851" s="1019"/>
      <c r="D851" s="1019"/>
      <c r="E851" s="1019"/>
      <c r="F851" s="1019"/>
      <c r="G851" s="1019"/>
      <c r="H851" s="1019"/>
      <c r="I851" s="1019"/>
      <c r="J851" s="1019"/>
      <c r="K851" s="1019"/>
      <c r="L851" s="1140"/>
    </row>
    <row r="852" spans="1:12" x14ac:dyDescent="0.35">
      <c r="A852" s="1019"/>
      <c r="B852" s="1019"/>
      <c r="C852" s="1019"/>
      <c r="D852" s="1019"/>
      <c r="E852" s="1019"/>
      <c r="F852" s="1019"/>
      <c r="G852" s="1019"/>
      <c r="H852" s="1019"/>
      <c r="I852" s="1019"/>
      <c r="J852" s="1019"/>
      <c r="K852" s="1019"/>
      <c r="L852" s="1140"/>
    </row>
    <row r="853" spans="1:12" x14ac:dyDescent="0.35">
      <c r="A853" s="1019"/>
      <c r="B853" s="1019"/>
      <c r="C853" s="1019"/>
      <c r="D853" s="1019"/>
      <c r="E853" s="1019"/>
      <c r="F853" s="1019"/>
      <c r="G853" s="1019"/>
      <c r="H853" s="1019"/>
      <c r="I853" s="1019"/>
      <c r="J853" s="1019"/>
      <c r="K853" s="1019"/>
      <c r="L853" s="1140"/>
    </row>
    <row r="854" spans="1:12" x14ac:dyDescent="0.35">
      <c r="A854" s="1019"/>
      <c r="B854" s="1019"/>
      <c r="C854" s="1019"/>
      <c r="D854" s="1019"/>
      <c r="E854" s="1019"/>
      <c r="F854" s="1019"/>
      <c r="G854" s="1019"/>
      <c r="H854" s="1019"/>
      <c r="I854" s="1019"/>
      <c r="J854" s="1019"/>
      <c r="K854" s="1019"/>
      <c r="L854" s="1140"/>
    </row>
    <row r="855" spans="1:12" x14ac:dyDescent="0.35">
      <c r="A855" s="1019"/>
      <c r="B855" s="1019"/>
      <c r="C855" s="1019"/>
      <c r="D855" s="1019"/>
      <c r="E855" s="1019"/>
      <c r="F855" s="1019"/>
      <c r="G855" s="1019"/>
      <c r="H855" s="1019"/>
      <c r="I855" s="1019"/>
      <c r="J855" s="1019"/>
      <c r="K855" s="1019"/>
      <c r="L855" s="1140"/>
    </row>
    <row r="856" spans="1:12" x14ac:dyDescent="0.35">
      <c r="A856" s="1019"/>
      <c r="B856" s="1019"/>
      <c r="C856" s="1019"/>
      <c r="D856" s="1019"/>
      <c r="E856" s="1019"/>
      <c r="F856" s="1019"/>
      <c r="G856" s="1019"/>
      <c r="H856" s="1019"/>
      <c r="I856" s="1019"/>
      <c r="J856" s="1019"/>
      <c r="K856" s="1019"/>
      <c r="L856" s="1140"/>
    </row>
    <row r="857" spans="1:12" x14ac:dyDescent="0.35">
      <c r="A857" s="1019"/>
      <c r="B857" s="1019"/>
      <c r="C857" s="1019"/>
      <c r="D857" s="1019"/>
      <c r="E857" s="1019"/>
      <c r="F857" s="1019"/>
      <c r="G857" s="1019"/>
      <c r="H857" s="1019"/>
      <c r="I857" s="1019"/>
      <c r="J857" s="1019"/>
      <c r="K857" s="1019"/>
      <c r="L857" s="1140"/>
    </row>
    <row r="858" spans="1:12" x14ac:dyDescent="0.35">
      <c r="A858" s="1019"/>
      <c r="B858" s="1019"/>
      <c r="C858" s="1019"/>
      <c r="D858" s="1019"/>
      <c r="E858" s="1019"/>
      <c r="F858" s="1019"/>
      <c r="G858" s="1019"/>
      <c r="H858" s="1019"/>
      <c r="I858" s="1019"/>
      <c r="J858" s="1019"/>
      <c r="K858" s="1019"/>
      <c r="L858" s="1140"/>
    </row>
    <row r="859" spans="1:12" x14ac:dyDescent="0.35">
      <c r="A859" s="1019"/>
      <c r="B859" s="1019"/>
      <c r="C859" s="1019"/>
      <c r="D859" s="1019"/>
      <c r="E859" s="1019"/>
      <c r="F859" s="1019"/>
      <c r="G859" s="1019"/>
      <c r="H859" s="1019"/>
      <c r="I859" s="1019"/>
      <c r="J859" s="1019"/>
      <c r="K859" s="1019"/>
      <c r="L859" s="1140"/>
    </row>
    <row r="860" spans="1:12" x14ac:dyDescent="0.35">
      <c r="A860" s="1019"/>
      <c r="B860" s="1019"/>
      <c r="C860" s="1019"/>
      <c r="D860" s="1019"/>
      <c r="E860" s="1019"/>
      <c r="F860" s="1019"/>
      <c r="G860" s="1019"/>
      <c r="H860" s="1019"/>
      <c r="I860" s="1019"/>
      <c r="J860" s="1019"/>
      <c r="K860" s="1019"/>
      <c r="L860" s="1140"/>
    </row>
    <row r="861" spans="1:12" x14ac:dyDescent="0.35">
      <c r="A861" s="1019"/>
      <c r="B861" s="1019"/>
      <c r="C861" s="1019"/>
      <c r="D861" s="1019"/>
      <c r="E861" s="1019"/>
      <c r="F861" s="1019"/>
      <c r="G861" s="1019"/>
      <c r="H861" s="1019"/>
      <c r="I861" s="1019"/>
      <c r="J861" s="1019"/>
      <c r="K861" s="1019"/>
      <c r="L861" s="1140"/>
    </row>
    <row r="862" spans="1:12" x14ac:dyDescent="0.35">
      <c r="A862" s="1019"/>
      <c r="B862" s="1019"/>
      <c r="C862" s="1019"/>
      <c r="D862" s="1019"/>
      <c r="E862" s="1019"/>
      <c r="F862" s="1019"/>
      <c r="G862" s="1019"/>
      <c r="H862" s="1019"/>
      <c r="I862" s="1019"/>
      <c r="J862" s="1019"/>
      <c r="K862" s="1019"/>
      <c r="L862" s="1140"/>
    </row>
    <row r="863" spans="1:12" x14ac:dyDescent="0.35">
      <c r="A863" s="1019"/>
      <c r="B863" s="1019"/>
      <c r="C863" s="1019"/>
      <c r="D863" s="1019"/>
      <c r="E863" s="1019"/>
      <c r="F863" s="1019"/>
      <c r="G863" s="1019"/>
      <c r="H863" s="1019"/>
      <c r="I863" s="1019"/>
      <c r="J863" s="1019"/>
      <c r="K863" s="1019"/>
      <c r="L863" s="1140"/>
    </row>
    <row r="864" spans="1:12" x14ac:dyDescent="0.35">
      <c r="A864" s="1019"/>
      <c r="B864" s="1019"/>
      <c r="C864" s="1019"/>
      <c r="D864" s="1019"/>
      <c r="E864" s="1019"/>
      <c r="F864" s="1019"/>
      <c r="G864" s="1019"/>
      <c r="H864" s="1019"/>
      <c r="I864" s="1019"/>
      <c r="J864" s="1019"/>
      <c r="K864" s="1019"/>
      <c r="L864" s="1140"/>
    </row>
    <row r="865" spans="1:12" x14ac:dyDescent="0.35">
      <c r="A865" s="1019"/>
      <c r="B865" s="1019"/>
      <c r="C865" s="1019"/>
      <c r="D865" s="1019"/>
      <c r="E865" s="1019"/>
      <c r="F865" s="1019"/>
      <c r="G865" s="1019"/>
      <c r="H865" s="1019"/>
      <c r="I865" s="1019"/>
      <c r="J865" s="1019"/>
      <c r="K865" s="1019"/>
      <c r="L865" s="1140"/>
    </row>
    <row r="866" spans="1:12" x14ac:dyDescent="0.35">
      <c r="A866" s="1019"/>
      <c r="B866" s="1019"/>
      <c r="C866" s="1019"/>
      <c r="D866" s="1019"/>
      <c r="E866" s="1019"/>
      <c r="F866" s="1019"/>
      <c r="G866" s="1019"/>
      <c r="H866" s="1019"/>
      <c r="I866" s="1019"/>
      <c r="J866" s="1019"/>
      <c r="K866" s="1019"/>
      <c r="L866" s="1140"/>
    </row>
    <row r="867" spans="1:12" x14ac:dyDescent="0.35">
      <c r="A867" s="1019"/>
      <c r="B867" s="1019"/>
      <c r="C867" s="1019"/>
      <c r="D867" s="1019"/>
      <c r="E867" s="1019"/>
      <c r="F867" s="1019"/>
      <c r="G867" s="1019"/>
      <c r="H867" s="1019"/>
      <c r="I867" s="1019"/>
      <c r="J867" s="1019"/>
      <c r="K867" s="1019"/>
      <c r="L867" s="1140"/>
    </row>
    <row r="868" spans="1:12" x14ac:dyDescent="0.35">
      <c r="A868" s="1019"/>
      <c r="B868" s="1019"/>
      <c r="C868" s="1019"/>
      <c r="D868" s="1019"/>
      <c r="E868" s="1019"/>
      <c r="F868" s="1019"/>
      <c r="G868" s="1019"/>
      <c r="H868" s="1019"/>
      <c r="I868" s="1019"/>
      <c r="J868" s="1019"/>
      <c r="K868" s="1019"/>
      <c r="L868" s="1140"/>
    </row>
    <row r="869" spans="1:12" x14ac:dyDescent="0.35">
      <c r="A869" s="1019"/>
      <c r="B869" s="1019"/>
      <c r="C869" s="1019"/>
      <c r="D869" s="1019"/>
      <c r="E869" s="1019"/>
      <c r="F869" s="1019"/>
      <c r="G869" s="1019"/>
      <c r="H869" s="1019"/>
      <c r="I869" s="1019"/>
      <c r="J869" s="1019"/>
      <c r="K869" s="1019"/>
      <c r="L869" s="1140"/>
    </row>
    <row r="870" spans="1:12" x14ac:dyDescent="0.35">
      <c r="A870" s="1019"/>
      <c r="B870" s="1019"/>
      <c r="C870" s="1019"/>
      <c r="D870" s="1019"/>
      <c r="E870" s="1019"/>
      <c r="F870" s="1019"/>
      <c r="G870" s="1019"/>
      <c r="H870" s="1019"/>
      <c r="I870" s="1019"/>
      <c r="J870" s="1019"/>
      <c r="K870" s="1019"/>
      <c r="L870" s="1140"/>
    </row>
    <row r="871" spans="1:12" x14ac:dyDescent="0.35">
      <c r="A871" s="1019"/>
      <c r="B871" s="1019"/>
      <c r="C871" s="1019"/>
      <c r="D871" s="1019"/>
      <c r="E871" s="1019"/>
      <c r="F871" s="1019"/>
      <c r="G871" s="1019"/>
      <c r="H871" s="1019"/>
      <c r="I871" s="1019"/>
      <c r="J871" s="1019"/>
      <c r="K871" s="1019"/>
      <c r="L871" s="1140"/>
    </row>
    <row r="872" spans="1:12" x14ac:dyDescent="0.35">
      <c r="A872" s="1019"/>
      <c r="B872" s="1019"/>
      <c r="C872" s="1019"/>
      <c r="D872" s="1019"/>
      <c r="E872" s="1019"/>
      <c r="F872" s="1019"/>
      <c r="G872" s="1019"/>
      <c r="H872" s="1019"/>
      <c r="I872" s="1019"/>
      <c r="J872" s="1019"/>
      <c r="K872" s="1019"/>
      <c r="L872" s="1140"/>
    </row>
    <row r="873" spans="1:12" x14ac:dyDescent="0.35">
      <c r="A873" s="1019"/>
      <c r="B873" s="1019"/>
      <c r="C873" s="1019"/>
      <c r="D873" s="1019"/>
      <c r="E873" s="1019"/>
      <c r="F873" s="1019"/>
      <c r="G873" s="1019"/>
      <c r="H873" s="1019"/>
      <c r="I873" s="1019"/>
      <c r="J873" s="1019"/>
      <c r="K873" s="1019"/>
      <c r="L873" s="1140"/>
    </row>
    <row r="874" spans="1:12" x14ac:dyDescent="0.35">
      <c r="A874" s="1019"/>
      <c r="B874" s="1019"/>
      <c r="C874" s="1019"/>
      <c r="D874" s="1019"/>
      <c r="E874" s="1019"/>
      <c r="F874" s="1019"/>
      <c r="G874" s="1019"/>
      <c r="H874" s="1019"/>
      <c r="I874" s="1019"/>
      <c r="J874" s="1019"/>
      <c r="K874" s="1019"/>
      <c r="L874" s="1140"/>
    </row>
    <row r="875" spans="1:12" x14ac:dyDescent="0.35">
      <c r="A875" s="1019"/>
      <c r="B875" s="1019"/>
      <c r="C875" s="1019"/>
      <c r="D875" s="1019"/>
      <c r="E875" s="1019"/>
      <c r="F875" s="1019"/>
      <c r="G875" s="1019"/>
      <c r="H875" s="1019"/>
      <c r="I875" s="1019"/>
      <c r="J875" s="1019"/>
      <c r="K875" s="1019"/>
      <c r="L875" s="1140"/>
    </row>
    <row r="876" spans="1:12" x14ac:dyDescent="0.35">
      <c r="A876" s="1019"/>
      <c r="B876" s="1019"/>
      <c r="C876" s="1019"/>
      <c r="D876" s="1019"/>
      <c r="E876" s="1019"/>
      <c r="F876" s="1019"/>
      <c r="G876" s="1019"/>
      <c r="H876" s="1019"/>
      <c r="I876" s="1019"/>
      <c r="J876" s="1019"/>
      <c r="K876" s="1019"/>
      <c r="L876" s="1140"/>
    </row>
    <row r="877" spans="1:12" x14ac:dyDescent="0.35">
      <c r="A877" s="1019"/>
      <c r="B877" s="1019"/>
      <c r="C877" s="1019"/>
      <c r="D877" s="1019"/>
      <c r="E877" s="1019"/>
      <c r="F877" s="1019"/>
      <c r="G877" s="1019"/>
      <c r="H877" s="1019"/>
      <c r="I877" s="1019"/>
      <c r="J877" s="1019"/>
      <c r="K877" s="1019"/>
      <c r="L877" s="1140"/>
    </row>
    <row r="878" spans="1:12" x14ac:dyDescent="0.35">
      <c r="A878" s="1019"/>
      <c r="B878" s="1019"/>
      <c r="C878" s="1019"/>
      <c r="D878" s="1019"/>
      <c r="E878" s="1019"/>
      <c r="F878" s="1019"/>
      <c r="G878" s="1019"/>
      <c r="H878" s="1019"/>
      <c r="I878" s="1019"/>
      <c r="J878" s="1019"/>
      <c r="K878" s="1019"/>
      <c r="L878" s="1140"/>
    </row>
    <row r="879" spans="1:12" x14ac:dyDescent="0.35">
      <c r="A879" s="1019"/>
      <c r="B879" s="1019"/>
      <c r="C879" s="1019"/>
      <c r="D879" s="1019"/>
      <c r="E879" s="1019"/>
      <c r="F879" s="1019"/>
      <c r="G879" s="1019"/>
      <c r="H879" s="1019"/>
      <c r="I879" s="1019"/>
      <c r="J879" s="1019"/>
      <c r="K879" s="1019"/>
      <c r="L879" s="1140"/>
    </row>
    <row r="880" spans="1:12" x14ac:dyDescent="0.35">
      <c r="A880" s="1019"/>
      <c r="B880" s="1019"/>
      <c r="C880" s="1019"/>
      <c r="D880" s="1019"/>
      <c r="E880" s="1019"/>
      <c r="F880" s="1019"/>
      <c r="G880" s="1019"/>
      <c r="H880" s="1019"/>
      <c r="I880" s="1019"/>
      <c r="J880" s="1019"/>
      <c r="K880" s="1019"/>
      <c r="L880" s="1140"/>
    </row>
    <row r="881" spans="1:12" x14ac:dyDescent="0.35">
      <c r="A881" s="1019"/>
      <c r="B881" s="1019"/>
      <c r="C881" s="1019"/>
      <c r="D881" s="1019"/>
      <c r="E881" s="1019"/>
      <c r="F881" s="1019"/>
      <c r="G881" s="1019"/>
      <c r="H881" s="1019"/>
      <c r="I881" s="1019"/>
      <c r="J881" s="1019"/>
      <c r="K881" s="1019"/>
      <c r="L881" s="1140"/>
    </row>
    <row r="882" spans="1:12" x14ac:dyDescent="0.35">
      <c r="A882" s="1019"/>
      <c r="B882" s="1019"/>
      <c r="C882" s="1019"/>
      <c r="D882" s="1019"/>
      <c r="E882" s="1019"/>
      <c r="F882" s="1019"/>
      <c r="G882" s="1019"/>
      <c r="H882" s="1019"/>
      <c r="I882" s="1019"/>
      <c r="J882" s="1019"/>
      <c r="K882" s="1019"/>
      <c r="L882" s="1140"/>
    </row>
    <row r="883" spans="1:12" x14ac:dyDescent="0.35">
      <c r="A883" s="1019"/>
      <c r="B883" s="1019"/>
      <c r="C883" s="1019"/>
      <c r="D883" s="1019"/>
      <c r="E883" s="1019"/>
      <c r="F883" s="1019"/>
      <c r="G883" s="1019"/>
      <c r="H883" s="1019"/>
      <c r="I883" s="1019"/>
      <c r="J883" s="1019"/>
      <c r="K883" s="1019"/>
      <c r="L883" s="1140"/>
    </row>
    <row r="884" spans="1:12" x14ac:dyDescent="0.35">
      <c r="A884" s="1019"/>
      <c r="B884" s="1019"/>
      <c r="C884" s="1019"/>
      <c r="D884" s="1019"/>
      <c r="E884" s="1019"/>
      <c r="F884" s="1019"/>
      <c r="G884" s="1019"/>
      <c r="H884" s="1019"/>
      <c r="I884" s="1019"/>
      <c r="J884" s="1019"/>
      <c r="K884" s="1019"/>
      <c r="L884" s="1140"/>
    </row>
    <row r="885" spans="1:12" x14ac:dyDescent="0.35">
      <c r="A885" s="1019"/>
      <c r="B885" s="1019"/>
      <c r="C885" s="1019"/>
      <c r="D885" s="1019"/>
      <c r="E885" s="1019"/>
      <c r="F885" s="1019"/>
      <c r="G885" s="1019"/>
      <c r="H885" s="1019"/>
      <c r="I885" s="1019"/>
      <c r="J885" s="1019"/>
      <c r="K885" s="1019"/>
      <c r="L885" s="1140"/>
    </row>
    <row r="886" spans="1:12" x14ac:dyDescent="0.35">
      <c r="A886" s="1019"/>
      <c r="B886" s="1019"/>
      <c r="C886" s="1019"/>
      <c r="D886" s="1019"/>
      <c r="E886" s="1019"/>
      <c r="F886" s="1019"/>
      <c r="G886" s="1019"/>
      <c r="H886" s="1019"/>
      <c r="I886" s="1019"/>
      <c r="J886" s="1019"/>
      <c r="K886" s="1019"/>
      <c r="L886" s="1140"/>
    </row>
    <row r="887" spans="1:12" x14ac:dyDescent="0.35">
      <c r="A887" s="1019"/>
      <c r="B887" s="1019"/>
      <c r="C887" s="1019"/>
      <c r="D887" s="1019"/>
      <c r="E887" s="1019"/>
      <c r="F887" s="1019"/>
      <c r="G887" s="1019"/>
      <c r="H887" s="1019"/>
      <c r="I887" s="1019"/>
      <c r="J887" s="1019"/>
      <c r="K887" s="1019"/>
      <c r="L887" s="1140"/>
    </row>
    <row r="888" spans="1:12" x14ac:dyDescent="0.35">
      <c r="A888" s="1019"/>
      <c r="B888" s="1019"/>
      <c r="C888" s="1019"/>
      <c r="D888" s="1019"/>
      <c r="E888" s="1019"/>
      <c r="F888" s="1019"/>
      <c r="G888" s="1019"/>
      <c r="H888" s="1019"/>
      <c r="I888" s="1019"/>
      <c r="J888" s="1019"/>
      <c r="K888" s="1019"/>
      <c r="L888" s="1140"/>
    </row>
    <row r="889" spans="1:12" x14ac:dyDescent="0.35">
      <c r="A889" s="1019"/>
      <c r="B889" s="1019"/>
      <c r="C889" s="1019"/>
      <c r="D889" s="1019"/>
      <c r="E889" s="1019"/>
      <c r="F889" s="1019"/>
      <c r="G889" s="1019"/>
      <c r="H889" s="1019"/>
      <c r="I889" s="1019"/>
      <c r="J889" s="1019"/>
      <c r="K889" s="1019"/>
      <c r="L889" s="1140"/>
    </row>
    <row r="890" spans="1:12" x14ac:dyDescent="0.35">
      <c r="A890" s="1019"/>
      <c r="B890" s="1019"/>
      <c r="C890" s="1019"/>
      <c r="D890" s="1019"/>
      <c r="E890" s="1019"/>
      <c r="F890" s="1019"/>
      <c r="G890" s="1019"/>
      <c r="H890" s="1019"/>
      <c r="I890" s="1019"/>
      <c r="J890" s="1019"/>
      <c r="K890" s="1019"/>
      <c r="L890" s="1140"/>
    </row>
    <row r="891" spans="1:12" x14ac:dyDescent="0.35">
      <c r="A891" s="1019"/>
      <c r="B891" s="1019"/>
      <c r="C891" s="1019"/>
      <c r="D891" s="1019"/>
      <c r="E891" s="1019"/>
      <c r="F891" s="1019"/>
      <c r="G891" s="1019"/>
      <c r="H891" s="1019"/>
      <c r="I891" s="1019"/>
      <c r="J891" s="1019"/>
      <c r="K891" s="1019"/>
      <c r="L891" s="1140"/>
    </row>
    <row r="892" spans="1:12" x14ac:dyDescent="0.35">
      <c r="A892" s="1019"/>
      <c r="B892" s="1019"/>
      <c r="C892" s="1019"/>
      <c r="D892" s="1019"/>
      <c r="E892" s="1019"/>
      <c r="F892" s="1019"/>
      <c r="G892" s="1019"/>
      <c r="H892" s="1019"/>
      <c r="I892" s="1019"/>
      <c r="J892" s="1019"/>
      <c r="K892" s="1019"/>
      <c r="L892" s="1140"/>
    </row>
    <row r="893" spans="1:12" x14ac:dyDescent="0.35">
      <c r="A893" s="1019"/>
      <c r="B893" s="1019"/>
      <c r="C893" s="1019"/>
      <c r="D893" s="1019"/>
      <c r="E893" s="1019"/>
      <c r="F893" s="1019"/>
      <c r="G893" s="1019"/>
      <c r="H893" s="1019"/>
      <c r="I893" s="1019"/>
      <c r="J893" s="1019"/>
      <c r="K893" s="1019"/>
      <c r="L893" s="1140"/>
    </row>
    <row r="894" spans="1:12" x14ac:dyDescent="0.35">
      <c r="A894" s="1019"/>
      <c r="B894" s="1019"/>
      <c r="C894" s="1019"/>
      <c r="D894" s="1019"/>
      <c r="E894" s="1019"/>
      <c r="F894" s="1019"/>
      <c r="G894" s="1019"/>
      <c r="H894" s="1019"/>
      <c r="I894" s="1019"/>
      <c r="J894" s="1019"/>
      <c r="K894" s="1019"/>
      <c r="L894" s="1140"/>
    </row>
    <row r="895" spans="1:12" x14ac:dyDescent="0.35">
      <c r="A895" s="1019"/>
      <c r="B895" s="1019"/>
      <c r="C895" s="1019"/>
      <c r="D895" s="1019"/>
      <c r="E895" s="1019"/>
      <c r="F895" s="1019"/>
      <c r="G895" s="1019"/>
      <c r="H895" s="1019"/>
      <c r="I895" s="1019"/>
      <c r="J895" s="1019"/>
      <c r="K895" s="1019"/>
      <c r="L895" s="1140"/>
    </row>
    <row r="896" spans="1:12" x14ac:dyDescent="0.35">
      <c r="A896" s="1019"/>
      <c r="B896" s="1019"/>
      <c r="C896" s="1019"/>
      <c r="D896" s="1019"/>
      <c r="E896" s="1019"/>
      <c r="F896" s="1019"/>
      <c r="G896" s="1019"/>
      <c r="H896" s="1019"/>
      <c r="I896" s="1019"/>
      <c r="J896" s="1019"/>
      <c r="K896" s="1019"/>
      <c r="L896" s="1140"/>
    </row>
    <row r="897" spans="1:12" x14ac:dyDescent="0.35">
      <c r="A897" s="1019"/>
      <c r="B897" s="1019"/>
      <c r="C897" s="1019"/>
      <c r="D897" s="1019"/>
      <c r="E897" s="1019"/>
      <c r="F897" s="1019"/>
      <c r="G897" s="1019"/>
      <c r="H897" s="1019"/>
      <c r="I897" s="1019"/>
      <c r="J897" s="1019"/>
      <c r="K897" s="1019"/>
      <c r="L897" s="1140"/>
    </row>
    <row r="898" spans="1:12" x14ac:dyDescent="0.35">
      <c r="A898" s="1019"/>
      <c r="B898" s="1019"/>
      <c r="C898" s="1019"/>
      <c r="D898" s="1019"/>
      <c r="E898" s="1019"/>
      <c r="F898" s="1019"/>
      <c r="G898" s="1019"/>
      <c r="H898" s="1019"/>
      <c r="I898" s="1019"/>
      <c r="J898" s="1019"/>
      <c r="K898" s="1019"/>
      <c r="L898" s="1140"/>
    </row>
    <row r="899" spans="1:12" x14ac:dyDescent="0.35">
      <c r="A899" s="1019"/>
      <c r="B899" s="1019"/>
      <c r="C899" s="1019"/>
      <c r="D899" s="1019"/>
      <c r="E899" s="1019"/>
      <c r="F899" s="1019"/>
      <c r="G899" s="1019"/>
      <c r="H899" s="1019"/>
      <c r="I899" s="1019"/>
      <c r="J899" s="1019"/>
      <c r="K899" s="1019"/>
      <c r="L899" s="1140"/>
    </row>
    <row r="900" spans="1:12" x14ac:dyDescent="0.35">
      <c r="A900" s="1019"/>
      <c r="B900" s="1019"/>
      <c r="C900" s="1019"/>
      <c r="D900" s="1019"/>
      <c r="E900" s="1019"/>
      <c r="F900" s="1019"/>
      <c r="G900" s="1019"/>
      <c r="H900" s="1019"/>
      <c r="I900" s="1019"/>
      <c r="J900" s="1019"/>
      <c r="K900" s="1019"/>
      <c r="L900" s="1140"/>
    </row>
    <row r="901" spans="1:12" x14ac:dyDescent="0.35">
      <c r="A901" s="1019"/>
      <c r="B901" s="1019"/>
      <c r="C901" s="1019"/>
      <c r="D901" s="1019"/>
      <c r="E901" s="1019"/>
      <c r="F901" s="1019"/>
      <c r="G901" s="1019"/>
      <c r="H901" s="1019"/>
      <c r="I901" s="1019"/>
      <c r="J901" s="1019"/>
      <c r="K901" s="1019"/>
      <c r="L901" s="1140"/>
    </row>
    <row r="902" spans="1:12" x14ac:dyDescent="0.35">
      <c r="A902" s="1019"/>
      <c r="B902" s="1019"/>
      <c r="C902" s="1019"/>
      <c r="D902" s="1019"/>
      <c r="E902" s="1019"/>
      <c r="F902" s="1019"/>
      <c r="G902" s="1019"/>
      <c r="H902" s="1019"/>
      <c r="I902" s="1019"/>
      <c r="J902" s="1019"/>
      <c r="K902" s="1019"/>
      <c r="L902" s="1140"/>
    </row>
    <row r="903" spans="1:12" x14ac:dyDescent="0.35">
      <c r="A903" s="1019"/>
      <c r="B903" s="1019"/>
      <c r="C903" s="1019"/>
      <c r="D903" s="1019"/>
      <c r="E903" s="1019"/>
      <c r="F903" s="1019"/>
      <c r="G903" s="1019"/>
      <c r="H903" s="1019"/>
      <c r="I903" s="1019"/>
      <c r="J903" s="1019"/>
      <c r="K903" s="1019"/>
      <c r="L903" s="1140"/>
    </row>
    <row r="904" spans="1:12" x14ac:dyDescent="0.35">
      <c r="A904" s="1019"/>
      <c r="B904" s="1019"/>
      <c r="C904" s="1019"/>
      <c r="D904" s="1019"/>
      <c r="E904" s="1019"/>
      <c r="F904" s="1019"/>
      <c r="G904" s="1019"/>
      <c r="H904" s="1019"/>
      <c r="I904" s="1019"/>
      <c r="J904" s="1019"/>
      <c r="K904" s="1019"/>
      <c r="L904" s="1140"/>
    </row>
    <row r="905" spans="1:12" x14ac:dyDescent="0.35">
      <c r="A905" s="1019"/>
      <c r="B905" s="1019"/>
      <c r="C905" s="1019"/>
      <c r="D905" s="1019"/>
      <c r="E905" s="1019"/>
      <c r="F905" s="1019"/>
      <c r="G905" s="1019"/>
      <c r="H905" s="1019"/>
      <c r="I905" s="1019"/>
      <c r="J905" s="1019"/>
      <c r="K905" s="1019"/>
      <c r="L905" s="1140"/>
    </row>
    <row r="906" spans="1:12" x14ac:dyDescent="0.35">
      <c r="A906" s="1019"/>
      <c r="B906" s="1019"/>
      <c r="C906" s="1019"/>
      <c r="D906" s="1019"/>
      <c r="E906" s="1019"/>
      <c r="F906" s="1019"/>
      <c r="G906" s="1019"/>
      <c r="H906" s="1019"/>
      <c r="I906" s="1019"/>
      <c r="J906" s="1019"/>
      <c r="K906" s="1019"/>
      <c r="L906" s="1140"/>
    </row>
    <row r="907" spans="1:12" x14ac:dyDescent="0.35">
      <c r="A907" s="1019"/>
      <c r="B907" s="1019"/>
      <c r="C907" s="1019"/>
      <c r="D907" s="1019"/>
      <c r="E907" s="1019"/>
      <c r="F907" s="1019"/>
      <c r="G907" s="1019"/>
      <c r="H907" s="1019"/>
      <c r="I907" s="1019"/>
      <c r="J907" s="1019"/>
      <c r="K907" s="1019"/>
      <c r="L907" s="1140"/>
    </row>
    <row r="908" spans="1:12" x14ac:dyDescent="0.35">
      <c r="A908" s="1019"/>
      <c r="B908" s="1019"/>
      <c r="C908" s="1019"/>
      <c r="D908" s="1019"/>
      <c r="E908" s="1019"/>
      <c r="F908" s="1019"/>
      <c r="G908" s="1019"/>
      <c r="H908" s="1019"/>
      <c r="I908" s="1019"/>
      <c r="J908" s="1019"/>
      <c r="K908" s="1019"/>
      <c r="L908" s="1140"/>
    </row>
    <row r="909" spans="1:12" x14ac:dyDescent="0.35">
      <c r="A909" s="1019"/>
      <c r="B909" s="1019"/>
      <c r="C909" s="1019"/>
      <c r="D909" s="1019"/>
      <c r="E909" s="1019"/>
      <c r="F909" s="1019"/>
      <c r="G909" s="1019"/>
      <c r="H909" s="1019"/>
      <c r="I909" s="1019"/>
      <c r="J909" s="1019"/>
      <c r="K909" s="1019"/>
      <c r="L909" s="1140"/>
    </row>
    <row r="910" spans="1:12" x14ac:dyDescent="0.35">
      <c r="A910" s="1019"/>
      <c r="B910" s="1019"/>
      <c r="C910" s="1019"/>
      <c r="D910" s="1019"/>
      <c r="E910" s="1019"/>
      <c r="F910" s="1019"/>
      <c r="G910" s="1019"/>
      <c r="H910" s="1019"/>
      <c r="I910" s="1019"/>
      <c r="J910" s="1019"/>
      <c r="K910" s="1019"/>
      <c r="L910" s="1140"/>
    </row>
    <row r="911" spans="1:12" x14ac:dyDescent="0.35">
      <c r="A911" s="1019"/>
      <c r="B911" s="1019"/>
      <c r="C911" s="1019"/>
      <c r="D911" s="1019"/>
      <c r="E911" s="1019"/>
      <c r="F911" s="1019"/>
      <c r="G911" s="1019"/>
      <c r="H911" s="1019"/>
      <c r="I911" s="1019"/>
      <c r="J911" s="1019"/>
      <c r="K911" s="1019"/>
      <c r="L911" s="1140"/>
    </row>
    <row r="912" spans="1:12" x14ac:dyDescent="0.35">
      <c r="A912" s="1019"/>
      <c r="B912" s="1019"/>
      <c r="C912" s="1019"/>
      <c r="D912" s="1019"/>
      <c r="E912" s="1019"/>
      <c r="F912" s="1019"/>
      <c r="G912" s="1019"/>
      <c r="H912" s="1019"/>
      <c r="I912" s="1019"/>
      <c r="J912" s="1019"/>
      <c r="K912" s="1019"/>
      <c r="L912" s="1140"/>
    </row>
    <row r="913" spans="1:12" x14ac:dyDescent="0.35">
      <c r="A913" s="1019"/>
      <c r="B913" s="1019"/>
      <c r="C913" s="1019"/>
      <c r="D913" s="1019"/>
      <c r="E913" s="1019"/>
      <c r="F913" s="1019"/>
      <c r="G913" s="1019"/>
      <c r="H913" s="1019"/>
      <c r="I913" s="1019"/>
      <c r="J913" s="1019"/>
      <c r="K913" s="1019"/>
      <c r="L913" s="1140"/>
    </row>
    <row r="914" spans="1:12" x14ac:dyDescent="0.35">
      <c r="A914" s="1019"/>
      <c r="B914" s="1019"/>
      <c r="C914" s="1019"/>
      <c r="D914" s="1019"/>
      <c r="E914" s="1019"/>
      <c r="F914" s="1019"/>
      <c r="G914" s="1019"/>
      <c r="H914" s="1019"/>
      <c r="I914" s="1019"/>
      <c r="J914" s="1019"/>
      <c r="K914" s="1019"/>
      <c r="L914" s="1140"/>
    </row>
    <row r="915" spans="1:12" x14ac:dyDescent="0.35">
      <c r="A915" s="1019"/>
      <c r="B915" s="1019"/>
      <c r="C915" s="1019"/>
      <c r="D915" s="1019"/>
      <c r="E915" s="1019"/>
      <c r="F915" s="1019"/>
      <c r="G915" s="1019"/>
      <c r="H915" s="1019"/>
      <c r="I915" s="1019"/>
      <c r="J915" s="1019"/>
      <c r="K915" s="1019"/>
      <c r="L915" s="1140"/>
    </row>
    <row r="916" spans="1:12" x14ac:dyDescent="0.35">
      <c r="A916" s="1019"/>
      <c r="B916" s="1019"/>
      <c r="C916" s="1019"/>
      <c r="D916" s="1019"/>
      <c r="E916" s="1019"/>
      <c r="F916" s="1019"/>
      <c r="G916" s="1019"/>
      <c r="H916" s="1019"/>
      <c r="I916" s="1019"/>
      <c r="J916" s="1019"/>
      <c r="K916" s="1019"/>
      <c r="L916" s="1140"/>
    </row>
    <row r="917" spans="1:12" x14ac:dyDescent="0.35">
      <c r="A917" s="1019"/>
      <c r="B917" s="1019"/>
      <c r="C917" s="1019"/>
      <c r="D917" s="1019"/>
      <c r="E917" s="1019"/>
      <c r="F917" s="1019"/>
      <c r="G917" s="1019"/>
      <c r="H917" s="1019"/>
      <c r="I917" s="1019"/>
      <c r="J917" s="1019"/>
      <c r="K917" s="1019"/>
      <c r="L917" s="1140"/>
    </row>
    <row r="918" spans="1:12" x14ac:dyDescent="0.35">
      <c r="A918" s="1019"/>
      <c r="B918" s="1019"/>
      <c r="C918" s="1019"/>
      <c r="D918" s="1019"/>
      <c r="E918" s="1019"/>
      <c r="F918" s="1019"/>
      <c r="G918" s="1019"/>
      <c r="H918" s="1019"/>
      <c r="I918" s="1019"/>
      <c r="J918" s="1019"/>
      <c r="K918" s="1019"/>
      <c r="L918" s="1140"/>
    </row>
    <row r="919" spans="1:12" x14ac:dyDescent="0.35">
      <c r="A919" s="1019"/>
      <c r="B919" s="1019"/>
      <c r="C919" s="1019"/>
      <c r="D919" s="1019"/>
      <c r="E919" s="1019"/>
      <c r="F919" s="1019"/>
      <c r="G919" s="1019"/>
      <c r="H919" s="1019"/>
      <c r="I919" s="1019"/>
      <c r="J919" s="1019"/>
      <c r="K919" s="1019"/>
      <c r="L919" s="1140"/>
    </row>
    <row r="920" spans="1:12" x14ac:dyDescent="0.35">
      <c r="A920" s="1019"/>
      <c r="B920" s="1019"/>
      <c r="C920" s="1019"/>
      <c r="D920" s="1019"/>
      <c r="E920" s="1019"/>
      <c r="F920" s="1019"/>
      <c r="G920" s="1019"/>
      <c r="H920" s="1019"/>
      <c r="I920" s="1019"/>
      <c r="J920" s="1019"/>
      <c r="K920" s="1019"/>
      <c r="L920" s="1140"/>
    </row>
    <row r="921" spans="1:12" x14ac:dyDescent="0.35">
      <c r="A921" s="1019"/>
      <c r="B921" s="1019"/>
      <c r="C921" s="1019"/>
      <c r="D921" s="1019"/>
      <c r="E921" s="1019"/>
      <c r="F921" s="1019"/>
      <c r="G921" s="1019"/>
      <c r="H921" s="1019"/>
      <c r="I921" s="1019"/>
      <c r="J921" s="1019"/>
      <c r="K921" s="1019"/>
      <c r="L921" s="1140"/>
    </row>
    <row r="922" spans="1:12" x14ac:dyDescent="0.35">
      <c r="A922" s="1019"/>
      <c r="B922" s="1019"/>
      <c r="C922" s="1019"/>
      <c r="D922" s="1019"/>
      <c r="E922" s="1019"/>
      <c r="F922" s="1019"/>
      <c r="G922" s="1019"/>
      <c r="H922" s="1019"/>
      <c r="I922" s="1019"/>
      <c r="J922" s="1019"/>
      <c r="K922" s="1019"/>
      <c r="L922" s="1140"/>
    </row>
    <row r="923" spans="1:12" x14ac:dyDescent="0.35">
      <c r="A923" s="1019"/>
      <c r="B923" s="1019"/>
      <c r="C923" s="1019"/>
      <c r="D923" s="1019"/>
      <c r="E923" s="1019"/>
      <c r="F923" s="1019"/>
      <c r="G923" s="1019"/>
      <c r="H923" s="1019"/>
      <c r="I923" s="1019"/>
      <c r="J923" s="1019"/>
      <c r="K923" s="1019"/>
      <c r="L923" s="1140"/>
    </row>
    <row r="924" spans="1:12" x14ac:dyDescent="0.35">
      <c r="A924" s="1019"/>
      <c r="B924" s="1019"/>
      <c r="C924" s="1019"/>
      <c r="D924" s="1019"/>
      <c r="E924" s="1019"/>
      <c r="F924" s="1019"/>
      <c r="G924" s="1019"/>
      <c r="H924" s="1019"/>
      <c r="I924" s="1019"/>
      <c r="J924" s="1019"/>
      <c r="K924" s="1019"/>
      <c r="L924" s="1140"/>
    </row>
    <row r="925" spans="1:12" x14ac:dyDescent="0.35">
      <c r="A925" s="1019"/>
      <c r="B925" s="1019"/>
      <c r="C925" s="1019"/>
      <c r="D925" s="1019"/>
      <c r="E925" s="1019"/>
      <c r="F925" s="1019"/>
      <c r="G925" s="1019"/>
      <c r="H925" s="1019"/>
      <c r="I925" s="1019"/>
      <c r="J925" s="1019"/>
      <c r="K925" s="1019"/>
      <c r="L925" s="1140"/>
    </row>
    <row r="926" spans="1:12" x14ac:dyDescent="0.35">
      <c r="A926" s="1019"/>
      <c r="B926" s="1019"/>
      <c r="C926" s="1019"/>
      <c r="D926" s="1019"/>
      <c r="E926" s="1019"/>
      <c r="F926" s="1019"/>
      <c r="G926" s="1019"/>
      <c r="H926" s="1019"/>
      <c r="I926" s="1019"/>
      <c r="J926" s="1019"/>
      <c r="K926" s="1019"/>
      <c r="L926" s="1140"/>
    </row>
    <row r="927" spans="1:12" x14ac:dyDescent="0.35">
      <c r="A927" s="1019"/>
      <c r="B927" s="1019"/>
      <c r="C927" s="1019"/>
      <c r="D927" s="1019"/>
      <c r="E927" s="1019"/>
      <c r="F927" s="1019"/>
      <c r="G927" s="1019"/>
      <c r="H927" s="1019"/>
      <c r="I927" s="1019"/>
      <c r="J927" s="1019"/>
      <c r="K927" s="1019"/>
      <c r="L927" s="1140"/>
    </row>
    <row r="928" spans="1:12" x14ac:dyDescent="0.35">
      <c r="A928" s="1019"/>
      <c r="B928" s="1019"/>
      <c r="C928" s="1019"/>
      <c r="D928" s="1019"/>
      <c r="E928" s="1019"/>
      <c r="F928" s="1019"/>
      <c r="G928" s="1019"/>
      <c r="H928" s="1019"/>
      <c r="I928" s="1019"/>
      <c r="J928" s="1019"/>
      <c r="K928" s="1019"/>
      <c r="L928" s="1140"/>
    </row>
    <row r="929" spans="1:12" x14ac:dyDescent="0.35">
      <c r="A929" s="1019"/>
      <c r="B929" s="1019"/>
      <c r="C929" s="1019"/>
      <c r="D929" s="1019"/>
      <c r="E929" s="1019"/>
      <c r="F929" s="1019"/>
      <c r="G929" s="1019"/>
      <c r="H929" s="1019"/>
      <c r="I929" s="1019"/>
      <c r="J929" s="1019"/>
      <c r="K929" s="1019"/>
      <c r="L929" s="1140"/>
    </row>
    <row r="930" spans="1:12" x14ac:dyDescent="0.35">
      <c r="A930" s="1019"/>
      <c r="B930" s="1019"/>
      <c r="C930" s="1019"/>
      <c r="D930" s="1019"/>
      <c r="E930" s="1019"/>
      <c r="F930" s="1019"/>
      <c r="G930" s="1019"/>
      <c r="H930" s="1019"/>
      <c r="I930" s="1019"/>
      <c r="J930" s="1019"/>
      <c r="K930" s="1019"/>
      <c r="L930" s="1140"/>
    </row>
    <row r="931" spans="1:12" x14ac:dyDescent="0.35">
      <c r="A931" s="1019"/>
      <c r="B931" s="1019"/>
      <c r="C931" s="1019"/>
      <c r="D931" s="1019"/>
      <c r="E931" s="1019"/>
      <c r="F931" s="1019"/>
      <c r="G931" s="1019"/>
      <c r="H931" s="1019"/>
      <c r="I931" s="1019"/>
      <c r="J931" s="1019"/>
      <c r="K931" s="1019"/>
      <c r="L931" s="1140"/>
    </row>
    <row r="932" spans="1:12" x14ac:dyDescent="0.35">
      <c r="A932" s="1019"/>
      <c r="B932" s="1019"/>
      <c r="C932" s="1019"/>
      <c r="D932" s="1019"/>
      <c r="E932" s="1019"/>
      <c r="F932" s="1019"/>
      <c r="G932" s="1019"/>
      <c r="H932" s="1019"/>
      <c r="I932" s="1019"/>
      <c r="J932" s="1019"/>
      <c r="K932" s="1019"/>
      <c r="L932" s="1140"/>
    </row>
    <row r="933" spans="1:12" x14ac:dyDescent="0.35">
      <c r="A933" s="1019"/>
      <c r="B933" s="1019"/>
      <c r="C933" s="1019"/>
      <c r="D933" s="1019"/>
      <c r="E933" s="1019"/>
      <c r="F933" s="1019"/>
      <c r="G933" s="1019"/>
      <c r="H933" s="1019"/>
      <c r="I933" s="1019"/>
      <c r="J933" s="1019"/>
      <c r="K933" s="1019"/>
      <c r="L933" s="1140"/>
    </row>
    <row r="934" spans="1:12" x14ac:dyDescent="0.35">
      <c r="A934" s="1019"/>
      <c r="B934" s="1019"/>
      <c r="C934" s="1019"/>
      <c r="D934" s="1019"/>
      <c r="E934" s="1019"/>
      <c r="F934" s="1019"/>
      <c r="G934" s="1019"/>
      <c r="H934" s="1019"/>
      <c r="I934" s="1019"/>
      <c r="J934" s="1019"/>
      <c r="K934" s="1019"/>
      <c r="L934" s="1140"/>
    </row>
    <row r="935" spans="1:12" x14ac:dyDescent="0.35">
      <c r="A935" s="1019"/>
      <c r="B935" s="1019"/>
      <c r="C935" s="1019"/>
      <c r="D935" s="1019"/>
      <c r="E935" s="1019"/>
      <c r="F935" s="1019"/>
      <c r="G935" s="1019"/>
      <c r="H935" s="1019"/>
      <c r="I935" s="1019"/>
      <c r="J935" s="1019"/>
      <c r="K935" s="1019"/>
      <c r="L935" s="1140"/>
    </row>
    <row r="936" spans="1:12" x14ac:dyDescent="0.35">
      <c r="A936" s="1019"/>
      <c r="B936" s="1019"/>
      <c r="C936" s="1019"/>
      <c r="D936" s="1019"/>
      <c r="E936" s="1019"/>
      <c r="F936" s="1019"/>
      <c r="G936" s="1019"/>
      <c r="H936" s="1019"/>
      <c r="I936" s="1019"/>
      <c r="J936" s="1019"/>
      <c r="K936" s="1019"/>
      <c r="L936" s="1140"/>
    </row>
    <row r="937" spans="1:12" x14ac:dyDescent="0.35">
      <c r="A937" s="1019"/>
      <c r="B937" s="1019"/>
      <c r="C937" s="1019"/>
      <c r="D937" s="1019"/>
      <c r="E937" s="1019"/>
      <c r="F937" s="1019"/>
      <c r="G937" s="1019"/>
      <c r="H937" s="1019"/>
      <c r="I937" s="1019"/>
      <c r="J937" s="1019"/>
      <c r="K937" s="1019"/>
      <c r="L937" s="1140"/>
    </row>
    <row r="938" spans="1:12" x14ac:dyDescent="0.35">
      <c r="A938" s="1019"/>
      <c r="B938" s="1019"/>
      <c r="C938" s="1019"/>
      <c r="D938" s="1019"/>
      <c r="E938" s="1019"/>
      <c r="F938" s="1019"/>
      <c r="G938" s="1019"/>
      <c r="H938" s="1019"/>
      <c r="I938" s="1019"/>
      <c r="J938" s="1019"/>
      <c r="K938" s="1019"/>
      <c r="L938" s="1140"/>
    </row>
    <row r="939" spans="1:12" x14ac:dyDescent="0.35">
      <c r="A939" s="1019"/>
      <c r="B939" s="1019"/>
      <c r="C939" s="1019"/>
      <c r="D939" s="1019"/>
      <c r="E939" s="1019"/>
      <c r="F939" s="1019"/>
      <c r="G939" s="1019"/>
      <c r="H939" s="1019"/>
      <c r="I939" s="1019"/>
      <c r="J939" s="1019"/>
      <c r="K939" s="1019"/>
      <c r="L939" s="1140"/>
    </row>
    <row r="940" spans="1:12" x14ac:dyDescent="0.35">
      <c r="A940" s="1019"/>
      <c r="B940" s="1019"/>
      <c r="C940" s="1019"/>
      <c r="D940" s="1019"/>
      <c r="E940" s="1019"/>
      <c r="F940" s="1019"/>
      <c r="G940" s="1019"/>
      <c r="H940" s="1019"/>
      <c r="I940" s="1019"/>
      <c r="J940" s="1019"/>
      <c r="K940" s="1019"/>
      <c r="L940" s="1140"/>
    </row>
    <row r="941" spans="1:12" x14ac:dyDescent="0.35">
      <c r="A941" s="1019"/>
      <c r="B941" s="1019"/>
      <c r="C941" s="1019"/>
      <c r="D941" s="1019"/>
      <c r="E941" s="1019"/>
      <c r="F941" s="1019"/>
      <c r="G941" s="1019"/>
      <c r="H941" s="1019"/>
      <c r="I941" s="1019"/>
      <c r="J941" s="1019"/>
      <c r="K941" s="1019"/>
      <c r="L941" s="1140"/>
    </row>
    <row r="942" spans="1:12" x14ac:dyDescent="0.35">
      <c r="A942" s="1019"/>
      <c r="B942" s="1019"/>
      <c r="C942" s="1019"/>
      <c r="D942" s="1019"/>
      <c r="E942" s="1019"/>
      <c r="F942" s="1019"/>
      <c r="G942" s="1019"/>
      <c r="H942" s="1019"/>
      <c r="I942" s="1019"/>
      <c r="J942" s="1019"/>
      <c r="K942" s="1019"/>
      <c r="L942" s="1140"/>
    </row>
    <row r="943" spans="1:12" x14ac:dyDescent="0.35">
      <c r="A943" s="1019"/>
      <c r="B943" s="1019"/>
      <c r="C943" s="1019"/>
      <c r="D943" s="1019"/>
      <c r="E943" s="1019"/>
      <c r="F943" s="1019"/>
      <c r="G943" s="1019"/>
      <c r="H943" s="1019"/>
      <c r="I943" s="1019"/>
      <c r="J943" s="1019"/>
      <c r="K943" s="1019"/>
      <c r="L943" s="1140"/>
    </row>
    <row r="944" spans="1:12" x14ac:dyDescent="0.35">
      <c r="A944" s="1019"/>
      <c r="B944" s="1019"/>
      <c r="C944" s="1019"/>
      <c r="D944" s="1019"/>
      <c r="E944" s="1019"/>
      <c r="F944" s="1019"/>
      <c r="G944" s="1019"/>
      <c r="H944" s="1019"/>
      <c r="I944" s="1019"/>
      <c r="J944" s="1019"/>
      <c r="K944" s="1019"/>
      <c r="L944" s="1140"/>
    </row>
    <row r="945" spans="1:12" x14ac:dyDescent="0.35">
      <c r="A945" s="1019"/>
      <c r="B945" s="1019"/>
      <c r="C945" s="1019"/>
      <c r="D945" s="1019"/>
      <c r="E945" s="1019"/>
      <c r="F945" s="1019"/>
      <c r="G945" s="1019"/>
      <c r="H945" s="1019"/>
      <c r="I945" s="1019"/>
      <c r="J945" s="1019"/>
      <c r="K945" s="1019"/>
      <c r="L945" s="1140"/>
    </row>
    <row r="946" spans="1:12" x14ac:dyDescent="0.35">
      <c r="A946" s="1019"/>
      <c r="B946" s="1019"/>
      <c r="C946" s="1019"/>
      <c r="D946" s="1019"/>
      <c r="E946" s="1019"/>
      <c r="F946" s="1019"/>
      <c r="G946" s="1019"/>
      <c r="H946" s="1019"/>
      <c r="I946" s="1019"/>
      <c r="J946" s="1019"/>
      <c r="K946" s="1019"/>
      <c r="L946" s="1140"/>
    </row>
    <row r="947" spans="1:12" x14ac:dyDescent="0.35">
      <c r="A947" s="1019"/>
      <c r="B947" s="1019"/>
      <c r="C947" s="1019"/>
      <c r="D947" s="1019"/>
      <c r="E947" s="1019"/>
      <c r="F947" s="1019"/>
      <c r="G947" s="1019"/>
      <c r="H947" s="1019"/>
      <c r="I947" s="1019"/>
      <c r="J947" s="1019"/>
      <c r="K947" s="1019"/>
      <c r="L947" s="1140"/>
    </row>
    <row r="948" spans="1:12" x14ac:dyDescent="0.35">
      <c r="A948" s="1019"/>
      <c r="B948" s="1019"/>
      <c r="C948" s="1019"/>
      <c r="D948" s="1019"/>
      <c r="E948" s="1019"/>
      <c r="F948" s="1019"/>
      <c r="G948" s="1019"/>
      <c r="H948" s="1019"/>
      <c r="I948" s="1019"/>
      <c r="J948" s="1019"/>
      <c r="K948" s="1019"/>
      <c r="L948" s="1140"/>
    </row>
    <row r="949" spans="1:12" x14ac:dyDescent="0.35">
      <c r="A949" s="1019"/>
      <c r="B949" s="1019"/>
      <c r="C949" s="1019"/>
      <c r="D949" s="1019"/>
      <c r="E949" s="1019"/>
      <c r="F949" s="1019"/>
      <c r="G949" s="1019"/>
      <c r="H949" s="1019"/>
      <c r="I949" s="1019"/>
      <c r="J949" s="1019"/>
      <c r="K949" s="1019"/>
      <c r="L949" s="1140"/>
    </row>
    <row r="950" spans="1:12" x14ac:dyDescent="0.35">
      <c r="A950" s="1019"/>
      <c r="B950" s="1019"/>
      <c r="C950" s="1019"/>
      <c r="D950" s="1019"/>
      <c r="E950" s="1019"/>
      <c r="F950" s="1019"/>
      <c r="G950" s="1019"/>
      <c r="H950" s="1019"/>
      <c r="I950" s="1019"/>
      <c r="J950" s="1019"/>
      <c r="K950" s="1019"/>
      <c r="L950" s="1140"/>
    </row>
    <row r="951" spans="1:12" x14ac:dyDescent="0.35">
      <c r="A951" s="1019"/>
      <c r="B951" s="1019"/>
      <c r="C951" s="1019"/>
      <c r="D951" s="1019"/>
      <c r="E951" s="1019"/>
      <c r="F951" s="1019"/>
      <c r="G951" s="1019"/>
      <c r="H951" s="1019"/>
      <c r="I951" s="1019"/>
      <c r="J951" s="1019"/>
      <c r="K951" s="1019"/>
      <c r="L951" s="1140"/>
    </row>
    <row r="952" spans="1:12" x14ac:dyDescent="0.35">
      <c r="A952" s="1019"/>
      <c r="B952" s="1019"/>
      <c r="C952" s="1019"/>
      <c r="D952" s="1019"/>
      <c r="E952" s="1019"/>
      <c r="F952" s="1019"/>
      <c r="G952" s="1019"/>
      <c r="H952" s="1019"/>
      <c r="I952" s="1019"/>
      <c r="J952" s="1019"/>
      <c r="K952" s="1019"/>
      <c r="L952" s="1140"/>
    </row>
    <row r="953" spans="1:12" x14ac:dyDescent="0.35">
      <c r="A953" s="1019"/>
      <c r="B953" s="1019"/>
      <c r="C953" s="1019"/>
      <c r="D953" s="1019"/>
      <c r="E953" s="1019"/>
      <c r="F953" s="1019"/>
      <c r="G953" s="1019"/>
      <c r="H953" s="1019"/>
      <c r="I953" s="1019"/>
      <c r="J953" s="1019"/>
      <c r="K953" s="1019"/>
      <c r="L953" s="1140"/>
    </row>
    <row r="954" spans="1:12" x14ac:dyDescent="0.35">
      <c r="A954" s="1019"/>
      <c r="B954" s="1019"/>
      <c r="C954" s="1019"/>
      <c r="D954" s="1019"/>
      <c r="E954" s="1019"/>
      <c r="F954" s="1019"/>
      <c r="G954" s="1019"/>
      <c r="H954" s="1019"/>
      <c r="I954" s="1019"/>
      <c r="J954" s="1019"/>
      <c r="K954" s="1019"/>
      <c r="L954" s="1140"/>
    </row>
    <row r="955" spans="1:12" x14ac:dyDescent="0.35">
      <c r="A955" s="1019"/>
      <c r="B955" s="1019"/>
      <c r="C955" s="1019"/>
      <c r="D955" s="1019"/>
      <c r="E955" s="1019"/>
      <c r="F955" s="1019"/>
      <c r="G955" s="1019"/>
      <c r="H955" s="1019"/>
      <c r="I955" s="1019"/>
      <c r="J955" s="1019"/>
      <c r="K955" s="1019"/>
      <c r="L955" s="1140"/>
    </row>
    <row r="956" spans="1:12" x14ac:dyDescent="0.35">
      <c r="A956" s="1019"/>
      <c r="B956" s="1019"/>
      <c r="C956" s="1019"/>
      <c r="D956" s="1019"/>
      <c r="E956" s="1019"/>
      <c r="F956" s="1019"/>
      <c r="G956" s="1019"/>
      <c r="H956" s="1019"/>
      <c r="I956" s="1019"/>
      <c r="J956" s="1019"/>
      <c r="K956" s="1019"/>
      <c r="L956" s="1140"/>
    </row>
    <row r="957" spans="1:12" x14ac:dyDescent="0.35">
      <c r="A957" s="1019"/>
      <c r="B957" s="1019"/>
      <c r="C957" s="1019"/>
      <c r="D957" s="1019"/>
      <c r="E957" s="1019"/>
      <c r="F957" s="1019"/>
      <c r="G957" s="1019"/>
      <c r="H957" s="1019"/>
      <c r="I957" s="1019"/>
      <c r="J957" s="1019"/>
      <c r="K957" s="1019"/>
      <c r="L957" s="1140"/>
    </row>
    <row r="958" spans="1:12" x14ac:dyDescent="0.35">
      <c r="A958" s="1019"/>
      <c r="B958" s="1019"/>
      <c r="C958" s="1019"/>
      <c r="D958" s="1019"/>
      <c r="E958" s="1019"/>
      <c r="F958" s="1019"/>
      <c r="G958" s="1019"/>
      <c r="H958" s="1019"/>
      <c r="I958" s="1019"/>
      <c r="J958" s="1019"/>
      <c r="K958" s="1019"/>
      <c r="L958" s="1140"/>
    </row>
    <row r="959" spans="1:12" x14ac:dyDescent="0.35">
      <c r="A959" s="1019"/>
      <c r="B959" s="1019"/>
      <c r="C959" s="1019"/>
      <c r="D959" s="1019"/>
      <c r="E959" s="1019"/>
      <c r="F959" s="1019"/>
      <c r="G959" s="1019"/>
      <c r="H959" s="1019"/>
      <c r="I959" s="1019"/>
      <c r="J959" s="1019"/>
      <c r="K959" s="1019"/>
      <c r="L959" s="1140"/>
    </row>
    <row r="960" spans="1:12" x14ac:dyDescent="0.35">
      <c r="A960" s="1019"/>
      <c r="B960" s="1019"/>
      <c r="C960" s="1019"/>
      <c r="D960" s="1019"/>
      <c r="E960" s="1019"/>
      <c r="F960" s="1019"/>
      <c r="G960" s="1019"/>
      <c r="H960" s="1019"/>
      <c r="I960" s="1019"/>
      <c r="J960" s="1019"/>
      <c r="K960" s="1019"/>
      <c r="L960" s="1140"/>
    </row>
    <row r="961" spans="1:12" x14ac:dyDescent="0.35">
      <c r="A961" s="1019"/>
      <c r="B961" s="1019"/>
      <c r="C961" s="1019"/>
      <c r="D961" s="1019"/>
      <c r="E961" s="1019"/>
      <c r="F961" s="1019"/>
      <c r="G961" s="1019"/>
      <c r="H961" s="1019"/>
      <c r="I961" s="1019"/>
      <c r="J961" s="1019"/>
      <c r="K961" s="1019"/>
      <c r="L961" s="1140"/>
    </row>
    <row r="962" spans="1:12" x14ac:dyDescent="0.35">
      <c r="A962" s="1019"/>
      <c r="B962" s="1019"/>
      <c r="C962" s="1019"/>
      <c r="D962" s="1019"/>
      <c r="E962" s="1019"/>
      <c r="F962" s="1019"/>
      <c r="G962" s="1019"/>
      <c r="H962" s="1019"/>
      <c r="I962" s="1019"/>
      <c r="J962" s="1019"/>
      <c r="K962" s="1019"/>
      <c r="L962" s="1140"/>
    </row>
    <row r="963" spans="1:12" x14ac:dyDescent="0.35">
      <c r="A963" s="1019"/>
      <c r="B963" s="1019"/>
      <c r="C963" s="1019"/>
      <c r="D963" s="1019"/>
      <c r="E963" s="1019"/>
      <c r="F963" s="1019"/>
      <c r="G963" s="1019"/>
      <c r="H963" s="1019"/>
      <c r="I963" s="1019"/>
      <c r="J963" s="1019"/>
      <c r="K963" s="1019"/>
      <c r="L963" s="1140"/>
    </row>
    <row r="964" spans="1:12" x14ac:dyDescent="0.35">
      <c r="A964" s="1019"/>
      <c r="B964" s="1019"/>
      <c r="C964" s="1019"/>
      <c r="D964" s="1019"/>
      <c r="E964" s="1019"/>
      <c r="F964" s="1019"/>
      <c r="G964" s="1019"/>
      <c r="H964" s="1019"/>
      <c r="I964" s="1019"/>
      <c r="J964" s="1019"/>
      <c r="K964" s="1019"/>
      <c r="L964" s="1140"/>
    </row>
    <row r="965" spans="1:12" x14ac:dyDescent="0.35">
      <c r="A965" s="1019"/>
      <c r="B965" s="1019"/>
      <c r="C965" s="1019"/>
      <c r="D965" s="1019"/>
      <c r="E965" s="1019"/>
      <c r="F965" s="1019"/>
      <c r="G965" s="1019"/>
      <c r="H965" s="1019"/>
      <c r="I965" s="1019"/>
      <c r="J965" s="1019"/>
      <c r="K965" s="1019"/>
      <c r="L965" s="1140"/>
    </row>
    <row r="966" spans="1:12" x14ac:dyDescent="0.35">
      <c r="A966" s="1019"/>
      <c r="B966" s="1019"/>
      <c r="C966" s="1019"/>
      <c r="D966" s="1019"/>
      <c r="E966" s="1019"/>
      <c r="F966" s="1019"/>
      <c r="G966" s="1019"/>
      <c r="H966" s="1019"/>
      <c r="I966" s="1019"/>
      <c r="J966" s="1019"/>
      <c r="K966" s="1019"/>
      <c r="L966" s="1140"/>
    </row>
    <row r="967" spans="1:12" x14ac:dyDescent="0.35">
      <c r="A967" s="1019"/>
      <c r="B967" s="1019"/>
      <c r="C967" s="1019"/>
      <c r="D967" s="1019"/>
      <c r="E967" s="1019"/>
      <c r="F967" s="1019"/>
      <c r="G967" s="1019"/>
      <c r="H967" s="1019"/>
      <c r="I967" s="1019"/>
      <c r="J967" s="1019"/>
      <c r="K967" s="1019"/>
      <c r="L967" s="1140"/>
    </row>
    <row r="968" spans="1:12" x14ac:dyDescent="0.35">
      <c r="A968" s="1019"/>
      <c r="B968" s="1019"/>
      <c r="C968" s="1019"/>
      <c r="D968" s="1019"/>
      <c r="E968" s="1019"/>
      <c r="F968" s="1019"/>
      <c r="G968" s="1019"/>
      <c r="H968" s="1019"/>
      <c r="I968" s="1019"/>
      <c r="J968" s="1019"/>
      <c r="K968" s="1019"/>
      <c r="L968" s="1140"/>
    </row>
    <row r="969" spans="1:12" x14ac:dyDescent="0.35">
      <c r="A969" s="1019"/>
      <c r="B969" s="1019"/>
      <c r="C969" s="1019"/>
      <c r="D969" s="1019"/>
      <c r="E969" s="1019"/>
      <c r="F969" s="1019"/>
      <c r="G969" s="1019"/>
      <c r="H969" s="1019"/>
      <c r="I969" s="1019"/>
      <c r="J969" s="1019"/>
      <c r="K969" s="1019"/>
      <c r="L969" s="1140"/>
    </row>
    <row r="970" spans="1:12" x14ac:dyDescent="0.35">
      <c r="A970" s="1019"/>
      <c r="B970" s="1019"/>
      <c r="C970" s="1019"/>
      <c r="D970" s="1019"/>
      <c r="E970" s="1019"/>
      <c r="F970" s="1019"/>
      <c r="G970" s="1019"/>
      <c r="H970" s="1019"/>
      <c r="I970" s="1019"/>
      <c r="J970" s="1019"/>
      <c r="K970" s="1019"/>
      <c r="L970" s="1140"/>
    </row>
    <row r="971" spans="1:12" x14ac:dyDescent="0.35">
      <c r="A971" s="1019"/>
      <c r="B971" s="1019"/>
      <c r="C971" s="1019"/>
      <c r="D971" s="1019"/>
      <c r="E971" s="1019"/>
      <c r="F971" s="1019"/>
      <c r="G971" s="1019"/>
      <c r="H971" s="1019"/>
      <c r="I971" s="1019"/>
      <c r="J971" s="1019"/>
      <c r="K971" s="1019"/>
      <c r="L971" s="1140"/>
    </row>
    <row r="972" spans="1:12" x14ac:dyDescent="0.35">
      <c r="A972" s="1019"/>
      <c r="B972" s="1019"/>
      <c r="C972" s="1019"/>
      <c r="D972" s="1019"/>
      <c r="E972" s="1019"/>
      <c r="F972" s="1019"/>
      <c r="G972" s="1019"/>
      <c r="H972" s="1019"/>
      <c r="I972" s="1019"/>
      <c r="J972" s="1019"/>
      <c r="K972" s="1019"/>
      <c r="L972" s="1140"/>
    </row>
    <row r="973" spans="1:12" x14ac:dyDescent="0.35">
      <c r="A973" s="1019"/>
      <c r="B973" s="1019"/>
      <c r="C973" s="1019"/>
      <c r="D973" s="1019"/>
      <c r="E973" s="1019"/>
      <c r="F973" s="1019"/>
      <c r="G973" s="1019"/>
      <c r="H973" s="1019"/>
      <c r="I973" s="1019"/>
      <c r="J973" s="1019"/>
      <c r="K973" s="1019"/>
      <c r="L973" s="1140"/>
    </row>
    <row r="974" spans="1:12" x14ac:dyDescent="0.35">
      <c r="A974" s="1019"/>
      <c r="B974" s="1019"/>
      <c r="C974" s="1019"/>
      <c r="D974" s="1019"/>
      <c r="E974" s="1019"/>
      <c r="F974" s="1019"/>
      <c r="G974" s="1019"/>
      <c r="H974" s="1019"/>
      <c r="I974" s="1019"/>
      <c r="J974" s="1019"/>
      <c r="K974" s="1019"/>
      <c r="L974" s="1140"/>
    </row>
    <row r="975" spans="1:12" x14ac:dyDescent="0.35">
      <c r="A975" s="1019"/>
      <c r="B975" s="1019"/>
      <c r="C975" s="1019"/>
      <c r="D975" s="1019"/>
      <c r="E975" s="1019"/>
      <c r="F975" s="1019"/>
      <c r="G975" s="1019"/>
      <c r="H975" s="1019"/>
      <c r="I975" s="1019"/>
      <c r="J975" s="1019"/>
      <c r="K975" s="1019"/>
      <c r="L975" s="1140"/>
    </row>
    <row r="976" spans="1:12" x14ac:dyDescent="0.35">
      <c r="A976" s="1019"/>
      <c r="B976" s="1019"/>
      <c r="C976" s="1019"/>
      <c r="D976" s="1019"/>
      <c r="E976" s="1019"/>
      <c r="F976" s="1019"/>
      <c r="G976" s="1019"/>
      <c r="H976" s="1019"/>
      <c r="I976" s="1019"/>
      <c r="J976" s="1019"/>
      <c r="K976" s="1019"/>
      <c r="L976" s="1140"/>
    </row>
    <row r="977" spans="1:12" x14ac:dyDescent="0.35">
      <c r="A977" s="1019"/>
      <c r="B977" s="1019"/>
      <c r="C977" s="1019"/>
      <c r="D977" s="1019"/>
      <c r="E977" s="1019"/>
      <c r="F977" s="1019"/>
      <c r="G977" s="1019"/>
      <c r="H977" s="1019"/>
      <c r="I977" s="1019"/>
      <c r="J977" s="1019"/>
      <c r="K977" s="1019"/>
      <c r="L977" s="1140"/>
    </row>
    <row r="978" spans="1:12" x14ac:dyDescent="0.35">
      <c r="A978" s="1019"/>
      <c r="B978" s="1019"/>
      <c r="C978" s="1019"/>
      <c r="D978" s="1019"/>
      <c r="E978" s="1019"/>
      <c r="F978" s="1019"/>
      <c r="G978" s="1019"/>
      <c r="H978" s="1019"/>
      <c r="I978" s="1019"/>
      <c r="J978" s="1019"/>
      <c r="K978" s="1019"/>
      <c r="L978" s="1140"/>
    </row>
    <row r="979" spans="1:12" x14ac:dyDescent="0.35">
      <c r="A979" s="1019"/>
      <c r="B979" s="1019"/>
      <c r="C979" s="1019"/>
      <c r="D979" s="1019"/>
      <c r="E979" s="1019"/>
      <c r="F979" s="1019"/>
      <c r="G979" s="1019"/>
      <c r="H979" s="1019"/>
      <c r="I979" s="1019"/>
      <c r="J979" s="1019"/>
      <c r="K979" s="1019"/>
      <c r="L979" s="1140"/>
    </row>
    <row r="980" spans="1:12" x14ac:dyDescent="0.35">
      <c r="A980" s="1019"/>
      <c r="B980" s="1019"/>
      <c r="C980" s="1019"/>
      <c r="D980" s="1019"/>
      <c r="E980" s="1019"/>
      <c r="F980" s="1019"/>
      <c r="G980" s="1019"/>
      <c r="H980" s="1019"/>
      <c r="I980" s="1019"/>
      <c r="J980" s="1019"/>
      <c r="K980" s="1019"/>
      <c r="L980" s="1140"/>
    </row>
    <row r="981" spans="1:12" x14ac:dyDescent="0.35">
      <c r="A981" s="1019"/>
      <c r="B981" s="1019"/>
      <c r="C981" s="1019"/>
      <c r="D981" s="1019"/>
      <c r="E981" s="1019"/>
      <c r="F981" s="1019"/>
      <c r="G981" s="1019"/>
      <c r="H981" s="1019"/>
      <c r="I981" s="1019"/>
      <c r="J981" s="1019"/>
      <c r="K981" s="1019"/>
      <c r="L981" s="1140"/>
    </row>
    <row r="982" spans="1:12" x14ac:dyDescent="0.35">
      <c r="A982" s="1019"/>
      <c r="B982" s="1019"/>
      <c r="C982" s="1019"/>
      <c r="D982" s="1019"/>
      <c r="E982" s="1019"/>
      <c r="F982" s="1019"/>
      <c r="G982" s="1019"/>
      <c r="H982" s="1019"/>
      <c r="I982" s="1019"/>
      <c r="J982" s="1019"/>
      <c r="K982" s="1019"/>
      <c r="L982" s="1140"/>
    </row>
    <row r="983" spans="1:12" x14ac:dyDescent="0.35">
      <c r="A983" s="1019"/>
      <c r="B983" s="1019"/>
      <c r="C983" s="1019"/>
      <c r="D983" s="1019"/>
      <c r="E983" s="1019"/>
      <c r="F983" s="1019"/>
      <c r="G983" s="1019"/>
      <c r="H983" s="1019"/>
      <c r="I983" s="1019"/>
      <c r="J983" s="1019"/>
      <c r="K983" s="1019"/>
      <c r="L983" s="1140"/>
    </row>
    <row r="984" spans="1:12" x14ac:dyDescent="0.35">
      <c r="A984" s="1019"/>
      <c r="B984" s="1019"/>
      <c r="C984" s="1019"/>
      <c r="D984" s="1019"/>
      <c r="E984" s="1019"/>
      <c r="F984" s="1019"/>
      <c r="G984" s="1019"/>
      <c r="H984" s="1019"/>
      <c r="I984" s="1019"/>
      <c r="J984" s="1019"/>
      <c r="K984" s="1019"/>
      <c r="L984" s="1140"/>
    </row>
    <row r="985" spans="1:12" x14ac:dyDescent="0.35">
      <c r="A985" s="1019"/>
      <c r="B985" s="1019"/>
      <c r="C985" s="1019"/>
      <c r="D985" s="1019"/>
      <c r="E985" s="1019"/>
      <c r="F985" s="1019"/>
      <c r="G985" s="1019"/>
      <c r="H985" s="1019"/>
      <c r="I985" s="1019"/>
      <c r="J985" s="1019"/>
      <c r="K985" s="1019"/>
      <c r="L985" s="1140"/>
    </row>
    <row r="986" spans="1:12" x14ac:dyDescent="0.35">
      <c r="A986" s="1019"/>
      <c r="B986" s="1019"/>
      <c r="C986" s="1019"/>
      <c r="D986" s="1019"/>
      <c r="E986" s="1019"/>
      <c r="F986" s="1019"/>
      <c r="G986" s="1019"/>
      <c r="H986" s="1019"/>
      <c r="I986" s="1019"/>
      <c r="J986" s="1019"/>
      <c r="K986" s="1019"/>
      <c r="L986" s="1140"/>
    </row>
    <row r="987" spans="1:12" x14ac:dyDescent="0.35">
      <c r="A987" s="1019"/>
      <c r="B987" s="1019"/>
      <c r="C987" s="1019"/>
      <c r="D987" s="1019"/>
      <c r="E987" s="1019"/>
      <c r="F987" s="1019"/>
      <c r="G987" s="1019"/>
      <c r="H987" s="1019"/>
      <c r="I987" s="1019"/>
      <c r="J987" s="1019"/>
      <c r="K987" s="1019"/>
      <c r="L987" s="1140"/>
    </row>
    <row r="988" spans="1:12" x14ac:dyDescent="0.35">
      <c r="A988" s="1019"/>
      <c r="B988" s="1019"/>
      <c r="C988" s="1019"/>
      <c r="D988" s="1019"/>
      <c r="E988" s="1019"/>
      <c r="F988" s="1019"/>
      <c r="G988" s="1019"/>
      <c r="H988" s="1019"/>
      <c r="I988" s="1019"/>
      <c r="J988" s="1019"/>
      <c r="K988" s="1019"/>
      <c r="L988" s="1140"/>
    </row>
    <row r="989" spans="1:12" x14ac:dyDescent="0.35">
      <c r="A989" s="1019"/>
      <c r="B989" s="1019"/>
      <c r="C989" s="1019"/>
      <c r="D989" s="1019"/>
      <c r="E989" s="1019"/>
      <c r="F989" s="1019"/>
      <c r="G989" s="1019"/>
      <c r="H989" s="1019"/>
      <c r="I989" s="1019"/>
      <c r="J989" s="1019"/>
      <c r="K989" s="1019"/>
      <c r="L989" s="1140"/>
    </row>
    <row r="990" spans="1:12" x14ac:dyDescent="0.35">
      <c r="A990" s="1019"/>
      <c r="B990" s="1019"/>
      <c r="C990" s="1019"/>
      <c r="D990" s="1019"/>
      <c r="E990" s="1019"/>
      <c r="F990" s="1019"/>
      <c r="G990" s="1019"/>
      <c r="H990" s="1019"/>
      <c r="I990" s="1019"/>
      <c r="J990" s="1019"/>
      <c r="K990" s="1019"/>
      <c r="L990" s="1140"/>
    </row>
    <row r="991" spans="1:12" x14ac:dyDescent="0.35">
      <c r="A991" s="1019"/>
      <c r="B991" s="1019"/>
      <c r="C991" s="1019"/>
      <c r="D991" s="1019"/>
      <c r="E991" s="1019"/>
      <c r="F991" s="1019"/>
      <c r="G991" s="1019"/>
      <c r="H991" s="1019"/>
      <c r="I991" s="1019"/>
      <c r="J991" s="1019"/>
      <c r="K991" s="1019"/>
      <c r="L991" s="1140"/>
    </row>
    <row r="992" spans="1:12" x14ac:dyDescent="0.35">
      <c r="A992" s="1019"/>
      <c r="B992" s="1019"/>
      <c r="C992" s="1019"/>
      <c r="D992" s="1019"/>
      <c r="E992" s="1019"/>
      <c r="F992" s="1019"/>
      <c r="G992" s="1019"/>
      <c r="H992" s="1019"/>
      <c r="I992" s="1019"/>
      <c r="J992" s="1019"/>
      <c r="K992" s="1019"/>
      <c r="L992" s="1140"/>
    </row>
    <row r="993" spans="1:12" x14ac:dyDescent="0.35">
      <c r="A993" s="1019"/>
      <c r="B993" s="1019"/>
      <c r="C993" s="1019"/>
      <c r="D993" s="1019"/>
      <c r="E993" s="1019"/>
      <c r="F993" s="1019"/>
      <c r="G993" s="1019"/>
      <c r="H993" s="1019"/>
      <c r="I993" s="1019"/>
      <c r="J993" s="1019"/>
      <c r="K993" s="1019"/>
      <c r="L993" s="1140"/>
    </row>
    <row r="994" spans="1:12" x14ac:dyDescent="0.35">
      <c r="A994" s="1019"/>
      <c r="B994" s="1019"/>
      <c r="C994" s="1019"/>
      <c r="D994" s="1019"/>
      <c r="E994" s="1019"/>
      <c r="F994" s="1019"/>
      <c r="G994" s="1019"/>
      <c r="H994" s="1019"/>
      <c r="I994" s="1019"/>
      <c r="J994" s="1019"/>
      <c r="K994" s="1019"/>
      <c r="L994" s="1140"/>
    </row>
    <row r="995" spans="1:12" x14ac:dyDescent="0.35">
      <c r="A995" s="1019"/>
      <c r="B995" s="1019"/>
      <c r="C995" s="1019"/>
      <c r="D995" s="1019"/>
      <c r="E995" s="1019"/>
      <c r="F995" s="1019"/>
      <c r="G995" s="1019"/>
      <c r="H995" s="1019"/>
      <c r="I995" s="1019"/>
      <c r="J995" s="1019"/>
      <c r="K995" s="1019"/>
      <c r="L995" s="1140"/>
    </row>
    <row r="996" spans="1:12" x14ac:dyDescent="0.35">
      <c r="A996" s="1019"/>
      <c r="B996" s="1019"/>
      <c r="C996" s="1019"/>
      <c r="D996" s="1019"/>
      <c r="E996" s="1019"/>
      <c r="F996" s="1019"/>
      <c r="G996" s="1019"/>
      <c r="H996" s="1019"/>
      <c r="I996" s="1019"/>
      <c r="J996" s="1019"/>
      <c r="K996" s="1019"/>
      <c r="L996" s="1140"/>
    </row>
    <row r="997" spans="1:12" x14ac:dyDescent="0.35">
      <c r="A997" s="1019"/>
      <c r="B997" s="1019"/>
      <c r="C997" s="1019"/>
      <c r="D997" s="1019"/>
      <c r="E997" s="1019"/>
      <c r="F997" s="1019"/>
      <c r="G997" s="1019"/>
      <c r="H997" s="1019"/>
      <c r="I997" s="1019"/>
      <c r="J997" s="1019"/>
      <c r="K997" s="1019"/>
      <c r="L997" s="1140"/>
    </row>
    <row r="998" spans="1:12" x14ac:dyDescent="0.35">
      <c r="A998" s="1019"/>
      <c r="B998" s="1019"/>
      <c r="C998" s="1019"/>
      <c r="D998" s="1019"/>
      <c r="E998" s="1019"/>
      <c r="F998" s="1019"/>
      <c r="G998" s="1019"/>
      <c r="H998" s="1019"/>
      <c r="I998" s="1019"/>
      <c r="J998" s="1019"/>
      <c r="K998" s="1019"/>
      <c r="L998" s="1140"/>
    </row>
    <row r="999" spans="1:12" x14ac:dyDescent="0.35">
      <c r="A999" s="1019"/>
      <c r="B999" s="1019"/>
      <c r="C999" s="1019"/>
      <c r="D999" s="1019"/>
      <c r="E999" s="1019"/>
      <c r="F999" s="1019"/>
      <c r="G999" s="1019"/>
      <c r="H999" s="1019"/>
      <c r="I999" s="1019"/>
      <c r="J999" s="1019"/>
      <c r="K999" s="1019"/>
      <c r="L999" s="1140"/>
    </row>
    <row r="1000" spans="1:12" x14ac:dyDescent="0.35">
      <c r="A1000" s="1019"/>
      <c r="B1000" s="1019"/>
      <c r="C1000" s="1019"/>
      <c r="D1000" s="1019"/>
      <c r="E1000" s="1019"/>
      <c r="F1000" s="1019"/>
      <c r="G1000" s="1019"/>
      <c r="H1000" s="1019"/>
      <c r="I1000" s="1019"/>
      <c r="J1000" s="1019"/>
      <c r="K1000" s="1019"/>
      <c r="L1000" s="1140"/>
    </row>
    <row r="1001" spans="1:12" x14ac:dyDescent="0.35">
      <c r="A1001" s="1019"/>
      <c r="B1001" s="1019"/>
      <c r="C1001" s="1019"/>
      <c r="D1001" s="1019"/>
      <c r="E1001" s="1019"/>
      <c r="F1001" s="1019"/>
      <c r="G1001" s="1019"/>
      <c r="H1001" s="1019"/>
      <c r="I1001" s="1019"/>
      <c r="J1001" s="1019"/>
      <c r="K1001" s="1019"/>
      <c r="L1001" s="1140"/>
    </row>
    <row r="1002" spans="1:12" x14ac:dyDescent="0.35">
      <c r="A1002" s="1019"/>
      <c r="B1002" s="1019"/>
      <c r="C1002" s="1019"/>
      <c r="D1002" s="1019"/>
      <c r="E1002" s="1019"/>
      <c r="F1002" s="1019"/>
      <c r="G1002" s="1019"/>
      <c r="H1002" s="1019"/>
      <c r="I1002" s="1019"/>
      <c r="J1002" s="1019"/>
      <c r="K1002" s="1019"/>
      <c r="L1002" s="1140"/>
    </row>
    <row r="1003" spans="1:12" x14ac:dyDescent="0.35">
      <c r="A1003" s="1019"/>
      <c r="B1003" s="1019"/>
      <c r="C1003" s="1019"/>
      <c r="D1003" s="1019"/>
      <c r="E1003" s="1019"/>
      <c r="F1003" s="1019"/>
      <c r="G1003" s="1019"/>
      <c r="H1003" s="1019"/>
      <c r="I1003" s="1019"/>
      <c r="J1003" s="1019"/>
      <c r="K1003" s="1019"/>
      <c r="L1003" s="1140"/>
    </row>
    <row r="1004" spans="1:12" x14ac:dyDescent="0.35">
      <c r="A1004" s="1019"/>
      <c r="B1004" s="1019"/>
      <c r="C1004" s="1019"/>
      <c r="D1004" s="1019"/>
      <c r="E1004" s="1019"/>
      <c r="F1004" s="1019"/>
      <c r="G1004" s="1019"/>
      <c r="H1004" s="1019"/>
      <c r="I1004" s="1019"/>
      <c r="J1004" s="1019"/>
      <c r="K1004" s="1019"/>
      <c r="L1004" s="1140"/>
    </row>
    <row r="1005" spans="1:12" x14ac:dyDescent="0.35">
      <c r="A1005" s="1019"/>
      <c r="B1005" s="1019"/>
      <c r="C1005" s="1019"/>
      <c r="D1005" s="1019"/>
      <c r="E1005" s="1019"/>
      <c r="F1005" s="1019"/>
      <c r="G1005" s="1019"/>
      <c r="H1005" s="1019"/>
      <c r="I1005" s="1019"/>
      <c r="J1005" s="1019"/>
      <c r="K1005" s="1019"/>
      <c r="L1005" s="1140"/>
    </row>
    <row r="1006" spans="1:12" x14ac:dyDescent="0.35">
      <c r="A1006" s="1019"/>
      <c r="B1006" s="1019"/>
      <c r="C1006" s="1019"/>
      <c r="D1006" s="1019"/>
      <c r="E1006" s="1019"/>
      <c r="F1006" s="1019"/>
      <c r="G1006" s="1019"/>
      <c r="H1006" s="1019"/>
      <c r="I1006" s="1019"/>
      <c r="J1006" s="1019"/>
      <c r="K1006" s="1019"/>
      <c r="L1006" s="1140"/>
    </row>
    <row r="1007" spans="1:12" x14ac:dyDescent="0.35">
      <c r="A1007" s="1019"/>
      <c r="B1007" s="1019"/>
      <c r="C1007" s="1019"/>
      <c r="D1007" s="1019"/>
      <c r="E1007" s="1019"/>
      <c r="F1007" s="1019"/>
      <c r="G1007" s="1019"/>
      <c r="H1007" s="1019"/>
      <c r="I1007" s="1019"/>
      <c r="J1007" s="1019"/>
      <c r="K1007" s="1019"/>
      <c r="L1007" s="1140"/>
    </row>
    <row r="1008" spans="1:12" x14ac:dyDescent="0.35">
      <c r="A1008" s="1019"/>
      <c r="B1008" s="1019"/>
      <c r="C1008" s="1019"/>
      <c r="D1008" s="1019"/>
      <c r="E1008" s="1019"/>
      <c r="F1008" s="1019"/>
      <c r="G1008" s="1019"/>
      <c r="H1008" s="1019"/>
      <c r="I1008" s="1019"/>
      <c r="J1008" s="1019"/>
      <c r="K1008" s="1019"/>
      <c r="L1008" s="1140"/>
    </row>
    <row r="1009" spans="1:12" x14ac:dyDescent="0.35">
      <c r="A1009" s="1019"/>
      <c r="B1009" s="1019"/>
      <c r="C1009" s="1019"/>
      <c r="D1009" s="1019"/>
      <c r="E1009" s="1019"/>
      <c r="F1009" s="1019"/>
      <c r="G1009" s="1019"/>
      <c r="H1009" s="1019"/>
      <c r="I1009" s="1019"/>
      <c r="J1009" s="1019"/>
      <c r="K1009" s="1019"/>
      <c r="L1009" s="1140"/>
    </row>
    <row r="1010" spans="1:12" x14ac:dyDescent="0.35">
      <c r="A1010" s="1019"/>
      <c r="B1010" s="1019"/>
      <c r="C1010" s="1019"/>
      <c r="D1010" s="1019"/>
      <c r="E1010" s="1019"/>
      <c r="F1010" s="1019"/>
      <c r="G1010" s="1019"/>
      <c r="H1010" s="1019"/>
      <c r="I1010" s="1019"/>
      <c r="J1010" s="1019"/>
      <c r="K1010" s="1019"/>
      <c r="L1010" s="1140"/>
    </row>
    <row r="1011" spans="1:12" x14ac:dyDescent="0.35">
      <c r="A1011" s="1019"/>
      <c r="B1011" s="1019"/>
      <c r="C1011" s="1019"/>
      <c r="D1011" s="1019"/>
      <c r="E1011" s="1019"/>
      <c r="F1011" s="1019"/>
      <c r="G1011" s="1019"/>
      <c r="H1011" s="1019"/>
      <c r="I1011" s="1019"/>
      <c r="J1011" s="1019"/>
      <c r="K1011" s="1019"/>
      <c r="L1011" s="1140"/>
    </row>
    <row r="1012" spans="1:12" x14ac:dyDescent="0.35">
      <c r="A1012" s="1019"/>
      <c r="B1012" s="1019"/>
      <c r="C1012" s="1019"/>
      <c r="D1012" s="1019"/>
      <c r="E1012" s="1019"/>
      <c r="F1012" s="1019"/>
      <c r="G1012" s="1019"/>
      <c r="H1012" s="1019"/>
      <c r="I1012" s="1019"/>
      <c r="J1012" s="1019"/>
      <c r="K1012" s="1019"/>
      <c r="L1012" s="1140"/>
    </row>
    <row r="1013" spans="1:12" x14ac:dyDescent="0.35">
      <c r="A1013" s="1019"/>
      <c r="B1013" s="1019"/>
      <c r="C1013" s="1019"/>
      <c r="D1013" s="1019"/>
      <c r="E1013" s="1019"/>
      <c r="F1013" s="1019"/>
      <c r="G1013" s="1019"/>
      <c r="H1013" s="1019"/>
      <c r="I1013" s="1019"/>
      <c r="J1013" s="1019"/>
      <c r="K1013" s="1019"/>
      <c r="L1013" s="1140"/>
    </row>
    <row r="1014" spans="1:12" x14ac:dyDescent="0.35">
      <c r="A1014" s="1019"/>
      <c r="B1014" s="1019"/>
      <c r="C1014" s="1019"/>
      <c r="D1014" s="1019"/>
      <c r="E1014" s="1019"/>
      <c r="F1014" s="1019"/>
      <c r="G1014" s="1019"/>
      <c r="H1014" s="1019"/>
      <c r="I1014" s="1019"/>
      <c r="J1014" s="1019"/>
      <c r="K1014" s="1019"/>
      <c r="L1014" s="1140"/>
    </row>
    <row r="1015" spans="1:12" x14ac:dyDescent="0.35">
      <c r="A1015" s="1019"/>
      <c r="B1015" s="1019"/>
      <c r="C1015" s="1019"/>
      <c r="D1015" s="1019"/>
      <c r="E1015" s="1019"/>
      <c r="F1015" s="1019"/>
      <c r="G1015" s="1019"/>
      <c r="H1015" s="1019"/>
      <c r="I1015" s="1019"/>
      <c r="J1015" s="1019"/>
      <c r="K1015" s="1019"/>
      <c r="L1015" s="1140"/>
    </row>
    <row r="1016" spans="1:12" x14ac:dyDescent="0.35">
      <c r="A1016" s="1019"/>
      <c r="B1016" s="1019"/>
      <c r="C1016" s="1019"/>
      <c r="D1016" s="1019"/>
      <c r="E1016" s="1019"/>
      <c r="F1016" s="1019"/>
      <c r="G1016" s="1019"/>
      <c r="H1016" s="1019"/>
      <c r="I1016" s="1019"/>
      <c r="J1016" s="1019"/>
      <c r="K1016" s="1019"/>
      <c r="L1016" s="1140"/>
    </row>
    <row r="1017" spans="1:12" x14ac:dyDescent="0.35">
      <c r="A1017" s="1019"/>
      <c r="B1017" s="1019"/>
      <c r="C1017" s="1019"/>
      <c r="D1017" s="1019"/>
      <c r="E1017" s="1019"/>
      <c r="F1017" s="1019"/>
      <c r="G1017" s="1019"/>
      <c r="H1017" s="1019"/>
      <c r="I1017" s="1019"/>
      <c r="J1017" s="1019"/>
      <c r="K1017" s="1019"/>
      <c r="L1017" s="1140"/>
    </row>
    <row r="1018" spans="1:12" x14ac:dyDescent="0.35">
      <c r="A1018" s="1019"/>
      <c r="B1018" s="1019"/>
      <c r="C1018" s="1019"/>
      <c r="D1018" s="1019"/>
      <c r="E1018" s="1019"/>
      <c r="F1018" s="1019"/>
      <c r="G1018" s="1019"/>
      <c r="H1018" s="1019"/>
      <c r="I1018" s="1019"/>
      <c r="J1018" s="1019"/>
      <c r="K1018" s="1019"/>
      <c r="L1018" s="1140"/>
    </row>
    <row r="1019" spans="1:12" x14ac:dyDescent="0.35">
      <c r="A1019" s="1019"/>
      <c r="B1019" s="1019"/>
      <c r="C1019" s="1019"/>
      <c r="D1019" s="1019"/>
      <c r="E1019" s="1019"/>
      <c r="F1019" s="1019"/>
      <c r="G1019" s="1019"/>
      <c r="H1019" s="1019"/>
      <c r="I1019" s="1019"/>
      <c r="J1019" s="1019"/>
      <c r="K1019" s="1019"/>
      <c r="L1019" s="1140"/>
    </row>
    <row r="1020" spans="1:12" x14ac:dyDescent="0.35">
      <c r="A1020" s="1019"/>
      <c r="B1020" s="1019"/>
      <c r="C1020" s="1019"/>
      <c r="D1020" s="1019"/>
      <c r="E1020" s="1019"/>
      <c r="F1020" s="1019"/>
      <c r="G1020" s="1019"/>
      <c r="H1020" s="1019"/>
      <c r="I1020" s="1019"/>
      <c r="J1020" s="1019"/>
      <c r="K1020" s="1019"/>
      <c r="L1020" s="1140"/>
    </row>
    <row r="1021" spans="1:12" x14ac:dyDescent="0.35">
      <c r="A1021" s="1019"/>
      <c r="B1021" s="1019"/>
      <c r="C1021" s="1019"/>
      <c r="D1021" s="1019"/>
      <c r="E1021" s="1019"/>
      <c r="F1021" s="1019"/>
      <c r="G1021" s="1019"/>
      <c r="H1021" s="1019"/>
      <c r="I1021" s="1019"/>
      <c r="J1021" s="1019"/>
      <c r="K1021" s="1019"/>
      <c r="L1021" s="1140"/>
    </row>
    <row r="1022" spans="1:12" x14ac:dyDescent="0.35">
      <c r="A1022" s="1019"/>
      <c r="B1022" s="1019"/>
      <c r="C1022" s="1019"/>
      <c r="D1022" s="1019"/>
      <c r="E1022" s="1019"/>
      <c r="F1022" s="1019"/>
      <c r="G1022" s="1019"/>
      <c r="H1022" s="1019"/>
      <c r="I1022" s="1019"/>
      <c r="J1022" s="1019"/>
      <c r="K1022" s="1019"/>
      <c r="L1022" s="1140"/>
    </row>
    <row r="1023" spans="1:12" x14ac:dyDescent="0.35">
      <c r="A1023" s="1019"/>
      <c r="B1023" s="1019"/>
      <c r="C1023" s="1019"/>
      <c r="D1023" s="1019"/>
      <c r="E1023" s="1019"/>
      <c r="F1023" s="1019"/>
      <c r="G1023" s="1019"/>
      <c r="H1023" s="1019"/>
      <c r="I1023" s="1019"/>
      <c r="J1023" s="1019"/>
      <c r="K1023" s="1019"/>
      <c r="L1023" s="1140"/>
    </row>
    <row r="1024" spans="1:12" x14ac:dyDescent="0.35">
      <c r="A1024" s="1019"/>
      <c r="B1024" s="1019"/>
      <c r="C1024" s="1019"/>
      <c r="D1024" s="1019"/>
      <c r="E1024" s="1019"/>
      <c r="F1024" s="1019"/>
      <c r="G1024" s="1019"/>
      <c r="H1024" s="1019"/>
      <c r="I1024" s="1019"/>
      <c r="J1024" s="1019"/>
      <c r="K1024" s="1019"/>
      <c r="L1024" s="1140"/>
    </row>
    <row r="1025" spans="1:12" x14ac:dyDescent="0.35">
      <c r="A1025" s="1019"/>
      <c r="B1025" s="1019"/>
      <c r="C1025" s="1019"/>
      <c r="D1025" s="1019"/>
      <c r="E1025" s="1019"/>
      <c r="F1025" s="1019"/>
      <c r="G1025" s="1019"/>
      <c r="H1025" s="1019"/>
      <c r="I1025" s="1019"/>
      <c r="J1025" s="1019"/>
      <c r="K1025" s="1019"/>
      <c r="L1025" s="1140"/>
    </row>
    <row r="1026" spans="1:12" x14ac:dyDescent="0.35">
      <c r="A1026" s="1019"/>
      <c r="B1026" s="1019"/>
      <c r="C1026" s="1019"/>
      <c r="D1026" s="1019"/>
      <c r="E1026" s="1019"/>
      <c r="F1026" s="1019"/>
      <c r="G1026" s="1019"/>
      <c r="H1026" s="1019"/>
      <c r="I1026" s="1019"/>
      <c r="J1026" s="1019"/>
      <c r="K1026" s="1019"/>
      <c r="L1026" s="1140"/>
    </row>
    <row r="1027" spans="1:12" x14ac:dyDescent="0.35">
      <c r="A1027" s="1019"/>
      <c r="B1027" s="1019"/>
      <c r="C1027" s="1019"/>
      <c r="D1027" s="1019"/>
      <c r="E1027" s="1019"/>
      <c r="F1027" s="1019"/>
      <c r="G1027" s="1019"/>
      <c r="H1027" s="1019"/>
      <c r="I1027" s="1019"/>
      <c r="J1027" s="1019"/>
      <c r="K1027" s="1019"/>
      <c r="L1027" s="1140"/>
    </row>
    <row r="1028" spans="1:12" x14ac:dyDescent="0.35">
      <c r="A1028" s="1019"/>
      <c r="B1028" s="1019"/>
      <c r="C1028" s="1019"/>
      <c r="D1028" s="1019"/>
      <c r="E1028" s="1019"/>
      <c r="F1028" s="1019"/>
      <c r="G1028" s="1019"/>
      <c r="H1028" s="1019"/>
      <c r="I1028" s="1019"/>
      <c r="J1028" s="1019"/>
      <c r="K1028" s="1019"/>
      <c r="L1028" s="1140"/>
    </row>
    <row r="1029" spans="1:12" x14ac:dyDescent="0.35">
      <c r="A1029" s="1019"/>
      <c r="B1029" s="1019"/>
      <c r="C1029" s="1019"/>
      <c r="D1029" s="1019"/>
      <c r="E1029" s="1019"/>
      <c r="F1029" s="1019"/>
      <c r="G1029" s="1019"/>
      <c r="H1029" s="1019"/>
      <c r="I1029" s="1019"/>
      <c r="J1029" s="1019"/>
      <c r="K1029" s="1019"/>
      <c r="L1029" s="1140"/>
    </row>
    <row r="1030" spans="1:12" x14ac:dyDescent="0.35">
      <c r="A1030" s="1019"/>
      <c r="B1030" s="1019"/>
      <c r="C1030" s="1019"/>
      <c r="D1030" s="1019"/>
      <c r="E1030" s="1019"/>
      <c r="F1030" s="1019"/>
      <c r="G1030" s="1019"/>
      <c r="H1030" s="1019"/>
      <c r="I1030" s="1019"/>
      <c r="J1030" s="1019"/>
      <c r="K1030" s="1019"/>
      <c r="L1030" s="1140"/>
    </row>
    <row r="1031" spans="1:12" x14ac:dyDescent="0.35">
      <c r="A1031" s="1019"/>
      <c r="B1031" s="1019"/>
      <c r="C1031" s="1019"/>
      <c r="D1031" s="1019"/>
      <c r="E1031" s="1019"/>
      <c r="F1031" s="1019"/>
      <c r="G1031" s="1019"/>
      <c r="H1031" s="1019"/>
      <c r="I1031" s="1019"/>
      <c r="J1031" s="1019"/>
      <c r="K1031" s="1019"/>
      <c r="L1031" s="1140"/>
    </row>
    <row r="1032" spans="1:12" x14ac:dyDescent="0.35">
      <c r="A1032" s="1019"/>
      <c r="B1032" s="1019"/>
      <c r="C1032" s="1019"/>
      <c r="D1032" s="1019"/>
      <c r="E1032" s="1019"/>
      <c r="F1032" s="1019"/>
      <c r="G1032" s="1019"/>
      <c r="H1032" s="1019"/>
      <c r="I1032" s="1019"/>
      <c r="J1032" s="1019"/>
      <c r="K1032" s="1019"/>
      <c r="L1032" s="1140"/>
    </row>
    <row r="1033" spans="1:12" x14ac:dyDescent="0.35">
      <c r="A1033" s="1019"/>
      <c r="B1033" s="1019"/>
      <c r="C1033" s="1019"/>
      <c r="D1033" s="1019"/>
      <c r="E1033" s="1019"/>
      <c r="F1033" s="1019"/>
      <c r="G1033" s="1019"/>
      <c r="H1033" s="1019"/>
      <c r="I1033" s="1019"/>
      <c r="J1033" s="1019"/>
      <c r="K1033" s="1019"/>
      <c r="L1033" s="1140"/>
    </row>
    <row r="1034" spans="1:12" x14ac:dyDescent="0.35">
      <c r="A1034" s="1019"/>
      <c r="B1034" s="1019"/>
      <c r="C1034" s="1019"/>
      <c r="D1034" s="1019"/>
      <c r="E1034" s="1019"/>
      <c r="F1034" s="1019"/>
      <c r="G1034" s="1019"/>
      <c r="H1034" s="1019"/>
      <c r="I1034" s="1019"/>
      <c r="J1034" s="1019"/>
      <c r="K1034" s="1019"/>
      <c r="L1034" s="1140"/>
    </row>
    <row r="1035" spans="1:12" x14ac:dyDescent="0.35">
      <c r="A1035" s="1019"/>
      <c r="B1035" s="1019"/>
      <c r="C1035" s="1019"/>
      <c r="D1035" s="1019"/>
      <c r="E1035" s="1019"/>
      <c r="F1035" s="1019"/>
      <c r="G1035" s="1019"/>
      <c r="H1035" s="1019"/>
      <c r="I1035" s="1019"/>
      <c r="J1035" s="1019"/>
      <c r="K1035" s="1019"/>
      <c r="L1035" s="1140"/>
    </row>
    <row r="1036" spans="1:12" x14ac:dyDescent="0.35">
      <c r="A1036" s="1019"/>
      <c r="B1036" s="1019"/>
      <c r="C1036" s="1019"/>
      <c r="D1036" s="1019"/>
      <c r="E1036" s="1019"/>
      <c r="F1036" s="1019"/>
      <c r="G1036" s="1019"/>
      <c r="H1036" s="1019"/>
      <c r="I1036" s="1019"/>
      <c r="J1036" s="1019"/>
      <c r="K1036" s="1019"/>
      <c r="L1036" s="1140"/>
    </row>
    <row r="1037" spans="1:12" x14ac:dyDescent="0.35">
      <c r="A1037" s="1019"/>
      <c r="B1037" s="1019"/>
      <c r="C1037" s="1019"/>
      <c r="D1037" s="1019"/>
      <c r="E1037" s="1019"/>
      <c r="F1037" s="1019"/>
      <c r="G1037" s="1019"/>
      <c r="H1037" s="1019"/>
      <c r="I1037" s="1019"/>
      <c r="J1037" s="1019"/>
      <c r="K1037" s="1019"/>
      <c r="L1037" s="1140"/>
    </row>
    <row r="1038" spans="1:12" x14ac:dyDescent="0.35">
      <c r="A1038" s="1019"/>
      <c r="B1038" s="1019"/>
      <c r="C1038" s="1019"/>
      <c r="D1038" s="1019"/>
      <c r="E1038" s="1019"/>
      <c r="F1038" s="1019"/>
      <c r="G1038" s="1019"/>
      <c r="H1038" s="1019"/>
      <c r="I1038" s="1019"/>
      <c r="J1038" s="1019"/>
      <c r="K1038" s="1019"/>
      <c r="L1038" s="1140"/>
    </row>
    <row r="1039" spans="1:12" x14ac:dyDescent="0.35">
      <c r="A1039" s="1019"/>
      <c r="B1039" s="1019"/>
      <c r="C1039" s="1019"/>
      <c r="D1039" s="1019"/>
      <c r="E1039" s="1019"/>
      <c r="F1039" s="1019"/>
      <c r="G1039" s="1019"/>
      <c r="H1039" s="1019"/>
      <c r="I1039" s="1019"/>
      <c r="J1039" s="1019"/>
      <c r="K1039" s="1019"/>
      <c r="L1039" s="1140"/>
    </row>
    <row r="1040" spans="1:12" x14ac:dyDescent="0.35">
      <c r="A1040" s="1019"/>
      <c r="B1040" s="1019"/>
      <c r="C1040" s="1019"/>
      <c r="D1040" s="1019"/>
      <c r="E1040" s="1019"/>
      <c r="F1040" s="1019"/>
      <c r="G1040" s="1019"/>
      <c r="H1040" s="1019"/>
      <c r="I1040" s="1019"/>
      <c r="J1040" s="1019"/>
      <c r="K1040" s="1019"/>
      <c r="L1040" s="1140"/>
    </row>
    <row r="1041" spans="1:12" x14ac:dyDescent="0.35">
      <c r="A1041" s="1019"/>
      <c r="B1041" s="1019"/>
      <c r="C1041" s="1019"/>
      <c r="D1041" s="1019"/>
      <c r="E1041" s="1019"/>
      <c r="F1041" s="1019"/>
      <c r="G1041" s="1019"/>
      <c r="H1041" s="1019"/>
      <c r="I1041" s="1019"/>
      <c r="J1041" s="1019"/>
      <c r="K1041" s="1019"/>
      <c r="L1041" s="1140"/>
    </row>
    <row r="1042" spans="1:12" x14ac:dyDescent="0.35">
      <c r="A1042" s="1019"/>
      <c r="B1042" s="1019"/>
      <c r="C1042" s="1019"/>
      <c r="D1042" s="1019"/>
      <c r="E1042" s="1019"/>
      <c r="F1042" s="1019"/>
      <c r="G1042" s="1019"/>
      <c r="H1042" s="1019"/>
      <c r="I1042" s="1019"/>
      <c r="J1042" s="1019"/>
      <c r="K1042" s="1019"/>
      <c r="L1042" s="1140"/>
    </row>
    <row r="1043" spans="1:12" x14ac:dyDescent="0.35">
      <c r="A1043" s="1019"/>
      <c r="B1043" s="1019"/>
      <c r="C1043" s="1019"/>
      <c r="D1043" s="1019"/>
      <c r="E1043" s="1019"/>
      <c r="F1043" s="1019"/>
      <c r="G1043" s="1019"/>
      <c r="H1043" s="1019"/>
      <c r="I1043" s="1019"/>
      <c r="J1043" s="1019"/>
      <c r="K1043" s="1019"/>
      <c r="L1043" s="1140"/>
    </row>
    <row r="1044" spans="1:12" x14ac:dyDescent="0.35">
      <c r="A1044" s="1019"/>
      <c r="B1044" s="1019"/>
      <c r="C1044" s="1019"/>
      <c r="D1044" s="1019"/>
      <c r="E1044" s="1019"/>
      <c r="F1044" s="1019"/>
      <c r="G1044" s="1019"/>
      <c r="H1044" s="1019"/>
      <c r="I1044" s="1019"/>
      <c r="J1044" s="1019"/>
      <c r="K1044" s="1019"/>
      <c r="L1044" s="1140"/>
    </row>
    <row r="1045" spans="1:12" x14ac:dyDescent="0.35">
      <c r="A1045" s="1019"/>
      <c r="B1045" s="1019"/>
      <c r="C1045" s="1019"/>
      <c r="D1045" s="1019"/>
      <c r="E1045" s="1019"/>
      <c r="F1045" s="1019"/>
      <c r="G1045" s="1019"/>
      <c r="H1045" s="1019"/>
      <c r="I1045" s="1019"/>
      <c r="J1045" s="1019"/>
      <c r="K1045" s="1019"/>
      <c r="L1045" s="1140"/>
    </row>
    <row r="1046" spans="1:12" x14ac:dyDescent="0.35">
      <c r="A1046" s="1019"/>
      <c r="B1046" s="1019"/>
      <c r="C1046" s="1019"/>
      <c r="D1046" s="1019"/>
      <c r="E1046" s="1019"/>
      <c r="F1046" s="1019"/>
      <c r="G1046" s="1019"/>
      <c r="H1046" s="1019"/>
      <c r="I1046" s="1019"/>
      <c r="J1046" s="1019"/>
      <c r="K1046" s="1019"/>
      <c r="L1046" s="1140"/>
    </row>
    <row r="1047" spans="1:12" x14ac:dyDescent="0.35">
      <c r="A1047" s="1019"/>
      <c r="B1047" s="1019"/>
      <c r="C1047" s="1019"/>
      <c r="D1047" s="1019"/>
      <c r="E1047" s="1019"/>
      <c r="F1047" s="1019"/>
      <c r="G1047" s="1019"/>
      <c r="H1047" s="1019"/>
      <c r="I1047" s="1019"/>
      <c r="J1047" s="1019"/>
      <c r="K1047" s="1019"/>
      <c r="L1047" s="1140"/>
    </row>
    <row r="1048" spans="1:12" x14ac:dyDescent="0.35">
      <c r="A1048" s="1019"/>
      <c r="B1048" s="1019"/>
      <c r="C1048" s="1019"/>
      <c r="D1048" s="1019"/>
      <c r="E1048" s="1019"/>
      <c r="F1048" s="1019"/>
      <c r="G1048" s="1019"/>
      <c r="H1048" s="1019"/>
      <c r="I1048" s="1019"/>
      <c r="J1048" s="1019"/>
      <c r="K1048" s="1019"/>
      <c r="L1048" s="1140"/>
    </row>
    <row r="1049" spans="1:12" x14ac:dyDescent="0.35">
      <c r="A1049" s="1019"/>
      <c r="B1049" s="1019"/>
      <c r="C1049" s="1019"/>
      <c r="D1049" s="1019"/>
      <c r="E1049" s="1019"/>
      <c r="F1049" s="1019"/>
      <c r="G1049" s="1019"/>
      <c r="H1049" s="1019"/>
      <c r="I1049" s="1019"/>
      <c r="J1049" s="1019"/>
      <c r="K1049" s="1019"/>
      <c r="L1049" s="1140"/>
    </row>
    <row r="1050" spans="1:12" x14ac:dyDescent="0.35">
      <c r="A1050" s="1019"/>
      <c r="B1050" s="1019"/>
      <c r="C1050" s="1019"/>
      <c r="D1050" s="1019"/>
      <c r="E1050" s="1019"/>
      <c r="F1050" s="1019"/>
      <c r="G1050" s="1019"/>
      <c r="H1050" s="1019"/>
      <c r="I1050" s="1019"/>
      <c r="J1050" s="1019"/>
      <c r="K1050" s="1019"/>
      <c r="L1050" s="1140"/>
    </row>
    <row r="1051" spans="1:12" x14ac:dyDescent="0.35">
      <c r="A1051" s="1019"/>
      <c r="B1051" s="1019"/>
      <c r="C1051" s="1019"/>
      <c r="D1051" s="1019"/>
      <c r="E1051" s="1019"/>
      <c r="F1051" s="1019"/>
      <c r="G1051" s="1019"/>
      <c r="H1051" s="1019"/>
      <c r="I1051" s="1019"/>
      <c r="J1051" s="1019"/>
      <c r="K1051" s="1019"/>
      <c r="L1051" s="1140"/>
    </row>
    <row r="1052" spans="1:12" x14ac:dyDescent="0.35">
      <c r="A1052" s="1019"/>
      <c r="B1052" s="1019"/>
      <c r="C1052" s="1019"/>
      <c r="D1052" s="1019"/>
      <c r="E1052" s="1019"/>
      <c r="F1052" s="1019"/>
      <c r="G1052" s="1019"/>
      <c r="H1052" s="1019"/>
      <c r="I1052" s="1019"/>
      <c r="J1052" s="1019"/>
      <c r="K1052" s="1019"/>
      <c r="L1052" s="1140"/>
    </row>
    <row r="1053" spans="1:12" x14ac:dyDescent="0.35">
      <c r="A1053" s="1019"/>
      <c r="B1053" s="1019"/>
      <c r="C1053" s="1019"/>
      <c r="D1053" s="1019"/>
      <c r="E1053" s="1019"/>
      <c r="F1053" s="1019"/>
      <c r="G1053" s="1019"/>
      <c r="H1053" s="1019"/>
      <c r="I1053" s="1019"/>
      <c r="J1053" s="1019"/>
      <c r="K1053" s="1019"/>
      <c r="L1053" s="1140"/>
    </row>
    <row r="1054" spans="1:12" x14ac:dyDescent="0.35">
      <c r="A1054" s="1019"/>
      <c r="B1054" s="1019"/>
      <c r="C1054" s="1019"/>
      <c r="D1054" s="1019"/>
      <c r="E1054" s="1019"/>
      <c r="F1054" s="1019"/>
      <c r="G1054" s="1019"/>
      <c r="H1054" s="1019"/>
      <c r="I1054" s="1019"/>
      <c r="J1054" s="1019"/>
      <c r="K1054" s="1019"/>
      <c r="L1054" s="1140"/>
    </row>
    <row r="1055" spans="1:12" x14ac:dyDescent="0.35">
      <c r="A1055" s="1019"/>
      <c r="B1055" s="1019"/>
      <c r="C1055" s="1019"/>
      <c r="D1055" s="1019"/>
      <c r="E1055" s="1019"/>
      <c r="F1055" s="1019"/>
      <c r="G1055" s="1019"/>
      <c r="H1055" s="1019"/>
      <c r="I1055" s="1019"/>
      <c r="J1055" s="1019"/>
      <c r="K1055" s="1019"/>
      <c r="L1055" s="1140"/>
    </row>
    <row r="1056" spans="1:12" x14ac:dyDescent="0.35">
      <c r="A1056" s="1019"/>
      <c r="B1056" s="1019"/>
      <c r="C1056" s="1019"/>
      <c r="D1056" s="1019"/>
      <c r="E1056" s="1019"/>
      <c r="F1056" s="1019"/>
      <c r="G1056" s="1019"/>
      <c r="H1056" s="1019"/>
      <c r="I1056" s="1019"/>
      <c r="J1056" s="1019"/>
      <c r="K1056" s="1019"/>
      <c r="L1056" s="1140"/>
    </row>
    <row r="1057" spans="1:12" x14ac:dyDescent="0.35">
      <c r="A1057" s="1019"/>
      <c r="B1057" s="1019"/>
      <c r="C1057" s="1019"/>
      <c r="D1057" s="1019"/>
      <c r="E1057" s="1019"/>
      <c r="F1057" s="1019"/>
      <c r="G1057" s="1019"/>
      <c r="H1057" s="1019"/>
      <c r="I1057" s="1019"/>
      <c r="J1057" s="1019"/>
      <c r="K1057" s="1019"/>
      <c r="L1057" s="1140"/>
    </row>
    <row r="1058" spans="1:12" x14ac:dyDescent="0.35">
      <c r="A1058" s="1019"/>
      <c r="B1058" s="1019"/>
      <c r="C1058" s="1019"/>
      <c r="D1058" s="1019"/>
      <c r="E1058" s="1019"/>
      <c r="F1058" s="1019"/>
      <c r="G1058" s="1019"/>
      <c r="H1058" s="1019"/>
      <c r="I1058" s="1019"/>
      <c r="J1058" s="1019"/>
      <c r="K1058" s="1019"/>
      <c r="L1058" s="1140"/>
    </row>
    <row r="1059" spans="1:12" x14ac:dyDescent="0.35">
      <c r="A1059" s="1019"/>
      <c r="B1059" s="1019"/>
      <c r="C1059" s="1019"/>
      <c r="D1059" s="1019"/>
      <c r="E1059" s="1019"/>
      <c r="F1059" s="1019"/>
      <c r="G1059" s="1019"/>
      <c r="H1059" s="1019"/>
      <c r="I1059" s="1019"/>
      <c r="J1059" s="1019"/>
      <c r="K1059" s="1019"/>
      <c r="L1059" s="1140"/>
    </row>
    <row r="1060" spans="1:12" x14ac:dyDescent="0.35">
      <c r="A1060" s="1019"/>
      <c r="B1060" s="1019"/>
      <c r="C1060" s="1019"/>
      <c r="D1060" s="1019"/>
      <c r="E1060" s="1019"/>
      <c r="F1060" s="1019"/>
      <c r="G1060" s="1019"/>
      <c r="H1060" s="1019"/>
      <c r="I1060" s="1019"/>
      <c r="J1060" s="1019"/>
      <c r="K1060" s="1019"/>
      <c r="L1060" s="1140"/>
    </row>
    <row r="1061" spans="1:12" x14ac:dyDescent="0.35">
      <c r="A1061" s="1019"/>
      <c r="B1061" s="1019"/>
      <c r="C1061" s="1019"/>
      <c r="D1061" s="1019"/>
      <c r="E1061" s="1019"/>
      <c r="F1061" s="1019"/>
      <c r="G1061" s="1019"/>
      <c r="H1061" s="1019"/>
      <c r="I1061" s="1019"/>
      <c r="J1061" s="1019"/>
      <c r="K1061" s="1019"/>
      <c r="L1061" s="1140"/>
    </row>
    <row r="1062" spans="1:12" x14ac:dyDescent="0.35">
      <c r="A1062" s="1019"/>
      <c r="B1062" s="1019"/>
      <c r="C1062" s="1019"/>
      <c r="D1062" s="1019"/>
      <c r="E1062" s="1019"/>
      <c r="F1062" s="1019"/>
      <c r="G1062" s="1019"/>
      <c r="H1062" s="1019"/>
      <c r="I1062" s="1019"/>
      <c r="J1062" s="1019"/>
      <c r="K1062" s="1019"/>
      <c r="L1062" s="1140"/>
    </row>
    <row r="1063" spans="1:12" x14ac:dyDescent="0.35">
      <c r="A1063" s="1019"/>
      <c r="B1063" s="1019"/>
      <c r="C1063" s="1019"/>
      <c r="D1063" s="1019"/>
      <c r="E1063" s="1019"/>
      <c r="F1063" s="1019"/>
      <c r="G1063" s="1019"/>
      <c r="H1063" s="1019"/>
      <c r="I1063" s="1019"/>
      <c r="J1063" s="1019"/>
      <c r="K1063" s="1019"/>
      <c r="L1063" s="1140"/>
    </row>
    <row r="1064" spans="1:12" x14ac:dyDescent="0.35">
      <c r="A1064" s="1019"/>
      <c r="B1064" s="1019"/>
      <c r="C1064" s="1019"/>
      <c r="D1064" s="1019"/>
      <c r="E1064" s="1019"/>
      <c r="F1064" s="1019"/>
      <c r="G1064" s="1019"/>
      <c r="H1064" s="1019"/>
      <c r="I1064" s="1019"/>
      <c r="J1064" s="1019"/>
      <c r="K1064" s="1019"/>
      <c r="L1064" s="1140"/>
    </row>
    <row r="1065" spans="1:12" x14ac:dyDescent="0.35">
      <c r="A1065" s="1019"/>
      <c r="B1065" s="1019"/>
      <c r="C1065" s="1019"/>
      <c r="D1065" s="1019"/>
      <c r="E1065" s="1019"/>
      <c r="F1065" s="1019"/>
      <c r="G1065" s="1019"/>
      <c r="H1065" s="1019"/>
      <c r="I1065" s="1019"/>
      <c r="J1065" s="1019"/>
      <c r="K1065" s="1019"/>
      <c r="L1065" s="1140"/>
    </row>
    <row r="1066" spans="1:12" x14ac:dyDescent="0.35">
      <c r="A1066" s="1019"/>
      <c r="B1066" s="1019"/>
      <c r="C1066" s="1019"/>
      <c r="D1066" s="1019"/>
      <c r="E1066" s="1019"/>
      <c r="F1066" s="1019"/>
      <c r="G1066" s="1019"/>
      <c r="H1066" s="1019"/>
      <c r="I1066" s="1019"/>
      <c r="J1066" s="1019"/>
      <c r="K1066" s="1019"/>
      <c r="L1066" s="1140"/>
    </row>
    <row r="1067" spans="1:12" x14ac:dyDescent="0.35">
      <c r="A1067" s="1019"/>
      <c r="B1067" s="1019"/>
      <c r="C1067" s="1019"/>
      <c r="D1067" s="1019"/>
      <c r="E1067" s="1019"/>
      <c r="F1067" s="1019"/>
      <c r="G1067" s="1019"/>
      <c r="H1067" s="1019"/>
      <c r="I1067" s="1019"/>
      <c r="J1067" s="1019"/>
      <c r="K1067" s="1019"/>
      <c r="L1067" s="1140"/>
    </row>
    <row r="1068" spans="1:12" x14ac:dyDescent="0.35">
      <c r="A1068" s="1019"/>
      <c r="B1068" s="1019"/>
      <c r="C1068" s="1019"/>
      <c r="D1068" s="1019"/>
      <c r="E1068" s="1019"/>
      <c r="F1068" s="1019"/>
      <c r="G1068" s="1019"/>
      <c r="H1068" s="1019"/>
      <c r="I1068" s="1019"/>
      <c r="J1068" s="1019"/>
      <c r="K1068" s="1019"/>
      <c r="L1068" s="1140"/>
    </row>
    <row r="1069" spans="1:12" x14ac:dyDescent="0.35">
      <c r="A1069" s="1019"/>
      <c r="B1069" s="1019"/>
      <c r="C1069" s="1019"/>
      <c r="D1069" s="1019"/>
      <c r="E1069" s="1019"/>
      <c r="F1069" s="1019"/>
      <c r="G1069" s="1019"/>
      <c r="H1069" s="1019"/>
      <c r="I1069" s="1019"/>
      <c r="J1069" s="1019"/>
      <c r="K1069" s="1019"/>
      <c r="L1069" s="1140"/>
    </row>
    <row r="1070" spans="1:12" x14ac:dyDescent="0.35">
      <c r="A1070" s="1019"/>
      <c r="B1070" s="1019"/>
      <c r="C1070" s="1019"/>
      <c r="D1070" s="1019"/>
      <c r="E1070" s="1019"/>
      <c r="F1070" s="1019"/>
      <c r="G1070" s="1019"/>
      <c r="H1070" s="1019"/>
      <c r="I1070" s="1019"/>
      <c r="J1070" s="1019"/>
      <c r="K1070" s="1019"/>
      <c r="L1070" s="1140"/>
    </row>
    <row r="1071" spans="1:12" x14ac:dyDescent="0.35">
      <c r="A1071" s="1019"/>
      <c r="B1071" s="1019"/>
      <c r="C1071" s="1019"/>
      <c r="D1071" s="1019"/>
      <c r="E1071" s="1019"/>
      <c r="F1071" s="1019"/>
      <c r="G1071" s="1019"/>
      <c r="H1071" s="1019"/>
      <c r="I1071" s="1019"/>
      <c r="J1071" s="1019"/>
      <c r="K1071" s="1019"/>
      <c r="L1071" s="1140"/>
    </row>
    <row r="1072" spans="1:12" x14ac:dyDescent="0.35">
      <c r="A1072" s="1019"/>
      <c r="B1072" s="1019"/>
      <c r="C1072" s="1019"/>
      <c r="D1072" s="1019"/>
      <c r="E1072" s="1019"/>
      <c r="F1072" s="1019"/>
      <c r="G1072" s="1019"/>
      <c r="H1072" s="1019"/>
      <c r="I1072" s="1019"/>
      <c r="J1072" s="1019"/>
      <c r="K1072" s="1019"/>
      <c r="L1072" s="1140"/>
    </row>
    <row r="1073" spans="1:12" x14ac:dyDescent="0.35">
      <c r="A1073" s="1019"/>
      <c r="B1073" s="1019"/>
      <c r="C1073" s="1019"/>
      <c r="D1073" s="1019"/>
      <c r="E1073" s="1019"/>
      <c r="F1073" s="1019"/>
      <c r="G1073" s="1019"/>
      <c r="H1073" s="1019"/>
      <c r="I1073" s="1019"/>
      <c r="J1073" s="1019"/>
      <c r="K1073" s="1019"/>
      <c r="L1073" s="1140"/>
    </row>
    <row r="1074" spans="1:12" x14ac:dyDescent="0.35">
      <c r="A1074" s="1019"/>
      <c r="B1074" s="1019"/>
      <c r="C1074" s="1019"/>
      <c r="D1074" s="1019"/>
      <c r="E1074" s="1019"/>
      <c r="F1074" s="1019"/>
      <c r="G1074" s="1019"/>
      <c r="H1074" s="1019"/>
      <c r="I1074" s="1019"/>
      <c r="J1074" s="1019"/>
      <c r="K1074" s="1019"/>
      <c r="L1074" s="1140"/>
    </row>
    <row r="1075" spans="1:12" x14ac:dyDescent="0.35">
      <c r="A1075" s="1019"/>
      <c r="B1075" s="1019"/>
      <c r="C1075" s="1019"/>
      <c r="D1075" s="1019"/>
      <c r="E1075" s="1019"/>
      <c r="F1075" s="1019"/>
      <c r="G1075" s="1019"/>
      <c r="H1075" s="1019"/>
      <c r="I1075" s="1019"/>
      <c r="J1075" s="1019"/>
      <c r="K1075" s="1019"/>
      <c r="L1075" s="1140"/>
    </row>
    <row r="1076" spans="1:12" x14ac:dyDescent="0.35">
      <c r="A1076" s="1019"/>
      <c r="B1076" s="1019"/>
      <c r="C1076" s="1019"/>
      <c r="D1076" s="1019"/>
      <c r="E1076" s="1019"/>
      <c r="F1076" s="1019"/>
      <c r="G1076" s="1019"/>
      <c r="H1076" s="1019"/>
      <c r="I1076" s="1019"/>
      <c r="J1076" s="1019"/>
      <c r="K1076" s="1019"/>
      <c r="L1076" s="1140"/>
    </row>
    <row r="1077" spans="1:12" x14ac:dyDescent="0.35">
      <c r="A1077" s="1019"/>
      <c r="B1077" s="1019"/>
      <c r="C1077" s="1019"/>
      <c r="D1077" s="1019"/>
      <c r="E1077" s="1019"/>
      <c r="F1077" s="1019"/>
      <c r="G1077" s="1019"/>
      <c r="H1077" s="1019"/>
      <c r="I1077" s="1019"/>
      <c r="J1077" s="1019"/>
      <c r="K1077" s="1019"/>
      <c r="L1077" s="1140"/>
    </row>
    <row r="1078" spans="1:12" x14ac:dyDescent="0.35">
      <c r="A1078" s="1019"/>
      <c r="B1078" s="1019"/>
      <c r="C1078" s="1019"/>
      <c r="D1078" s="1019"/>
      <c r="E1078" s="1019"/>
      <c r="F1078" s="1019"/>
      <c r="G1078" s="1019"/>
      <c r="H1078" s="1019"/>
      <c r="I1078" s="1019"/>
      <c r="J1078" s="1019"/>
      <c r="K1078" s="1019"/>
      <c r="L1078" s="1140"/>
    </row>
    <row r="1079" spans="1:12" x14ac:dyDescent="0.35">
      <c r="A1079" s="1019"/>
      <c r="B1079" s="1019"/>
      <c r="C1079" s="1019"/>
      <c r="D1079" s="1019"/>
      <c r="E1079" s="1019"/>
      <c r="F1079" s="1019"/>
      <c r="G1079" s="1019"/>
      <c r="H1079" s="1019"/>
      <c r="I1079" s="1019"/>
      <c r="J1079" s="1019"/>
      <c r="K1079" s="1019"/>
      <c r="L1079" s="1140"/>
    </row>
    <row r="1080" spans="1:12" x14ac:dyDescent="0.35">
      <c r="A1080" s="1019"/>
      <c r="B1080" s="1019"/>
      <c r="C1080" s="1019"/>
      <c r="D1080" s="1019"/>
      <c r="E1080" s="1019"/>
      <c r="F1080" s="1019"/>
      <c r="G1080" s="1019"/>
      <c r="H1080" s="1019"/>
      <c r="I1080" s="1019"/>
      <c r="J1080" s="1019"/>
      <c r="K1080" s="1019"/>
      <c r="L1080" s="1140"/>
    </row>
    <row r="1081" spans="1:12" x14ac:dyDescent="0.35">
      <c r="A1081" s="1019"/>
      <c r="B1081" s="1019"/>
      <c r="C1081" s="1019"/>
      <c r="D1081" s="1019"/>
      <c r="E1081" s="1019"/>
      <c r="F1081" s="1019"/>
      <c r="G1081" s="1019"/>
      <c r="H1081" s="1019"/>
      <c r="I1081" s="1019"/>
      <c r="J1081" s="1019"/>
      <c r="K1081" s="1019"/>
      <c r="L1081" s="1140"/>
    </row>
    <row r="1082" spans="1:12" x14ac:dyDescent="0.35">
      <c r="A1082" s="1019"/>
      <c r="B1082" s="1019"/>
      <c r="C1082" s="1019"/>
      <c r="D1082" s="1019"/>
      <c r="E1082" s="1019"/>
      <c r="F1082" s="1019"/>
      <c r="G1082" s="1019"/>
      <c r="H1082" s="1019"/>
      <c r="I1082" s="1019"/>
      <c r="J1082" s="1019"/>
      <c r="K1082" s="1019"/>
      <c r="L1082" s="1140"/>
    </row>
    <row r="1083" spans="1:12" x14ac:dyDescent="0.35">
      <c r="A1083" s="1019"/>
      <c r="B1083" s="1019"/>
      <c r="C1083" s="1019"/>
      <c r="D1083" s="1019"/>
      <c r="E1083" s="1019"/>
      <c r="F1083" s="1019"/>
      <c r="G1083" s="1019"/>
      <c r="H1083" s="1019"/>
      <c r="I1083" s="1019"/>
      <c r="J1083" s="1019"/>
      <c r="K1083" s="1019"/>
      <c r="L1083" s="1140"/>
    </row>
    <row r="1084" spans="1:12" x14ac:dyDescent="0.35">
      <c r="A1084" s="1019"/>
      <c r="B1084" s="1019"/>
      <c r="C1084" s="1019"/>
      <c r="D1084" s="1019"/>
      <c r="E1084" s="1019"/>
      <c r="F1084" s="1019"/>
      <c r="G1084" s="1019"/>
      <c r="H1084" s="1019"/>
      <c r="I1084" s="1019"/>
      <c r="J1084" s="1019"/>
      <c r="K1084" s="1019"/>
      <c r="L1084" s="1140"/>
    </row>
    <row r="1085" spans="1:12" x14ac:dyDescent="0.35">
      <c r="A1085" s="1019"/>
      <c r="B1085" s="1019"/>
      <c r="C1085" s="1019"/>
      <c r="D1085" s="1019"/>
      <c r="E1085" s="1019"/>
      <c r="F1085" s="1019"/>
      <c r="G1085" s="1019"/>
      <c r="H1085" s="1019"/>
      <c r="I1085" s="1019"/>
      <c r="J1085" s="1019"/>
      <c r="K1085" s="1019"/>
      <c r="L1085" s="1140"/>
    </row>
    <row r="1086" spans="1:12" x14ac:dyDescent="0.35">
      <c r="A1086" s="1019"/>
      <c r="B1086" s="1019"/>
      <c r="C1086" s="1019"/>
      <c r="D1086" s="1019"/>
      <c r="E1086" s="1019"/>
      <c r="F1086" s="1019"/>
      <c r="G1086" s="1019"/>
      <c r="H1086" s="1019"/>
      <c r="I1086" s="1019"/>
      <c r="J1086" s="1019"/>
      <c r="K1086" s="1019"/>
      <c r="L1086" s="1140"/>
    </row>
    <row r="1087" spans="1:12" x14ac:dyDescent="0.35">
      <c r="A1087" s="1019"/>
      <c r="B1087" s="1019"/>
      <c r="C1087" s="1019"/>
      <c r="D1087" s="1019"/>
      <c r="E1087" s="1019"/>
      <c r="F1087" s="1019"/>
      <c r="G1087" s="1019"/>
      <c r="H1087" s="1019"/>
      <c r="I1087" s="1019"/>
      <c r="J1087" s="1019"/>
      <c r="K1087" s="1019"/>
      <c r="L1087" s="1140"/>
    </row>
    <row r="1088" spans="1:12" x14ac:dyDescent="0.35">
      <c r="A1088" s="1019"/>
      <c r="B1088" s="1019"/>
      <c r="C1088" s="1019"/>
      <c r="D1088" s="1019"/>
      <c r="E1088" s="1019"/>
      <c r="F1088" s="1019"/>
      <c r="G1088" s="1019"/>
      <c r="H1088" s="1019"/>
      <c r="I1088" s="1019"/>
      <c r="J1088" s="1019"/>
      <c r="K1088" s="1019"/>
      <c r="L1088" s="1140"/>
    </row>
    <row r="1089" spans="1:12" x14ac:dyDescent="0.35">
      <c r="A1089" s="1019"/>
      <c r="B1089" s="1019"/>
      <c r="C1089" s="1019"/>
      <c r="D1089" s="1019"/>
      <c r="E1089" s="1019"/>
      <c r="F1089" s="1019"/>
      <c r="G1089" s="1019"/>
      <c r="H1089" s="1019"/>
      <c r="I1089" s="1019"/>
      <c r="J1089" s="1019"/>
      <c r="K1089" s="1019"/>
      <c r="L1089" s="1140"/>
    </row>
    <row r="1090" spans="1:12" x14ac:dyDescent="0.35">
      <c r="A1090" s="1019"/>
      <c r="B1090" s="1019"/>
      <c r="C1090" s="1019"/>
      <c r="D1090" s="1019"/>
      <c r="E1090" s="1019"/>
      <c r="F1090" s="1019"/>
      <c r="G1090" s="1019"/>
      <c r="H1090" s="1019"/>
      <c r="I1090" s="1019"/>
      <c r="J1090" s="1019"/>
      <c r="K1090" s="1019"/>
      <c r="L1090" s="1140"/>
    </row>
    <row r="1091" spans="1:12" x14ac:dyDescent="0.35">
      <c r="A1091" s="1019"/>
      <c r="B1091" s="1019"/>
      <c r="C1091" s="1019"/>
      <c r="D1091" s="1019"/>
      <c r="E1091" s="1019"/>
      <c r="F1091" s="1019"/>
      <c r="G1091" s="1019"/>
      <c r="H1091" s="1019"/>
      <c r="I1091" s="1019"/>
      <c r="J1091" s="1019"/>
      <c r="K1091" s="1019"/>
      <c r="L1091" s="1140"/>
    </row>
    <row r="1092" spans="1:12" x14ac:dyDescent="0.35">
      <c r="A1092" s="1019"/>
      <c r="B1092" s="1019"/>
      <c r="C1092" s="1019"/>
      <c r="D1092" s="1019"/>
      <c r="E1092" s="1019"/>
      <c r="F1092" s="1019"/>
      <c r="G1092" s="1019"/>
      <c r="H1092" s="1019"/>
      <c r="I1092" s="1019"/>
      <c r="J1092" s="1019"/>
      <c r="K1092" s="1019"/>
      <c r="L1092" s="1140"/>
    </row>
    <row r="1093" spans="1:12" x14ac:dyDescent="0.35">
      <c r="A1093" s="1019"/>
      <c r="B1093" s="1019"/>
      <c r="C1093" s="1019"/>
      <c r="D1093" s="1019"/>
      <c r="E1093" s="1019"/>
      <c r="F1093" s="1019"/>
      <c r="G1093" s="1019"/>
      <c r="H1093" s="1019"/>
      <c r="I1093" s="1019"/>
      <c r="J1093" s="1019"/>
      <c r="K1093" s="1019"/>
      <c r="L1093" s="1140"/>
    </row>
    <row r="1094" spans="1:12" x14ac:dyDescent="0.35">
      <c r="A1094" s="1019"/>
      <c r="B1094" s="1019"/>
      <c r="C1094" s="1019"/>
      <c r="D1094" s="1019"/>
      <c r="E1094" s="1019"/>
      <c r="F1094" s="1019"/>
      <c r="G1094" s="1019"/>
      <c r="H1094" s="1019"/>
      <c r="I1094" s="1019"/>
      <c r="J1094" s="1019"/>
      <c r="K1094" s="1019"/>
      <c r="L1094" s="1140"/>
    </row>
    <row r="1095" spans="1:12" x14ac:dyDescent="0.35">
      <c r="A1095" s="1019"/>
      <c r="B1095" s="1019"/>
      <c r="C1095" s="1019"/>
      <c r="D1095" s="1019"/>
      <c r="E1095" s="1019"/>
      <c r="F1095" s="1019"/>
      <c r="G1095" s="1019"/>
      <c r="H1095" s="1019"/>
      <c r="I1095" s="1019"/>
      <c r="J1095" s="1019"/>
      <c r="K1095" s="1019"/>
      <c r="L1095" s="1140"/>
    </row>
    <row r="1096" spans="1:12" x14ac:dyDescent="0.35">
      <c r="A1096" s="1019"/>
      <c r="B1096" s="1019"/>
      <c r="C1096" s="1019"/>
      <c r="D1096" s="1019"/>
      <c r="E1096" s="1019"/>
      <c r="F1096" s="1019"/>
      <c r="G1096" s="1019"/>
      <c r="H1096" s="1019"/>
      <c r="I1096" s="1019"/>
      <c r="J1096" s="1019"/>
      <c r="K1096" s="1019"/>
      <c r="L1096" s="1140"/>
    </row>
    <row r="1097" spans="1:12" x14ac:dyDescent="0.35">
      <c r="A1097" s="1019"/>
      <c r="B1097" s="1019"/>
      <c r="C1097" s="1019"/>
      <c r="D1097" s="1019"/>
      <c r="E1097" s="1019"/>
      <c r="F1097" s="1019"/>
      <c r="G1097" s="1019"/>
      <c r="H1097" s="1019"/>
      <c r="I1097" s="1019"/>
      <c r="J1097" s="1019"/>
      <c r="K1097" s="1019"/>
      <c r="L1097" s="1140"/>
    </row>
    <row r="1098" spans="1:12" x14ac:dyDescent="0.35">
      <c r="A1098" s="1019"/>
      <c r="B1098" s="1019"/>
      <c r="C1098" s="1019"/>
      <c r="D1098" s="1019"/>
      <c r="E1098" s="1019"/>
      <c r="F1098" s="1019"/>
      <c r="G1098" s="1019"/>
      <c r="H1098" s="1019"/>
      <c r="I1098" s="1019"/>
      <c r="J1098" s="1019"/>
      <c r="K1098" s="1019"/>
      <c r="L1098" s="1140"/>
    </row>
    <row r="1099" spans="1:12" x14ac:dyDescent="0.35">
      <c r="A1099" s="1019"/>
      <c r="B1099" s="1019"/>
      <c r="C1099" s="1019"/>
      <c r="D1099" s="1019"/>
      <c r="E1099" s="1019"/>
      <c r="F1099" s="1019"/>
      <c r="G1099" s="1019"/>
      <c r="H1099" s="1019"/>
      <c r="I1099" s="1019"/>
      <c r="J1099" s="1019"/>
      <c r="K1099" s="1019"/>
      <c r="L1099" s="1140"/>
    </row>
    <row r="1100" spans="1:12" x14ac:dyDescent="0.35">
      <c r="A1100" s="1019"/>
      <c r="B1100" s="1019"/>
      <c r="C1100" s="1019"/>
      <c r="D1100" s="1019"/>
      <c r="E1100" s="1019"/>
      <c r="F1100" s="1019"/>
      <c r="G1100" s="1019"/>
      <c r="H1100" s="1019"/>
      <c r="I1100" s="1019"/>
      <c r="J1100" s="1019"/>
      <c r="K1100" s="1019"/>
      <c r="L1100" s="1140"/>
    </row>
    <row r="1101" spans="1:12" x14ac:dyDescent="0.35">
      <c r="A1101" s="1019"/>
      <c r="B1101" s="1019"/>
      <c r="C1101" s="1019"/>
      <c r="D1101" s="1019"/>
      <c r="E1101" s="1019"/>
      <c r="F1101" s="1019"/>
      <c r="G1101" s="1019"/>
      <c r="H1101" s="1019"/>
      <c r="I1101" s="1019"/>
      <c r="J1101" s="1019"/>
      <c r="K1101" s="1019"/>
      <c r="L1101" s="1140"/>
    </row>
    <row r="1102" spans="1:12" x14ac:dyDescent="0.35">
      <c r="A1102" s="1019"/>
      <c r="B1102" s="1019"/>
      <c r="C1102" s="1019"/>
      <c r="D1102" s="1019"/>
      <c r="E1102" s="1019"/>
      <c r="F1102" s="1019"/>
      <c r="G1102" s="1019"/>
      <c r="H1102" s="1019"/>
      <c r="I1102" s="1019"/>
      <c r="J1102" s="1019"/>
      <c r="K1102" s="1019"/>
      <c r="L1102" s="1140"/>
    </row>
    <row r="1103" spans="1:12" x14ac:dyDescent="0.35">
      <c r="A1103" s="1019"/>
      <c r="B1103" s="1019"/>
      <c r="C1103" s="1019"/>
      <c r="D1103" s="1019"/>
      <c r="E1103" s="1019"/>
      <c r="F1103" s="1019"/>
      <c r="G1103" s="1019"/>
      <c r="H1103" s="1019"/>
      <c r="I1103" s="1019"/>
      <c r="J1103" s="1019"/>
      <c r="K1103" s="1019"/>
      <c r="L1103" s="1140"/>
    </row>
    <row r="1104" spans="1:12" x14ac:dyDescent="0.35">
      <c r="A1104" s="1019"/>
      <c r="B1104" s="1019"/>
      <c r="C1104" s="1019"/>
      <c r="D1104" s="1019"/>
      <c r="E1104" s="1019"/>
      <c r="F1104" s="1019"/>
      <c r="G1104" s="1019"/>
      <c r="H1104" s="1019"/>
      <c r="I1104" s="1019"/>
      <c r="J1104" s="1019"/>
      <c r="K1104" s="1019"/>
      <c r="L1104" s="1140"/>
    </row>
    <row r="1105" spans="1:12" x14ac:dyDescent="0.35">
      <c r="A1105" s="1019"/>
      <c r="B1105" s="1019"/>
      <c r="C1105" s="1019"/>
      <c r="D1105" s="1019"/>
      <c r="E1105" s="1019"/>
      <c r="F1105" s="1019"/>
      <c r="G1105" s="1019"/>
      <c r="H1105" s="1019"/>
      <c r="I1105" s="1019"/>
      <c r="J1105" s="1019"/>
      <c r="K1105" s="1019"/>
      <c r="L1105" s="1140"/>
    </row>
    <row r="1106" spans="1:12" x14ac:dyDescent="0.35">
      <c r="A1106" s="1019"/>
      <c r="B1106" s="1019"/>
      <c r="C1106" s="1019"/>
      <c r="D1106" s="1019"/>
      <c r="E1106" s="1019"/>
      <c r="F1106" s="1019"/>
      <c r="G1106" s="1019"/>
      <c r="H1106" s="1019"/>
      <c r="I1106" s="1019"/>
      <c r="J1106" s="1019"/>
      <c r="K1106" s="1019"/>
      <c r="L1106" s="1140"/>
    </row>
    <row r="1107" spans="1:12" x14ac:dyDescent="0.35">
      <c r="A1107" s="1019"/>
      <c r="B1107" s="1019"/>
      <c r="C1107" s="1019"/>
      <c r="D1107" s="1019"/>
      <c r="E1107" s="1019"/>
      <c r="F1107" s="1019"/>
      <c r="G1107" s="1019"/>
      <c r="H1107" s="1019"/>
      <c r="I1107" s="1019"/>
      <c r="J1107" s="1019"/>
      <c r="K1107" s="1019"/>
      <c r="L1107" s="1140"/>
    </row>
    <row r="1108" spans="1:12" x14ac:dyDescent="0.35">
      <c r="A1108" s="1019"/>
      <c r="B1108" s="1019"/>
      <c r="C1108" s="1019"/>
      <c r="D1108" s="1019"/>
      <c r="E1108" s="1019"/>
      <c r="F1108" s="1019"/>
      <c r="G1108" s="1019"/>
      <c r="H1108" s="1019"/>
      <c r="I1108" s="1019"/>
      <c r="J1108" s="1019"/>
      <c r="K1108" s="1019"/>
      <c r="L1108" s="1140"/>
    </row>
    <row r="1109" spans="1:12" x14ac:dyDescent="0.35">
      <c r="A1109" s="1019"/>
      <c r="B1109" s="1019"/>
      <c r="C1109" s="1019"/>
      <c r="D1109" s="1019"/>
      <c r="E1109" s="1019"/>
      <c r="F1109" s="1019"/>
      <c r="G1109" s="1019"/>
      <c r="H1109" s="1019"/>
      <c r="I1109" s="1019"/>
      <c r="J1109" s="1019"/>
      <c r="K1109" s="1019"/>
      <c r="L1109" s="1140"/>
    </row>
    <row r="1110" spans="1:12" x14ac:dyDescent="0.35">
      <c r="A1110" s="1019"/>
      <c r="B1110" s="1019"/>
      <c r="C1110" s="1019"/>
      <c r="D1110" s="1019"/>
      <c r="E1110" s="1019"/>
      <c r="F1110" s="1019"/>
      <c r="G1110" s="1019"/>
      <c r="H1110" s="1019"/>
      <c r="I1110" s="1019"/>
      <c r="J1110" s="1019"/>
      <c r="K1110" s="1019"/>
      <c r="L1110" s="1140"/>
    </row>
    <row r="1111" spans="1:12" x14ac:dyDescent="0.35">
      <c r="A1111" s="1019"/>
      <c r="B1111" s="1019"/>
      <c r="C1111" s="1019"/>
      <c r="D1111" s="1019"/>
      <c r="E1111" s="1019"/>
      <c r="F1111" s="1019"/>
      <c r="G1111" s="1019"/>
      <c r="H1111" s="1019"/>
      <c r="I1111" s="1019"/>
      <c r="J1111" s="1019"/>
      <c r="K1111" s="1019"/>
      <c r="L1111" s="1140"/>
    </row>
    <row r="1112" spans="1:12" x14ac:dyDescent="0.35">
      <c r="A1112" s="1019"/>
      <c r="B1112" s="1019"/>
      <c r="C1112" s="1019"/>
      <c r="D1112" s="1019"/>
      <c r="E1112" s="1019"/>
      <c r="F1112" s="1019"/>
      <c r="G1112" s="1019"/>
      <c r="H1112" s="1019"/>
      <c r="I1112" s="1019"/>
      <c r="J1112" s="1019"/>
      <c r="K1112" s="1019"/>
      <c r="L1112" s="1140"/>
    </row>
    <row r="1113" spans="1:12" x14ac:dyDescent="0.35">
      <c r="A1113" s="1019"/>
      <c r="B1113" s="1019"/>
      <c r="C1113" s="1019"/>
      <c r="D1113" s="1019"/>
      <c r="E1113" s="1019"/>
      <c r="F1113" s="1019"/>
      <c r="G1113" s="1019"/>
      <c r="H1113" s="1019"/>
      <c r="I1113" s="1019"/>
      <c r="J1113" s="1019"/>
      <c r="K1113" s="1019"/>
      <c r="L1113" s="1140"/>
    </row>
    <row r="1114" spans="1:12" x14ac:dyDescent="0.35">
      <c r="A1114" s="1019"/>
      <c r="B1114" s="1019"/>
      <c r="C1114" s="1019"/>
      <c r="D1114" s="1019"/>
      <c r="E1114" s="1019"/>
      <c r="F1114" s="1019"/>
      <c r="G1114" s="1019"/>
      <c r="H1114" s="1019"/>
      <c r="I1114" s="1019"/>
      <c r="J1114" s="1019"/>
      <c r="K1114" s="1019"/>
      <c r="L1114" s="1140"/>
    </row>
    <row r="1115" spans="1:12" x14ac:dyDescent="0.35">
      <c r="A1115" s="1019"/>
      <c r="B1115" s="1019"/>
      <c r="C1115" s="1019"/>
      <c r="D1115" s="1019"/>
      <c r="E1115" s="1019"/>
      <c r="F1115" s="1019"/>
      <c r="G1115" s="1019"/>
      <c r="H1115" s="1019"/>
      <c r="I1115" s="1019"/>
      <c r="J1115" s="1019"/>
      <c r="K1115" s="1019"/>
      <c r="L1115" s="1140"/>
    </row>
    <row r="1116" spans="1:12" x14ac:dyDescent="0.35">
      <c r="A1116" s="1019"/>
      <c r="B1116" s="1019"/>
      <c r="C1116" s="1019"/>
      <c r="D1116" s="1019"/>
      <c r="E1116" s="1019"/>
      <c r="F1116" s="1019"/>
      <c r="G1116" s="1019"/>
      <c r="H1116" s="1019"/>
      <c r="I1116" s="1019"/>
      <c r="J1116" s="1019"/>
      <c r="K1116" s="1019"/>
      <c r="L1116" s="1140"/>
    </row>
    <row r="1117" spans="1:12" x14ac:dyDescent="0.35">
      <c r="A1117" s="1019"/>
      <c r="B1117" s="1019"/>
      <c r="C1117" s="1019"/>
      <c r="D1117" s="1019"/>
      <c r="E1117" s="1019"/>
      <c r="F1117" s="1019"/>
      <c r="G1117" s="1019"/>
      <c r="H1117" s="1019"/>
      <c r="I1117" s="1019"/>
      <c r="J1117" s="1019"/>
      <c r="K1117" s="1019"/>
      <c r="L1117" s="1140"/>
    </row>
    <row r="1118" spans="1:12" x14ac:dyDescent="0.35">
      <c r="A1118" s="1019"/>
      <c r="B1118" s="1019"/>
      <c r="C1118" s="1019"/>
      <c r="D1118" s="1019"/>
      <c r="E1118" s="1019"/>
      <c r="F1118" s="1019"/>
      <c r="G1118" s="1019"/>
      <c r="H1118" s="1019"/>
      <c r="I1118" s="1019"/>
      <c r="J1118" s="1019"/>
      <c r="K1118" s="1019"/>
      <c r="L1118" s="1140"/>
    </row>
    <row r="1119" spans="1:12" x14ac:dyDescent="0.35">
      <c r="A1119" s="1019"/>
      <c r="B1119" s="1019"/>
      <c r="C1119" s="1019"/>
      <c r="D1119" s="1019"/>
      <c r="E1119" s="1019"/>
      <c r="F1119" s="1019"/>
      <c r="G1119" s="1019"/>
      <c r="H1119" s="1019"/>
      <c r="I1119" s="1019"/>
      <c r="J1119" s="1019"/>
      <c r="K1119" s="1019"/>
      <c r="L1119" s="1140"/>
    </row>
    <row r="1120" spans="1:12" x14ac:dyDescent="0.35">
      <c r="A1120" s="1019"/>
      <c r="B1120" s="1019"/>
      <c r="C1120" s="1019"/>
      <c r="D1120" s="1019"/>
      <c r="E1120" s="1019"/>
      <c r="F1120" s="1019"/>
      <c r="G1120" s="1019"/>
      <c r="H1120" s="1019"/>
      <c r="I1120" s="1019"/>
      <c r="J1120" s="1019"/>
      <c r="K1120" s="1019"/>
      <c r="L1120" s="1140"/>
    </row>
    <row r="1121" spans="1:12" x14ac:dyDescent="0.35">
      <c r="A1121" s="1019"/>
      <c r="B1121" s="1019"/>
      <c r="C1121" s="1019"/>
      <c r="D1121" s="1019"/>
      <c r="E1121" s="1019"/>
      <c r="F1121" s="1019"/>
      <c r="G1121" s="1019"/>
      <c r="H1121" s="1019"/>
      <c r="I1121" s="1019"/>
      <c r="J1121" s="1019"/>
      <c r="K1121" s="1019"/>
      <c r="L1121" s="1140"/>
    </row>
    <row r="1122" spans="1:12" x14ac:dyDescent="0.35">
      <c r="A1122" s="1019"/>
      <c r="B1122" s="1019"/>
      <c r="C1122" s="1019"/>
      <c r="D1122" s="1019"/>
      <c r="E1122" s="1019"/>
      <c r="F1122" s="1019"/>
      <c r="G1122" s="1019"/>
      <c r="H1122" s="1019"/>
      <c r="I1122" s="1019"/>
      <c r="J1122" s="1019"/>
      <c r="K1122" s="1019"/>
      <c r="L1122" s="1140"/>
    </row>
    <row r="1123" spans="1:12" x14ac:dyDescent="0.35">
      <c r="A1123" s="1019"/>
      <c r="B1123" s="1019"/>
      <c r="C1123" s="1019"/>
      <c r="D1123" s="1019"/>
      <c r="E1123" s="1019"/>
      <c r="F1123" s="1019"/>
      <c r="G1123" s="1019"/>
      <c r="H1123" s="1019"/>
      <c r="I1123" s="1019"/>
      <c r="J1123" s="1019"/>
      <c r="K1123" s="1019"/>
      <c r="L1123" s="1140"/>
    </row>
    <row r="1124" spans="1:12" x14ac:dyDescent="0.35">
      <c r="A1124" s="1019"/>
      <c r="B1124" s="1019"/>
      <c r="C1124" s="1019"/>
      <c r="D1124" s="1019"/>
      <c r="E1124" s="1019"/>
      <c r="F1124" s="1019"/>
      <c r="G1124" s="1019"/>
      <c r="H1124" s="1019"/>
      <c r="I1124" s="1019"/>
      <c r="J1124" s="1019"/>
      <c r="K1124" s="1019"/>
      <c r="L1124" s="1140"/>
    </row>
    <row r="1125" spans="1:12" x14ac:dyDescent="0.35">
      <c r="A1125" s="1019"/>
      <c r="B1125" s="1019"/>
      <c r="C1125" s="1019"/>
      <c r="D1125" s="1019"/>
      <c r="E1125" s="1019"/>
      <c r="F1125" s="1019"/>
      <c r="G1125" s="1019"/>
      <c r="H1125" s="1019"/>
      <c r="I1125" s="1019"/>
      <c r="J1125" s="1019"/>
      <c r="K1125" s="1019"/>
      <c r="L1125" s="1140"/>
    </row>
    <row r="1126" spans="1:12" x14ac:dyDescent="0.35">
      <c r="A1126" s="1019"/>
      <c r="B1126" s="1019"/>
      <c r="C1126" s="1019"/>
      <c r="D1126" s="1019"/>
      <c r="E1126" s="1019"/>
      <c r="F1126" s="1019"/>
      <c r="G1126" s="1019"/>
      <c r="H1126" s="1019"/>
      <c r="I1126" s="1019"/>
      <c r="J1126" s="1019"/>
      <c r="K1126" s="1019"/>
      <c r="L1126" s="1140"/>
    </row>
    <row r="1127" spans="1:12" x14ac:dyDescent="0.35">
      <c r="A1127" s="1019"/>
      <c r="B1127" s="1019"/>
      <c r="C1127" s="1019"/>
      <c r="D1127" s="1019"/>
      <c r="E1127" s="1019"/>
      <c r="F1127" s="1019"/>
      <c r="G1127" s="1019"/>
      <c r="H1127" s="1019"/>
      <c r="I1127" s="1019"/>
      <c r="J1127" s="1019"/>
      <c r="K1127" s="1019"/>
      <c r="L1127" s="1140"/>
    </row>
    <row r="1128" spans="1:12" x14ac:dyDescent="0.35">
      <c r="A1128" s="1019"/>
      <c r="B1128" s="1019"/>
      <c r="C1128" s="1019"/>
      <c r="D1128" s="1019"/>
      <c r="E1128" s="1019"/>
      <c r="F1128" s="1019"/>
      <c r="G1128" s="1019"/>
      <c r="H1128" s="1019"/>
      <c r="I1128" s="1019"/>
      <c r="J1128" s="1019"/>
      <c r="K1128" s="1019"/>
      <c r="L1128" s="1140"/>
    </row>
    <row r="1129" spans="1:12" x14ac:dyDescent="0.35">
      <c r="A1129" s="1019"/>
      <c r="B1129" s="1019"/>
      <c r="C1129" s="1019"/>
      <c r="D1129" s="1019"/>
      <c r="E1129" s="1019"/>
      <c r="F1129" s="1019"/>
      <c r="G1129" s="1019"/>
      <c r="H1129" s="1019"/>
      <c r="I1129" s="1019"/>
      <c r="J1129" s="1019"/>
      <c r="K1129" s="1019"/>
      <c r="L1129" s="1140"/>
    </row>
    <row r="1130" spans="1:12" x14ac:dyDescent="0.35">
      <c r="A1130" s="1019"/>
      <c r="B1130" s="1019"/>
      <c r="C1130" s="1019"/>
      <c r="D1130" s="1019"/>
      <c r="E1130" s="1019"/>
      <c r="F1130" s="1019"/>
      <c r="G1130" s="1019"/>
      <c r="H1130" s="1019"/>
      <c r="I1130" s="1019"/>
      <c r="J1130" s="1019"/>
      <c r="K1130" s="1019"/>
      <c r="L1130" s="1140"/>
    </row>
    <row r="1131" spans="1:12" x14ac:dyDescent="0.35">
      <c r="A1131" s="1019"/>
      <c r="B1131" s="1019"/>
      <c r="C1131" s="1019"/>
      <c r="D1131" s="1019"/>
      <c r="E1131" s="1019"/>
      <c r="F1131" s="1019"/>
      <c r="G1131" s="1019"/>
      <c r="H1131" s="1019"/>
      <c r="I1131" s="1019"/>
      <c r="J1131" s="1019"/>
      <c r="K1131" s="1019"/>
      <c r="L1131" s="1140"/>
    </row>
    <row r="1132" spans="1:12" x14ac:dyDescent="0.35">
      <c r="A1132" s="1019"/>
      <c r="B1132" s="1019"/>
      <c r="C1132" s="1019"/>
      <c r="D1132" s="1019"/>
      <c r="E1132" s="1019"/>
      <c r="F1132" s="1019"/>
      <c r="G1132" s="1019"/>
      <c r="H1132" s="1019"/>
      <c r="I1132" s="1019"/>
      <c r="J1132" s="1019"/>
      <c r="K1132" s="1019"/>
      <c r="L1132" s="1140"/>
    </row>
    <row r="1133" spans="1:12" x14ac:dyDescent="0.35">
      <c r="A1133" s="1019"/>
      <c r="B1133" s="1019"/>
      <c r="C1133" s="1019"/>
      <c r="D1133" s="1019"/>
      <c r="E1133" s="1019"/>
      <c r="F1133" s="1019"/>
      <c r="G1133" s="1019"/>
      <c r="H1133" s="1019"/>
      <c r="I1133" s="1019"/>
      <c r="J1133" s="1019"/>
      <c r="K1133" s="1019"/>
      <c r="L1133" s="1140"/>
    </row>
    <row r="1134" spans="1:12" x14ac:dyDescent="0.35">
      <c r="A1134" s="1019"/>
      <c r="B1134" s="1019"/>
      <c r="C1134" s="1019"/>
      <c r="D1134" s="1019"/>
      <c r="E1134" s="1019"/>
      <c r="F1134" s="1019"/>
      <c r="G1134" s="1019"/>
      <c r="H1134" s="1019"/>
      <c r="I1134" s="1019"/>
      <c r="J1134" s="1019"/>
      <c r="K1134" s="1019"/>
      <c r="L1134" s="1140"/>
    </row>
    <row r="1135" spans="1:12" x14ac:dyDescent="0.35">
      <c r="A1135" s="1019"/>
      <c r="B1135" s="1019"/>
      <c r="C1135" s="1019"/>
      <c r="D1135" s="1019"/>
      <c r="E1135" s="1019"/>
      <c r="F1135" s="1019"/>
      <c r="G1135" s="1019"/>
      <c r="H1135" s="1019"/>
      <c r="I1135" s="1019"/>
      <c r="J1135" s="1019"/>
      <c r="K1135" s="1019"/>
      <c r="L1135" s="1140"/>
    </row>
    <row r="1136" spans="1:12" x14ac:dyDescent="0.35">
      <c r="A1136" s="1019"/>
      <c r="B1136" s="1019"/>
      <c r="C1136" s="1019"/>
      <c r="D1136" s="1019"/>
      <c r="E1136" s="1019"/>
      <c r="F1136" s="1019"/>
      <c r="G1136" s="1019"/>
      <c r="H1136" s="1019"/>
      <c r="I1136" s="1019"/>
      <c r="J1136" s="1019"/>
      <c r="K1136" s="1019"/>
      <c r="L1136" s="1140"/>
    </row>
    <row r="1137" spans="1:12" x14ac:dyDescent="0.35">
      <c r="A1137" s="1019"/>
      <c r="B1137" s="1019"/>
      <c r="C1137" s="1019"/>
      <c r="D1137" s="1019"/>
      <c r="E1137" s="1019"/>
      <c r="F1137" s="1019"/>
      <c r="G1137" s="1019"/>
      <c r="H1137" s="1019"/>
      <c r="I1137" s="1019"/>
      <c r="J1137" s="1019"/>
      <c r="K1137" s="1019"/>
      <c r="L1137" s="1140"/>
    </row>
    <row r="1138" spans="1:12" x14ac:dyDescent="0.35">
      <c r="A1138" s="1019"/>
      <c r="B1138" s="1019"/>
      <c r="C1138" s="1019"/>
      <c r="D1138" s="1019"/>
      <c r="E1138" s="1019"/>
      <c r="F1138" s="1019"/>
      <c r="G1138" s="1019"/>
      <c r="H1138" s="1019"/>
      <c r="I1138" s="1019"/>
      <c r="J1138" s="1019"/>
      <c r="K1138" s="1019"/>
      <c r="L1138" s="1140"/>
    </row>
    <row r="1139" spans="1:12" x14ac:dyDescent="0.35">
      <c r="A1139" s="1019"/>
      <c r="B1139" s="1019"/>
      <c r="C1139" s="1019"/>
      <c r="D1139" s="1019"/>
      <c r="E1139" s="1019"/>
      <c r="F1139" s="1019"/>
      <c r="G1139" s="1019"/>
      <c r="H1139" s="1019"/>
      <c r="I1139" s="1019"/>
      <c r="J1139" s="1019"/>
      <c r="K1139" s="1019"/>
      <c r="L1139" s="1140"/>
    </row>
    <row r="1140" spans="1:12" x14ac:dyDescent="0.35">
      <c r="A1140" s="1019"/>
      <c r="B1140" s="1019"/>
      <c r="C1140" s="1019"/>
      <c r="D1140" s="1019"/>
      <c r="E1140" s="1019"/>
      <c r="F1140" s="1019"/>
      <c r="G1140" s="1019"/>
      <c r="H1140" s="1019"/>
      <c r="I1140" s="1019"/>
      <c r="J1140" s="1019"/>
      <c r="K1140" s="1019"/>
      <c r="L1140" s="1140"/>
    </row>
    <row r="1141" spans="1:12" x14ac:dyDescent="0.35">
      <c r="A1141" s="1019"/>
      <c r="B1141" s="1019"/>
      <c r="C1141" s="1019"/>
      <c r="D1141" s="1019"/>
      <c r="E1141" s="1019"/>
      <c r="F1141" s="1019"/>
      <c r="G1141" s="1019"/>
      <c r="H1141" s="1019"/>
      <c r="I1141" s="1019"/>
      <c r="J1141" s="1019"/>
      <c r="K1141" s="1019"/>
      <c r="L1141" s="1140"/>
    </row>
    <row r="1142" spans="1:12" x14ac:dyDescent="0.35">
      <c r="A1142" s="1019"/>
      <c r="B1142" s="1019"/>
      <c r="C1142" s="1019"/>
      <c r="D1142" s="1019"/>
      <c r="E1142" s="1019"/>
      <c r="F1142" s="1019"/>
      <c r="G1142" s="1019"/>
      <c r="H1142" s="1019"/>
      <c r="I1142" s="1019"/>
      <c r="J1142" s="1019"/>
      <c r="K1142" s="1019"/>
      <c r="L1142" s="1140"/>
    </row>
    <row r="1143" spans="1:12" x14ac:dyDescent="0.35">
      <c r="A1143" s="1019"/>
      <c r="B1143" s="1019"/>
      <c r="C1143" s="1019"/>
      <c r="D1143" s="1019"/>
      <c r="E1143" s="1019"/>
      <c r="F1143" s="1019"/>
      <c r="G1143" s="1019"/>
      <c r="H1143" s="1019"/>
      <c r="I1143" s="1019"/>
      <c r="J1143" s="1019"/>
      <c r="K1143" s="1019"/>
      <c r="L1143" s="1140"/>
    </row>
    <row r="1144" spans="1:12" x14ac:dyDescent="0.35">
      <c r="A1144" s="1019"/>
      <c r="B1144" s="1019"/>
      <c r="C1144" s="1019"/>
      <c r="D1144" s="1019"/>
      <c r="E1144" s="1019"/>
      <c r="F1144" s="1019"/>
      <c r="G1144" s="1019"/>
      <c r="H1144" s="1019"/>
      <c r="I1144" s="1019"/>
      <c r="J1144" s="1019"/>
      <c r="K1144" s="1019"/>
      <c r="L1144" s="1140"/>
    </row>
    <row r="1145" spans="1:12" x14ac:dyDescent="0.35">
      <c r="A1145" s="1019"/>
      <c r="B1145" s="1019"/>
      <c r="C1145" s="1019"/>
      <c r="D1145" s="1019"/>
      <c r="E1145" s="1019"/>
      <c r="F1145" s="1019"/>
      <c r="G1145" s="1019"/>
      <c r="H1145" s="1019"/>
      <c r="I1145" s="1019"/>
      <c r="J1145" s="1019"/>
      <c r="K1145" s="1019"/>
      <c r="L1145" s="1140"/>
    </row>
    <row r="1146" spans="1:12" x14ac:dyDescent="0.35">
      <c r="A1146" s="1019"/>
      <c r="B1146" s="1019"/>
      <c r="C1146" s="1019"/>
      <c r="D1146" s="1019"/>
      <c r="E1146" s="1019"/>
      <c r="F1146" s="1019"/>
      <c r="G1146" s="1019"/>
      <c r="H1146" s="1019"/>
      <c r="I1146" s="1019"/>
      <c r="J1146" s="1019"/>
      <c r="K1146" s="1019"/>
      <c r="L1146" s="1140"/>
    </row>
    <row r="1147" spans="1:12" x14ac:dyDescent="0.35">
      <c r="A1147" s="1019"/>
      <c r="B1147" s="1019"/>
      <c r="C1147" s="1019"/>
      <c r="D1147" s="1019"/>
      <c r="E1147" s="1019"/>
      <c r="F1147" s="1019"/>
      <c r="G1147" s="1019"/>
      <c r="H1147" s="1019"/>
      <c r="I1147" s="1019"/>
      <c r="J1147" s="1019"/>
      <c r="K1147" s="1019"/>
      <c r="L1147" s="1140"/>
    </row>
    <row r="1148" spans="1:12" x14ac:dyDescent="0.35">
      <c r="A1148" s="1019"/>
      <c r="B1148" s="1019"/>
      <c r="C1148" s="1019"/>
      <c r="D1148" s="1019"/>
      <c r="E1148" s="1019"/>
      <c r="F1148" s="1019"/>
      <c r="G1148" s="1019"/>
      <c r="H1148" s="1019"/>
      <c r="I1148" s="1019"/>
      <c r="J1148" s="1019"/>
      <c r="K1148" s="1019"/>
      <c r="L1148" s="1140"/>
    </row>
    <row r="1149" spans="1:12" x14ac:dyDescent="0.35">
      <c r="A1149" s="1019"/>
      <c r="B1149" s="1019"/>
      <c r="C1149" s="1019"/>
      <c r="D1149" s="1019"/>
      <c r="E1149" s="1019"/>
      <c r="F1149" s="1019"/>
      <c r="G1149" s="1019"/>
      <c r="H1149" s="1019"/>
      <c r="I1149" s="1019"/>
      <c r="J1149" s="1019"/>
      <c r="K1149" s="1019"/>
      <c r="L1149" s="1140"/>
    </row>
    <row r="1150" spans="1:12" x14ac:dyDescent="0.35">
      <c r="A1150" s="1019"/>
      <c r="B1150" s="1019"/>
      <c r="C1150" s="1019"/>
      <c r="D1150" s="1019"/>
      <c r="E1150" s="1019"/>
      <c r="F1150" s="1019"/>
      <c r="G1150" s="1019"/>
      <c r="H1150" s="1019"/>
      <c r="I1150" s="1019"/>
      <c r="J1150" s="1019"/>
      <c r="K1150" s="1019"/>
      <c r="L1150" s="1140"/>
    </row>
    <row r="1151" spans="1:12" x14ac:dyDescent="0.35">
      <c r="A1151" s="1019"/>
      <c r="B1151" s="1019"/>
      <c r="C1151" s="1019"/>
      <c r="D1151" s="1019"/>
      <c r="E1151" s="1019"/>
      <c r="F1151" s="1019"/>
      <c r="G1151" s="1019"/>
      <c r="H1151" s="1019"/>
      <c r="I1151" s="1019"/>
      <c r="J1151" s="1019"/>
      <c r="K1151" s="1019"/>
      <c r="L1151" s="1140"/>
    </row>
    <row r="1152" spans="1:12" x14ac:dyDescent="0.35">
      <c r="A1152" s="1019"/>
      <c r="B1152" s="1019"/>
      <c r="C1152" s="1019"/>
      <c r="D1152" s="1019"/>
      <c r="E1152" s="1019"/>
      <c r="F1152" s="1019"/>
      <c r="G1152" s="1019"/>
      <c r="H1152" s="1019"/>
      <c r="I1152" s="1019"/>
      <c r="J1152" s="1019"/>
      <c r="K1152" s="1019"/>
      <c r="L1152" s="1140"/>
    </row>
    <row r="1153" spans="1:12" x14ac:dyDescent="0.35">
      <c r="A1153" s="1019"/>
      <c r="B1153" s="1019"/>
      <c r="C1153" s="1019"/>
      <c r="D1153" s="1019"/>
      <c r="E1153" s="1019"/>
      <c r="F1153" s="1019"/>
      <c r="G1153" s="1019"/>
      <c r="H1153" s="1019"/>
      <c r="I1153" s="1019"/>
      <c r="J1153" s="1019"/>
      <c r="K1153" s="1019"/>
      <c r="L1153" s="1140"/>
    </row>
    <row r="1154" spans="1:12" x14ac:dyDescent="0.35">
      <c r="A1154" s="1019"/>
      <c r="B1154" s="1019"/>
      <c r="C1154" s="1019"/>
      <c r="D1154" s="1019"/>
      <c r="E1154" s="1019"/>
      <c r="F1154" s="1019"/>
      <c r="G1154" s="1019"/>
      <c r="H1154" s="1019"/>
      <c r="I1154" s="1019"/>
      <c r="J1154" s="1019"/>
      <c r="K1154" s="1019"/>
      <c r="L1154" s="1140"/>
    </row>
    <row r="1155" spans="1:12" x14ac:dyDescent="0.35">
      <c r="A1155" s="1019"/>
      <c r="B1155" s="1019"/>
      <c r="C1155" s="1019"/>
      <c r="D1155" s="1019"/>
      <c r="E1155" s="1019"/>
      <c r="F1155" s="1019"/>
      <c r="G1155" s="1019"/>
      <c r="H1155" s="1019"/>
      <c r="I1155" s="1019"/>
      <c r="J1155" s="1019"/>
      <c r="K1155" s="1019"/>
      <c r="L1155" s="1140"/>
    </row>
    <row r="1156" spans="1:12" x14ac:dyDescent="0.35">
      <c r="A1156" s="1019"/>
      <c r="B1156" s="1019"/>
      <c r="C1156" s="1019"/>
      <c r="D1156" s="1019"/>
      <c r="E1156" s="1019"/>
      <c r="F1156" s="1019"/>
      <c r="G1156" s="1019"/>
      <c r="H1156" s="1019"/>
      <c r="I1156" s="1019"/>
      <c r="J1156" s="1019"/>
      <c r="K1156" s="1019"/>
      <c r="L1156" s="1140"/>
    </row>
    <row r="1157" spans="1:12" x14ac:dyDescent="0.35">
      <c r="A1157" s="1019"/>
      <c r="B1157" s="1019"/>
      <c r="C1157" s="1019"/>
      <c r="D1157" s="1019"/>
      <c r="E1157" s="1019"/>
      <c r="F1157" s="1019"/>
      <c r="G1157" s="1019"/>
      <c r="H1157" s="1019"/>
      <c r="I1157" s="1019"/>
      <c r="J1157" s="1019"/>
      <c r="K1157" s="1019"/>
      <c r="L1157" s="1140"/>
    </row>
    <row r="1158" spans="1:12" x14ac:dyDescent="0.35">
      <c r="A1158" s="1019"/>
      <c r="B1158" s="1019"/>
      <c r="C1158" s="1019"/>
      <c r="D1158" s="1019"/>
      <c r="E1158" s="1019"/>
      <c r="F1158" s="1019"/>
      <c r="G1158" s="1019"/>
      <c r="H1158" s="1019"/>
      <c r="I1158" s="1019"/>
      <c r="J1158" s="1019"/>
      <c r="K1158" s="1019"/>
      <c r="L1158" s="1140"/>
    </row>
    <row r="1159" spans="1:12" x14ac:dyDescent="0.35">
      <c r="A1159" s="1019"/>
      <c r="B1159" s="1019"/>
      <c r="C1159" s="1019"/>
      <c r="D1159" s="1019"/>
      <c r="E1159" s="1019"/>
      <c r="F1159" s="1019"/>
      <c r="G1159" s="1019"/>
      <c r="H1159" s="1019"/>
      <c r="I1159" s="1019"/>
      <c r="J1159" s="1019"/>
      <c r="K1159" s="1019"/>
      <c r="L1159" s="1140"/>
    </row>
    <row r="1160" spans="1:12" x14ac:dyDescent="0.35">
      <c r="A1160" s="1019"/>
      <c r="B1160" s="1019"/>
      <c r="C1160" s="1019"/>
      <c r="D1160" s="1019"/>
      <c r="E1160" s="1019"/>
      <c r="F1160" s="1019"/>
      <c r="G1160" s="1019"/>
      <c r="H1160" s="1019"/>
      <c r="I1160" s="1019"/>
      <c r="J1160" s="1019"/>
      <c r="K1160" s="1019"/>
      <c r="L1160" s="1140"/>
    </row>
    <row r="1161" spans="1:12" x14ac:dyDescent="0.35">
      <c r="A1161" s="1019"/>
      <c r="B1161" s="1019"/>
      <c r="C1161" s="1019"/>
      <c r="D1161" s="1019"/>
      <c r="E1161" s="1019"/>
      <c r="F1161" s="1019"/>
      <c r="G1161" s="1019"/>
      <c r="H1161" s="1019"/>
      <c r="I1161" s="1019"/>
      <c r="J1161" s="1019"/>
      <c r="K1161" s="1019"/>
      <c r="L1161" s="1140"/>
    </row>
    <row r="1162" spans="1:12" x14ac:dyDescent="0.35">
      <c r="A1162" s="1019"/>
      <c r="B1162" s="1019"/>
      <c r="C1162" s="1019"/>
      <c r="D1162" s="1019"/>
      <c r="E1162" s="1019"/>
      <c r="F1162" s="1019"/>
      <c r="G1162" s="1019"/>
      <c r="H1162" s="1019"/>
      <c r="I1162" s="1019"/>
      <c r="J1162" s="1019"/>
      <c r="K1162" s="1019"/>
      <c r="L1162" s="1140"/>
    </row>
    <row r="1163" spans="1:12" x14ac:dyDescent="0.35">
      <c r="A1163" s="1019"/>
      <c r="B1163" s="1019"/>
      <c r="C1163" s="1019"/>
      <c r="D1163" s="1019"/>
      <c r="E1163" s="1019"/>
      <c r="F1163" s="1019"/>
      <c r="G1163" s="1019"/>
      <c r="H1163" s="1019"/>
      <c r="I1163" s="1019"/>
      <c r="J1163" s="1019"/>
      <c r="K1163" s="1019"/>
      <c r="L1163" s="1140"/>
    </row>
    <row r="1164" spans="1:12" x14ac:dyDescent="0.35">
      <c r="A1164" s="1019"/>
      <c r="B1164" s="1019"/>
      <c r="C1164" s="1019"/>
      <c r="D1164" s="1019"/>
      <c r="E1164" s="1019"/>
      <c r="F1164" s="1019"/>
      <c r="G1164" s="1019"/>
      <c r="H1164" s="1019"/>
      <c r="I1164" s="1019"/>
      <c r="J1164" s="1019"/>
      <c r="K1164" s="1019"/>
      <c r="L1164" s="1140"/>
    </row>
    <row r="1165" spans="1:12" x14ac:dyDescent="0.35">
      <c r="A1165" s="1019"/>
      <c r="B1165" s="1019"/>
      <c r="C1165" s="1019"/>
      <c r="D1165" s="1019"/>
      <c r="E1165" s="1019"/>
      <c r="F1165" s="1019"/>
      <c r="G1165" s="1019"/>
      <c r="H1165" s="1019"/>
      <c r="I1165" s="1019"/>
      <c r="J1165" s="1019"/>
      <c r="K1165" s="1019"/>
      <c r="L1165" s="1140"/>
    </row>
    <row r="1166" spans="1:12" x14ac:dyDescent="0.35">
      <c r="A1166" s="1019"/>
      <c r="B1166" s="1019"/>
      <c r="C1166" s="1019"/>
      <c r="D1166" s="1019"/>
      <c r="E1166" s="1019"/>
      <c r="F1166" s="1019"/>
      <c r="G1166" s="1019"/>
      <c r="H1166" s="1019"/>
      <c r="I1166" s="1019"/>
      <c r="J1166" s="1019"/>
      <c r="K1166" s="1019"/>
      <c r="L1166" s="1140"/>
    </row>
    <row r="1167" spans="1:12" x14ac:dyDescent="0.35">
      <c r="A1167" s="1019"/>
      <c r="B1167" s="1019"/>
      <c r="C1167" s="1019"/>
      <c r="D1167" s="1019"/>
      <c r="E1167" s="1019"/>
      <c r="F1167" s="1019"/>
      <c r="G1167" s="1019"/>
      <c r="H1167" s="1019"/>
      <c r="I1167" s="1019"/>
      <c r="J1167" s="1019"/>
      <c r="K1167" s="1019"/>
      <c r="L1167" s="1140"/>
    </row>
    <row r="1168" spans="1:12" x14ac:dyDescent="0.35">
      <c r="A1168" s="1019"/>
      <c r="B1168" s="1019"/>
      <c r="C1168" s="1019"/>
      <c r="D1168" s="1019"/>
      <c r="E1168" s="1019"/>
      <c r="F1168" s="1019"/>
      <c r="G1168" s="1019"/>
      <c r="H1168" s="1019"/>
      <c r="I1168" s="1019"/>
      <c r="J1168" s="1019"/>
      <c r="K1168" s="1019"/>
      <c r="L1168" s="1140"/>
    </row>
    <row r="1169" spans="1:12" x14ac:dyDescent="0.35">
      <c r="A1169" s="1019"/>
      <c r="B1169" s="1019"/>
      <c r="C1169" s="1019"/>
      <c r="D1169" s="1019"/>
      <c r="E1169" s="1019"/>
      <c r="F1169" s="1019"/>
      <c r="G1169" s="1019"/>
      <c r="H1169" s="1019"/>
      <c r="I1169" s="1019"/>
      <c r="J1169" s="1019"/>
      <c r="K1169" s="1019"/>
      <c r="L1169" s="1140"/>
    </row>
    <row r="1170" spans="1:12" x14ac:dyDescent="0.35">
      <c r="A1170" s="1019"/>
      <c r="B1170" s="1019"/>
      <c r="C1170" s="1019"/>
      <c r="D1170" s="1019"/>
      <c r="E1170" s="1019"/>
      <c r="F1170" s="1019"/>
      <c r="G1170" s="1019"/>
      <c r="H1170" s="1019"/>
      <c r="I1170" s="1019"/>
      <c r="J1170" s="1019"/>
      <c r="K1170" s="1019"/>
      <c r="L1170" s="1140"/>
    </row>
    <row r="1171" spans="1:12" x14ac:dyDescent="0.35">
      <c r="A1171" s="1019"/>
      <c r="B1171" s="1019"/>
      <c r="C1171" s="1019"/>
      <c r="D1171" s="1019"/>
      <c r="E1171" s="1019"/>
      <c r="F1171" s="1019"/>
      <c r="G1171" s="1019"/>
      <c r="H1171" s="1019"/>
      <c r="I1171" s="1019"/>
      <c r="J1171" s="1019"/>
      <c r="K1171" s="1019"/>
      <c r="L1171" s="1140"/>
    </row>
    <row r="1172" spans="1:12" x14ac:dyDescent="0.35">
      <c r="A1172" s="1019"/>
      <c r="B1172" s="1019"/>
      <c r="C1172" s="1019"/>
      <c r="D1172" s="1019"/>
      <c r="E1172" s="1019"/>
      <c r="F1172" s="1019"/>
      <c r="G1172" s="1019"/>
      <c r="H1172" s="1019"/>
      <c r="I1172" s="1019"/>
      <c r="J1172" s="1019"/>
      <c r="K1172" s="1019"/>
      <c r="L1172" s="1140"/>
    </row>
    <row r="1173" spans="1:12" x14ac:dyDescent="0.35">
      <c r="A1173" s="1019"/>
      <c r="B1173" s="1019"/>
      <c r="C1173" s="1019"/>
      <c r="D1173" s="1019"/>
      <c r="E1173" s="1019"/>
      <c r="F1173" s="1019"/>
      <c r="G1173" s="1019"/>
      <c r="H1173" s="1019"/>
      <c r="I1173" s="1019"/>
      <c r="J1173" s="1019"/>
      <c r="K1173" s="1019"/>
      <c r="L1173" s="1140"/>
    </row>
    <row r="1174" spans="1:12" x14ac:dyDescent="0.35">
      <c r="A1174" s="1019"/>
      <c r="B1174" s="1019"/>
      <c r="C1174" s="1019"/>
      <c r="D1174" s="1019"/>
      <c r="E1174" s="1019"/>
      <c r="F1174" s="1019"/>
      <c r="G1174" s="1019"/>
      <c r="H1174" s="1019"/>
      <c r="I1174" s="1019"/>
      <c r="J1174" s="1019"/>
      <c r="K1174" s="1019"/>
      <c r="L1174" s="1140"/>
    </row>
    <row r="1175" spans="1:12" x14ac:dyDescent="0.35">
      <c r="A1175" s="1019"/>
      <c r="B1175" s="1019"/>
      <c r="C1175" s="1019"/>
      <c r="D1175" s="1019"/>
      <c r="E1175" s="1019"/>
      <c r="F1175" s="1019"/>
      <c r="G1175" s="1019"/>
      <c r="H1175" s="1019"/>
      <c r="I1175" s="1019"/>
      <c r="J1175" s="1019"/>
      <c r="K1175" s="1019"/>
      <c r="L1175" s="1140"/>
    </row>
    <row r="1176" spans="1:12" x14ac:dyDescent="0.35">
      <c r="A1176" s="1019"/>
      <c r="B1176" s="1019"/>
      <c r="C1176" s="1019"/>
      <c r="D1176" s="1019"/>
      <c r="E1176" s="1019"/>
      <c r="F1176" s="1019"/>
      <c r="G1176" s="1019"/>
      <c r="H1176" s="1019"/>
      <c r="I1176" s="1019"/>
      <c r="J1176" s="1019"/>
      <c r="K1176" s="1019"/>
      <c r="L1176" s="1140"/>
    </row>
    <row r="1177" spans="1:12" x14ac:dyDescent="0.35">
      <c r="A1177" s="1019"/>
      <c r="B1177" s="1019"/>
      <c r="C1177" s="1019"/>
      <c r="D1177" s="1019"/>
      <c r="E1177" s="1019"/>
      <c r="F1177" s="1019"/>
      <c r="G1177" s="1019"/>
      <c r="H1177" s="1019"/>
      <c r="I1177" s="1019"/>
      <c r="J1177" s="1019"/>
      <c r="K1177" s="1019"/>
      <c r="L1177" s="1140"/>
    </row>
    <row r="1178" spans="1:12" x14ac:dyDescent="0.35">
      <c r="A1178" s="1019"/>
      <c r="B1178" s="1019"/>
      <c r="C1178" s="1019"/>
      <c r="D1178" s="1019"/>
      <c r="E1178" s="1019"/>
      <c r="F1178" s="1019"/>
      <c r="G1178" s="1019"/>
      <c r="H1178" s="1019"/>
      <c r="I1178" s="1019"/>
      <c r="J1178" s="1019"/>
      <c r="K1178" s="1019"/>
      <c r="L1178" s="1140"/>
    </row>
    <row r="1179" spans="1:12" x14ac:dyDescent="0.35">
      <c r="A1179" s="1019"/>
      <c r="B1179" s="1019"/>
      <c r="C1179" s="1019"/>
      <c r="D1179" s="1019"/>
      <c r="E1179" s="1019"/>
      <c r="F1179" s="1019"/>
      <c r="G1179" s="1019"/>
      <c r="H1179" s="1019"/>
      <c r="I1179" s="1019"/>
      <c r="J1179" s="1019"/>
      <c r="K1179" s="1019"/>
      <c r="L1179" s="1140"/>
    </row>
    <row r="1180" spans="1:12" x14ac:dyDescent="0.35">
      <c r="A1180" s="1019"/>
      <c r="B1180" s="1019"/>
      <c r="C1180" s="1019"/>
      <c r="D1180" s="1019"/>
      <c r="E1180" s="1019"/>
      <c r="F1180" s="1019"/>
      <c r="G1180" s="1019"/>
      <c r="H1180" s="1019"/>
      <c r="I1180" s="1019"/>
      <c r="J1180" s="1019"/>
      <c r="K1180" s="1019"/>
      <c r="L1180" s="1140"/>
    </row>
    <row r="1181" spans="1:12" x14ac:dyDescent="0.35">
      <c r="A1181" s="1019"/>
      <c r="B1181" s="1019"/>
      <c r="C1181" s="1019"/>
      <c r="D1181" s="1019"/>
      <c r="E1181" s="1019"/>
      <c r="F1181" s="1019"/>
      <c r="G1181" s="1019"/>
      <c r="H1181" s="1019"/>
      <c r="I1181" s="1019"/>
      <c r="J1181" s="1019"/>
      <c r="K1181" s="1019"/>
      <c r="L1181" s="1140"/>
    </row>
    <row r="1182" spans="1:12" x14ac:dyDescent="0.35">
      <c r="A1182" s="1019"/>
      <c r="B1182" s="1019"/>
      <c r="C1182" s="1019"/>
      <c r="D1182" s="1019"/>
      <c r="E1182" s="1019"/>
      <c r="F1182" s="1019"/>
      <c r="G1182" s="1019"/>
      <c r="H1182" s="1019"/>
      <c r="I1182" s="1019"/>
      <c r="J1182" s="1019"/>
      <c r="K1182" s="1019"/>
      <c r="L1182" s="1140"/>
    </row>
    <row r="1183" spans="1:12" x14ac:dyDescent="0.35">
      <c r="A1183" s="1019"/>
      <c r="B1183" s="1019"/>
      <c r="C1183" s="1019"/>
      <c r="D1183" s="1019"/>
      <c r="E1183" s="1019"/>
      <c r="F1183" s="1019"/>
      <c r="G1183" s="1019"/>
      <c r="H1183" s="1019"/>
      <c r="I1183" s="1019"/>
      <c r="J1183" s="1019"/>
      <c r="K1183" s="1019"/>
      <c r="L1183" s="1140"/>
    </row>
    <row r="1184" spans="1:12" x14ac:dyDescent="0.35">
      <c r="A1184" s="1019"/>
      <c r="B1184" s="1019"/>
      <c r="C1184" s="1019"/>
      <c r="D1184" s="1019"/>
      <c r="E1184" s="1019"/>
      <c r="F1184" s="1019"/>
      <c r="G1184" s="1019"/>
      <c r="H1184" s="1019"/>
      <c r="I1184" s="1019"/>
      <c r="J1184" s="1019"/>
      <c r="K1184" s="1019"/>
      <c r="L1184" s="1140"/>
    </row>
    <row r="1185" spans="1:12" x14ac:dyDescent="0.35">
      <c r="A1185" s="1019"/>
      <c r="B1185" s="1019"/>
      <c r="C1185" s="1019"/>
      <c r="D1185" s="1019"/>
      <c r="E1185" s="1019"/>
      <c r="F1185" s="1019"/>
      <c r="G1185" s="1019"/>
      <c r="H1185" s="1019"/>
      <c r="I1185" s="1019"/>
      <c r="J1185" s="1019"/>
      <c r="K1185" s="1019"/>
      <c r="L1185" s="1140"/>
    </row>
    <row r="1186" spans="1:12" x14ac:dyDescent="0.35">
      <c r="A1186" s="1019"/>
      <c r="B1186" s="1019"/>
      <c r="C1186" s="1019"/>
      <c r="D1186" s="1019"/>
      <c r="E1186" s="1019"/>
      <c r="F1186" s="1019"/>
      <c r="G1186" s="1019"/>
      <c r="H1186" s="1019"/>
      <c r="I1186" s="1019"/>
      <c r="J1186" s="1019"/>
      <c r="K1186" s="1019"/>
      <c r="L1186" s="1140"/>
    </row>
    <row r="1187" spans="1:12" x14ac:dyDescent="0.35">
      <c r="A1187" s="1019"/>
      <c r="B1187" s="1019"/>
      <c r="C1187" s="1019"/>
      <c r="D1187" s="1019"/>
      <c r="E1187" s="1019"/>
      <c r="F1187" s="1019"/>
      <c r="G1187" s="1019"/>
      <c r="H1187" s="1019"/>
      <c r="I1187" s="1019"/>
      <c r="J1187" s="1019"/>
      <c r="K1187" s="1019"/>
      <c r="L1187" s="1140"/>
    </row>
    <row r="1188" spans="1:12" x14ac:dyDescent="0.35">
      <c r="A1188" s="1019"/>
      <c r="B1188" s="1019"/>
      <c r="C1188" s="1019"/>
      <c r="D1188" s="1019"/>
      <c r="E1188" s="1019"/>
      <c r="F1188" s="1019"/>
      <c r="G1188" s="1019"/>
      <c r="H1188" s="1019"/>
      <c r="I1188" s="1019"/>
      <c r="J1188" s="1019"/>
      <c r="K1188" s="1019"/>
      <c r="L1188" s="1140"/>
    </row>
    <row r="1189" spans="1:12" x14ac:dyDescent="0.35">
      <c r="A1189" s="1019"/>
      <c r="B1189" s="1019"/>
      <c r="C1189" s="1019"/>
      <c r="D1189" s="1019"/>
      <c r="E1189" s="1019"/>
      <c r="F1189" s="1019"/>
      <c r="G1189" s="1019"/>
      <c r="H1189" s="1019"/>
      <c r="I1189" s="1019"/>
      <c r="J1189" s="1019"/>
      <c r="K1189" s="1019"/>
      <c r="L1189" s="1140"/>
    </row>
    <row r="1190" spans="1:12" x14ac:dyDescent="0.35">
      <c r="A1190" s="1019"/>
      <c r="B1190" s="1019"/>
      <c r="C1190" s="1019"/>
      <c r="D1190" s="1019"/>
      <c r="E1190" s="1019"/>
      <c r="F1190" s="1019"/>
      <c r="G1190" s="1019"/>
      <c r="H1190" s="1019"/>
      <c r="I1190" s="1019"/>
      <c r="J1190" s="1019"/>
      <c r="K1190" s="1019"/>
      <c r="L1190" s="1140"/>
    </row>
    <row r="1191" spans="1:12" x14ac:dyDescent="0.35">
      <c r="A1191" s="1019"/>
      <c r="B1191" s="1019"/>
      <c r="C1191" s="1019"/>
      <c r="D1191" s="1019"/>
      <c r="E1191" s="1019"/>
      <c r="F1191" s="1019"/>
      <c r="G1191" s="1019"/>
      <c r="H1191" s="1019"/>
      <c r="I1191" s="1019"/>
      <c r="J1191" s="1019"/>
      <c r="K1191" s="1019"/>
      <c r="L1191" s="1140"/>
    </row>
    <row r="1192" spans="1:12" x14ac:dyDescent="0.35">
      <c r="A1192" s="1019"/>
      <c r="B1192" s="1019"/>
      <c r="C1192" s="1019"/>
      <c r="D1192" s="1019"/>
      <c r="E1192" s="1019"/>
      <c r="F1192" s="1019"/>
      <c r="G1192" s="1019"/>
      <c r="H1192" s="1019"/>
      <c r="I1192" s="1019"/>
      <c r="J1192" s="1019"/>
      <c r="K1192" s="1019"/>
      <c r="L1192" s="1140"/>
    </row>
    <row r="1193" spans="1:12" x14ac:dyDescent="0.35">
      <c r="A1193" s="1019"/>
      <c r="B1193" s="1019"/>
      <c r="C1193" s="1019"/>
      <c r="D1193" s="1019"/>
      <c r="E1193" s="1019"/>
      <c r="F1193" s="1019"/>
      <c r="G1193" s="1019"/>
      <c r="H1193" s="1019"/>
      <c r="I1193" s="1019"/>
      <c r="J1193" s="1019"/>
      <c r="K1193" s="1019"/>
      <c r="L1193" s="1140"/>
    </row>
    <row r="1194" spans="1:12" x14ac:dyDescent="0.35">
      <c r="A1194" s="1019"/>
      <c r="B1194" s="1019"/>
      <c r="C1194" s="1019"/>
      <c r="D1194" s="1019"/>
      <c r="E1194" s="1019"/>
      <c r="F1194" s="1019"/>
      <c r="G1194" s="1019"/>
      <c r="H1194" s="1019"/>
      <c r="I1194" s="1019"/>
      <c r="J1194" s="1019"/>
      <c r="K1194" s="1019"/>
      <c r="L1194" s="1140"/>
    </row>
    <row r="1195" spans="1:12" x14ac:dyDescent="0.35">
      <c r="A1195" s="1019"/>
      <c r="B1195" s="1019"/>
      <c r="C1195" s="1019"/>
      <c r="D1195" s="1019"/>
      <c r="E1195" s="1019"/>
      <c r="F1195" s="1019"/>
      <c r="G1195" s="1019"/>
      <c r="H1195" s="1019"/>
      <c r="I1195" s="1019"/>
      <c r="J1195" s="1019"/>
      <c r="K1195" s="1019"/>
      <c r="L1195" s="1140"/>
    </row>
    <row r="1196" spans="1:12" x14ac:dyDescent="0.35">
      <c r="A1196" s="1019"/>
      <c r="B1196" s="1019"/>
      <c r="C1196" s="1019"/>
      <c r="D1196" s="1019"/>
      <c r="E1196" s="1019"/>
      <c r="F1196" s="1019"/>
      <c r="G1196" s="1019"/>
      <c r="H1196" s="1019"/>
      <c r="I1196" s="1019"/>
      <c r="J1196" s="1019"/>
      <c r="K1196" s="1019"/>
      <c r="L1196" s="1140"/>
    </row>
    <row r="1197" spans="1:12" x14ac:dyDescent="0.35">
      <c r="A1197" s="1019"/>
      <c r="B1197" s="1019"/>
      <c r="C1197" s="1019"/>
      <c r="D1197" s="1019"/>
      <c r="E1197" s="1019"/>
      <c r="F1197" s="1019"/>
      <c r="G1197" s="1019"/>
      <c r="H1197" s="1019"/>
      <c r="I1197" s="1019"/>
      <c r="J1197" s="1019"/>
      <c r="K1197" s="1019"/>
      <c r="L1197" s="1140"/>
    </row>
    <row r="1198" spans="1:12" x14ac:dyDescent="0.35">
      <c r="A1198" s="1019"/>
      <c r="B1198" s="1019"/>
      <c r="C1198" s="1019"/>
      <c r="D1198" s="1019"/>
      <c r="E1198" s="1019"/>
      <c r="F1198" s="1019"/>
      <c r="G1198" s="1019"/>
      <c r="H1198" s="1019"/>
      <c r="I1198" s="1019"/>
      <c r="J1198" s="1019"/>
      <c r="K1198" s="1019"/>
      <c r="L1198" s="1140"/>
    </row>
    <row r="1199" spans="1:12" x14ac:dyDescent="0.35">
      <c r="A1199" s="1019"/>
      <c r="B1199" s="1019"/>
      <c r="C1199" s="1019"/>
      <c r="D1199" s="1019"/>
      <c r="E1199" s="1019"/>
      <c r="F1199" s="1019"/>
      <c r="G1199" s="1019"/>
      <c r="H1199" s="1019"/>
      <c r="I1199" s="1019"/>
      <c r="J1199" s="1019"/>
      <c r="K1199" s="1019"/>
      <c r="L1199" s="1140"/>
    </row>
    <row r="1200" spans="1:12" x14ac:dyDescent="0.35">
      <c r="A1200" s="1019"/>
      <c r="B1200" s="1019"/>
      <c r="C1200" s="1019"/>
      <c r="D1200" s="1019"/>
      <c r="E1200" s="1019"/>
      <c r="F1200" s="1019"/>
      <c r="G1200" s="1019"/>
      <c r="H1200" s="1019"/>
      <c r="I1200" s="1019"/>
      <c r="J1200" s="1019"/>
      <c r="K1200" s="1019"/>
      <c r="L1200" s="1140"/>
    </row>
    <row r="1201" spans="1:12" x14ac:dyDescent="0.35">
      <c r="A1201" s="1019"/>
      <c r="B1201" s="1019"/>
      <c r="C1201" s="1019"/>
      <c r="D1201" s="1019"/>
      <c r="E1201" s="1019"/>
      <c r="F1201" s="1019"/>
      <c r="G1201" s="1019"/>
      <c r="H1201" s="1019"/>
      <c r="I1201" s="1019"/>
      <c r="J1201" s="1019"/>
      <c r="K1201" s="1019"/>
      <c r="L1201" s="1140"/>
    </row>
    <row r="1202" spans="1:12" x14ac:dyDescent="0.35">
      <c r="A1202" s="1019"/>
      <c r="B1202" s="1019"/>
      <c r="C1202" s="1019"/>
      <c r="D1202" s="1019"/>
      <c r="E1202" s="1019"/>
      <c r="F1202" s="1019"/>
      <c r="G1202" s="1019"/>
      <c r="H1202" s="1019"/>
      <c r="I1202" s="1019"/>
      <c r="J1202" s="1019"/>
      <c r="K1202" s="1019"/>
      <c r="L1202" s="1140"/>
    </row>
    <row r="1203" spans="1:12" x14ac:dyDescent="0.35">
      <c r="A1203" s="1019"/>
      <c r="B1203" s="1019"/>
      <c r="C1203" s="1019"/>
      <c r="D1203" s="1019"/>
      <c r="E1203" s="1019"/>
      <c r="F1203" s="1019"/>
      <c r="G1203" s="1019"/>
      <c r="H1203" s="1019"/>
      <c r="I1203" s="1019"/>
      <c r="J1203" s="1019"/>
      <c r="K1203" s="1019"/>
      <c r="L1203" s="1140"/>
    </row>
    <row r="1204" spans="1:12" x14ac:dyDescent="0.35">
      <c r="A1204" s="1019"/>
      <c r="B1204" s="1019"/>
      <c r="C1204" s="1019"/>
      <c r="D1204" s="1019"/>
      <c r="E1204" s="1019"/>
      <c r="F1204" s="1019"/>
      <c r="G1204" s="1019"/>
      <c r="H1204" s="1019"/>
      <c r="I1204" s="1019"/>
      <c r="J1204" s="1019"/>
      <c r="K1204" s="1019"/>
      <c r="L1204" s="1140"/>
    </row>
    <row r="1205" spans="1:12" x14ac:dyDescent="0.35">
      <c r="A1205" s="1019"/>
      <c r="B1205" s="1019"/>
      <c r="C1205" s="1019"/>
      <c r="D1205" s="1019"/>
      <c r="E1205" s="1019"/>
      <c r="F1205" s="1019"/>
      <c r="G1205" s="1019"/>
      <c r="H1205" s="1019"/>
      <c r="I1205" s="1019"/>
      <c r="J1205" s="1019"/>
      <c r="K1205" s="1019"/>
      <c r="L1205" s="1140"/>
    </row>
    <row r="1206" spans="1:12" x14ac:dyDescent="0.35">
      <c r="A1206" s="1019"/>
      <c r="B1206" s="1019"/>
      <c r="C1206" s="1019"/>
      <c r="D1206" s="1019"/>
      <c r="E1206" s="1019"/>
      <c r="F1206" s="1019"/>
      <c r="G1206" s="1019"/>
      <c r="H1206" s="1019"/>
      <c r="I1206" s="1019"/>
      <c r="J1206" s="1019"/>
      <c r="K1206" s="1019"/>
      <c r="L1206" s="1140"/>
    </row>
    <row r="1207" spans="1:12" x14ac:dyDescent="0.35">
      <c r="A1207" s="1019"/>
      <c r="B1207" s="1019"/>
      <c r="C1207" s="1019"/>
      <c r="D1207" s="1019"/>
      <c r="E1207" s="1019"/>
      <c r="F1207" s="1019"/>
      <c r="G1207" s="1019"/>
      <c r="H1207" s="1019"/>
      <c r="I1207" s="1019"/>
      <c r="J1207" s="1019"/>
      <c r="K1207" s="1019"/>
      <c r="L1207" s="1140"/>
    </row>
    <row r="1208" spans="1:12" x14ac:dyDescent="0.35">
      <c r="A1208" s="1019"/>
      <c r="B1208" s="1019"/>
      <c r="C1208" s="1019"/>
      <c r="D1208" s="1019"/>
      <c r="E1208" s="1019"/>
      <c r="F1208" s="1019"/>
      <c r="G1208" s="1019"/>
      <c r="H1208" s="1019"/>
      <c r="I1208" s="1019"/>
      <c r="J1208" s="1019"/>
      <c r="K1208" s="1019"/>
      <c r="L1208" s="1140"/>
    </row>
    <row r="1209" spans="1:12" x14ac:dyDescent="0.35">
      <c r="A1209" s="1019"/>
      <c r="B1209" s="1019"/>
      <c r="C1209" s="1019"/>
      <c r="D1209" s="1019"/>
      <c r="E1209" s="1019"/>
      <c r="F1209" s="1019"/>
      <c r="G1209" s="1019"/>
      <c r="H1209" s="1019"/>
      <c r="I1209" s="1019"/>
      <c r="J1209" s="1019"/>
      <c r="K1209" s="1019"/>
      <c r="L1209" s="1140"/>
    </row>
    <row r="1210" spans="1:12" x14ac:dyDescent="0.35">
      <c r="A1210" s="1019"/>
      <c r="B1210" s="1019"/>
      <c r="C1210" s="1019"/>
      <c r="D1210" s="1019"/>
      <c r="E1210" s="1019"/>
      <c r="F1210" s="1019"/>
      <c r="G1210" s="1019"/>
      <c r="H1210" s="1019"/>
      <c r="I1210" s="1019"/>
      <c r="J1210" s="1019"/>
      <c r="K1210" s="1019"/>
      <c r="L1210" s="1140"/>
    </row>
    <row r="1211" spans="1:12" x14ac:dyDescent="0.35">
      <c r="A1211" s="1019"/>
      <c r="B1211" s="1019"/>
      <c r="C1211" s="1019"/>
      <c r="D1211" s="1019"/>
      <c r="E1211" s="1019"/>
      <c r="F1211" s="1019"/>
      <c r="G1211" s="1019"/>
      <c r="H1211" s="1019"/>
      <c r="I1211" s="1019"/>
      <c r="J1211" s="1019"/>
      <c r="K1211" s="1019"/>
      <c r="L1211" s="1140"/>
    </row>
    <row r="1212" spans="1:12" x14ac:dyDescent="0.35">
      <c r="A1212" s="1019"/>
      <c r="B1212" s="1019"/>
      <c r="C1212" s="1019"/>
      <c r="D1212" s="1019"/>
      <c r="E1212" s="1019"/>
      <c r="F1212" s="1019"/>
      <c r="G1212" s="1019"/>
      <c r="H1212" s="1019"/>
      <c r="I1212" s="1019"/>
      <c r="J1212" s="1019"/>
      <c r="K1212" s="1019"/>
      <c r="L1212" s="1140"/>
    </row>
    <row r="1213" spans="1:12" x14ac:dyDescent="0.35">
      <c r="A1213" s="1019"/>
      <c r="B1213" s="1019"/>
      <c r="C1213" s="1019"/>
      <c r="D1213" s="1019"/>
      <c r="E1213" s="1019"/>
      <c r="F1213" s="1019"/>
      <c r="G1213" s="1019"/>
      <c r="H1213" s="1019"/>
      <c r="I1213" s="1019"/>
      <c r="J1213" s="1019"/>
      <c r="K1213" s="1019"/>
      <c r="L1213" s="1140"/>
    </row>
    <row r="1214" spans="1:12" x14ac:dyDescent="0.35">
      <c r="A1214" s="1019"/>
      <c r="B1214" s="1019"/>
      <c r="C1214" s="1019"/>
      <c r="D1214" s="1019"/>
      <c r="E1214" s="1019"/>
      <c r="F1214" s="1019"/>
      <c r="G1214" s="1019"/>
      <c r="H1214" s="1019"/>
      <c r="I1214" s="1019"/>
      <c r="J1214" s="1019"/>
      <c r="K1214" s="1019"/>
      <c r="L1214" s="1140"/>
    </row>
    <row r="1215" spans="1:12" x14ac:dyDescent="0.35">
      <c r="A1215" s="1019"/>
      <c r="B1215" s="1019"/>
      <c r="C1215" s="1019"/>
      <c r="D1215" s="1019"/>
      <c r="E1215" s="1019"/>
      <c r="F1215" s="1019"/>
      <c r="G1215" s="1019"/>
      <c r="H1215" s="1019"/>
      <c r="I1215" s="1019"/>
      <c r="J1215" s="1019"/>
      <c r="K1215" s="1019"/>
      <c r="L1215" s="1140"/>
    </row>
    <row r="1216" spans="1:12" x14ac:dyDescent="0.35">
      <c r="A1216" s="1019"/>
      <c r="B1216" s="1019"/>
      <c r="C1216" s="1019"/>
      <c r="D1216" s="1019"/>
      <c r="E1216" s="1019"/>
      <c r="F1216" s="1019"/>
      <c r="G1216" s="1019"/>
      <c r="H1216" s="1019"/>
      <c r="I1216" s="1019"/>
      <c r="J1216" s="1019"/>
      <c r="K1216" s="1019"/>
      <c r="L1216" s="1140"/>
    </row>
    <row r="1217" spans="1:12" x14ac:dyDescent="0.35">
      <c r="A1217" s="1019"/>
      <c r="B1217" s="1019"/>
      <c r="C1217" s="1019"/>
      <c r="D1217" s="1019"/>
      <c r="E1217" s="1019"/>
      <c r="F1217" s="1019"/>
      <c r="G1217" s="1019"/>
      <c r="H1217" s="1019"/>
      <c r="I1217" s="1019"/>
      <c r="J1217" s="1019"/>
      <c r="K1217" s="1019"/>
      <c r="L1217" s="1140"/>
    </row>
    <row r="1218" spans="1:12" x14ac:dyDescent="0.35">
      <c r="A1218" s="1019"/>
      <c r="B1218" s="1019"/>
      <c r="C1218" s="1019"/>
      <c r="D1218" s="1019"/>
      <c r="E1218" s="1019"/>
      <c r="F1218" s="1019"/>
      <c r="G1218" s="1019"/>
      <c r="H1218" s="1019"/>
      <c r="I1218" s="1019"/>
      <c r="J1218" s="1019"/>
      <c r="K1218" s="1019"/>
      <c r="L1218" s="1140"/>
    </row>
    <row r="1219" spans="1:12" x14ac:dyDescent="0.35">
      <c r="A1219" s="1019"/>
      <c r="B1219" s="1019"/>
      <c r="C1219" s="1019"/>
      <c r="D1219" s="1019"/>
      <c r="E1219" s="1019"/>
      <c r="F1219" s="1019"/>
      <c r="G1219" s="1019"/>
      <c r="H1219" s="1019"/>
      <c r="I1219" s="1019"/>
      <c r="J1219" s="1019"/>
      <c r="K1219" s="1019"/>
      <c r="L1219" s="1140"/>
    </row>
    <row r="1220" spans="1:12" x14ac:dyDescent="0.35">
      <c r="A1220" s="1019"/>
      <c r="B1220" s="1019"/>
      <c r="C1220" s="1019"/>
      <c r="D1220" s="1019"/>
      <c r="E1220" s="1019"/>
      <c r="F1220" s="1019"/>
      <c r="G1220" s="1019"/>
      <c r="H1220" s="1019"/>
      <c r="I1220" s="1019"/>
      <c r="J1220" s="1019"/>
      <c r="K1220" s="1019"/>
      <c r="L1220" s="1140"/>
    </row>
    <row r="1221" spans="1:12" x14ac:dyDescent="0.35">
      <c r="A1221" s="1019"/>
      <c r="B1221" s="1019"/>
      <c r="C1221" s="1019"/>
      <c r="D1221" s="1019"/>
      <c r="E1221" s="1019"/>
      <c r="F1221" s="1019"/>
      <c r="G1221" s="1019"/>
      <c r="H1221" s="1019"/>
      <c r="I1221" s="1019"/>
      <c r="J1221" s="1019"/>
      <c r="K1221" s="1019"/>
      <c r="L1221" s="1140"/>
    </row>
    <row r="1222" spans="1:12" x14ac:dyDescent="0.35">
      <c r="A1222" s="1019"/>
      <c r="B1222" s="1019"/>
      <c r="C1222" s="1019"/>
      <c r="D1222" s="1019"/>
      <c r="E1222" s="1019"/>
      <c r="F1222" s="1019"/>
      <c r="G1222" s="1019"/>
      <c r="H1222" s="1019"/>
      <c r="I1222" s="1019"/>
      <c r="J1222" s="1019"/>
      <c r="K1222" s="1019"/>
      <c r="L1222" s="1140"/>
    </row>
    <row r="1223" spans="1:12" x14ac:dyDescent="0.35">
      <c r="A1223" s="1019"/>
      <c r="B1223" s="1019"/>
      <c r="C1223" s="1019"/>
      <c r="D1223" s="1019"/>
      <c r="E1223" s="1019"/>
      <c r="F1223" s="1019"/>
      <c r="G1223" s="1019"/>
      <c r="H1223" s="1019"/>
      <c r="I1223" s="1019"/>
      <c r="J1223" s="1019"/>
      <c r="K1223" s="1019"/>
      <c r="L1223" s="1140"/>
    </row>
    <row r="1224" spans="1:12" x14ac:dyDescent="0.35">
      <c r="A1224" s="1019"/>
      <c r="B1224" s="1019"/>
      <c r="C1224" s="1019"/>
      <c r="D1224" s="1019"/>
      <c r="E1224" s="1019"/>
      <c r="F1224" s="1019"/>
      <c r="G1224" s="1019"/>
      <c r="H1224" s="1019"/>
      <c r="I1224" s="1019"/>
      <c r="J1224" s="1019"/>
      <c r="K1224" s="1019"/>
      <c r="L1224" s="1140"/>
    </row>
    <row r="1225" spans="1:12" x14ac:dyDescent="0.35">
      <c r="A1225" s="1019"/>
      <c r="B1225" s="1019"/>
      <c r="C1225" s="1019"/>
      <c r="D1225" s="1019"/>
      <c r="E1225" s="1019"/>
      <c r="F1225" s="1019"/>
      <c r="G1225" s="1019"/>
      <c r="H1225" s="1019"/>
      <c r="I1225" s="1019"/>
      <c r="J1225" s="1019"/>
      <c r="K1225" s="1019"/>
      <c r="L1225" s="1140"/>
    </row>
    <row r="1226" spans="1:12" x14ac:dyDescent="0.35">
      <c r="A1226" s="1019"/>
      <c r="B1226" s="1019"/>
      <c r="C1226" s="1019"/>
      <c r="D1226" s="1019"/>
      <c r="E1226" s="1019"/>
      <c r="F1226" s="1019"/>
      <c r="G1226" s="1019"/>
      <c r="H1226" s="1019"/>
      <c r="I1226" s="1019"/>
      <c r="J1226" s="1019"/>
      <c r="K1226" s="1019"/>
      <c r="L1226" s="1140"/>
    </row>
    <row r="1227" spans="1:12" x14ac:dyDescent="0.35">
      <c r="A1227" s="1019"/>
      <c r="B1227" s="1019"/>
      <c r="C1227" s="1019"/>
      <c r="D1227" s="1019"/>
      <c r="E1227" s="1019"/>
      <c r="F1227" s="1019"/>
      <c r="G1227" s="1019"/>
      <c r="H1227" s="1019"/>
      <c r="I1227" s="1019"/>
      <c r="J1227" s="1019"/>
      <c r="K1227" s="1019"/>
      <c r="L1227" s="1140"/>
    </row>
    <row r="1228" spans="1:12" x14ac:dyDescent="0.35">
      <c r="A1228" s="1019"/>
      <c r="B1228" s="1019"/>
      <c r="C1228" s="1019"/>
      <c r="D1228" s="1019"/>
      <c r="E1228" s="1019"/>
      <c r="F1228" s="1019"/>
      <c r="G1228" s="1019"/>
      <c r="H1228" s="1019"/>
      <c r="I1228" s="1019"/>
      <c r="J1228" s="1019"/>
      <c r="K1228" s="1019"/>
      <c r="L1228" s="1140"/>
    </row>
    <row r="1229" spans="1:12" x14ac:dyDescent="0.35">
      <c r="A1229" s="1019"/>
      <c r="B1229" s="1019"/>
      <c r="C1229" s="1019"/>
      <c r="D1229" s="1019"/>
      <c r="E1229" s="1019"/>
      <c r="F1229" s="1019"/>
      <c r="G1229" s="1019"/>
      <c r="H1229" s="1019"/>
      <c r="I1229" s="1019"/>
      <c r="J1229" s="1019"/>
      <c r="K1229" s="1019"/>
      <c r="L1229" s="1140"/>
    </row>
    <row r="1230" spans="1:12" x14ac:dyDescent="0.35">
      <c r="A1230" s="1019"/>
      <c r="B1230" s="1019"/>
      <c r="C1230" s="1019"/>
      <c r="D1230" s="1019"/>
      <c r="E1230" s="1019"/>
      <c r="F1230" s="1019"/>
      <c r="G1230" s="1019"/>
      <c r="H1230" s="1019"/>
      <c r="I1230" s="1019"/>
      <c r="J1230" s="1019"/>
      <c r="K1230" s="1019"/>
      <c r="L1230" s="1140"/>
    </row>
    <row r="1231" spans="1:12" x14ac:dyDescent="0.35">
      <c r="A1231" s="1019"/>
      <c r="B1231" s="1019"/>
      <c r="C1231" s="1019"/>
      <c r="D1231" s="1019"/>
      <c r="E1231" s="1019"/>
      <c r="F1231" s="1019"/>
      <c r="G1231" s="1019"/>
      <c r="H1231" s="1019"/>
      <c r="I1231" s="1019"/>
      <c r="J1231" s="1019"/>
      <c r="K1231" s="1019"/>
      <c r="L1231" s="1140"/>
    </row>
    <row r="1232" spans="1:12" x14ac:dyDescent="0.35">
      <c r="A1232" s="1019"/>
      <c r="B1232" s="1019"/>
      <c r="C1232" s="1019"/>
      <c r="D1232" s="1019"/>
      <c r="E1232" s="1019"/>
      <c r="F1232" s="1019"/>
      <c r="G1232" s="1019"/>
      <c r="H1232" s="1019"/>
      <c r="I1232" s="1019"/>
      <c r="J1232" s="1019"/>
      <c r="K1232" s="1019"/>
      <c r="L1232" s="1140"/>
    </row>
    <row r="1233" spans="1:12" x14ac:dyDescent="0.35">
      <c r="A1233" s="1019"/>
      <c r="B1233" s="1019"/>
      <c r="C1233" s="1019"/>
      <c r="D1233" s="1019"/>
      <c r="E1233" s="1019"/>
      <c r="F1233" s="1019"/>
      <c r="G1233" s="1019"/>
      <c r="H1233" s="1019"/>
      <c r="I1233" s="1019"/>
      <c r="J1233" s="1019"/>
      <c r="K1233" s="1019"/>
      <c r="L1233" s="1140"/>
    </row>
    <row r="1234" spans="1:12" x14ac:dyDescent="0.35">
      <c r="A1234" s="1019"/>
      <c r="B1234" s="1019"/>
      <c r="C1234" s="1019"/>
      <c r="D1234" s="1019"/>
      <c r="E1234" s="1019"/>
      <c r="F1234" s="1019"/>
      <c r="G1234" s="1019"/>
      <c r="H1234" s="1019"/>
      <c r="I1234" s="1019"/>
      <c r="J1234" s="1019"/>
      <c r="K1234" s="1019"/>
      <c r="L1234" s="1140"/>
    </row>
    <row r="1235" spans="1:12" x14ac:dyDescent="0.35">
      <c r="A1235" s="1019"/>
      <c r="B1235" s="1019"/>
      <c r="C1235" s="1019"/>
      <c r="D1235" s="1019"/>
      <c r="E1235" s="1019"/>
      <c r="F1235" s="1019"/>
      <c r="G1235" s="1019"/>
      <c r="H1235" s="1019"/>
      <c r="I1235" s="1019"/>
      <c r="J1235" s="1019"/>
      <c r="K1235" s="1019"/>
      <c r="L1235" s="1140"/>
    </row>
    <row r="1236" spans="1:12" x14ac:dyDescent="0.35">
      <c r="A1236" s="1019"/>
      <c r="B1236" s="1019"/>
      <c r="C1236" s="1019"/>
      <c r="D1236" s="1019"/>
      <c r="E1236" s="1019"/>
      <c r="F1236" s="1019"/>
      <c r="G1236" s="1019"/>
      <c r="H1236" s="1019"/>
      <c r="I1236" s="1019"/>
      <c r="J1236" s="1019"/>
      <c r="K1236" s="1019"/>
      <c r="L1236" s="1140"/>
    </row>
    <row r="1237" spans="1:12" x14ac:dyDescent="0.35">
      <c r="A1237" s="1019"/>
      <c r="B1237" s="1019"/>
      <c r="C1237" s="1019"/>
      <c r="D1237" s="1019"/>
      <c r="E1237" s="1019"/>
      <c r="F1237" s="1019"/>
      <c r="G1237" s="1019"/>
      <c r="H1237" s="1019"/>
      <c r="I1237" s="1019"/>
      <c r="J1237" s="1019"/>
      <c r="K1237" s="1019"/>
      <c r="L1237" s="1140"/>
    </row>
    <row r="1238" spans="1:12" x14ac:dyDescent="0.35">
      <c r="A1238" s="1019"/>
      <c r="B1238" s="1019"/>
      <c r="C1238" s="1019"/>
      <c r="D1238" s="1019"/>
      <c r="E1238" s="1019"/>
      <c r="F1238" s="1019"/>
      <c r="G1238" s="1019"/>
      <c r="H1238" s="1019"/>
      <c r="I1238" s="1019"/>
      <c r="J1238" s="1019"/>
      <c r="K1238" s="1019"/>
      <c r="L1238" s="1140"/>
    </row>
    <row r="1239" spans="1:12" x14ac:dyDescent="0.35">
      <c r="A1239" s="1019"/>
      <c r="B1239" s="1019"/>
      <c r="C1239" s="1019"/>
      <c r="D1239" s="1019"/>
      <c r="E1239" s="1019"/>
      <c r="F1239" s="1019"/>
      <c r="G1239" s="1019"/>
      <c r="H1239" s="1019"/>
      <c r="I1239" s="1019"/>
      <c r="J1239" s="1019"/>
      <c r="K1239" s="1019"/>
      <c r="L1239" s="1140"/>
    </row>
    <row r="1240" spans="1:12" x14ac:dyDescent="0.35">
      <c r="A1240" s="1019"/>
      <c r="B1240" s="1019"/>
      <c r="C1240" s="1019"/>
      <c r="D1240" s="1019"/>
      <c r="E1240" s="1019"/>
      <c r="F1240" s="1019"/>
      <c r="G1240" s="1019"/>
      <c r="H1240" s="1019"/>
      <c r="I1240" s="1019"/>
      <c r="J1240" s="1019"/>
      <c r="K1240" s="1019"/>
      <c r="L1240" s="1140"/>
    </row>
    <row r="1241" spans="1:12" x14ac:dyDescent="0.35">
      <c r="A1241" s="1019"/>
      <c r="B1241" s="1019"/>
      <c r="C1241" s="1019"/>
      <c r="D1241" s="1019"/>
      <c r="E1241" s="1019"/>
      <c r="F1241" s="1019"/>
      <c r="G1241" s="1019"/>
      <c r="H1241" s="1019"/>
      <c r="I1241" s="1019"/>
      <c r="J1241" s="1019"/>
      <c r="K1241" s="1019"/>
      <c r="L1241" s="1140"/>
    </row>
    <row r="1242" spans="1:12" x14ac:dyDescent="0.35">
      <c r="A1242" s="1019"/>
      <c r="B1242" s="1019"/>
      <c r="C1242" s="1019"/>
      <c r="D1242" s="1019"/>
      <c r="E1242" s="1019"/>
      <c r="F1242" s="1019"/>
      <c r="G1242" s="1019"/>
      <c r="H1242" s="1019"/>
      <c r="I1242" s="1019"/>
      <c r="J1242" s="1019"/>
      <c r="K1242" s="1019"/>
      <c r="L1242" s="1140"/>
    </row>
    <row r="1243" spans="1:12" x14ac:dyDescent="0.35">
      <c r="A1243" s="1019"/>
      <c r="B1243" s="1019"/>
      <c r="C1243" s="1019"/>
      <c r="D1243" s="1019"/>
      <c r="E1243" s="1019"/>
      <c r="F1243" s="1019"/>
      <c r="G1243" s="1019"/>
      <c r="H1243" s="1019"/>
      <c r="I1243" s="1019"/>
      <c r="J1243" s="1019"/>
      <c r="K1243" s="1019"/>
      <c r="L1243" s="1140"/>
    </row>
    <row r="1244" spans="1:12" x14ac:dyDescent="0.35">
      <c r="A1244" s="1019"/>
      <c r="B1244" s="1019"/>
      <c r="C1244" s="1019"/>
      <c r="D1244" s="1019"/>
      <c r="E1244" s="1019"/>
      <c r="F1244" s="1019"/>
      <c r="G1244" s="1019"/>
      <c r="H1244" s="1019"/>
      <c r="I1244" s="1019"/>
      <c r="J1244" s="1019"/>
      <c r="K1244" s="1019"/>
      <c r="L1244" s="1140"/>
    </row>
    <row r="1245" spans="1:12" x14ac:dyDescent="0.35">
      <c r="A1245" s="1019"/>
      <c r="B1245" s="1019"/>
      <c r="C1245" s="1019"/>
      <c r="D1245" s="1019"/>
      <c r="E1245" s="1019"/>
      <c r="F1245" s="1019"/>
      <c r="G1245" s="1019"/>
      <c r="H1245" s="1019"/>
      <c r="I1245" s="1019"/>
      <c r="J1245" s="1019"/>
      <c r="K1245" s="1019"/>
      <c r="L1245" s="1140"/>
    </row>
    <row r="1246" spans="1:12" x14ac:dyDescent="0.35">
      <c r="A1246" s="1019"/>
      <c r="B1246" s="1019"/>
      <c r="C1246" s="1019"/>
      <c r="D1246" s="1019"/>
      <c r="E1246" s="1019"/>
      <c r="F1246" s="1019"/>
      <c r="G1246" s="1019"/>
      <c r="H1246" s="1019"/>
      <c r="I1246" s="1019"/>
      <c r="J1246" s="1019"/>
      <c r="K1246" s="1019"/>
      <c r="L1246" s="1140"/>
    </row>
    <row r="1247" spans="1:12" x14ac:dyDescent="0.35">
      <c r="A1247" s="1019"/>
      <c r="B1247" s="1019"/>
      <c r="C1247" s="1019"/>
      <c r="D1247" s="1019"/>
      <c r="E1247" s="1019"/>
      <c r="F1247" s="1019"/>
      <c r="G1247" s="1019"/>
      <c r="H1247" s="1019"/>
      <c r="I1247" s="1019"/>
      <c r="J1247" s="1019"/>
      <c r="K1247" s="1019"/>
      <c r="L1247" s="1140"/>
    </row>
    <row r="1248" spans="1:12" x14ac:dyDescent="0.35">
      <c r="A1248" s="1019"/>
      <c r="B1248" s="1019"/>
      <c r="C1248" s="1019"/>
      <c r="D1248" s="1019"/>
      <c r="E1248" s="1019"/>
      <c r="F1248" s="1019"/>
      <c r="G1248" s="1019"/>
      <c r="H1248" s="1019"/>
      <c r="I1248" s="1019"/>
      <c r="J1248" s="1019"/>
      <c r="K1248" s="1019"/>
      <c r="L1248" s="1140"/>
    </row>
    <row r="1249" spans="1:12" x14ac:dyDescent="0.35">
      <c r="A1249" s="1019"/>
      <c r="B1249" s="1019"/>
      <c r="C1249" s="1019"/>
      <c r="D1249" s="1019"/>
      <c r="E1249" s="1019"/>
      <c r="F1249" s="1019"/>
      <c r="G1249" s="1019"/>
      <c r="H1249" s="1019"/>
      <c r="I1249" s="1019"/>
      <c r="J1249" s="1019"/>
      <c r="K1249" s="1019"/>
      <c r="L1249" s="1140"/>
    </row>
    <row r="1250" spans="1:12" x14ac:dyDescent="0.35">
      <c r="A1250" s="1019"/>
      <c r="B1250" s="1019"/>
      <c r="C1250" s="1019"/>
      <c r="D1250" s="1019"/>
      <c r="E1250" s="1019"/>
      <c r="F1250" s="1019"/>
      <c r="G1250" s="1019"/>
      <c r="H1250" s="1019"/>
      <c r="I1250" s="1019"/>
      <c r="J1250" s="1019"/>
      <c r="K1250" s="1019"/>
      <c r="L1250" s="1140"/>
    </row>
    <row r="1251" spans="1:12" x14ac:dyDescent="0.35">
      <c r="A1251" s="1019"/>
      <c r="B1251" s="1019"/>
      <c r="C1251" s="1019"/>
      <c r="D1251" s="1019"/>
      <c r="E1251" s="1019"/>
      <c r="F1251" s="1019"/>
      <c r="G1251" s="1019"/>
      <c r="H1251" s="1019"/>
      <c r="I1251" s="1019"/>
      <c r="J1251" s="1019"/>
      <c r="K1251" s="1019"/>
      <c r="L1251" s="1140"/>
    </row>
    <row r="1252" spans="1:12" x14ac:dyDescent="0.35">
      <c r="A1252" s="1019"/>
      <c r="B1252" s="1019"/>
      <c r="C1252" s="1019"/>
      <c r="D1252" s="1019"/>
      <c r="E1252" s="1019"/>
      <c r="F1252" s="1019"/>
      <c r="G1252" s="1019"/>
      <c r="H1252" s="1019"/>
      <c r="I1252" s="1019"/>
      <c r="J1252" s="1019"/>
      <c r="K1252" s="1019"/>
      <c r="L1252" s="1140"/>
    </row>
    <row r="1253" spans="1:12" x14ac:dyDescent="0.35">
      <c r="A1253" s="1019"/>
      <c r="B1253" s="1019"/>
      <c r="C1253" s="1019"/>
      <c r="D1253" s="1019"/>
      <c r="E1253" s="1019"/>
      <c r="F1253" s="1019"/>
      <c r="G1253" s="1019"/>
      <c r="H1253" s="1019"/>
      <c r="I1253" s="1019"/>
      <c r="J1253" s="1019"/>
      <c r="K1253" s="1019"/>
      <c r="L1253" s="1140"/>
    </row>
    <row r="1254" spans="1:12" x14ac:dyDescent="0.35">
      <c r="A1254" s="1019"/>
      <c r="B1254" s="1019"/>
      <c r="C1254" s="1019"/>
      <c r="D1254" s="1019"/>
      <c r="E1254" s="1019"/>
      <c r="F1254" s="1019"/>
      <c r="G1254" s="1019"/>
      <c r="H1254" s="1019"/>
      <c r="I1254" s="1019"/>
      <c r="J1254" s="1019"/>
      <c r="K1254" s="1019"/>
      <c r="L1254" s="1140"/>
    </row>
    <row r="1255" spans="1:12" x14ac:dyDescent="0.35">
      <c r="A1255" s="1019"/>
      <c r="B1255" s="1019"/>
      <c r="C1255" s="1019"/>
      <c r="D1255" s="1019"/>
      <c r="E1255" s="1019"/>
      <c r="F1255" s="1019"/>
      <c r="G1255" s="1019"/>
      <c r="H1255" s="1019"/>
      <c r="I1255" s="1019"/>
      <c r="J1255" s="1019"/>
      <c r="K1255" s="1019"/>
      <c r="L1255" s="1140"/>
    </row>
    <row r="1256" spans="1:12" x14ac:dyDescent="0.35">
      <c r="A1256" s="1019"/>
      <c r="B1256" s="1019"/>
      <c r="C1256" s="1019"/>
      <c r="D1256" s="1019"/>
      <c r="E1256" s="1019"/>
      <c r="F1256" s="1019"/>
      <c r="G1256" s="1019"/>
      <c r="H1256" s="1019"/>
      <c r="I1256" s="1019"/>
      <c r="J1256" s="1019"/>
      <c r="K1256" s="1019"/>
      <c r="L1256" s="1140"/>
    </row>
    <row r="1257" spans="1:12" x14ac:dyDescent="0.35">
      <c r="A1257" s="1019"/>
      <c r="B1257" s="1019"/>
      <c r="C1257" s="1019"/>
      <c r="D1257" s="1019"/>
      <c r="E1257" s="1019"/>
      <c r="F1257" s="1019"/>
      <c r="G1257" s="1019"/>
      <c r="H1257" s="1019"/>
      <c r="I1257" s="1019"/>
      <c r="J1257" s="1019"/>
      <c r="K1257" s="1019"/>
      <c r="L1257" s="1140"/>
    </row>
    <row r="1258" spans="1:12" x14ac:dyDescent="0.35">
      <c r="A1258" s="1019"/>
      <c r="B1258" s="1019"/>
      <c r="C1258" s="1019"/>
      <c r="D1258" s="1019"/>
      <c r="E1258" s="1019"/>
      <c r="F1258" s="1019"/>
      <c r="G1258" s="1019"/>
      <c r="H1258" s="1019"/>
      <c r="I1258" s="1019"/>
      <c r="J1258" s="1019"/>
      <c r="K1258" s="1019"/>
      <c r="L1258" s="1140"/>
    </row>
    <row r="1259" spans="1:12" x14ac:dyDescent="0.35">
      <c r="A1259" s="1019"/>
      <c r="B1259" s="1019"/>
      <c r="C1259" s="1019"/>
      <c r="D1259" s="1019"/>
      <c r="E1259" s="1019"/>
      <c r="F1259" s="1019"/>
      <c r="G1259" s="1019"/>
      <c r="H1259" s="1019"/>
      <c r="I1259" s="1019"/>
      <c r="J1259" s="1019"/>
      <c r="K1259" s="1019"/>
      <c r="L1259" s="1140"/>
    </row>
    <row r="1260" spans="1:12" x14ac:dyDescent="0.35">
      <c r="A1260" s="1019"/>
      <c r="B1260" s="1019"/>
      <c r="C1260" s="1019"/>
      <c r="D1260" s="1019"/>
      <c r="E1260" s="1019"/>
      <c r="F1260" s="1019"/>
      <c r="G1260" s="1019"/>
      <c r="H1260" s="1019"/>
      <c r="I1260" s="1019"/>
      <c r="J1260" s="1019"/>
      <c r="K1260" s="1019"/>
      <c r="L1260" s="1140"/>
    </row>
    <row r="1261" spans="1:12" x14ac:dyDescent="0.35">
      <c r="A1261" s="1019"/>
      <c r="B1261" s="1019"/>
      <c r="C1261" s="1019"/>
      <c r="D1261" s="1019"/>
      <c r="E1261" s="1019"/>
      <c r="F1261" s="1019"/>
      <c r="G1261" s="1019"/>
      <c r="H1261" s="1019"/>
      <c r="I1261" s="1019"/>
      <c r="J1261" s="1019"/>
      <c r="K1261" s="1019"/>
      <c r="L1261" s="1140"/>
    </row>
    <row r="1262" spans="1:12" x14ac:dyDescent="0.35">
      <c r="A1262" s="1019"/>
      <c r="B1262" s="1019"/>
      <c r="C1262" s="1019"/>
      <c r="D1262" s="1019"/>
      <c r="E1262" s="1019"/>
      <c r="F1262" s="1019"/>
      <c r="G1262" s="1019"/>
      <c r="H1262" s="1019"/>
      <c r="I1262" s="1019"/>
      <c r="J1262" s="1019"/>
      <c r="K1262" s="1019"/>
      <c r="L1262" s="1140"/>
    </row>
    <row r="1263" spans="1:12" x14ac:dyDescent="0.35">
      <c r="A1263" s="1019"/>
      <c r="B1263" s="1019"/>
      <c r="C1263" s="1019"/>
      <c r="D1263" s="1019"/>
      <c r="E1263" s="1019"/>
      <c r="F1263" s="1019"/>
      <c r="G1263" s="1019"/>
      <c r="H1263" s="1019"/>
      <c r="I1263" s="1019"/>
      <c r="J1263" s="1019"/>
      <c r="K1263" s="1019"/>
      <c r="L1263" s="1140"/>
    </row>
    <row r="1264" spans="1:12" x14ac:dyDescent="0.35">
      <c r="A1264" s="1019"/>
      <c r="B1264" s="1019"/>
      <c r="C1264" s="1019"/>
      <c r="D1264" s="1019"/>
      <c r="E1264" s="1019"/>
      <c r="F1264" s="1019"/>
      <c r="G1264" s="1019"/>
      <c r="H1264" s="1019"/>
      <c r="I1264" s="1019"/>
      <c r="J1264" s="1019"/>
      <c r="K1264" s="1019"/>
      <c r="L1264" s="1140"/>
    </row>
    <row r="1265" spans="1:12" x14ac:dyDescent="0.35">
      <c r="A1265" s="1019"/>
      <c r="B1265" s="1019"/>
      <c r="C1265" s="1019"/>
      <c r="D1265" s="1019"/>
      <c r="E1265" s="1019"/>
      <c r="F1265" s="1019"/>
      <c r="G1265" s="1019"/>
      <c r="H1265" s="1019"/>
      <c r="I1265" s="1019"/>
      <c r="J1265" s="1019"/>
      <c r="K1265" s="1019"/>
      <c r="L1265" s="1140"/>
    </row>
    <row r="1266" spans="1:12" x14ac:dyDescent="0.35">
      <c r="A1266" s="1019"/>
      <c r="B1266" s="1019"/>
      <c r="C1266" s="1019"/>
      <c r="D1266" s="1019"/>
      <c r="E1266" s="1019"/>
      <c r="F1266" s="1019"/>
      <c r="G1266" s="1019"/>
      <c r="H1266" s="1019"/>
      <c r="I1266" s="1019"/>
      <c r="J1266" s="1019"/>
      <c r="K1266" s="1019"/>
      <c r="L1266" s="1140"/>
    </row>
    <row r="1267" spans="1:12" x14ac:dyDescent="0.35">
      <c r="A1267" s="1019"/>
      <c r="B1267" s="1019"/>
      <c r="C1267" s="1019"/>
      <c r="D1267" s="1019"/>
      <c r="E1267" s="1019"/>
      <c r="F1267" s="1019"/>
      <c r="G1267" s="1019"/>
      <c r="H1267" s="1019"/>
      <c r="I1267" s="1019"/>
      <c r="J1267" s="1019"/>
      <c r="K1267" s="1019"/>
      <c r="L1267" s="1140"/>
    </row>
    <row r="1268" spans="1:12" x14ac:dyDescent="0.35">
      <c r="A1268" s="1019"/>
      <c r="B1268" s="1019"/>
      <c r="C1268" s="1019"/>
      <c r="D1268" s="1019"/>
      <c r="E1268" s="1019"/>
      <c r="F1268" s="1019"/>
      <c r="G1268" s="1019"/>
      <c r="H1268" s="1019"/>
      <c r="I1268" s="1019"/>
      <c r="J1268" s="1019"/>
      <c r="K1268" s="1019"/>
      <c r="L1268" s="1140"/>
    </row>
    <row r="1269" spans="1:12" x14ac:dyDescent="0.35">
      <c r="A1269" s="1019"/>
      <c r="B1269" s="1019"/>
      <c r="C1269" s="1019"/>
      <c r="D1269" s="1019"/>
      <c r="E1269" s="1019"/>
      <c r="F1269" s="1019"/>
      <c r="G1269" s="1019"/>
      <c r="H1269" s="1019"/>
      <c r="I1269" s="1019"/>
      <c r="J1269" s="1019"/>
      <c r="K1269" s="1019"/>
      <c r="L1269" s="1140"/>
    </row>
    <row r="1270" spans="1:12" x14ac:dyDescent="0.35">
      <c r="A1270" s="1019"/>
      <c r="B1270" s="1019"/>
      <c r="C1270" s="1019"/>
      <c r="D1270" s="1019"/>
      <c r="E1270" s="1019"/>
      <c r="F1270" s="1019"/>
      <c r="G1270" s="1019"/>
      <c r="H1270" s="1019"/>
      <c r="I1270" s="1019"/>
      <c r="J1270" s="1019"/>
      <c r="K1270" s="1019"/>
      <c r="L1270" s="1140"/>
    </row>
    <row r="1271" spans="1:12" x14ac:dyDescent="0.35">
      <c r="A1271" s="1019"/>
      <c r="B1271" s="1019"/>
      <c r="C1271" s="1019"/>
      <c r="D1271" s="1019"/>
      <c r="E1271" s="1019"/>
      <c r="F1271" s="1019"/>
      <c r="G1271" s="1019"/>
      <c r="H1271" s="1019"/>
      <c r="I1271" s="1019"/>
      <c r="J1271" s="1019"/>
      <c r="K1271" s="1019"/>
      <c r="L1271" s="1140"/>
    </row>
    <row r="1272" spans="1:12" x14ac:dyDescent="0.35">
      <c r="A1272" s="1019"/>
      <c r="B1272" s="1019"/>
      <c r="C1272" s="1019"/>
      <c r="D1272" s="1019"/>
      <c r="E1272" s="1019"/>
      <c r="F1272" s="1019"/>
      <c r="G1272" s="1019"/>
      <c r="H1272" s="1019"/>
      <c r="I1272" s="1019"/>
      <c r="J1272" s="1019"/>
      <c r="K1272" s="1019"/>
      <c r="L1272" s="1140"/>
    </row>
    <row r="1273" spans="1:12" x14ac:dyDescent="0.35">
      <c r="A1273" s="1019"/>
      <c r="B1273" s="1019"/>
      <c r="C1273" s="1019"/>
      <c r="D1273" s="1019"/>
      <c r="E1273" s="1019"/>
      <c r="F1273" s="1019"/>
      <c r="G1273" s="1019"/>
      <c r="H1273" s="1019"/>
      <c r="I1273" s="1019"/>
      <c r="J1273" s="1019"/>
      <c r="K1273" s="1019"/>
      <c r="L1273" s="1140"/>
    </row>
    <row r="1274" spans="1:12" x14ac:dyDescent="0.35">
      <c r="A1274" s="1019"/>
      <c r="B1274" s="1019"/>
      <c r="C1274" s="1019"/>
      <c r="D1274" s="1019"/>
      <c r="E1274" s="1019"/>
      <c r="F1274" s="1019"/>
      <c r="G1274" s="1019"/>
      <c r="H1274" s="1019"/>
      <c r="I1274" s="1019"/>
      <c r="J1274" s="1019"/>
      <c r="K1274" s="1019"/>
      <c r="L1274" s="1140"/>
    </row>
    <row r="1275" spans="1:12" x14ac:dyDescent="0.35">
      <c r="A1275" s="1019"/>
      <c r="B1275" s="1019"/>
      <c r="C1275" s="1019"/>
      <c r="D1275" s="1019"/>
      <c r="E1275" s="1019"/>
      <c r="F1275" s="1019"/>
      <c r="G1275" s="1019"/>
      <c r="H1275" s="1019"/>
      <c r="I1275" s="1019"/>
      <c r="J1275" s="1019"/>
      <c r="K1275" s="1019"/>
      <c r="L1275" s="1140"/>
    </row>
    <row r="1276" spans="1:12" x14ac:dyDescent="0.35">
      <c r="A1276" s="1019"/>
      <c r="B1276" s="1019"/>
      <c r="C1276" s="1019"/>
      <c r="D1276" s="1019"/>
      <c r="E1276" s="1019"/>
      <c r="F1276" s="1019"/>
      <c r="G1276" s="1019"/>
      <c r="H1276" s="1019"/>
      <c r="I1276" s="1019"/>
      <c r="J1276" s="1019"/>
      <c r="K1276" s="1019"/>
      <c r="L1276" s="1140"/>
    </row>
    <row r="1277" spans="1:12" x14ac:dyDescent="0.35">
      <c r="A1277" s="1019"/>
      <c r="B1277" s="1019"/>
      <c r="C1277" s="1019"/>
      <c r="D1277" s="1019"/>
      <c r="E1277" s="1019"/>
      <c r="F1277" s="1019"/>
      <c r="G1277" s="1019"/>
      <c r="H1277" s="1019"/>
      <c r="I1277" s="1019"/>
      <c r="J1277" s="1019"/>
      <c r="K1277" s="1019"/>
      <c r="L1277" s="1140"/>
    </row>
    <row r="1278" spans="1:12" x14ac:dyDescent="0.35">
      <c r="A1278" s="1019"/>
      <c r="B1278" s="1019"/>
      <c r="C1278" s="1019"/>
      <c r="D1278" s="1019"/>
      <c r="E1278" s="1019"/>
      <c r="F1278" s="1019"/>
      <c r="G1278" s="1019"/>
      <c r="H1278" s="1019"/>
      <c r="I1278" s="1019"/>
      <c r="J1278" s="1019"/>
      <c r="K1278" s="1019"/>
      <c r="L1278" s="1140"/>
    </row>
    <row r="1279" spans="1:12" x14ac:dyDescent="0.35">
      <c r="A1279" s="1019"/>
      <c r="B1279" s="1019"/>
      <c r="C1279" s="1019"/>
      <c r="D1279" s="1019"/>
      <c r="E1279" s="1019"/>
      <c r="F1279" s="1019"/>
      <c r="G1279" s="1019"/>
      <c r="H1279" s="1019"/>
      <c r="I1279" s="1019"/>
      <c r="J1279" s="1019"/>
      <c r="K1279" s="1019"/>
      <c r="L1279" s="1140"/>
    </row>
    <row r="1280" spans="1:12" x14ac:dyDescent="0.35">
      <c r="A1280" s="1019"/>
      <c r="B1280" s="1019"/>
      <c r="C1280" s="1019"/>
      <c r="D1280" s="1019"/>
      <c r="E1280" s="1019"/>
      <c r="F1280" s="1019"/>
      <c r="G1280" s="1019"/>
      <c r="H1280" s="1019"/>
      <c r="I1280" s="1019"/>
      <c r="J1280" s="1019"/>
      <c r="K1280" s="1019"/>
      <c r="L1280" s="1140"/>
    </row>
    <row r="1281" spans="1:12" x14ac:dyDescent="0.35">
      <c r="A1281" s="1019"/>
      <c r="B1281" s="1019"/>
      <c r="C1281" s="1019"/>
      <c r="D1281" s="1019"/>
      <c r="E1281" s="1019"/>
      <c r="F1281" s="1019"/>
      <c r="G1281" s="1019"/>
      <c r="H1281" s="1019"/>
      <c r="I1281" s="1019"/>
      <c r="J1281" s="1019"/>
      <c r="K1281" s="1019"/>
      <c r="L1281" s="1140"/>
    </row>
    <row r="1282" spans="1:12" x14ac:dyDescent="0.35">
      <c r="A1282" s="1019"/>
      <c r="B1282" s="1019"/>
      <c r="C1282" s="1019"/>
      <c r="D1282" s="1019"/>
      <c r="E1282" s="1019"/>
      <c r="F1282" s="1019"/>
      <c r="G1282" s="1019"/>
      <c r="H1282" s="1019"/>
      <c r="I1282" s="1019"/>
      <c r="J1282" s="1019"/>
      <c r="K1282" s="1019"/>
      <c r="L1282" s="1140"/>
    </row>
    <row r="1283" spans="1:12" x14ac:dyDescent="0.35">
      <c r="A1283" s="1019"/>
      <c r="B1283" s="1019"/>
      <c r="C1283" s="1019"/>
      <c r="D1283" s="1019"/>
      <c r="E1283" s="1019"/>
      <c r="F1283" s="1019"/>
      <c r="G1283" s="1019"/>
      <c r="H1283" s="1019"/>
      <c r="I1283" s="1019"/>
      <c r="J1283" s="1019"/>
      <c r="K1283" s="1019"/>
      <c r="L1283" s="1140"/>
    </row>
    <row r="1284" spans="1:12" x14ac:dyDescent="0.35">
      <c r="A1284" s="1019"/>
      <c r="B1284" s="1019"/>
      <c r="C1284" s="1019"/>
      <c r="D1284" s="1019"/>
      <c r="E1284" s="1019"/>
      <c r="F1284" s="1019"/>
      <c r="G1284" s="1019"/>
      <c r="H1284" s="1019"/>
      <c r="I1284" s="1019"/>
      <c r="J1284" s="1019"/>
      <c r="K1284" s="1019"/>
      <c r="L1284" s="1140"/>
    </row>
    <row r="1285" spans="1:12" x14ac:dyDescent="0.35">
      <c r="A1285" s="1019"/>
      <c r="B1285" s="1019"/>
      <c r="C1285" s="1019"/>
      <c r="D1285" s="1019"/>
      <c r="E1285" s="1019"/>
      <c r="F1285" s="1019"/>
      <c r="G1285" s="1019"/>
      <c r="H1285" s="1019"/>
      <c r="I1285" s="1019"/>
      <c r="J1285" s="1019"/>
      <c r="K1285" s="1019"/>
      <c r="L1285" s="1140"/>
    </row>
    <row r="1286" spans="1:12" x14ac:dyDescent="0.35">
      <c r="A1286" s="1019"/>
      <c r="B1286" s="1019"/>
      <c r="C1286" s="1019"/>
      <c r="D1286" s="1019"/>
      <c r="E1286" s="1019"/>
      <c r="F1286" s="1019"/>
      <c r="G1286" s="1019"/>
      <c r="H1286" s="1019"/>
      <c r="I1286" s="1019"/>
      <c r="J1286" s="1019"/>
      <c r="K1286" s="1019"/>
      <c r="L1286" s="1140"/>
    </row>
    <row r="1287" spans="1:12" x14ac:dyDescent="0.35">
      <c r="A1287" s="1019"/>
      <c r="B1287" s="1019"/>
      <c r="C1287" s="1019"/>
      <c r="D1287" s="1019"/>
      <c r="E1287" s="1019"/>
      <c r="F1287" s="1019"/>
      <c r="G1287" s="1019"/>
      <c r="H1287" s="1019"/>
      <c r="I1287" s="1019"/>
      <c r="J1287" s="1019"/>
      <c r="K1287" s="1019"/>
      <c r="L1287" s="1140"/>
    </row>
    <row r="1288" spans="1:12" x14ac:dyDescent="0.35">
      <c r="A1288" s="1019"/>
      <c r="B1288" s="1019"/>
      <c r="C1288" s="1019"/>
      <c r="D1288" s="1019"/>
      <c r="E1288" s="1019"/>
      <c r="F1288" s="1019"/>
      <c r="G1288" s="1019"/>
      <c r="H1288" s="1019"/>
      <c r="I1288" s="1019"/>
      <c r="J1288" s="1019"/>
      <c r="K1288" s="1019"/>
      <c r="L1288" s="1140"/>
    </row>
    <row r="1289" spans="1:12" x14ac:dyDescent="0.35">
      <c r="A1289" s="1019"/>
      <c r="B1289" s="1019"/>
      <c r="C1289" s="1019"/>
      <c r="D1289" s="1019"/>
      <c r="E1289" s="1019"/>
      <c r="F1289" s="1019"/>
      <c r="G1289" s="1019"/>
      <c r="H1289" s="1019"/>
      <c r="I1289" s="1019"/>
      <c r="J1289" s="1019"/>
      <c r="K1289" s="1019"/>
      <c r="L1289" s="1140"/>
    </row>
    <row r="1290" spans="1:12" x14ac:dyDescent="0.35">
      <c r="A1290" s="1019"/>
      <c r="B1290" s="1019"/>
      <c r="C1290" s="1019"/>
      <c r="D1290" s="1019"/>
      <c r="E1290" s="1019"/>
      <c r="F1290" s="1019"/>
      <c r="G1290" s="1019"/>
      <c r="H1290" s="1019"/>
      <c r="I1290" s="1019"/>
      <c r="J1290" s="1019"/>
      <c r="K1290" s="1019"/>
      <c r="L1290" s="1140"/>
    </row>
    <row r="1291" spans="1:12" x14ac:dyDescent="0.35">
      <c r="A1291" s="1019"/>
      <c r="B1291" s="1019"/>
      <c r="C1291" s="1019"/>
      <c r="D1291" s="1019"/>
      <c r="E1291" s="1019"/>
      <c r="F1291" s="1019"/>
      <c r="G1291" s="1019"/>
      <c r="H1291" s="1019"/>
      <c r="I1291" s="1019"/>
      <c r="J1291" s="1019"/>
      <c r="K1291" s="1019"/>
      <c r="L1291" s="1140"/>
    </row>
    <row r="1292" spans="1:12" x14ac:dyDescent="0.35">
      <c r="A1292" s="1019"/>
      <c r="B1292" s="1019"/>
      <c r="C1292" s="1019"/>
      <c r="D1292" s="1019"/>
      <c r="E1292" s="1019"/>
      <c r="F1292" s="1019"/>
      <c r="G1292" s="1019"/>
      <c r="H1292" s="1019"/>
      <c r="I1292" s="1019"/>
      <c r="J1292" s="1019"/>
      <c r="K1292" s="1019"/>
      <c r="L1292" s="1140"/>
    </row>
    <row r="1293" spans="1:12" x14ac:dyDescent="0.35">
      <c r="A1293" s="1019"/>
      <c r="B1293" s="1019"/>
      <c r="C1293" s="1019"/>
      <c r="D1293" s="1019"/>
      <c r="E1293" s="1019"/>
      <c r="F1293" s="1019"/>
      <c r="G1293" s="1019"/>
      <c r="H1293" s="1019"/>
      <c r="I1293" s="1019"/>
      <c r="J1293" s="1019"/>
      <c r="K1293" s="1019"/>
      <c r="L1293" s="1140"/>
    </row>
    <row r="1294" spans="1:12" x14ac:dyDescent="0.35">
      <c r="A1294" s="1019"/>
      <c r="B1294" s="1019"/>
      <c r="C1294" s="1019"/>
      <c r="D1294" s="1019"/>
      <c r="E1294" s="1019"/>
      <c r="F1294" s="1019"/>
      <c r="G1294" s="1019"/>
      <c r="H1294" s="1019"/>
      <c r="I1294" s="1019"/>
      <c r="J1294" s="1019"/>
      <c r="K1294" s="1019"/>
      <c r="L1294" s="1140"/>
    </row>
    <row r="1295" spans="1:12" x14ac:dyDescent="0.35">
      <c r="A1295" s="1019"/>
      <c r="B1295" s="1019"/>
      <c r="C1295" s="1019"/>
      <c r="D1295" s="1019"/>
      <c r="E1295" s="1019"/>
      <c r="F1295" s="1019"/>
      <c r="G1295" s="1019"/>
      <c r="H1295" s="1019"/>
      <c r="I1295" s="1019"/>
      <c r="J1295" s="1019"/>
      <c r="K1295" s="1019"/>
      <c r="L1295" s="1140"/>
    </row>
    <row r="1296" spans="1:12" x14ac:dyDescent="0.35">
      <c r="A1296" s="1019"/>
      <c r="B1296" s="1019"/>
      <c r="C1296" s="1019"/>
      <c r="D1296" s="1019"/>
      <c r="E1296" s="1019"/>
      <c r="F1296" s="1019"/>
      <c r="G1296" s="1019"/>
      <c r="H1296" s="1019"/>
      <c r="I1296" s="1019"/>
      <c r="J1296" s="1019"/>
      <c r="K1296" s="1019"/>
      <c r="L1296" s="1140"/>
    </row>
    <row r="1297" spans="1:12" x14ac:dyDescent="0.35">
      <c r="A1297" s="1019"/>
      <c r="B1297" s="1019"/>
      <c r="C1297" s="1019"/>
      <c r="D1297" s="1019"/>
      <c r="E1297" s="1019"/>
      <c r="F1297" s="1019"/>
      <c r="G1297" s="1019"/>
      <c r="H1297" s="1019"/>
      <c r="I1297" s="1019"/>
      <c r="J1297" s="1019"/>
      <c r="K1297" s="1019"/>
      <c r="L1297" s="1140"/>
    </row>
    <row r="1298" spans="1:12" x14ac:dyDescent="0.35">
      <c r="A1298" s="1019"/>
      <c r="B1298" s="1019"/>
      <c r="C1298" s="1019"/>
      <c r="D1298" s="1019"/>
      <c r="E1298" s="1019"/>
      <c r="F1298" s="1019"/>
      <c r="G1298" s="1019"/>
      <c r="H1298" s="1019"/>
      <c r="I1298" s="1019"/>
      <c r="J1298" s="1019"/>
      <c r="K1298" s="1019"/>
      <c r="L1298" s="1140"/>
    </row>
    <row r="1299" spans="1:12" x14ac:dyDescent="0.35">
      <c r="A1299" s="1019"/>
      <c r="B1299" s="1019"/>
      <c r="C1299" s="1019"/>
      <c r="D1299" s="1019"/>
      <c r="E1299" s="1019"/>
      <c r="F1299" s="1019"/>
      <c r="G1299" s="1019"/>
      <c r="H1299" s="1019"/>
      <c r="I1299" s="1019"/>
      <c r="J1299" s="1019"/>
      <c r="K1299" s="1019"/>
      <c r="L1299" s="1140"/>
    </row>
    <row r="1300" spans="1:12" x14ac:dyDescent="0.35">
      <c r="A1300" s="1019"/>
      <c r="B1300" s="1019"/>
      <c r="C1300" s="1019"/>
      <c r="D1300" s="1019"/>
      <c r="E1300" s="1019"/>
      <c r="F1300" s="1019"/>
      <c r="G1300" s="1019"/>
      <c r="H1300" s="1019"/>
      <c r="I1300" s="1019"/>
      <c r="J1300" s="1019"/>
      <c r="K1300" s="1019"/>
      <c r="L1300" s="1140"/>
    </row>
    <row r="1301" spans="1:12" x14ac:dyDescent="0.35">
      <c r="A1301" s="1019"/>
      <c r="B1301" s="1019"/>
      <c r="C1301" s="1019"/>
      <c r="D1301" s="1019"/>
      <c r="E1301" s="1019"/>
      <c r="F1301" s="1019"/>
      <c r="G1301" s="1019"/>
      <c r="H1301" s="1019"/>
      <c r="I1301" s="1019"/>
      <c r="J1301" s="1019"/>
      <c r="K1301" s="1019"/>
      <c r="L1301" s="1140"/>
    </row>
    <row r="1302" spans="1:12" x14ac:dyDescent="0.35">
      <c r="A1302" s="1019"/>
      <c r="B1302" s="1019"/>
      <c r="C1302" s="1019"/>
      <c r="D1302" s="1019"/>
      <c r="E1302" s="1019"/>
      <c r="F1302" s="1019"/>
      <c r="G1302" s="1019"/>
      <c r="H1302" s="1019"/>
      <c r="I1302" s="1019"/>
      <c r="J1302" s="1019"/>
      <c r="K1302" s="1019"/>
      <c r="L1302" s="1140"/>
    </row>
    <row r="1303" spans="1:12" x14ac:dyDescent="0.35">
      <c r="A1303" s="1019"/>
      <c r="B1303" s="1019"/>
      <c r="C1303" s="1019"/>
      <c r="D1303" s="1019"/>
      <c r="E1303" s="1019"/>
      <c r="F1303" s="1019"/>
      <c r="G1303" s="1019"/>
      <c r="H1303" s="1019"/>
      <c r="I1303" s="1019"/>
      <c r="J1303" s="1019"/>
      <c r="K1303" s="1019"/>
      <c r="L1303" s="1140"/>
    </row>
    <row r="1304" spans="1:12" x14ac:dyDescent="0.35">
      <c r="A1304" s="1019"/>
      <c r="B1304" s="1019"/>
      <c r="C1304" s="1019"/>
      <c r="D1304" s="1019"/>
      <c r="E1304" s="1019"/>
      <c r="F1304" s="1019"/>
      <c r="G1304" s="1019"/>
      <c r="H1304" s="1019"/>
      <c r="I1304" s="1019"/>
      <c r="J1304" s="1019"/>
      <c r="K1304" s="1019"/>
      <c r="L1304" s="1140"/>
    </row>
    <row r="1305" spans="1:12" x14ac:dyDescent="0.35">
      <c r="A1305" s="1019"/>
      <c r="B1305" s="1019"/>
      <c r="C1305" s="1019"/>
      <c r="D1305" s="1019"/>
      <c r="E1305" s="1019"/>
      <c r="F1305" s="1019"/>
      <c r="G1305" s="1019"/>
      <c r="H1305" s="1019"/>
      <c r="I1305" s="1019"/>
      <c r="J1305" s="1019"/>
      <c r="K1305" s="1019"/>
      <c r="L1305" s="1140"/>
    </row>
    <row r="1306" spans="1:12" x14ac:dyDescent="0.35">
      <c r="A1306" s="1019"/>
      <c r="B1306" s="1019"/>
      <c r="C1306" s="1019"/>
      <c r="D1306" s="1019"/>
      <c r="E1306" s="1019"/>
      <c r="F1306" s="1019"/>
      <c r="G1306" s="1019"/>
      <c r="H1306" s="1019"/>
      <c r="I1306" s="1019"/>
      <c r="J1306" s="1019"/>
      <c r="K1306" s="1019"/>
      <c r="L1306" s="1140"/>
    </row>
    <row r="1307" spans="1:12" x14ac:dyDescent="0.35">
      <c r="A1307" s="1019"/>
      <c r="B1307" s="1019"/>
      <c r="C1307" s="1019"/>
      <c r="D1307" s="1019"/>
      <c r="E1307" s="1019"/>
      <c r="F1307" s="1019"/>
      <c r="G1307" s="1019"/>
      <c r="H1307" s="1019"/>
      <c r="I1307" s="1019"/>
      <c r="J1307" s="1019"/>
      <c r="K1307" s="1019"/>
      <c r="L1307" s="1140"/>
    </row>
    <row r="1308" spans="1:12" x14ac:dyDescent="0.35">
      <c r="A1308" s="1019"/>
      <c r="B1308" s="1019"/>
      <c r="C1308" s="1019"/>
      <c r="D1308" s="1019"/>
      <c r="E1308" s="1019"/>
      <c r="F1308" s="1019"/>
      <c r="G1308" s="1019"/>
      <c r="H1308" s="1019"/>
      <c r="I1308" s="1019"/>
      <c r="J1308" s="1019"/>
      <c r="K1308" s="1019"/>
      <c r="L1308" s="1140"/>
    </row>
    <row r="1309" spans="1:12" x14ac:dyDescent="0.35">
      <c r="A1309" s="1019"/>
      <c r="B1309" s="1019"/>
      <c r="C1309" s="1019"/>
      <c r="D1309" s="1019"/>
      <c r="E1309" s="1019"/>
      <c r="F1309" s="1019"/>
      <c r="G1309" s="1019"/>
      <c r="H1309" s="1019"/>
      <c r="I1309" s="1019"/>
      <c r="J1309" s="1019"/>
      <c r="K1309" s="1019"/>
      <c r="L1309" s="1140"/>
    </row>
    <row r="1310" spans="1:12" x14ac:dyDescent="0.35">
      <c r="A1310" s="1019"/>
      <c r="B1310" s="1019"/>
      <c r="C1310" s="1019"/>
      <c r="D1310" s="1019"/>
      <c r="E1310" s="1019"/>
      <c r="F1310" s="1019"/>
      <c r="G1310" s="1019"/>
      <c r="H1310" s="1019"/>
      <c r="I1310" s="1019"/>
      <c r="J1310" s="1019"/>
      <c r="K1310" s="1019"/>
      <c r="L1310" s="1140"/>
    </row>
    <row r="1311" spans="1:12" x14ac:dyDescent="0.35">
      <c r="A1311" s="1019"/>
      <c r="B1311" s="1019"/>
      <c r="C1311" s="1019"/>
      <c r="D1311" s="1019"/>
      <c r="E1311" s="1019"/>
      <c r="F1311" s="1019"/>
      <c r="G1311" s="1019"/>
      <c r="H1311" s="1019"/>
      <c r="I1311" s="1019"/>
      <c r="J1311" s="1019"/>
      <c r="K1311" s="1019"/>
      <c r="L1311" s="1140"/>
    </row>
    <row r="1312" spans="1:12" x14ac:dyDescent="0.35">
      <c r="A1312" s="1019"/>
      <c r="B1312" s="1019"/>
      <c r="C1312" s="1019"/>
      <c r="D1312" s="1019"/>
      <c r="E1312" s="1019"/>
      <c r="F1312" s="1019"/>
      <c r="G1312" s="1019"/>
      <c r="H1312" s="1019"/>
      <c r="I1312" s="1019"/>
      <c r="J1312" s="1019"/>
      <c r="K1312" s="1019"/>
      <c r="L1312" s="1140"/>
    </row>
    <row r="1313" spans="1:12" x14ac:dyDescent="0.35">
      <c r="A1313" s="1019"/>
      <c r="B1313" s="1019"/>
      <c r="C1313" s="1019"/>
      <c r="D1313" s="1019"/>
      <c r="E1313" s="1019"/>
      <c r="F1313" s="1019"/>
      <c r="G1313" s="1019"/>
      <c r="H1313" s="1019"/>
      <c r="I1313" s="1019"/>
      <c r="J1313" s="1019"/>
      <c r="K1313" s="1019"/>
      <c r="L1313" s="1140"/>
    </row>
    <row r="1314" spans="1:12" x14ac:dyDescent="0.35">
      <c r="A1314" s="1019"/>
      <c r="B1314" s="1019"/>
      <c r="C1314" s="1019"/>
      <c r="D1314" s="1019"/>
      <c r="E1314" s="1019"/>
      <c r="F1314" s="1019"/>
      <c r="G1314" s="1019"/>
      <c r="H1314" s="1019"/>
      <c r="I1314" s="1019"/>
      <c r="J1314" s="1019"/>
      <c r="K1314" s="1019"/>
      <c r="L1314" s="1140"/>
    </row>
    <row r="1315" spans="1:12" x14ac:dyDescent="0.35">
      <c r="A1315" s="1019"/>
      <c r="B1315" s="1019"/>
      <c r="C1315" s="1019"/>
      <c r="D1315" s="1019"/>
      <c r="E1315" s="1019"/>
      <c r="F1315" s="1019"/>
      <c r="G1315" s="1019"/>
      <c r="H1315" s="1019"/>
      <c r="I1315" s="1019"/>
      <c r="J1315" s="1019"/>
      <c r="K1315" s="1019"/>
      <c r="L1315" s="1140"/>
    </row>
    <row r="1316" spans="1:12" x14ac:dyDescent="0.35">
      <c r="A1316" s="1019"/>
      <c r="B1316" s="1019"/>
      <c r="C1316" s="1019"/>
      <c r="D1316" s="1019"/>
      <c r="E1316" s="1019"/>
      <c r="F1316" s="1019"/>
      <c r="G1316" s="1019"/>
      <c r="H1316" s="1019"/>
      <c r="I1316" s="1019"/>
      <c r="J1316" s="1019"/>
      <c r="K1316" s="1019"/>
      <c r="L1316" s="1140"/>
    </row>
    <row r="1317" spans="1:12" x14ac:dyDescent="0.35">
      <c r="A1317" s="1019"/>
      <c r="B1317" s="1019"/>
      <c r="C1317" s="1019"/>
      <c r="D1317" s="1019"/>
      <c r="E1317" s="1019"/>
      <c r="F1317" s="1019"/>
      <c r="G1317" s="1019"/>
      <c r="H1317" s="1019"/>
      <c r="I1317" s="1019"/>
      <c r="J1317" s="1019"/>
      <c r="K1317" s="1019"/>
      <c r="L1317" s="1140"/>
    </row>
    <row r="1318" spans="1:12" x14ac:dyDescent="0.35">
      <c r="A1318" s="1019"/>
      <c r="B1318" s="1019"/>
      <c r="C1318" s="1019"/>
      <c r="D1318" s="1019"/>
      <c r="E1318" s="1019"/>
      <c r="F1318" s="1019"/>
      <c r="G1318" s="1019"/>
      <c r="H1318" s="1019"/>
      <c r="I1318" s="1019"/>
      <c r="J1318" s="1019"/>
      <c r="K1318" s="1019"/>
      <c r="L1318" s="1140"/>
    </row>
    <row r="1319" spans="1:12" x14ac:dyDescent="0.35">
      <c r="A1319" s="1019"/>
      <c r="B1319" s="1019"/>
      <c r="C1319" s="1019"/>
      <c r="D1319" s="1019"/>
      <c r="E1319" s="1019"/>
      <c r="F1319" s="1019"/>
      <c r="G1319" s="1019"/>
      <c r="H1319" s="1019"/>
      <c r="I1319" s="1019"/>
      <c r="J1319" s="1019"/>
      <c r="K1319" s="1019"/>
      <c r="L1319" s="1140"/>
    </row>
    <row r="1320" spans="1:12" x14ac:dyDescent="0.35">
      <c r="A1320" s="1019"/>
      <c r="B1320" s="1019"/>
      <c r="C1320" s="1019"/>
      <c r="D1320" s="1019"/>
      <c r="E1320" s="1019"/>
      <c r="F1320" s="1019"/>
      <c r="G1320" s="1019"/>
      <c r="H1320" s="1019"/>
      <c r="I1320" s="1019"/>
      <c r="J1320" s="1019"/>
      <c r="K1320" s="1019"/>
      <c r="L1320" s="1140"/>
    </row>
    <row r="1321" spans="1:12" x14ac:dyDescent="0.35">
      <c r="A1321" s="1019"/>
      <c r="B1321" s="1019"/>
      <c r="C1321" s="1019"/>
      <c r="D1321" s="1019"/>
      <c r="E1321" s="1019"/>
      <c r="F1321" s="1019"/>
      <c r="G1321" s="1019"/>
      <c r="H1321" s="1019"/>
      <c r="I1321" s="1019"/>
      <c r="J1321" s="1019"/>
      <c r="K1321" s="1019"/>
      <c r="L1321" s="1140"/>
    </row>
    <row r="1322" spans="1:12" x14ac:dyDescent="0.35">
      <c r="A1322" s="1019"/>
      <c r="B1322" s="1019"/>
      <c r="C1322" s="1019"/>
      <c r="D1322" s="1019"/>
      <c r="E1322" s="1019"/>
      <c r="F1322" s="1019"/>
      <c r="G1322" s="1019"/>
      <c r="H1322" s="1019"/>
      <c r="I1322" s="1019"/>
      <c r="J1322" s="1019"/>
      <c r="K1322" s="1019"/>
      <c r="L1322" s="1140"/>
    </row>
    <row r="1323" spans="1:12" x14ac:dyDescent="0.35">
      <c r="A1323" s="1019"/>
      <c r="B1323" s="1019"/>
      <c r="C1323" s="1019"/>
      <c r="D1323" s="1019"/>
      <c r="E1323" s="1019"/>
      <c r="F1323" s="1019"/>
      <c r="G1323" s="1019"/>
      <c r="H1323" s="1019"/>
      <c r="I1323" s="1019"/>
      <c r="J1323" s="1019"/>
      <c r="K1323" s="1019"/>
      <c r="L1323" s="1140"/>
    </row>
    <row r="1324" spans="1:12" x14ac:dyDescent="0.35">
      <c r="A1324" s="1019"/>
      <c r="B1324" s="1019"/>
      <c r="C1324" s="1019"/>
      <c r="D1324" s="1019"/>
      <c r="E1324" s="1019"/>
      <c r="F1324" s="1019"/>
      <c r="G1324" s="1019"/>
      <c r="H1324" s="1019"/>
      <c r="I1324" s="1019"/>
      <c r="J1324" s="1019"/>
      <c r="K1324" s="1019"/>
      <c r="L1324" s="1140"/>
    </row>
    <row r="1325" spans="1:12" x14ac:dyDescent="0.35">
      <c r="A1325" s="1019"/>
      <c r="B1325" s="1019"/>
      <c r="C1325" s="1019"/>
      <c r="D1325" s="1019"/>
      <c r="E1325" s="1019"/>
      <c r="F1325" s="1019"/>
      <c r="G1325" s="1019"/>
      <c r="H1325" s="1019"/>
      <c r="I1325" s="1019"/>
      <c r="J1325" s="1019"/>
      <c r="K1325" s="1019"/>
      <c r="L1325" s="1140"/>
    </row>
    <row r="1326" spans="1:12" x14ac:dyDescent="0.35">
      <c r="A1326" s="1019"/>
      <c r="B1326" s="1019"/>
      <c r="C1326" s="1019"/>
      <c r="D1326" s="1019"/>
      <c r="E1326" s="1019"/>
      <c r="F1326" s="1019"/>
      <c r="G1326" s="1019"/>
      <c r="H1326" s="1019"/>
      <c r="I1326" s="1019"/>
      <c r="J1326" s="1019"/>
      <c r="K1326" s="1019"/>
      <c r="L1326" s="1140"/>
    </row>
    <row r="1327" spans="1:12" x14ac:dyDescent="0.35">
      <c r="A1327" s="1019"/>
      <c r="B1327" s="1019"/>
      <c r="C1327" s="1019"/>
      <c r="D1327" s="1019"/>
      <c r="E1327" s="1019"/>
      <c r="F1327" s="1019"/>
      <c r="G1327" s="1019"/>
      <c r="H1327" s="1019"/>
      <c r="I1327" s="1019"/>
      <c r="J1327" s="1019"/>
      <c r="K1327" s="1019"/>
      <c r="L1327" s="1140"/>
    </row>
    <row r="1328" spans="1:12" x14ac:dyDescent="0.35">
      <c r="A1328" s="1019"/>
      <c r="B1328" s="1019"/>
      <c r="C1328" s="1019"/>
      <c r="D1328" s="1019"/>
      <c r="E1328" s="1019"/>
      <c r="F1328" s="1019"/>
      <c r="G1328" s="1019"/>
      <c r="H1328" s="1019"/>
      <c r="I1328" s="1019"/>
      <c r="J1328" s="1019"/>
      <c r="K1328" s="1019"/>
      <c r="L1328" s="1140"/>
    </row>
    <row r="1329" spans="1:12" x14ac:dyDescent="0.35">
      <c r="A1329" s="1019"/>
      <c r="B1329" s="1019"/>
      <c r="C1329" s="1019"/>
      <c r="D1329" s="1019"/>
      <c r="E1329" s="1019"/>
      <c r="F1329" s="1019"/>
      <c r="G1329" s="1019"/>
      <c r="H1329" s="1019"/>
      <c r="I1329" s="1019"/>
      <c r="J1329" s="1019"/>
      <c r="K1329" s="1019"/>
      <c r="L1329" s="1140"/>
    </row>
    <row r="1330" spans="1:12" x14ac:dyDescent="0.35">
      <c r="A1330" s="1019"/>
      <c r="B1330" s="1019"/>
      <c r="C1330" s="1019"/>
      <c r="D1330" s="1019"/>
      <c r="E1330" s="1019"/>
      <c r="F1330" s="1019"/>
      <c r="G1330" s="1019"/>
      <c r="H1330" s="1019"/>
      <c r="I1330" s="1019"/>
      <c r="J1330" s="1019"/>
      <c r="K1330" s="1019"/>
      <c r="L1330" s="1140"/>
    </row>
    <row r="1331" spans="1:12" x14ac:dyDescent="0.35">
      <c r="A1331" s="1019"/>
      <c r="B1331" s="1019"/>
      <c r="C1331" s="1019"/>
      <c r="D1331" s="1019"/>
      <c r="E1331" s="1019"/>
      <c r="F1331" s="1019"/>
      <c r="G1331" s="1019"/>
      <c r="H1331" s="1019"/>
      <c r="I1331" s="1019"/>
      <c r="J1331" s="1019"/>
      <c r="K1331" s="1019"/>
      <c r="L1331" s="1140"/>
    </row>
    <row r="1332" spans="1:12" x14ac:dyDescent="0.35">
      <c r="A1332" s="1019"/>
      <c r="B1332" s="1019"/>
      <c r="C1332" s="1019"/>
      <c r="D1332" s="1019"/>
      <c r="E1332" s="1019"/>
      <c r="F1332" s="1019"/>
      <c r="G1332" s="1019"/>
      <c r="H1332" s="1019"/>
      <c r="I1332" s="1019"/>
      <c r="J1332" s="1019"/>
      <c r="K1332" s="1019"/>
      <c r="L1332" s="1140"/>
    </row>
    <row r="1333" spans="1:12" x14ac:dyDescent="0.35">
      <c r="A1333" s="1019"/>
      <c r="B1333" s="1019"/>
      <c r="C1333" s="1019"/>
      <c r="D1333" s="1019"/>
      <c r="E1333" s="1019"/>
      <c r="F1333" s="1019"/>
      <c r="G1333" s="1019"/>
      <c r="H1333" s="1019"/>
      <c r="I1333" s="1019"/>
      <c r="J1333" s="1019"/>
      <c r="K1333" s="1019"/>
      <c r="L1333" s="1140"/>
    </row>
    <row r="1334" spans="1:12" x14ac:dyDescent="0.35">
      <c r="A1334" s="1019"/>
      <c r="B1334" s="1019"/>
      <c r="C1334" s="1019"/>
      <c r="D1334" s="1019"/>
      <c r="E1334" s="1019"/>
      <c r="F1334" s="1019"/>
      <c r="G1334" s="1019"/>
      <c r="H1334" s="1019"/>
      <c r="I1334" s="1019"/>
      <c r="J1334" s="1019"/>
      <c r="K1334" s="1019"/>
      <c r="L1334" s="1140"/>
    </row>
    <row r="1335" spans="1:12" x14ac:dyDescent="0.35">
      <c r="A1335" s="1019"/>
      <c r="B1335" s="1019"/>
      <c r="C1335" s="1019"/>
      <c r="D1335" s="1019"/>
      <c r="E1335" s="1019"/>
      <c r="F1335" s="1019"/>
      <c r="G1335" s="1019"/>
      <c r="H1335" s="1019"/>
      <c r="I1335" s="1019"/>
      <c r="J1335" s="1019"/>
      <c r="K1335" s="1019"/>
      <c r="L1335" s="1140"/>
    </row>
    <row r="1336" spans="1:12" x14ac:dyDescent="0.35">
      <c r="A1336" s="1019"/>
      <c r="B1336" s="1019"/>
      <c r="C1336" s="1019"/>
      <c r="D1336" s="1019"/>
      <c r="E1336" s="1019"/>
      <c r="F1336" s="1019"/>
      <c r="G1336" s="1019"/>
      <c r="H1336" s="1019"/>
      <c r="I1336" s="1019"/>
      <c r="J1336" s="1019"/>
      <c r="K1336" s="1019"/>
      <c r="L1336" s="1140"/>
    </row>
    <row r="1337" spans="1:12" x14ac:dyDescent="0.35">
      <c r="A1337" s="1019"/>
      <c r="B1337" s="1019"/>
      <c r="C1337" s="1019"/>
      <c r="D1337" s="1019"/>
      <c r="E1337" s="1019"/>
      <c r="F1337" s="1019"/>
      <c r="G1337" s="1019"/>
      <c r="H1337" s="1019"/>
      <c r="I1337" s="1019"/>
      <c r="J1337" s="1019"/>
      <c r="K1337" s="1019"/>
      <c r="L1337" s="1140"/>
    </row>
    <row r="1338" spans="1:12" x14ac:dyDescent="0.35">
      <c r="A1338" s="1019"/>
      <c r="B1338" s="1019"/>
      <c r="C1338" s="1019"/>
      <c r="D1338" s="1019"/>
      <c r="E1338" s="1019"/>
      <c r="F1338" s="1019"/>
      <c r="G1338" s="1019"/>
      <c r="H1338" s="1019"/>
      <c r="I1338" s="1019"/>
      <c r="J1338" s="1019"/>
      <c r="K1338" s="1019"/>
      <c r="L1338" s="1140"/>
    </row>
    <row r="1339" spans="1:12" x14ac:dyDescent="0.35">
      <c r="A1339" s="1019"/>
      <c r="B1339" s="1019"/>
      <c r="C1339" s="1019"/>
      <c r="D1339" s="1019"/>
      <c r="E1339" s="1019"/>
      <c r="F1339" s="1019"/>
      <c r="G1339" s="1019"/>
      <c r="H1339" s="1019"/>
      <c r="I1339" s="1019"/>
      <c r="J1339" s="1019"/>
      <c r="K1339" s="1019"/>
      <c r="L1339" s="1140"/>
    </row>
    <row r="1340" spans="1:12" x14ac:dyDescent="0.35">
      <c r="A1340" s="1019"/>
      <c r="B1340" s="1019"/>
      <c r="C1340" s="1019"/>
      <c r="D1340" s="1019"/>
      <c r="E1340" s="1019"/>
      <c r="F1340" s="1019"/>
      <c r="G1340" s="1019"/>
      <c r="H1340" s="1019"/>
      <c r="I1340" s="1019"/>
      <c r="J1340" s="1019"/>
      <c r="K1340" s="1019"/>
      <c r="L1340" s="1140"/>
    </row>
    <row r="1341" spans="1:12" x14ac:dyDescent="0.35">
      <c r="A1341" s="1019"/>
      <c r="B1341" s="1019"/>
      <c r="C1341" s="1019"/>
      <c r="D1341" s="1019"/>
      <c r="E1341" s="1019"/>
      <c r="F1341" s="1019"/>
      <c r="G1341" s="1019"/>
      <c r="H1341" s="1019"/>
      <c r="I1341" s="1019"/>
      <c r="J1341" s="1019"/>
      <c r="K1341" s="1019"/>
      <c r="L1341" s="1140"/>
    </row>
    <row r="1342" spans="1:12" x14ac:dyDescent="0.35">
      <c r="A1342" s="1019"/>
      <c r="B1342" s="1019"/>
      <c r="C1342" s="1019"/>
      <c r="D1342" s="1019"/>
      <c r="E1342" s="1019"/>
      <c r="F1342" s="1019"/>
      <c r="G1342" s="1019"/>
      <c r="H1342" s="1019"/>
      <c r="I1342" s="1019"/>
      <c r="J1342" s="1019"/>
      <c r="K1342" s="1019"/>
      <c r="L1342" s="1140"/>
    </row>
    <row r="1343" spans="1:12" x14ac:dyDescent="0.35">
      <c r="A1343" s="1019"/>
      <c r="B1343" s="1019"/>
      <c r="C1343" s="1019"/>
      <c r="D1343" s="1019"/>
      <c r="E1343" s="1019"/>
      <c r="F1343" s="1019"/>
      <c r="G1343" s="1019"/>
      <c r="H1343" s="1019"/>
      <c r="I1343" s="1019"/>
      <c r="J1343" s="1019"/>
      <c r="K1343" s="1019"/>
      <c r="L1343" s="1140"/>
    </row>
    <row r="1344" spans="1:12" x14ac:dyDescent="0.35">
      <c r="A1344" s="1019"/>
      <c r="B1344" s="1019"/>
      <c r="C1344" s="1019"/>
      <c r="D1344" s="1019"/>
      <c r="E1344" s="1019"/>
      <c r="F1344" s="1019"/>
      <c r="G1344" s="1019"/>
      <c r="H1344" s="1019"/>
      <c r="I1344" s="1019"/>
      <c r="J1344" s="1019"/>
      <c r="K1344" s="1019"/>
      <c r="L1344" s="1140"/>
    </row>
    <row r="1345" spans="1:12" x14ac:dyDescent="0.35">
      <c r="A1345" s="1019"/>
      <c r="B1345" s="1019"/>
      <c r="C1345" s="1019"/>
      <c r="D1345" s="1019"/>
      <c r="E1345" s="1019"/>
      <c r="F1345" s="1019"/>
      <c r="G1345" s="1019"/>
      <c r="H1345" s="1019"/>
      <c r="I1345" s="1019"/>
      <c r="J1345" s="1019"/>
      <c r="K1345" s="1019"/>
      <c r="L1345" s="1140"/>
    </row>
    <row r="1346" spans="1:12" x14ac:dyDescent="0.35">
      <c r="A1346" s="1019"/>
      <c r="B1346" s="1019"/>
      <c r="C1346" s="1019"/>
      <c r="D1346" s="1019"/>
      <c r="E1346" s="1019"/>
      <c r="F1346" s="1019"/>
      <c r="G1346" s="1019"/>
      <c r="H1346" s="1019"/>
      <c r="I1346" s="1019"/>
      <c r="J1346" s="1019"/>
      <c r="K1346" s="1019"/>
      <c r="L1346" s="1140"/>
    </row>
    <row r="1347" spans="1:12" x14ac:dyDescent="0.35">
      <c r="A1347" s="1019"/>
      <c r="B1347" s="1019"/>
      <c r="C1347" s="1019"/>
      <c r="D1347" s="1019"/>
      <c r="E1347" s="1019"/>
      <c r="F1347" s="1019"/>
      <c r="G1347" s="1019"/>
      <c r="H1347" s="1019"/>
      <c r="I1347" s="1019"/>
      <c r="J1347" s="1019"/>
      <c r="K1347" s="1019"/>
      <c r="L1347" s="1140"/>
    </row>
    <row r="1348" spans="1:12" x14ac:dyDescent="0.35">
      <c r="A1348" s="1019"/>
      <c r="B1348" s="1019"/>
      <c r="C1348" s="1019"/>
      <c r="D1348" s="1019"/>
      <c r="E1348" s="1019"/>
      <c r="F1348" s="1019"/>
      <c r="G1348" s="1019"/>
      <c r="H1348" s="1019"/>
      <c r="I1348" s="1019"/>
      <c r="J1348" s="1019"/>
      <c r="K1348" s="1019"/>
      <c r="L1348" s="1140"/>
    </row>
    <row r="1349" spans="1:12" x14ac:dyDescent="0.35">
      <c r="A1349" s="1019"/>
      <c r="B1349" s="1019"/>
      <c r="C1349" s="1019"/>
      <c r="D1349" s="1019"/>
      <c r="E1349" s="1019"/>
      <c r="F1349" s="1019"/>
      <c r="G1349" s="1019"/>
      <c r="H1349" s="1019"/>
      <c r="I1349" s="1019"/>
      <c r="J1349" s="1019"/>
      <c r="K1349" s="1019"/>
      <c r="L1349" s="1140"/>
    </row>
    <row r="1350" spans="1:12" x14ac:dyDescent="0.35">
      <c r="A1350" s="1019"/>
      <c r="B1350" s="1019"/>
      <c r="C1350" s="1019"/>
      <c r="D1350" s="1019"/>
      <c r="E1350" s="1019"/>
      <c r="F1350" s="1019"/>
      <c r="G1350" s="1019"/>
      <c r="H1350" s="1019"/>
      <c r="I1350" s="1019"/>
      <c r="J1350" s="1019"/>
      <c r="K1350" s="1019"/>
      <c r="L1350" s="1140"/>
    </row>
    <row r="1351" spans="1:12" x14ac:dyDescent="0.35">
      <c r="A1351" s="1019"/>
      <c r="B1351" s="1019"/>
      <c r="C1351" s="1019"/>
      <c r="D1351" s="1019"/>
      <c r="E1351" s="1019"/>
      <c r="F1351" s="1019"/>
      <c r="G1351" s="1019"/>
      <c r="H1351" s="1019"/>
      <c r="I1351" s="1019"/>
      <c r="J1351" s="1019"/>
      <c r="K1351" s="1019"/>
      <c r="L1351" s="1140"/>
    </row>
    <row r="1352" spans="1:12" x14ac:dyDescent="0.35">
      <c r="A1352" s="1019"/>
      <c r="B1352" s="1019"/>
      <c r="C1352" s="1019"/>
      <c r="D1352" s="1019"/>
      <c r="E1352" s="1019"/>
      <c r="F1352" s="1019"/>
      <c r="G1352" s="1019"/>
      <c r="H1352" s="1019"/>
      <c r="I1352" s="1019"/>
      <c r="J1352" s="1019"/>
      <c r="K1352" s="1019"/>
      <c r="L1352" s="1140"/>
    </row>
    <row r="1353" spans="1:12" x14ac:dyDescent="0.35">
      <c r="A1353" s="1019"/>
      <c r="B1353" s="1019"/>
      <c r="C1353" s="1019"/>
      <c r="D1353" s="1019"/>
      <c r="E1353" s="1019"/>
      <c r="F1353" s="1019"/>
      <c r="G1353" s="1019"/>
      <c r="H1353" s="1019"/>
      <c r="I1353" s="1019"/>
      <c r="J1353" s="1019"/>
      <c r="K1353" s="1019"/>
      <c r="L1353" s="1140"/>
    </row>
    <row r="1354" spans="1:12" x14ac:dyDescent="0.35">
      <c r="A1354" s="1019"/>
      <c r="B1354" s="1019"/>
      <c r="C1354" s="1019"/>
      <c r="D1354" s="1019"/>
      <c r="E1354" s="1019"/>
      <c r="F1354" s="1019"/>
      <c r="G1354" s="1019"/>
      <c r="H1354" s="1019"/>
      <c r="I1354" s="1019"/>
      <c r="J1354" s="1019"/>
      <c r="K1354" s="1019"/>
      <c r="L1354" s="1140"/>
    </row>
    <row r="1355" spans="1:12" x14ac:dyDescent="0.35">
      <c r="A1355" s="1019"/>
      <c r="B1355" s="1019"/>
      <c r="C1355" s="1019"/>
      <c r="D1355" s="1019"/>
      <c r="E1355" s="1019"/>
      <c r="F1355" s="1019"/>
      <c r="G1355" s="1019"/>
      <c r="H1355" s="1019"/>
      <c r="I1355" s="1019"/>
      <c r="J1355" s="1019"/>
      <c r="K1355" s="1019"/>
      <c r="L1355" s="1140"/>
    </row>
    <row r="1356" spans="1:12" x14ac:dyDescent="0.35">
      <c r="A1356" s="1019"/>
      <c r="B1356" s="1019"/>
      <c r="C1356" s="1019"/>
      <c r="D1356" s="1019"/>
      <c r="E1356" s="1019"/>
      <c r="F1356" s="1019"/>
      <c r="G1356" s="1019"/>
      <c r="H1356" s="1019"/>
      <c r="I1356" s="1019"/>
      <c r="J1356" s="1019"/>
      <c r="K1356" s="1019"/>
      <c r="L1356" s="1140"/>
    </row>
    <row r="1357" spans="1:12" x14ac:dyDescent="0.35">
      <c r="A1357" s="1019"/>
      <c r="B1357" s="1019"/>
      <c r="C1357" s="1019"/>
      <c r="D1357" s="1019"/>
      <c r="E1357" s="1019"/>
      <c r="F1357" s="1019"/>
      <c r="G1357" s="1019"/>
      <c r="H1357" s="1019"/>
      <c r="I1357" s="1019"/>
      <c r="J1357" s="1019"/>
      <c r="K1357" s="1019"/>
      <c r="L1357" s="1140"/>
    </row>
    <row r="1358" spans="1:12" x14ac:dyDescent="0.35">
      <c r="A1358" s="1019"/>
      <c r="B1358" s="1019"/>
      <c r="C1358" s="1019"/>
      <c r="D1358" s="1019"/>
      <c r="E1358" s="1019"/>
      <c r="F1358" s="1019"/>
      <c r="G1358" s="1019"/>
      <c r="H1358" s="1019"/>
      <c r="I1358" s="1019"/>
      <c r="J1358" s="1019"/>
      <c r="K1358" s="1019"/>
      <c r="L1358" s="1140"/>
    </row>
    <row r="1359" spans="1:12" x14ac:dyDescent="0.35">
      <c r="A1359" s="1019"/>
      <c r="B1359" s="1019"/>
      <c r="C1359" s="1019"/>
      <c r="D1359" s="1019"/>
      <c r="E1359" s="1019"/>
      <c r="F1359" s="1019"/>
      <c r="G1359" s="1019"/>
      <c r="H1359" s="1019"/>
      <c r="I1359" s="1019"/>
      <c r="J1359" s="1019"/>
      <c r="K1359" s="1019"/>
      <c r="L1359" s="1140"/>
    </row>
    <row r="1360" spans="1:12" x14ac:dyDescent="0.35">
      <c r="A1360" s="1019"/>
      <c r="B1360" s="1019"/>
      <c r="C1360" s="1019"/>
      <c r="D1360" s="1019"/>
      <c r="E1360" s="1019"/>
      <c r="F1360" s="1019"/>
      <c r="G1360" s="1019"/>
      <c r="H1360" s="1019"/>
      <c r="I1360" s="1019"/>
      <c r="J1360" s="1019"/>
      <c r="K1360" s="1019"/>
      <c r="L1360" s="1140"/>
    </row>
    <row r="1361" spans="1:12" x14ac:dyDescent="0.35">
      <c r="A1361" s="1019"/>
      <c r="B1361" s="1019"/>
      <c r="C1361" s="1019"/>
      <c r="D1361" s="1019"/>
      <c r="E1361" s="1019"/>
      <c r="F1361" s="1019"/>
      <c r="G1361" s="1019"/>
      <c r="H1361" s="1019"/>
      <c r="I1361" s="1019"/>
      <c r="J1361" s="1019"/>
      <c r="K1361" s="1019"/>
      <c r="L1361" s="1140"/>
    </row>
    <row r="1362" spans="1:12" x14ac:dyDescent="0.35">
      <c r="A1362" s="1019"/>
      <c r="B1362" s="1019"/>
      <c r="C1362" s="1019"/>
      <c r="D1362" s="1019"/>
      <c r="E1362" s="1019"/>
      <c r="F1362" s="1019"/>
      <c r="G1362" s="1019"/>
      <c r="H1362" s="1019"/>
      <c r="I1362" s="1019"/>
      <c r="J1362" s="1019"/>
      <c r="K1362" s="1019"/>
      <c r="L1362" s="1140"/>
    </row>
    <row r="1363" spans="1:12" x14ac:dyDescent="0.35">
      <c r="A1363" s="1019"/>
      <c r="B1363" s="1019"/>
      <c r="C1363" s="1019"/>
      <c r="D1363" s="1019"/>
      <c r="E1363" s="1019"/>
      <c r="F1363" s="1019"/>
      <c r="G1363" s="1019"/>
      <c r="H1363" s="1019"/>
      <c r="I1363" s="1019"/>
      <c r="J1363" s="1019"/>
      <c r="K1363" s="1019"/>
      <c r="L1363" s="1140"/>
    </row>
    <row r="1364" spans="1:12" x14ac:dyDescent="0.35">
      <c r="A1364" s="1019"/>
      <c r="B1364" s="1019"/>
      <c r="C1364" s="1019"/>
      <c r="D1364" s="1019"/>
      <c r="E1364" s="1019"/>
      <c r="F1364" s="1019"/>
      <c r="G1364" s="1019"/>
      <c r="H1364" s="1019"/>
      <c r="I1364" s="1019"/>
      <c r="J1364" s="1019"/>
      <c r="K1364" s="1019"/>
      <c r="L1364" s="1140"/>
    </row>
    <row r="1365" spans="1:12" x14ac:dyDescent="0.35">
      <c r="A1365" s="1019"/>
      <c r="B1365" s="1019"/>
      <c r="C1365" s="1019"/>
      <c r="D1365" s="1019"/>
      <c r="E1365" s="1019"/>
      <c r="F1365" s="1019"/>
      <c r="G1365" s="1019"/>
      <c r="H1365" s="1019"/>
      <c r="I1365" s="1019"/>
      <c r="J1365" s="1019"/>
      <c r="K1365" s="1019"/>
      <c r="L1365" s="1140"/>
    </row>
    <row r="1366" spans="1:12" x14ac:dyDescent="0.35">
      <c r="A1366" s="1019"/>
      <c r="B1366" s="1019"/>
      <c r="C1366" s="1019"/>
      <c r="D1366" s="1019"/>
      <c r="E1366" s="1019"/>
      <c r="F1366" s="1019"/>
      <c r="G1366" s="1019"/>
      <c r="H1366" s="1019"/>
      <c r="I1366" s="1019"/>
      <c r="J1366" s="1019"/>
      <c r="K1366" s="1019"/>
      <c r="L1366" s="1140"/>
    </row>
    <row r="1367" spans="1:12" x14ac:dyDescent="0.35">
      <c r="A1367" s="1019"/>
      <c r="B1367" s="1019"/>
      <c r="C1367" s="1019"/>
      <c r="D1367" s="1019"/>
      <c r="E1367" s="1019"/>
      <c r="F1367" s="1019"/>
      <c r="G1367" s="1019"/>
      <c r="H1367" s="1019"/>
      <c r="I1367" s="1019"/>
      <c r="J1367" s="1019"/>
      <c r="K1367" s="1019"/>
      <c r="L1367" s="1140"/>
    </row>
    <row r="1368" spans="1:12" x14ac:dyDescent="0.35">
      <c r="A1368" s="1019"/>
      <c r="B1368" s="1019"/>
      <c r="C1368" s="1019"/>
      <c r="D1368" s="1019"/>
      <c r="E1368" s="1019"/>
      <c r="F1368" s="1019"/>
      <c r="G1368" s="1019"/>
      <c r="H1368" s="1019"/>
      <c r="I1368" s="1019"/>
      <c r="J1368" s="1019"/>
      <c r="K1368" s="1019"/>
      <c r="L1368" s="1140"/>
    </row>
    <row r="1369" spans="1:12" x14ac:dyDescent="0.35">
      <c r="A1369" s="1019"/>
      <c r="B1369" s="1019"/>
      <c r="C1369" s="1019"/>
      <c r="D1369" s="1019"/>
      <c r="E1369" s="1019"/>
      <c r="F1369" s="1019"/>
      <c r="G1369" s="1019"/>
      <c r="H1369" s="1019"/>
      <c r="I1369" s="1019"/>
      <c r="J1369" s="1019"/>
      <c r="K1369" s="1019"/>
      <c r="L1369" s="1140"/>
    </row>
    <row r="1370" spans="1:12" x14ac:dyDescent="0.35">
      <c r="A1370" s="1019"/>
      <c r="B1370" s="1019"/>
      <c r="C1370" s="1019"/>
      <c r="D1370" s="1019"/>
      <c r="E1370" s="1019"/>
      <c r="F1370" s="1019"/>
      <c r="G1370" s="1019"/>
      <c r="H1370" s="1019"/>
      <c r="I1370" s="1019"/>
      <c r="J1370" s="1019"/>
      <c r="K1370" s="1019"/>
      <c r="L1370" s="1140"/>
    </row>
    <row r="1371" spans="1:12" x14ac:dyDescent="0.35">
      <c r="A1371" s="1019"/>
      <c r="B1371" s="1019"/>
      <c r="C1371" s="1019"/>
      <c r="D1371" s="1019"/>
      <c r="E1371" s="1019"/>
      <c r="F1371" s="1019"/>
      <c r="G1371" s="1019"/>
      <c r="H1371" s="1019"/>
      <c r="I1371" s="1019"/>
      <c r="J1371" s="1019"/>
      <c r="K1371" s="1019"/>
      <c r="L1371" s="1140"/>
    </row>
    <row r="1372" spans="1:12" x14ac:dyDescent="0.35">
      <c r="A1372" s="1019"/>
      <c r="B1372" s="1019"/>
      <c r="C1372" s="1019"/>
      <c r="D1372" s="1019"/>
      <c r="E1372" s="1019"/>
      <c r="F1372" s="1019"/>
      <c r="G1372" s="1019"/>
      <c r="H1372" s="1019"/>
      <c r="I1372" s="1019"/>
      <c r="J1372" s="1019"/>
      <c r="K1372" s="1019"/>
      <c r="L1372" s="1140"/>
    </row>
    <row r="1373" spans="1:12" x14ac:dyDescent="0.35">
      <c r="A1373" s="1019"/>
      <c r="B1373" s="1019"/>
      <c r="C1373" s="1019"/>
      <c r="D1373" s="1019"/>
      <c r="E1373" s="1019"/>
      <c r="F1373" s="1019"/>
      <c r="G1373" s="1019"/>
      <c r="H1373" s="1019"/>
      <c r="I1373" s="1019"/>
      <c r="J1373" s="1019"/>
      <c r="K1373" s="1019"/>
      <c r="L1373" s="1140"/>
    </row>
    <row r="1374" spans="1:12" x14ac:dyDescent="0.35">
      <c r="A1374" s="1019"/>
      <c r="B1374" s="1019"/>
      <c r="C1374" s="1019"/>
      <c r="D1374" s="1019"/>
      <c r="E1374" s="1019"/>
      <c r="F1374" s="1019"/>
      <c r="G1374" s="1019"/>
      <c r="H1374" s="1019"/>
      <c r="I1374" s="1019"/>
      <c r="J1374" s="1019"/>
      <c r="K1374" s="1019"/>
      <c r="L1374" s="1140"/>
    </row>
    <row r="1375" spans="1:12" x14ac:dyDescent="0.35">
      <c r="A1375" s="1019"/>
      <c r="B1375" s="1019"/>
      <c r="C1375" s="1019"/>
      <c r="D1375" s="1019"/>
      <c r="E1375" s="1019"/>
      <c r="F1375" s="1019"/>
      <c r="G1375" s="1019"/>
      <c r="H1375" s="1019"/>
      <c r="I1375" s="1019"/>
      <c r="J1375" s="1019"/>
      <c r="K1375" s="1019"/>
      <c r="L1375" s="1140"/>
    </row>
    <row r="1376" spans="1:12" x14ac:dyDescent="0.35">
      <c r="A1376" s="1019"/>
      <c r="B1376" s="1019"/>
      <c r="C1376" s="1019"/>
      <c r="D1376" s="1019"/>
      <c r="E1376" s="1019"/>
      <c r="F1376" s="1019"/>
      <c r="G1376" s="1019"/>
      <c r="H1376" s="1019"/>
      <c r="I1376" s="1019"/>
      <c r="J1376" s="1019"/>
      <c r="K1376" s="1019"/>
      <c r="L1376" s="1140"/>
    </row>
    <row r="1377" spans="1:12" x14ac:dyDescent="0.35">
      <c r="A1377" s="1019"/>
      <c r="B1377" s="1019"/>
      <c r="C1377" s="1019"/>
      <c r="D1377" s="1019"/>
      <c r="E1377" s="1019"/>
      <c r="F1377" s="1019"/>
      <c r="G1377" s="1019"/>
      <c r="H1377" s="1019"/>
      <c r="I1377" s="1019"/>
      <c r="J1377" s="1019"/>
      <c r="K1377" s="1019"/>
      <c r="L1377" s="1140"/>
    </row>
    <row r="1378" spans="1:12" x14ac:dyDescent="0.35">
      <c r="A1378" s="1019"/>
      <c r="B1378" s="1019"/>
      <c r="C1378" s="1019"/>
      <c r="D1378" s="1019"/>
      <c r="E1378" s="1019"/>
      <c r="F1378" s="1019"/>
      <c r="G1378" s="1019"/>
      <c r="H1378" s="1019"/>
      <c r="I1378" s="1019"/>
      <c r="J1378" s="1019"/>
      <c r="K1378" s="1019"/>
      <c r="L1378" s="1140"/>
    </row>
    <row r="1379" spans="1:12" x14ac:dyDescent="0.35">
      <c r="A1379" s="1019"/>
      <c r="B1379" s="1019"/>
      <c r="C1379" s="1019"/>
      <c r="D1379" s="1019"/>
      <c r="E1379" s="1019"/>
      <c r="F1379" s="1019"/>
      <c r="G1379" s="1019"/>
      <c r="H1379" s="1019"/>
      <c r="I1379" s="1019"/>
      <c r="J1379" s="1019"/>
      <c r="K1379" s="1019"/>
      <c r="L1379" s="1140"/>
    </row>
    <row r="1380" spans="1:12" x14ac:dyDescent="0.35">
      <c r="A1380" s="1019"/>
      <c r="B1380" s="1019"/>
      <c r="C1380" s="1019"/>
      <c r="D1380" s="1019"/>
      <c r="E1380" s="1019"/>
      <c r="F1380" s="1019"/>
      <c r="G1380" s="1019"/>
      <c r="H1380" s="1019"/>
      <c r="I1380" s="1019"/>
      <c r="J1380" s="1019"/>
      <c r="K1380" s="1019"/>
      <c r="L1380" s="1140"/>
    </row>
    <row r="1381" spans="1:12" x14ac:dyDescent="0.35">
      <c r="A1381" s="1019"/>
      <c r="B1381" s="1019"/>
      <c r="C1381" s="1019"/>
      <c r="D1381" s="1019"/>
      <c r="E1381" s="1019"/>
      <c r="F1381" s="1019"/>
      <c r="G1381" s="1019"/>
      <c r="H1381" s="1019"/>
      <c r="I1381" s="1019"/>
      <c r="J1381" s="1019"/>
      <c r="K1381" s="1019"/>
      <c r="L1381" s="1140"/>
    </row>
    <row r="1382" spans="1:12" x14ac:dyDescent="0.35">
      <c r="A1382" s="1019"/>
      <c r="B1382" s="1019"/>
      <c r="C1382" s="1019"/>
      <c r="D1382" s="1019"/>
      <c r="E1382" s="1019"/>
      <c r="F1382" s="1019"/>
      <c r="G1382" s="1019"/>
      <c r="H1382" s="1019"/>
      <c r="I1382" s="1019"/>
      <c r="J1382" s="1019"/>
      <c r="K1382" s="1019"/>
      <c r="L1382" s="1140"/>
    </row>
    <row r="1383" spans="1:12" x14ac:dyDescent="0.35">
      <c r="A1383" s="1019"/>
      <c r="B1383" s="1019"/>
      <c r="C1383" s="1019"/>
      <c r="D1383" s="1019"/>
      <c r="E1383" s="1019"/>
      <c r="F1383" s="1019"/>
      <c r="G1383" s="1019"/>
      <c r="H1383" s="1019"/>
      <c r="I1383" s="1019"/>
      <c r="J1383" s="1019"/>
      <c r="K1383" s="1019"/>
      <c r="L1383" s="1140"/>
    </row>
    <row r="1384" spans="1:12" x14ac:dyDescent="0.35">
      <c r="A1384" s="1019"/>
      <c r="B1384" s="1019"/>
      <c r="C1384" s="1019"/>
      <c r="D1384" s="1019"/>
      <c r="E1384" s="1019"/>
      <c r="F1384" s="1019"/>
      <c r="G1384" s="1019"/>
      <c r="H1384" s="1019"/>
      <c r="I1384" s="1019"/>
      <c r="J1384" s="1019"/>
      <c r="K1384" s="1019"/>
      <c r="L1384" s="1140"/>
    </row>
    <row r="1385" spans="1:12" x14ac:dyDescent="0.35">
      <c r="A1385" s="1019"/>
      <c r="B1385" s="1019"/>
      <c r="C1385" s="1019"/>
      <c r="D1385" s="1019"/>
      <c r="E1385" s="1019"/>
      <c r="F1385" s="1019"/>
      <c r="G1385" s="1019"/>
      <c r="H1385" s="1019"/>
      <c r="I1385" s="1019"/>
      <c r="J1385" s="1019"/>
      <c r="K1385" s="1019"/>
      <c r="L1385" s="1140"/>
    </row>
    <row r="1386" spans="1:12" x14ac:dyDescent="0.35">
      <c r="A1386" s="1019"/>
      <c r="B1386" s="1019"/>
      <c r="C1386" s="1019"/>
      <c r="D1386" s="1019"/>
      <c r="E1386" s="1019"/>
      <c r="F1386" s="1019"/>
      <c r="G1386" s="1019"/>
      <c r="H1386" s="1019"/>
      <c r="I1386" s="1019"/>
      <c r="J1386" s="1019"/>
      <c r="K1386" s="1019"/>
      <c r="L1386" s="1140"/>
    </row>
    <row r="1387" spans="1:12" x14ac:dyDescent="0.35">
      <c r="A1387" s="1019"/>
      <c r="B1387" s="1019"/>
      <c r="C1387" s="1019"/>
      <c r="D1387" s="1019"/>
      <c r="E1387" s="1019"/>
      <c r="F1387" s="1019"/>
      <c r="G1387" s="1019"/>
      <c r="H1387" s="1019"/>
      <c r="I1387" s="1019"/>
      <c r="J1387" s="1019"/>
      <c r="K1387" s="1019"/>
      <c r="L1387" s="1140"/>
    </row>
    <row r="1388" spans="1:12" x14ac:dyDescent="0.35">
      <c r="A1388" s="1019"/>
      <c r="B1388" s="1019"/>
      <c r="C1388" s="1019"/>
      <c r="D1388" s="1019"/>
      <c r="E1388" s="1019"/>
      <c r="F1388" s="1019"/>
      <c r="G1388" s="1019"/>
      <c r="H1388" s="1019"/>
      <c r="I1388" s="1019"/>
      <c r="J1388" s="1019"/>
      <c r="K1388" s="1019"/>
      <c r="L1388" s="1140"/>
    </row>
    <row r="1389" spans="1:12" x14ac:dyDescent="0.35">
      <c r="A1389" s="1019"/>
      <c r="B1389" s="1019"/>
      <c r="C1389" s="1019"/>
      <c r="D1389" s="1019"/>
      <c r="E1389" s="1019"/>
      <c r="F1389" s="1019"/>
      <c r="G1389" s="1019"/>
      <c r="H1389" s="1019"/>
      <c r="I1389" s="1019"/>
      <c r="J1389" s="1019"/>
      <c r="K1389" s="1019"/>
      <c r="L1389" s="1140"/>
    </row>
    <row r="1390" spans="1:12" x14ac:dyDescent="0.35">
      <c r="A1390" s="1019"/>
      <c r="B1390" s="1019"/>
      <c r="C1390" s="1019"/>
      <c r="D1390" s="1019"/>
      <c r="E1390" s="1019"/>
      <c r="F1390" s="1019"/>
      <c r="G1390" s="1019"/>
      <c r="H1390" s="1019"/>
      <c r="I1390" s="1019"/>
      <c r="J1390" s="1019"/>
      <c r="K1390" s="1019"/>
      <c r="L1390" s="1140"/>
    </row>
    <row r="1391" spans="1:12" x14ac:dyDescent="0.35">
      <c r="A1391" s="1019"/>
      <c r="B1391" s="1019"/>
      <c r="C1391" s="1019"/>
      <c r="D1391" s="1019"/>
      <c r="E1391" s="1019"/>
      <c r="F1391" s="1019"/>
      <c r="G1391" s="1019"/>
      <c r="H1391" s="1019"/>
      <c r="I1391" s="1019"/>
      <c r="J1391" s="1019"/>
      <c r="K1391" s="1019"/>
      <c r="L1391" s="1140"/>
    </row>
    <row r="1392" spans="1:12" x14ac:dyDescent="0.35">
      <c r="A1392" s="1019"/>
      <c r="B1392" s="1019"/>
      <c r="C1392" s="1019"/>
      <c r="D1392" s="1019"/>
      <c r="E1392" s="1019"/>
      <c r="F1392" s="1019"/>
      <c r="G1392" s="1019"/>
      <c r="H1392" s="1019"/>
      <c r="I1392" s="1019"/>
      <c r="J1392" s="1019"/>
      <c r="K1392" s="1019"/>
      <c r="L1392" s="1140"/>
    </row>
    <row r="1393" spans="1:12" x14ac:dyDescent="0.35">
      <c r="A1393" s="1019"/>
      <c r="B1393" s="1019"/>
      <c r="C1393" s="1019"/>
      <c r="D1393" s="1019"/>
      <c r="E1393" s="1019"/>
      <c r="F1393" s="1019"/>
      <c r="G1393" s="1019"/>
      <c r="H1393" s="1019"/>
      <c r="I1393" s="1019"/>
      <c r="J1393" s="1019"/>
      <c r="K1393" s="1019"/>
      <c r="L1393" s="1140"/>
    </row>
    <row r="1394" spans="1:12" x14ac:dyDescent="0.35">
      <c r="A1394" s="1019"/>
      <c r="B1394" s="1019"/>
      <c r="C1394" s="1019"/>
      <c r="D1394" s="1019"/>
      <c r="E1394" s="1019"/>
      <c r="F1394" s="1019"/>
      <c r="G1394" s="1019"/>
      <c r="H1394" s="1019"/>
      <c r="I1394" s="1019"/>
      <c r="J1394" s="1019"/>
      <c r="K1394" s="1019"/>
      <c r="L1394" s="1140"/>
    </row>
    <row r="1395" spans="1:12" x14ac:dyDescent="0.35">
      <c r="A1395" s="1019"/>
      <c r="B1395" s="1019"/>
      <c r="C1395" s="1019"/>
      <c r="D1395" s="1019"/>
      <c r="E1395" s="1019"/>
      <c r="F1395" s="1019"/>
      <c r="G1395" s="1019"/>
      <c r="H1395" s="1019"/>
      <c r="I1395" s="1019"/>
      <c r="J1395" s="1019"/>
      <c r="K1395" s="1019"/>
      <c r="L1395" s="1140"/>
    </row>
    <row r="1396" spans="1:12" x14ac:dyDescent="0.35">
      <c r="A1396" s="1019"/>
      <c r="B1396" s="1019"/>
      <c r="C1396" s="1019"/>
      <c r="D1396" s="1019"/>
      <c r="E1396" s="1019"/>
      <c r="F1396" s="1019"/>
      <c r="G1396" s="1019"/>
      <c r="H1396" s="1019"/>
      <c r="I1396" s="1019"/>
      <c r="J1396" s="1019"/>
      <c r="K1396" s="1019"/>
      <c r="L1396" s="1140"/>
    </row>
    <row r="1397" spans="1:12" x14ac:dyDescent="0.35">
      <c r="A1397" s="1019"/>
      <c r="B1397" s="1019"/>
      <c r="C1397" s="1019"/>
      <c r="D1397" s="1019"/>
      <c r="E1397" s="1019"/>
      <c r="F1397" s="1019"/>
      <c r="G1397" s="1019"/>
      <c r="H1397" s="1019"/>
      <c r="I1397" s="1019"/>
      <c r="J1397" s="1019"/>
      <c r="K1397" s="1019"/>
      <c r="L1397" s="1140"/>
    </row>
    <row r="1398" spans="1:12" x14ac:dyDescent="0.35">
      <c r="A1398" s="1019"/>
      <c r="B1398" s="1019"/>
      <c r="C1398" s="1019"/>
      <c r="D1398" s="1019"/>
      <c r="E1398" s="1019"/>
      <c r="F1398" s="1019"/>
      <c r="G1398" s="1019"/>
      <c r="H1398" s="1019"/>
      <c r="I1398" s="1019"/>
      <c r="J1398" s="1019"/>
      <c r="K1398" s="1019"/>
      <c r="L1398" s="1140"/>
    </row>
    <row r="1399" spans="1:12" x14ac:dyDescent="0.35">
      <c r="A1399" s="1019"/>
      <c r="B1399" s="1019"/>
      <c r="C1399" s="1019"/>
      <c r="D1399" s="1019"/>
      <c r="E1399" s="1019"/>
      <c r="F1399" s="1019"/>
      <c r="G1399" s="1019"/>
      <c r="H1399" s="1019"/>
      <c r="I1399" s="1019"/>
      <c r="J1399" s="1019"/>
      <c r="K1399" s="1019"/>
      <c r="L1399" s="1140"/>
    </row>
    <row r="1400" spans="1:12" x14ac:dyDescent="0.35">
      <c r="A1400" s="1019"/>
      <c r="B1400" s="1019"/>
      <c r="C1400" s="1019"/>
      <c r="D1400" s="1019"/>
      <c r="E1400" s="1019"/>
      <c r="F1400" s="1019"/>
      <c r="G1400" s="1019"/>
      <c r="H1400" s="1019"/>
      <c r="I1400" s="1019"/>
      <c r="J1400" s="1019"/>
      <c r="K1400" s="1019"/>
      <c r="L1400" s="1140"/>
    </row>
    <row r="1401" spans="1:12" x14ac:dyDescent="0.35">
      <c r="A1401" s="1019"/>
      <c r="B1401" s="1019"/>
      <c r="C1401" s="1019"/>
      <c r="D1401" s="1019"/>
      <c r="E1401" s="1019"/>
      <c r="F1401" s="1019"/>
      <c r="G1401" s="1019"/>
      <c r="H1401" s="1019"/>
      <c r="I1401" s="1019"/>
      <c r="J1401" s="1019"/>
      <c r="K1401" s="1019"/>
      <c r="L1401" s="1140"/>
    </row>
    <row r="1402" spans="1:12" x14ac:dyDescent="0.35">
      <c r="A1402" s="1019"/>
      <c r="B1402" s="1019"/>
      <c r="C1402" s="1019"/>
      <c r="D1402" s="1019"/>
      <c r="E1402" s="1019"/>
      <c r="F1402" s="1019"/>
      <c r="G1402" s="1019"/>
      <c r="H1402" s="1019"/>
      <c r="I1402" s="1019"/>
      <c r="J1402" s="1019"/>
      <c r="K1402" s="1019"/>
      <c r="L1402" s="1140"/>
    </row>
    <row r="1403" spans="1:12" x14ac:dyDescent="0.35">
      <c r="A1403" s="1019"/>
      <c r="B1403" s="1019"/>
      <c r="C1403" s="1019"/>
      <c r="D1403" s="1019"/>
      <c r="E1403" s="1019"/>
      <c r="F1403" s="1019"/>
      <c r="G1403" s="1019"/>
      <c r="H1403" s="1019"/>
      <c r="I1403" s="1019"/>
      <c r="J1403" s="1019"/>
      <c r="K1403" s="1019"/>
      <c r="L1403" s="1140"/>
    </row>
    <row r="1404" spans="1:12" x14ac:dyDescent="0.35">
      <c r="A1404" s="1019"/>
      <c r="B1404" s="1019"/>
      <c r="C1404" s="1019"/>
      <c r="D1404" s="1019"/>
      <c r="E1404" s="1019"/>
      <c r="F1404" s="1019"/>
      <c r="G1404" s="1019"/>
      <c r="H1404" s="1019"/>
      <c r="I1404" s="1019"/>
      <c r="J1404" s="1019"/>
      <c r="K1404" s="1019"/>
      <c r="L1404" s="1140"/>
    </row>
    <row r="1405" spans="1:12" x14ac:dyDescent="0.35">
      <c r="A1405" s="1019"/>
      <c r="B1405" s="1019"/>
      <c r="C1405" s="1019"/>
      <c r="D1405" s="1019"/>
      <c r="E1405" s="1019"/>
      <c r="F1405" s="1019"/>
      <c r="G1405" s="1019"/>
      <c r="H1405" s="1019"/>
      <c r="I1405" s="1019"/>
      <c r="J1405" s="1019"/>
      <c r="K1405" s="1019"/>
      <c r="L1405" s="1140"/>
    </row>
    <row r="1406" spans="1:12" x14ac:dyDescent="0.35">
      <c r="A1406" s="1019"/>
      <c r="B1406" s="1019"/>
      <c r="C1406" s="1019"/>
      <c r="D1406" s="1019"/>
      <c r="E1406" s="1019"/>
      <c r="F1406" s="1019"/>
      <c r="G1406" s="1019"/>
      <c r="H1406" s="1019"/>
      <c r="I1406" s="1019"/>
      <c r="J1406" s="1019"/>
      <c r="K1406" s="1019"/>
      <c r="L1406" s="1140"/>
    </row>
    <row r="1407" spans="1:12" x14ac:dyDescent="0.35">
      <c r="A1407" s="1019"/>
      <c r="B1407" s="1019"/>
      <c r="C1407" s="1019"/>
      <c r="D1407" s="1019"/>
      <c r="E1407" s="1019"/>
      <c r="F1407" s="1019"/>
      <c r="G1407" s="1019"/>
      <c r="H1407" s="1019"/>
      <c r="I1407" s="1019"/>
      <c r="J1407" s="1019"/>
      <c r="K1407" s="1019"/>
      <c r="L1407" s="1140"/>
    </row>
    <row r="1408" spans="1:12" x14ac:dyDescent="0.35">
      <c r="A1408" s="1019"/>
      <c r="B1408" s="1019"/>
      <c r="C1408" s="1019"/>
      <c r="D1408" s="1019"/>
      <c r="E1408" s="1019"/>
      <c r="F1408" s="1019"/>
      <c r="G1408" s="1019"/>
      <c r="H1408" s="1019"/>
      <c r="I1408" s="1019"/>
      <c r="J1408" s="1019"/>
      <c r="K1408" s="1019"/>
      <c r="L1408" s="1140"/>
    </row>
    <row r="1409" spans="1:12" x14ac:dyDescent="0.35">
      <c r="A1409" s="1019"/>
      <c r="B1409" s="1019"/>
      <c r="C1409" s="1019"/>
      <c r="D1409" s="1019"/>
      <c r="E1409" s="1019"/>
      <c r="F1409" s="1019"/>
      <c r="G1409" s="1019"/>
      <c r="H1409" s="1019"/>
      <c r="I1409" s="1019"/>
      <c r="J1409" s="1019"/>
      <c r="K1409" s="1019"/>
      <c r="L1409" s="1140"/>
    </row>
    <row r="1410" spans="1:12" x14ac:dyDescent="0.35">
      <c r="A1410" s="1019"/>
      <c r="B1410" s="1019"/>
      <c r="C1410" s="1019"/>
      <c r="D1410" s="1019"/>
      <c r="E1410" s="1019"/>
      <c r="F1410" s="1019"/>
      <c r="G1410" s="1019"/>
      <c r="H1410" s="1019"/>
      <c r="I1410" s="1019"/>
      <c r="J1410" s="1019"/>
      <c r="K1410" s="1019"/>
      <c r="L1410" s="1140"/>
    </row>
    <row r="1411" spans="1:12" x14ac:dyDescent="0.35">
      <c r="A1411" s="1019"/>
      <c r="B1411" s="1019"/>
      <c r="C1411" s="1019"/>
      <c r="D1411" s="1019"/>
      <c r="E1411" s="1019"/>
      <c r="F1411" s="1019"/>
      <c r="G1411" s="1019"/>
      <c r="H1411" s="1019"/>
      <c r="I1411" s="1019"/>
      <c r="J1411" s="1019"/>
      <c r="K1411" s="1019"/>
      <c r="L1411" s="1140"/>
    </row>
    <row r="1412" spans="1:12" x14ac:dyDescent="0.35">
      <c r="A1412" s="1019"/>
      <c r="B1412" s="1019"/>
      <c r="C1412" s="1019"/>
      <c r="D1412" s="1019"/>
      <c r="E1412" s="1019"/>
      <c r="F1412" s="1019"/>
      <c r="G1412" s="1019"/>
      <c r="H1412" s="1019"/>
      <c r="I1412" s="1019"/>
      <c r="J1412" s="1019"/>
      <c r="K1412" s="1019"/>
      <c r="L1412" s="1140"/>
    </row>
    <row r="1413" spans="1:12" x14ac:dyDescent="0.35">
      <c r="A1413" s="1019"/>
      <c r="B1413" s="1019"/>
      <c r="C1413" s="1019"/>
      <c r="D1413" s="1019"/>
      <c r="E1413" s="1019"/>
      <c r="F1413" s="1019"/>
      <c r="G1413" s="1019"/>
      <c r="H1413" s="1019"/>
      <c r="I1413" s="1019"/>
      <c r="J1413" s="1019"/>
      <c r="K1413" s="1019"/>
      <c r="L1413" s="1140"/>
    </row>
    <row r="1414" spans="1:12" x14ac:dyDescent="0.35">
      <c r="A1414" s="1019"/>
      <c r="B1414" s="1019"/>
      <c r="C1414" s="1019"/>
      <c r="D1414" s="1019"/>
      <c r="E1414" s="1019"/>
      <c r="F1414" s="1019"/>
      <c r="G1414" s="1019"/>
      <c r="H1414" s="1019"/>
      <c r="I1414" s="1019"/>
      <c r="J1414" s="1019"/>
      <c r="K1414" s="1019"/>
      <c r="L1414" s="1140"/>
    </row>
    <row r="1415" spans="1:12" x14ac:dyDescent="0.35">
      <c r="A1415" s="1019"/>
      <c r="B1415" s="1019"/>
      <c r="C1415" s="1019"/>
      <c r="D1415" s="1019"/>
      <c r="E1415" s="1019"/>
      <c r="F1415" s="1019"/>
      <c r="G1415" s="1019"/>
      <c r="H1415" s="1019"/>
      <c r="I1415" s="1019"/>
      <c r="J1415" s="1019"/>
      <c r="K1415" s="1019"/>
      <c r="L1415" s="1140"/>
    </row>
    <row r="1416" spans="1:12" x14ac:dyDescent="0.35">
      <c r="A1416" s="1019"/>
      <c r="B1416" s="1019"/>
      <c r="C1416" s="1019"/>
      <c r="D1416" s="1019"/>
      <c r="E1416" s="1019"/>
      <c r="F1416" s="1019"/>
      <c r="G1416" s="1019"/>
      <c r="H1416" s="1019"/>
      <c r="I1416" s="1019"/>
      <c r="J1416" s="1019"/>
      <c r="K1416" s="1019"/>
      <c r="L1416" s="1140"/>
    </row>
    <row r="1417" spans="1:12" x14ac:dyDescent="0.35">
      <c r="A1417" s="1019"/>
      <c r="B1417" s="1019"/>
      <c r="C1417" s="1019"/>
      <c r="D1417" s="1019"/>
      <c r="E1417" s="1019"/>
      <c r="F1417" s="1019"/>
      <c r="G1417" s="1019"/>
      <c r="H1417" s="1019"/>
      <c r="I1417" s="1019"/>
      <c r="J1417" s="1019"/>
      <c r="K1417" s="1019"/>
      <c r="L1417" s="1140"/>
    </row>
    <row r="1418" spans="1:12" x14ac:dyDescent="0.35">
      <c r="A1418" s="1019"/>
      <c r="B1418" s="1019"/>
      <c r="C1418" s="1019"/>
      <c r="D1418" s="1019"/>
      <c r="E1418" s="1019"/>
      <c r="F1418" s="1019"/>
      <c r="G1418" s="1019"/>
      <c r="H1418" s="1019"/>
      <c r="I1418" s="1019"/>
      <c r="J1418" s="1019"/>
      <c r="K1418" s="1019"/>
      <c r="L1418" s="1140"/>
    </row>
    <row r="1419" spans="1:12" x14ac:dyDescent="0.35">
      <c r="A1419" s="1019"/>
      <c r="B1419" s="1019"/>
      <c r="C1419" s="1019"/>
      <c r="D1419" s="1019"/>
      <c r="E1419" s="1019"/>
      <c r="F1419" s="1019"/>
      <c r="G1419" s="1019"/>
      <c r="H1419" s="1019"/>
      <c r="I1419" s="1019"/>
      <c r="J1419" s="1019"/>
      <c r="K1419" s="1019"/>
      <c r="L1419" s="1140"/>
    </row>
    <row r="1420" spans="1:12" x14ac:dyDescent="0.35">
      <c r="A1420" s="1019"/>
      <c r="B1420" s="1019"/>
      <c r="C1420" s="1019"/>
      <c r="D1420" s="1019"/>
      <c r="E1420" s="1019"/>
      <c r="F1420" s="1019"/>
      <c r="G1420" s="1019"/>
      <c r="H1420" s="1019"/>
      <c r="I1420" s="1019"/>
      <c r="J1420" s="1019"/>
      <c r="K1420" s="1019"/>
      <c r="L1420" s="1140"/>
    </row>
    <row r="1421" spans="1:12" x14ac:dyDescent="0.35">
      <c r="A1421" s="1019"/>
      <c r="B1421" s="1019"/>
      <c r="C1421" s="1019"/>
      <c r="D1421" s="1019"/>
      <c r="E1421" s="1019"/>
      <c r="F1421" s="1019"/>
      <c r="G1421" s="1019"/>
      <c r="H1421" s="1019"/>
      <c r="I1421" s="1019"/>
      <c r="J1421" s="1019"/>
      <c r="K1421" s="1019"/>
      <c r="L1421" s="1140"/>
    </row>
    <row r="1422" spans="1:12" x14ac:dyDescent="0.35">
      <c r="A1422" s="1019"/>
      <c r="B1422" s="1019"/>
      <c r="C1422" s="1019"/>
      <c r="D1422" s="1019"/>
      <c r="E1422" s="1019"/>
      <c r="F1422" s="1019"/>
      <c r="G1422" s="1019"/>
      <c r="H1422" s="1019"/>
      <c r="I1422" s="1019"/>
      <c r="J1422" s="1019"/>
      <c r="K1422" s="1019"/>
      <c r="L1422" s="1140"/>
    </row>
    <row r="1423" spans="1:12" x14ac:dyDescent="0.35">
      <c r="A1423" s="1019"/>
      <c r="B1423" s="1019"/>
      <c r="C1423" s="1019"/>
      <c r="D1423" s="1019"/>
      <c r="E1423" s="1019"/>
      <c r="F1423" s="1019"/>
      <c r="G1423" s="1019"/>
      <c r="H1423" s="1019"/>
      <c r="I1423" s="1019"/>
      <c r="J1423" s="1019"/>
      <c r="K1423" s="1019"/>
      <c r="L1423" s="1140"/>
    </row>
    <row r="1424" spans="1:12" x14ac:dyDescent="0.35">
      <c r="A1424" s="1019"/>
      <c r="B1424" s="1019"/>
      <c r="C1424" s="1019"/>
      <c r="D1424" s="1019"/>
      <c r="E1424" s="1019"/>
      <c r="F1424" s="1019"/>
      <c r="G1424" s="1019"/>
      <c r="H1424" s="1019"/>
      <c r="I1424" s="1019"/>
      <c r="J1424" s="1019"/>
      <c r="K1424" s="1019"/>
      <c r="L1424" s="1140"/>
    </row>
    <row r="1425" spans="1:12" x14ac:dyDescent="0.35">
      <c r="A1425" s="1019"/>
      <c r="B1425" s="1019"/>
      <c r="C1425" s="1019"/>
      <c r="D1425" s="1019"/>
      <c r="E1425" s="1019"/>
      <c r="F1425" s="1019"/>
      <c r="G1425" s="1019"/>
      <c r="H1425" s="1019"/>
      <c r="I1425" s="1019"/>
      <c r="J1425" s="1019"/>
      <c r="K1425" s="1019"/>
      <c r="L1425" s="1140"/>
    </row>
    <row r="1426" spans="1:12" x14ac:dyDescent="0.35">
      <c r="A1426" s="1019"/>
      <c r="B1426" s="1019"/>
      <c r="C1426" s="1019"/>
      <c r="D1426" s="1019"/>
      <c r="E1426" s="1019"/>
      <c r="F1426" s="1019"/>
      <c r="G1426" s="1019"/>
      <c r="H1426" s="1019"/>
      <c r="I1426" s="1019"/>
      <c r="J1426" s="1019"/>
      <c r="K1426" s="1019"/>
      <c r="L1426" s="1140"/>
    </row>
    <row r="1427" spans="1:12" x14ac:dyDescent="0.35">
      <c r="A1427" s="1019"/>
      <c r="B1427" s="1019"/>
      <c r="C1427" s="1019"/>
      <c r="D1427" s="1019"/>
      <c r="E1427" s="1019"/>
      <c r="F1427" s="1019"/>
      <c r="G1427" s="1019"/>
      <c r="H1427" s="1019"/>
      <c r="I1427" s="1019"/>
      <c r="J1427" s="1019"/>
      <c r="K1427" s="1019"/>
      <c r="L1427" s="1140"/>
    </row>
    <row r="1428" spans="1:12" x14ac:dyDescent="0.35">
      <c r="A1428" s="1019"/>
      <c r="B1428" s="1019"/>
      <c r="C1428" s="1019"/>
      <c r="D1428" s="1019"/>
      <c r="E1428" s="1019"/>
      <c r="F1428" s="1019"/>
      <c r="G1428" s="1019"/>
      <c r="H1428" s="1019"/>
      <c r="I1428" s="1019"/>
      <c r="J1428" s="1019"/>
      <c r="K1428" s="1019"/>
      <c r="L1428" s="1140"/>
    </row>
    <row r="1429" spans="1:12" x14ac:dyDescent="0.35">
      <c r="A1429" s="1019"/>
      <c r="B1429" s="1019"/>
      <c r="C1429" s="1019"/>
      <c r="D1429" s="1019"/>
      <c r="E1429" s="1019"/>
      <c r="F1429" s="1019"/>
      <c r="G1429" s="1019"/>
      <c r="H1429" s="1019"/>
      <c r="I1429" s="1019"/>
      <c r="J1429" s="1019"/>
      <c r="K1429" s="1019"/>
      <c r="L1429" s="1140"/>
    </row>
    <row r="1430" spans="1:12" x14ac:dyDescent="0.35">
      <c r="A1430" s="1019"/>
      <c r="B1430" s="1019"/>
      <c r="C1430" s="1019"/>
      <c r="D1430" s="1019"/>
      <c r="E1430" s="1019"/>
      <c r="F1430" s="1019"/>
      <c r="G1430" s="1019"/>
      <c r="H1430" s="1019"/>
      <c r="I1430" s="1019"/>
      <c r="J1430" s="1019"/>
      <c r="K1430" s="1019"/>
      <c r="L1430" s="1140"/>
    </row>
    <row r="1431" spans="1:12" x14ac:dyDescent="0.35">
      <c r="A1431" s="1019"/>
      <c r="B1431" s="1019"/>
      <c r="C1431" s="1019"/>
      <c r="D1431" s="1019"/>
      <c r="E1431" s="1019"/>
      <c r="F1431" s="1019"/>
      <c r="G1431" s="1019"/>
      <c r="H1431" s="1019"/>
      <c r="I1431" s="1019"/>
      <c r="J1431" s="1019"/>
      <c r="K1431" s="1019"/>
      <c r="L1431" s="1140"/>
    </row>
    <row r="1432" spans="1:12" x14ac:dyDescent="0.35">
      <c r="A1432" s="1019"/>
      <c r="B1432" s="1019"/>
      <c r="C1432" s="1019"/>
      <c r="D1432" s="1019"/>
      <c r="E1432" s="1019"/>
      <c r="F1432" s="1019"/>
      <c r="G1432" s="1019"/>
      <c r="H1432" s="1019"/>
      <c r="I1432" s="1019"/>
      <c r="J1432" s="1019"/>
      <c r="K1432" s="1019"/>
      <c r="L1432" s="1140"/>
    </row>
    <row r="1433" spans="1:12" x14ac:dyDescent="0.35">
      <c r="A1433" s="1019"/>
      <c r="B1433" s="1019"/>
      <c r="C1433" s="1019"/>
      <c r="D1433" s="1019"/>
      <c r="E1433" s="1019"/>
      <c r="F1433" s="1019"/>
      <c r="G1433" s="1019"/>
      <c r="H1433" s="1019"/>
      <c r="I1433" s="1019"/>
      <c r="J1433" s="1019"/>
      <c r="K1433" s="1019"/>
      <c r="L1433" s="1140"/>
    </row>
    <row r="1434" spans="1:12" x14ac:dyDescent="0.35">
      <c r="A1434" s="1019"/>
      <c r="B1434" s="1019"/>
      <c r="C1434" s="1019"/>
      <c r="D1434" s="1019"/>
      <c r="E1434" s="1019"/>
      <c r="F1434" s="1019"/>
      <c r="G1434" s="1019"/>
      <c r="H1434" s="1019"/>
      <c r="I1434" s="1019"/>
      <c r="J1434" s="1019"/>
      <c r="K1434" s="1019"/>
      <c r="L1434" s="1140"/>
    </row>
    <row r="1435" spans="1:12" x14ac:dyDescent="0.35">
      <c r="A1435" s="1019"/>
      <c r="B1435" s="1019"/>
      <c r="C1435" s="1019"/>
      <c r="D1435" s="1019"/>
      <c r="E1435" s="1019"/>
      <c r="F1435" s="1019"/>
      <c r="G1435" s="1019"/>
      <c r="H1435" s="1019"/>
      <c r="I1435" s="1019"/>
      <c r="J1435" s="1019"/>
      <c r="K1435" s="1019"/>
      <c r="L1435" s="1140"/>
    </row>
    <row r="1436" spans="1:12" x14ac:dyDescent="0.35">
      <c r="A1436" s="1019"/>
      <c r="B1436" s="1019"/>
      <c r="C1436" s="1019"/>
      <c r="D1436" s="1019"/>
      <c r="E1436" s="1019"/>
      <c r="F1436" s="1019"/>
      <c r="G1436" s="1019"/>
      <c r="H1436" s="1019"/>
      <c r="I1436" s="1019"/>
      <c r="J1436" s="1019"/>
      <c r="K1436" s="1019"/>
      <c r="L1436" s="1140"/>
    </row>
    <row r="1437" spans="1:12" x14ac:dyDescent="0.35">
      <c r="A1437" s="1019"/>
      <c r="B1437" s="1019"/>
      <c r="C1437" s="1019"/>
      <c r="D1437" s="1019"/>
      <c r="E1437" s="1019"/>
      <c r="F1437" s="1019"/>
      <c r="G1437" s="1019"/>
      <c r="H1437" s="1019"/>
      <c r="I1437" s="1019"/>
      <c r="J1437" s="1019"/>
      <c r="K1437" s="1019"/>
      <c r="L1437" s="1140"/>
    </row>
    <row r="1438" spans="1:12" x14ac:dyDescent="0.35">
      <c r="A1438" s="1019"/>
      <c r="B1438" s="1019"/>
      <c r="C1438" s="1019"/>
      <c r="D1438" s="1019"/>
      <c r="E1438" s="1019"/>
      <c r="F1438" s="1019"/>
      <c r="G1438" s="1019"/>
      <c r="H1438" s="1019"/>
      <c r="I1438" s="1019"/>
      <c r="J1438" s="1019"/>
      <c r="K1438" s="1019"/>
      <c r="L1438" s="1140"/>
    </row>
    <row r="1439" spans="1:12" x14ac:dyDescent="0.35">
      <c r="A1439" s="1019"/>
      <c r="B1439" s="1019"/>
      <c r="C1439" s="1019"/>
      <c r="D1439" s="1019"/>
      <c r="E1439" s="1019"/>
      <c r="F1439" s="1019"/>
      <c r="G1439" s="1019"/>
      <c r="H1439" s="1019"/>
      <c r="I1439" s="1019"/>
      <c r="J1439" s="1019"/>
      <c r="K1439" s="1019"/>
      <c r="L1439" s="1140"/>
    </row>
    <row r="1440" spans="1:12" x14ac:dyDescent="0.35">
      <c r="A1440" s="1019"/>
      <c r="B1440" s="1019"/>
      <c r="C1440" s="1019"/>
      <c r="D1440" s="1019"/>
      <c r="E1440" s="1019"/>
      <c r="F1440" s="1019"/>
      <c r="G1440" s="1019"/>
      <c r="H1440" s="1019"/>
      <c r="I1440" s="1019"/>
      <c r="J1440" s="1019"/>
      <c r="K1440" s="1019"/>
      <c r="L1440" s="1140"/>
    </row>
    <row r="1441" spans="1:12" x14ac:dyDescent="0.35">
      <c r="A1441" s="1019"/>
      <c r="B1441" s="1019"/>
      <c r="C1441" s="1019"/>
      <c r="D1441" s="1019"/>
      <c r="E1441" s="1019"/>
      <c r="F1441" s="1019"/>
      <c r="G1441" s="1019"/>
      <c r="H1441" s="1019"/>
      <c r="I1441" s="1019"/>
      <c r="J1441" s="1019"/>
      <c r="K1441" s="1019"/>
      <c r="L1441" s="1140"/>
    </row>
    <row r="1442" spans="1:12" x14ac:dyDescent="0.35">
      <c r="A1442" s="1019"/>
      <c r="B1442" s="1019"/>
      <c r="C1442" s="1019"/>
      <c r="D1442" s="1019"/>
      <c r="E1442" s="1019"/>
      <c r="F1442" s="1019"/>
      <c r="G1442" s="1019"/>
      <c r="H1442" s="1019"/>
      <c r="I1442" s="1019"/>
      <c r="J1442" s="1019"/>
      <c r="K1442" s="1019"/>
      <c r="L1442" s="1140"/>
    </row>
    <row r="1443" spans="1:12" x14ac:dyDescent="0.35">
      <c r="A1443" s="1019"/>
      <c r="B1443" s="1019"/>
      <c r="C1443" s="1019"/>
      <c r="D1443" s="1019"/>
      <c r="E1443" s="1019"/>
      <c r="F1443" s="1019"/>
      <c r="G1443" s="1019"/>
      <c r="H1443" s="1019"/>
      <c r="I1443" s="1019"/>
      <c r="J1443" s="1019"/>
      <c r="K1443" s="1019"/>
      <c r="L1443" s="1140"/>
    </row>
    <row r="1444" spans="1:12" x14ac:dyDescent="0.35">
      <c r="A1444" s="1019"/>
      <c r="B1444" s="1019"/>
      <c r="C1444" s="1019"/>
      <c r="D1444" s="1019"/>
      <c r="E1444" s="1019"/>
      <c r="F1444" s="1019"/>
      <c r="G1444" s="1019"/>
      <c r="H1444" s="1019"/>
      <c r="I1444" s="1019"/>
      <c r="J1444" s="1019"/>
      <c r="K1444" s="1019"/>
      <c r="L1444" s="1140"/>
    </row>
    <row r="1445" spans="1:12" x14ac:dyDescent="0.35">
      <c r="A1445" s="1019"/>
      <c r="B1445" s="1019"/>
      <c r="C1445" s="1019"/>
      <c r="D1445" s="1019"/>
      <c r="E1445" s="1019"/>
      <c r="F1445" s="1019"/>
      <c r="G1445" s="1019"/>
      <c r="H1445" s="1019"/>
      <c r="I1445" s="1019"/>
      <c r="J1445" s="1019"/>
      <c r="K1445" s="1019"/>
      <c r="L1445" s="1140"/>
    </row>
    <row r="1446" spans="1:12" x14ac:dyDescent="0.35">
      <c r="A1446" s="1019"/>
      <c r="B1446" s="1019"/>
      <c r="C1446" s="1019"/>
      <c r="D1446" s="1019"/>
      <c r="E1446" s="1019"/>
      <c r="F1446" s="1019"/>
      <c r="G1446" s="1019"/>
      <c r="H1446" s="1019"/>
      <c r="I1446" s="1019"/>
      <c r="J1446" s="1019"/>
      <c r="K1446" s="1019"/>
      <c r="L1446" s="1140"/>
    </row>
    <row r="1447" spans="1:12" x14ac:dyDescent="0.35">
      <c r="A1447" s="1019"/>
      <c r="B1447" s="1019"/>
      <c r="C1447" s="1019"/>
      <c r="D1447" s="1019"/>
      <c r="E1447" s="1019"/>
      <c r="F1447" s="1019"/>
      <c r="G1447" s="1019"/>
      <c r="H1447" s="1019"/>
      <c r="I1447" s="1019"/>
      <c r="J1447" s="1019"/>
      <c r="K1447" s="1019"/>
      <c r="L1447" s="1140"/>
    </row>
    <row r="1448" spans="1:12" x14ac:dyDescent="0.35">
      <c r="A1448" s="1019"/>
      <c r="B1448" s="1019"/>
      <c r="C1448" s="1019"/>
      <c r="D1448" s="1019"/>
      <c r="E1448" s="1019"/>
      <c r="F1448" s="1019"/>
      <c r="G1448" s="1019"/>
      <c r="H1448" s="1019"/>
      <c r="I1448" s="1019"/>
      <c r="J1448" s="1019"/>
      <c r="K1448" s="1019"/>
      <c r="L1448" s="1140"/>
    </row>
    <row r="1449" spans="1:12" x14ac:dyDescent="0.35">
      <c r="A1449" s="1019"/>
      <c r="B1449" s="1019"/>
      <c r="C1449" s="1019"/>
      <c r="D1449" s="1019"/>
      <c r="E1449" s="1019"/>
      <c r="F1449" s="1019"/>
      <c r="G1449" s="1019"/>
      <c r="H1449" s="1019"/>
      <c r="I1449" s="1019"/>
      <c r="J1449" s="1019"/>
      <c r="K1449" s="1019"/>
      <c r="L1449" s="1140"/>
    </row>
    <row r="1450" spans="1:12" x14ac:dyDescent="0.35">
      <c r="A1450" s="1019"/>
      <c r="B1450" s="1019"/>
      <c r="C1450" s="1019"/>
      <c r="D1450" s="1019"/>
      <c r="E1450" s="1019"/>
      <c r="F1450" s="1019"/>
      <c r="G1450" s="1019"/>
      <c r="H1450" s="1019"/>
      <c r="I1450" s="1019"/>
      <c r="J1450" s="1019"/>
      <c r="K1450" s="1019"/>
      <c r="L1450" s="1140"/>
    </row>
    <row r="1451" spans="1:12" x14ac:dyDescent="0.35">
      <c r="A1451" s="1019"/>
      <c r="B1451" s="1019"/>
      <c r="C1451" s="1019"/>
      <c r="D1451" s="1019"/>
      <c r="E1451" s="1019"/>
      <c r="F1451" s="1019"/>
      <c r="G1451" s="1019"/>
      <c r="H1451" s="1019"/>
      <c r="I1451" s="1019"/>
      <c r="J1451" s="1019"/>
      <c r="K1451" s="1019"/>
      <c r="L1451" s="1140"/>
    </row>
    <row r="1452" spans="1:12" x14ac:dyDescent="0.35">
      <c r="A1452" s="1019"/>
      <c r="B1452" s="1019"/>
      <c r="C1452" s="1019"/>
      <c r="D1452" s="1019"/>
      <c r="E1452" s="1019"/>
      <c r="F1452" s="1019"/>
      <c r="G1452" s="1019"/>
      <c r="H1452" s="1019"/>
      <c r="I1452" s="1019"/>
      <c r="J1452" s="1019"/>
      <c r="K1452" s="1019"/>
      <c r="L1452" s="1140"/>
    </row>
    <row r="1453" spans="1:12" x14ac:dyDescent="0.35">
      <c r="A1453" s="1019"/>
      <c r="B1453" s="1019"/>
      <c r="C1453" s="1019"/>
      <c r="D1453" s="1019"/>
      <c r="E1453" s="1019"/>
      <c r="F1453" s="1019"/>
      <c r="G1453" s="1019"/>
      <c r="H1453" s="1019"/>
      <c r="I1453" s="1019"/>
      <c r="J1453" s="1019"/>
      <c r="K1453" s="1019"/>
      <c r="L1453" s="1140"/>
    </row>
    <row r="1454" spans="1:12" x14ac:dyDescent="0.35">
      <c r="A1454" s="1019"/>
      <c r="B1454" s="1019"/>
      <c r="C1454" s="1019"/>
      <c r="D1454" s="1019"/>
      <c r="E1454" s="1019"/>
      <c r="F1454" s="1019"/>
      <c r="G1454" s="1019"/>
      <c r="H1454" s="1019"/>
      <c r="I1454" s="1019"/>
      <c r="J1454" s="1019"/>
      <c r="K1454" s="1019"/>
      <c r="L1454" s="1140"/>
    </row>
    <row r="1455" spans="1:12" x14ac:dyDescent="0.35">
      <c r="A1455" s="1019"/>
      <c r="B1455" s="1019"/>
      <c r="C1455" s="1019"/>
      <c r="D1455" s="1019"/>
      <c r="E1455" s="1019"/>
      <c r="F1455" s="1019"/>
      <c r="G1455" s="1019"/>
      <c r="H1455" s="1019"/>
      <c r="I1455" s="1019"/>
      <c r="J1455" s="1019"/>
      <c r="K1455" s="1019"/>
      <c r="L1455" s="1140"/>
    </row>
    <row r="1456" spans="1:12" x14ac:dyDescent="0.35">
      <c r="A1456" s="1019"/>
      <c r="B1456" s="1019"/>
      <c r="C1456" s="1019"/>
      <c r="D1456" s="1019"/>
      <c r="E1456" s="1019"/>
      <c r="F1456" s="1019"/>
      <c r="G1456" s="1019"/>
      <c r="H1456" s="1019"/>
      <c r="I1456" s="1019"/>
      <c r="J1456" s="1019"/>
      <c r="K1456" s="1019"/>
      <c r="L1456" s="1140"/>
    </row>
    <row r="1457" spans="1:12" x14ac:dyDescent="0.35">
      <c r="A1457" s="1019"/>
      <c r="B1457" s="1019"/>
      <c r="C1457" s="1019"/>
      <c r="D1457" s="1019"/>
      <c r="E1457" s="1019"/>
      <c r="F1457" s="1019"/>
      <c r="G1457" s="1019"/>
      <c r="H1457" s="1019"/>
      <c r="I1457" s="1019"/>
      <c r="J1457" s="1019"/>
      <c r="K1457" s="1019"/>
      <c r="L1457" s="1140"/>
    </row>
    <row r="1458" spans="1:12" x14ac:dyDescent="0.35">
      <c r="A1458" s="1019"/>
      <c r="B1458" s="1019"/>
      <c r="C1458" s="1019"/>
      <c r="D1458" s="1019"/>
      <c r="E1458" s="1019"/>
      <c r="F1458" s="1019"/>
      <c r="G1458" s="1019"/>
      <c r="H1458" s="1019"/>
      <c r="I1458" s="1019"/>
      <c r="J1458" s="1019"/>
      <c r="K1458" s="1019"/>
      <c r="L1458" s="1140"/>
    </row>
    <row r="1459" spans="1:12" x14ac:dyDescent="0.35">
      <c r="A1459" s="1019"/>
      <c r="B1459" s="1019"/>
      <c r="C1459" s="1019"/>
      <c r="D1459" s="1019"/>
      <c r="E1459" s="1019"/>
      <c r="F1459" s="1019"/>
      <c r="G1459" s="1019"/>
      <c r="H1459" s="1019"/>
      <c r="I1459" s="1019"/>
      <c r="J1459" s="1019"/>
      <c r="K1459" s="1019"/>
      <c r="L1459" s="1140"/>
    </row>
    <row r="1460" spans="1:12" x14ac:dyDescent="0.35">
      <c r="A1460" s="1019"/>
      <c r="B1460" s="1019"/>
      <c r="C1460" s="1019"/>
      <c r="D1460" s="1019"/>
      <c r="E1460" s="1019"/>
      <c r="F1460" s="1019"/>
      <c r="G1460" s="1019"/>
      <c r="H1460" s="1019"/>
      <c r="I1460" s="1019"/>
      <c r="J1460" s="1019"/>
      <c r="K1460" s="1019"/>
      <c r="L1460" s="1140"/>
    </row>
    <row r="1461" spans="1:12" x14ac:dyDescent="0.35">
      <c r="A1461" s="1019"/>
      <c r="B1461" s="1019"/>
      <c r="C1461" s="1019"/>
      <c r="D1461" s="1019"/>
      <c r="E1461" s="1019"/>
      <c r="F1461" s="1019"/>
      <c r="G1461" s="1019"/>
      <c r="H1461" s="1019"/>
      <c r="I1461" s="1019"/>
      <c r="J1461" s="1019"/>
      <c r="K1461" s="1019"/>
      <c r="L1461" s="1140"/>
    </row>
    <row r="1462" spans="1:12" x14ac:dyDescent="0.35">
      <c r="A1462" s="1019"/>
      <c r="B1462" s="1019"/>
      <c r="C1462" s="1019"/>
      <c r="D1462" s="1019"/>
      <c r="E1462" s="1019"/>
      <c r="F1462" s="1019"/>
      <c r="G1462" s="1019"/>
      <c r="H1462" s="1019"/>
      <c r="I1462" s="1019"/>
      <c r="J1462" s="1019"/>
      <c r="K1462" s="1019"/>
      <c r="L1462" s="1140"/>
    </row>
    <row r="1463" spans="1:12" x14ac:dyDescent="0.35">
      <c r="A1463" s="1019"/>
      <c r="B1463" s="1019"/>
      <c r="C1463" s="1019"/>
      <c r="D1463" s="1019"/>
      <c r="E1463" s="1019"/>
      <c r="F1463" s="1019"/>
      <c r="G1463" s="1019"/>
      <c r="H1463" s="1019"/>
      <c r="I1463" s="1019"/>
      <c r="J1463" s="1019"/>
      <c r="K1463" s="1019"/>
      <c r="L1463" s="1140"/>
    </row>
    <row r="1464" spans="1:12" x14ac:dyDescent="0.35">
      <c r="A1464" s="1019"/>
      <c r="B1464" s="1019"/>
      <c r="C1464" s="1019"/>
      <c r="D1464" s="1019"/>
      <c r="E1464" s="1019"/>
      <c r="F1464" s="1019"/>
      <c r="G1464" s="1019"/>
      <c r="H1464" s="1019"/>
      <c r="I1464" s="1019"/>
      <c r="J1464" s="1019"/>
      <c r="K1464" s="1019"/>
      <c r="L1464" s="1140"/>
    </row>
    <row r="1465" spans="1:12" x14ac:dyDescent="0.35">
      <c r="A1465" s="1019"/>
      <c r="B1465" s="1019"/>
      <c r="C1465" s="1019"/>
      <c r="D1465" s="1019"/>
      <c r="E1465" s="1019"/>
      <c r="F1465" s="1019"/>
      <c r="G1465" s="1019"/>
      <c r="H1465" s="1019"/>
      <c r="I1465" s="1019"/>
      <c r="J1465" s="1019"/>
      <c r="K1465" s="1019"/>
      <c r="L1465" s="1140"/>
    </row>
    <row r="1466" spans="1:12" x14ac:dyDescent="0.35">
      <c r="A1466" s="1019"/>
      <c r="B1466" s="1019"/>
      <c r="C1466" s="1019"/>
      <c r="D1466" s="1019"/>
      <c r="E1466" s="1019"/>
      <c r="F1466" s="1019"/>
      <c r="G1466" s="1019"/>
      <c r="H1466" s="1019"/>
      <c r="I1466" s="1019"/>
      <c r="J1466" s="1019"/>
      <c r="K1466" s="1019"/>
      <c r="L1466" s="1140"/>
    </row>
    <row r="1467" spans="1:12" x14ac:dyDescent="0.35">
      <c r="A1467" s="1019"/>
      <c r="B1467" s="1019"/>
      <c r="C1467" s="1019"/>
      <c r="D1467" s="1019"/>
      <c r="E1467" s="1019"/>
      <c r="F1467" s="1019"/>
      <c r="G1467" s="1019"/>
      <c r="H1467" s="1019"/>
      <c r="I1467" s="1019"/>
      <c r="J1467" s="1019"/>
      <c r="K1467" s="1019"/>
      <c r="L1467" s="1140"/>
    </row>
    <row r="1468" spans="1:12" x14ac:dyDescent="0.35">
      <c r="A1468" s="1019"/>
      <c r="B1468" s="1019"/>
      <c r="C1468" s="1019"/>
      <c r="D1468" s="1019"/>
      <c r="E1468" s="1019"/>
      <c r="F1468" s="1019"/>
      <c r="G1468" s="1019"/>
      <c r="H1468" s="1019"/>
      <c r="I1468" s="1019"/>
      <c r="J1468" s="1019"/>
      <c r="K1468" s="1019"/>
      <c r="L1468" s="1140"/>
    </row>
    <row r="1469" spans="1:12" x14ac:dyDescent="0.35">
      <c r="A1469" s="1019"/>
      <c r="B1469" s="1019"/>
      <c r="C1469" s="1019"/>
      <c r="D1469" s="1019"/>
      <c r="E1469" s="1019"/>
      <c r="F1469" s="1019"/>
      <c r="G1469" s="1019"/>
      <c r="H1469" s="1019"/>
      <c r="I1469" s="1019"/>
      <c r="J1469" s="1019"/>
      <c r="K1469" s="1019"/>
      <c r="L1469" s="1140"/>
    </row>
    <row r="1470" spans="1:12" x14ac:dyDescent="0.35">
      <c r="A1470" s="1019"/>
      <c r="B1470" s="1019"/>
      <c r="C1470" s="1019"/>
      <c r="D1470" s="1019"/>
      <c r="E1470" s="1019"/>
      <c r="F1470" s="1019"/>
      <c r="G1470" s="1019"/>
      <c r="H1470" s="1019"/>
      <c r="I1470" s="1019"/>
      <c r="J1470" s="1019"/>
      <c r="K1470" s="1019"/>
      <c r="L1470" s="1140"/>
    </row>
    <row r="1471" spans="1:12" x14ac:dyDescent="0.35">
      <c r="A1471" s="1019"/>
      <c r="B1471" s="1019"/>
      <c r="C1471" s="1019"/>
      <c r="D1471" s="1019"/>
      <c r="E1471" s="1019"/>
      <c r="F1471" s="1019"/>
      <c r="G1471" s="1019"/>
      <c r="H1471" s="1019"/>
      <c r="I1471" s="1019"/>
      <c r="J1471" s="1019"/>
      <c r="K1471" s="1019"/>
      <c r="L1471" s="1140"/>
    </row>
    <row r="1472" spans="1:12" x14ac:dyDescent="0.35">
      <c r="A1472" s="1019"/>
      <c r="B1472" s="1019"/>
      <c r="C1472" s="1019"/>
      <c r="D1472" s="1019"/>
      <c r="E1472" s="1019"/>
      <c r="F1472" s="1019"/>
      <c r="G1472" s="1019"/>
      <c r="H1472" s="1019"/>
      <c r="I1472" s="1019"/>
      <c r="J1472" s="1019"/>
      <c r="K1472" s="1019"/>
      <c r="L1472" s="1140"/>
    </row>
    <row r="1473" spans="1:12" x14ac:dyDescent="0.35">
      <c r="A1473" s="1019"/>
      <c r="B1473" s="1019"/>
      <c r="C1473" s="1019"/>
      <c r="D1473" s="1019"/>
      <c r="E1473" s="1019"/>
      <c r="F1473" s="1019"/>
      <c r="G1473" s="1019"/>
      <c r="H1473" s="1019"/>
      <c r="I1473" s="1019"/>
      <c r="J1473" s="1019"/>
      <c r="K1473" s="1019"/>
      <c r="L1473" s="1140"/>
    </row>
    <row r="1474" spans="1:12" x14ac:dyDescent="0.35">
      <c r="A1474" s="1019"/>
      <c r="B1474" s="1019"/>
      <c r="C1474" s="1019"/>
      <c r="D1474" s="1019"/>
      <c r="E1474" s="1019"/>
      <c r="F1474" s="1019"/>
      <c r="G1474" s="1019"/>
      <c r="H1474" s="1019"/>
      <c r="I1474" s="1019"/>
      <c r="J1474" s="1019"/>
      <c r="K1474" s="1019"/>
      <c r="L1474" s="1140"/>
    </row>
    <row r="1475" spans="1:12" x14ac:dyDescent="0.35">
      <c r="A1475" s="1019"/>
      <c r="B1475" s="1019"/>
      <c r="C1475" s="1019"/>
      <c r="D1475" s="1019"/>
      <c r="E1475" s="1019"/>
      <c r="F1475" s="1019"/>
      <c r="G1475" s="1019"/>
      <c r="H1475" s="1019"/>
      <c r="I1475" s="1019"/>
      <c r="J1475" s="1019"/>
      <c r="K1475" s="1019"/>
      <c r="L1475" s="1140"/>
    </row>
    <row r="1476" spans="1:12" x14ac:dyDescent="0.35">
      <c r="A1476" s="1019"/>
      <c r="B1476" s="1019"/>
      <c r="C1476" s="1019"/>
      <c r="D1476" s="1019"/>
      <c r="E1476" s="1019"/>
      <c r="F1476" s="1019"/>
      <c r="G1476" s="1019"/>
      <c r="H1476" s="1019"/>
      <c r="I1476" s="1019"/>
      <c r="J1476" s="1019"/>
      <c r="K1476" s="1019"/>
      <c r="L1476" s="1140"/>
    </row>
    <row r="1477" spans="1:12" x14ac:dyDescent="0.35">
      <c r="A1477" s="1019"/>
      <c r="B1477" s="1019"/>
      <c r="C1477" s="1019"/>
      <c r="D1477" s="1019"/>
      <c r="E1477" s="1019"/>
      <c r="F1477" s="1019"/>
      <c r="G1477" s="1019"/>
      <c r="H1477" s="1019"/>
      <c r="I1477" s="1019"/>
      <c r="J1477" s="1019"/>
      <c r="K1477" s="1019"/>
      <c r="L1477" s="1140"/>
    </row>
    <row r="1478" spans="1:12" x14ac:dyDescent="0.35">
      <c r="A1478" s="1019"/>
      <c r="B1478" s="1019"/>
      <c r="C1478" s="1019"/>
      <c r="D1478" s="1019"/>
      <c r="E1478" s="1019"/>
      <c r="F1478" s="1019"/>
      <c r="G1478" s="1019"/>
      <c r="H1478" s="1019"/>
      <c r="I1478" s="1019"/>
      <c r="J1478" s="1019"/>
      <c r="K1478" s="1019"/>
      <c r="L1478" s="1140"/>
    </row>
    <row r="1479" spans="1:12" x14ac:dyDescent="0.35">
      <c r="A1479" s="1019"/>
      <c r="B1479" s="1019"/>
      <c r="C1479" s="1019"/>
      <c r="D1479" s="1019"/>
      <c r="E1479" s="1019"/>
      <c r="F1479" s="1019"/>
      <c r="G1479" s="1019"/>
      <c r="H1479" s="1019"/>
      <c r="I1479" s="1019"/>
      <c r="J1479" s="1019"/>
      <c r="K1479" s="1019"/>
      <c r="L1479" s="1140"/>
    </row>
    <row r="1480" spans="1:12" x14ac:dyDescent="0.35">
      <c r="A1480" s="1019"/>
      <c r="B1480" s="1019"/>
      <c r="C1480" s="1019"/>
      <c r="D1480" s="1019"/>
      <c r="E1480" s="1019"/>
      <c r="F1480" s="1019"/>
      <c r="G1480" s="1019"/>
      <c r="H1480" s="1019"/>
      <c r="I1480" s="1019"/>
      <c r="J1480" s="1019"/>
      <c r="K1480" s="1019"/>
      <c r="L1480" s="1140"/>
    </row>
    <row r="1481" spans="1:12" x14ac:dyDescent="0.35">
      <c r="A1481" s="1019"/>
      <c r="B1481" s="1019"/>
      <c r="C1481" s="1019"/>
      <c r="D1481" s="1019"/>
      <c r="E1481" s="1019"/>
      <c r="F1481" s="1019"/>
      <c r="G1481" s="1019"/>
      <c r="H1481" s="1019"/>
      <c r="I1481" s="1019"/>
      <c r="J1481" s="1019"/>
      <c r="K1481" s="1019"/>
      <c r="L1481" s="1140"/>
    </row>
    <row r="1482" spans="1:12" x14ac:dyDescent="0.35">
      <c r="A1482" s="1019"/>
      <c r="B1482" s="1019"/>
      <c r="C1482" s="1019"/>
      <c r="D1482" s="1019"/>
      <c r="E1482" s="1019"/>
      <c r="F1482" s="1019"/>
      <c r="G1482" s="1019"/>
      <c r="H1482" s="1019"/>
      <c r="I1482" s="1019"/>
      <c r="J1482" s="1019"/>
      <c r="K1482" s="1019"/>
      <c r="L1482" s="1140"/>
    </row>
    <row r="1483" spans="1:12" x14ac:dyDescent="0.35">
      <c r="A1483" s="1019"/>
      <c r="B1483" s="1019"/>
      <c r="C1483" s="1019"/>
      <c r="D1483" s="1019"/>
      <c r="E1483" s="1019"/>
      <c r="F1483" s="1019"/>
      <c r="G1483" s="1019"/>
      <c r="H1483" s="1019"/>
      <c r="I1483" s="1019"/>
      <c r="J1483" s="1019"/>
      <c r="K1483" s="1019"/>
      <c r="L1483" s="1140"/>
    </row>
    <row r="1484" spans="1:12" x14ac:dyDescent="0.35">
      <c r="A1484" s="1019"/>
      <c r="B1484" s="1019"/>
      <c r="C1484" s="1019"/>
      <c r="D1484" s="1019"/>
      <c r="E1484" s="1019"/>
      <c r="F1484" s="1019"/>
      <c r="G1484" s="1019"/>
      <c r="H1484" s="1019"/>
      <c r="I1484" s="1019"/>
      <c r="J1484" s="1019"/>
      <c r="K1484" s="1019"/>
      <c r="L1484" s="1140"/>
    </row>
    <row r="1485" spans="1:12" x14ac:dyDescent="0.35">
      <c r="A1485" s="1019"/>
      <c r="B1485" s="1019"/>
      <c r="C1485" s="1019"/>
      <c r="D1485" s="1019"/>
      <c r="E1485" s="1019"/>
      <c r="F1485" s="1019"/>
      <c r="G1485" s="1019"/>
      <c r="H1485" s="1019"/>
      <c r="I1485" s="1019"/>
      <c r="J1485" s="1019"/>
      <c r="K1485" s="1019"/>
      <c r="L1485" s="1140"/>
    </row>
    <row r="1486" spans="1:12" x14ac:dyDescent="0.35">
      <c r="A1486" s="1019"/>
      <c r="B1486" s="1019"/>
      <c r="C1486" s="1019"/>
      <c r="D1486" s="1019"/>
      <c r="E1486" s="1019"/>
      <c r="F1486" s="1019"/>
      <c r="G1486" s="1019"/>
      <c r="H1486" s="1019"/>
      <c r="I1486" s="1019"/>
      <c r="J1486" s="1019"/>
      <c r="K1486" s="1019"/>
      <c r="L1486" s="1140"/>
    </row>
    <row r="1487" spans="1:12" x14ac:dyDescent="0.35">
      <c r="A1487" s="1019"/>
      <c r="B1487" s="1019"/>
      <c r="C1487" s="1019"/>
      <c r="D1487" s="1019"/>
      <c r="E1487" s="1019"/>
      <c r="F1487" s="1019"/>
      <c r="G1487" s="1019"/>
      <c r="H1487" s="1019"/>
      <c r="I1487" s="1019"/>
      <c r="J1487" s="1019"/>
      <c r="K1487" s="1019"/>
      <c r="L1487" s="1140"/>
    </row>
    <row r="1488" spans="1:12" x14ac:dyDescent="0.35">
      <c r="A1488" s="1019"/>
      <c r="B1488" s="1019"/>
      <c r="C1488" s="1019"/>
      <c r="D1488" s="1019"/>
      <c r="E1488" s="1019"/>
      <c r="F1488" s="1019"/>
      <c r="G1488" s="1019"/>
      <c r="H1488" s="1019"/>
      <c r="I1488" s="1019"/>
      <c r="J1488" s="1019"/>
      <c r="K1488" s="1019"/>
      <c r="L1488" s="1140"/>
    </row>
    <row r="1489" spans="1:12" x14ac:dyDescent="0.35">
      <c r="A1489" s="1019"/>
      <c r="B1489" s="1019"/>
      <c r="C1489" s="1019"/>
      <c r="D1489" s="1019"/>
      <c r="E1489" s="1019"/>
      <c r="F1489" s="1019"/>
      <c r="G1489" s="1019"/>
      <c r="H1489" s="1019"/>
      <c r="I1489" s="1019"/>
      <c r="J1489" s="1019"/>
      <c r="K1489" s="1019"/>
      <c r="L1489" s="1140"/>
    </row>
    <row r="1490" spans="1:12" x14ac:dyDescent="0.35">
      <c r="A1490" s="1019"/>
      <c r="B1490" s="1019"/>
      <c r="C1490" s="1019"/>
      <c r="D1490" s="1019"/>
      <c r="E1490" s="1019"/>
      <c r="F1490" s="1019"/>
      <c r="G1490" s="1019"/>
      <c r="H1490" s="1019"/>
      <c r="I1490" s="1019"/>
      <c r="J1490" s="1019"/>
      <c r="K1490" s="1019"/>
      <c r="L1490" s="1140"/>
    </row>
    <row r="1491" spans="1:12" x14ac:dyDescent="0.35">
      <c r="A1491" s="1019"/>
      <c r="B1491" s="1019"/>
      <c r="C1491" s="1019"/>
      <c r="D1491" s="1019"/>
      <c r="E1491" s="1019"/>
      <c r="F1491" s="1019"/>
      <c r="G1491" s="1019"/>
      <c r="H1491" s="1019"/>
      <c r="I1491" s="1019"/>
      <c r="J1491" s="1019"/>
      <c r="K1491" s="1019"/>
      <c r="L1491" s="1140"/>
    </row>
    <row r="1492" spans="1:12" x14ac:dyDescent="0.35">
      <c r="A1492" s="1019"/>
      <c r="B1492" s="1019"/>
      <c r="C1492" s="1019"/>
      <c r="D1492" s="1019"/>
      <c r="E1492" s="1019"/>
      <c r="F1492" s="1019"/>
      <c r="G1492" s="1019"/>
      <c r="H1492" s="1019"/>
      <c r="I1492" s="1019"/>
      <c r="J1492" s="1019"/>
      <c r="K1492" s="1019"/>
      <c r="L1492" s="1140"/>
    </row>
    <row r="1493" spans="1:12" x14ac:dyDescent="0.35">
      <c r="A1493" s="1019"/>
      <c r="B1493" s="1019"/>
      <c r="C1493" s="1019"/>
      <c r="D1493" s="1019"/>
      <c r="E1493" s="1019"/>
      <c r="F1493" s="1019"/>
      <c r="G1493" s="1019"/>
      <c r="H1493" s="1019"/>
      <c r="I1493" s="1019"/>
      <c r="J1493" s="1019"/>
      <c r="K1493" s="1019"/>
      <c r="L1493" s="1140"/>
    </row>
    <row r="1494" spans="1:12" x14ac:dyDescent="0.35">
      <c r="A1494" s="1019"/>
      <c r="B1494" s="1019"/>
      <c r="C1494" s="1019"/>
      <c r="D1494" s="1019"/>
      <c r="E1494" s="1019"/>
      <c r="F1494" s="1019"/>
      <c r="G1494" s="1019"/>
      <c r="H1494" s="1019"/>
      <c r="I1494" s="1019"/>
      <c r="J1494" s="1019"/>
      <c r="K1494" s="1019"/>
      <c r="L1494" s="1140"/>
    </row>
    <row r="1495" spans="1:12" x14ac:dyDescent="0.35">
      <c r="A1495" s="1019"/>
      <c r="B1495" s="1019"/>
      <c r="C1495" s="1019"/>
      <c r="D1495" s="1019"/>
      <c r="E1495" s="1019"/>
      <c r="F1495" s="1019"/>
      <c r="G1495" s="1019"/>
      <c r="H1495" s="1019"/>
      <c r="I1495" s="1019"/>
      <c r="J1495" s="1019"/>
      <c r="K1495" s="1019"/>
      <c r="L1495" s="1140"/>
    </row>
    <row r="1496" spans="1:12" x14ac:dyDescent="0.35">
      <c r="A1496" s="1019"/>
      <c r="B1496" s="1019"/>
      <c r="C1496" s="1019"/>
      <c r="D1496" s="1019"/>
      <c r="E1496" s="1019"/>
      <c r="F1496" s="1019"/>
      <c r="G1496" s="1019"/>
      <c r="H1496" s="1019"/>
      <c r="I1496" s="1019"/>
      <c r="J1496" s="1019"/>
      <c r="K1496" s="1019"/>
      <c r="L1496" s="1140"/>
    </row>
    <row r="1497" spans="1:12" x14ac:dyDescent="0.35">
      <c r="A1497" s="1019"/>
      <c r="B1497" s="1019"/>
      <c r="C1497" s="1019"/>
      <c r="D1497" s="1019"/>
      <c r="E1497" s="1019"/>
      <c r="F1497" s="1019"/>
      <c r="G1497" s="1019"/>
      <c r="H1497" s="1019"/>
      <c r="I1497" s="1019"/>
      <c r="J1497" s="1019"/>
      <c r="K1497" s="1019"/>
      <c r="L1497" s="1140"/>
    </row>
    <row r="1498" spans="1:12" x14ac:dyDescent="0.35">
      <c r="A1498" s="1019"/>
      <c r="B1498" s="1019"/>
      <c r="C1498" s="1019"/>
      <c r="D1498" s="1019"/>
      <c r="E1498" s="1019"/>
      <c r="F1498" s="1019"/>
      <c r="G1498" s="1019"/>
      <c r="H1498" s="1019"/>
      <c r="I1498" s="1019"/>
      <c r="J1498" s="1019"/>
      <c r="K1498" s="1019"/>
      <c r="L1498" s="1140"/>
    </row>
    <row r="1499" spans="1:12" x14ac:dyDescent="0.35">
      <c r="A1499" s="1019"/>
      <c r="B1499" s="1019"/>
      <c r="C1499" s="1019"/>
      <c r="D1499" s="1019"/>
      <c r="E1499" s="1019"/>
      <c r="F1499" s="1019"/>
      <c r="G1499" s="1019"/>
      <c r="H1499" s="1019"/>
      <c r="I1499" s="1019"/>
      <c r="J1499" s="1019"/>
      <c r="K1499" s="1019"/>
      <c r="L1499" s="1140"/>
    </row>
    <row r="1500" spans="1:12" x14ac:dyDescent="0.35">
      <c r="A1500" s="1019"/>
      <c r="B1500" s="1019"/>
      <c r="C1500" s="1019"/>
      <c r="D1500" s="1019"/>
      <c r="E1500" s="1019"/>
      <c r="F1500" s="1019"/>
      <c r="G1500" s="1019"/>
      <c r="H1500" s="1019"/>
      <c r="I1500" s="1019"/>
      <c r="J1500" s="1019"/>
      <c r="K1500" s="1019"/>
      <c r="L1500" s="1140"/>
    </row>
    <row r="1501" spans="1:12" x14ac:dyDescent="0.35">
      <c r="A1501" s="1019"/>
      <c r="B1501" s="1019"/>
      <c r="C1501" s="1019"/>
      <c r="D1501" s="1019"/>
      <c r="E1501" s="1019"/>
      <c r="F1501" s="1019"/>
      <c r="G1501" s="1019"/>
      <c r="H1501" s="1019"/>
      <c r="I1501" s="1019"/>
      <c r="J1501" s="1019"/>
      <c r="K1501" s="1019"/>
      <c r="L1501" s="1140"/>
    </row>
    <row r="1502" spans="1:12" x14ac:dyDescent="0.35">
      <c r="A1502" s="1019"/>
      <c r="B1502" s="1019"/>
      <c r="C1502" s="1019"/>
      <c r="D1502" s="1019"/>
      <c r="E1502" s="1019"/>
      <c r="F1502" s="1019"/>
      <c r="G1502" s="1019"/>
      <c r="H1502" s="1019"/>
      <c r="I1502" s="1019"/>
      <c r="J1502" s="1019"/>
      <c r="K1502" s="1019"/>
      <c r="L1502" s="1140"/>
    </row>
    <row r="1503" spans="1:12" x14ac:dyDescent="0.35">
      <c r="A1503" s="1019"/>
      <c r="B1503" s="1019"/>
      <c r="C1503" s="1019"/>
      <c r="D1503" s="1019"/>
      <c r="E1503" s="1019"/>
      <c r="F1503" s="1019"/>
      <c r="G1503" s="1019"/>
      <c r="H1503" s="1019"/>
      <c r="I1503" s="1019"/>
      <c r="J1503" s="1019"/>
      <c r="K1503" s="1019"/>
      <c r="L1503" s="1140"/>
    </row>
    <row r="1504" spans="1:12" x14ac:dyDescent="0.35">
      <c r="A1504" s="1019"/>
      <c r="B1504" s="1019"/>
      <c r="C1504" s="1019"/>
      <c r="D1504" s="1019"/>
      <c r="E1504" s="1019"/>
      <c r="F1504" s="1019"/>
      <c r="G1504" s="1019"/>
      <c r="H1504" s="1019"/>
      <c r="I1504" s="1019"/>
      <c r="J1504" s="1019"/>
      <c r="K1504" s="1019"/>
      <c r="L1504" s="1140"/>
    </row>
    <row r="1505" spans="1:12" x14ac:dyDescent="0.35">
      <c r="A1505" s="1019"/>
      <c r="B1505" s="1019"/>
      <c r="C1505" s="1019"/>
      <c r="D1505" s="1019"/>
      <c r="E1505" s="1019"/>
      <c r="F1505" s="1019"/>
      <c r="G1505" s="1019"/>
      <c r="H1505" s="1019"/>
      <c r="I1505" s="1019"/>
      <c r="J1505" s="1019"/>
      <c r="K1505" s="1019"/>
      <c r="L1505" s="1140"/>
    </row>
    <row r="1506" spans="1:12" x14ac:dyDescent="0.35">
      <c r="A1506" s="1019"/>
      <c r="B1506" s="1019"/>
      <c r="C1506" s="1019"/>
      <c r="D1506" s="1019"/>
      <c r="E1506" s="1019"/>
      <c r="F1506" s="1019"/>
      <c r="G1506" s="1019"/>
      <c r="H1506" s="1019"/>
      <c r="I1506" s="1019"/>
      <c r="J1506" s="1019"/>
      <c r="K1506" s="1019"/>
      <c r="L1506" s="1140"/>
    </row>
    <row r="1507" spans="1:12" x14ac:dyDescent="0.35">
      <c r="A1507" s="1019"/>
      <c r="B1507" s="1019"/>
      <c r="C1507" s="1019"/>
      <c r="D1507" s="1019"/>
      <c r="E1507" s="1019"/>
      <c r="F1507" s="1019"/>
      <c r="G1507" s="1019"/>
      <c r="H1507" s="1019"/>
      <c r="I1507" s="1019"/>
      <c r="J1507" s="1019"/>
      <c r="K1507" s="1019"/>
      <c r="L1507" s="1140"/>
    </row>
    <row r="1508" spans="1:12" x14ac:dyDescent="0.35">
      <c r="A1508" s="1019"/>
      <c r="B1508" s="1019"/>
      <c r="C1508" s="1019"/>
      <c r="D1508" s="1019"/>
      <c r="E1508" s="1019"/>
      <c r="F1508" s="1019"/>
      <c r="G1508" s="1019"/>
      <c r="H1508" s="1019"/>
      <c r="I1508" s="1019"/>
      <c r="J1508" s="1019"/>
      <c r="K1508" s="1019"/>
      <c r="L1508" s="1140"/>
    </row>
    <row r="1509" spans="1:12" x14ac:dyDescent="0.35">
      <c r="A1509" s="1019"/>
      <c r="B1509" s="1019"/>
      <c r="C1509" s="1019"/>
      <c r="D1509" s="1019"/>
      <c r="E1509" s="1019"/>
      <c r="F1509" s="1019"/>
      <c r="G1509" s="1019"/>
      <c r="H1509" s="1019"/>
      <c r="I1509" s="1019"/>
      <c r="J1509" s="1019"/>
      <c r="K1509" s="1019"/>
      <c r="L1509" s="1140"/>
    </row>
    <row r="1510" spans="1:12" x14ac:dyDescent="0.35">
      <c r="A1510" s="1019"/>
      <c r="B1510" s="1019"/>
      <c r="C1510" s="1019"/>
      <c r="D1510" s="1019"/>
      <c r="E1510" s="1019"/>
      <c r="F1510" s="1019"/>
      <c r="G1510" s="1019"/>
      <c r="H1510" s="1019"/>
      <c r="I1510" s="1019"/>
      <c r="J1510" s="1019"/>
      <c r="K1510" s="1019"/>
      <c r="L1510" s="1140"/>
    </row>
    <row r="1511" spans="1:12" x14ac:dyDescent="0.35">
      <c r="A1511" s="1019"/>
      <c r="B1511" s="1019"/>
      <c r="C1511" s="1019"/>
      <c r="D1511" s="1019"/>
      <c r="E1511" s="1019"/>
      <c r="F1511" s="1019"/>
      <c r="G1511" s="1019"/>
      <c r="H1511" s="1019"/>
      <c r="I1511" s="1019"/>
      <c r="J1511" s="1019"/>
      <c r="K1511" s="1019"/>
      <c r="L1511" s="1140"/>
    </row>
    <row r="1512" spans="1:12" x14ac:dyDescent="0.35">
      <c r="A1512" s="1019"/>
      <c r="B1512" s="1019"/>
      <c r="C1512" s="1019"/>
      <c r="D1512" s="1019"/>
      <c r="E1512" s="1019"/>
      <c r="F1512" s="1019"/>
      <c r="G1512" s="1019"/>
      <c r="H1512" s="1019"/>
      <c r="I1512" s="1019"/>
      <c r="J1512" s="1019"/>
      <c r="K1512" s="1019"/>
      <c r="L1512" s="1140"/>
    </row>
    <row r="1513" spans="1:12" x14ac:dyDescent="0.35">
      <c r="A1513" s="1019"/>
      <c r="B1513" s="1019"/>
      <c r="C1513" s="1019"/>
      <c r="D1513" s="1019"/>
      <c r="E1513" s="1019"/>
      <c r="F1513" s="1019"/>
      <c r="G1513" s="1019"/>
      <c r="H1513" s="1019"/>
      <c r="I1513" s="1019"/>
      <c r="J1513" s="1019"/>
      <c r="K1513" s="1019"/>
      <c r="L1513" s="1140"/>
    </row>
    <row r="1514" spans="1:12" x14ac:dyDescent="0.35">
      <c r="A1514" s="1019"/>
      <c r="B1514" s="1019"/>
      <c r="C1514" s="1019"/>
      <c r="D1514" s="1019"/>
      <c r="E1514" s="1019"/>
      <c r="F1514" s="1019"/>
      <c r="G1514" s="1019"/>
      <c r="H1514" s="1019"/>
      <c r="I1514" s="1019"/>
      <c r="J1514" s="1019"/>
      <c r="K1514" s="1019"/>
      <c r="L1514" s="1140"/>
    </row>
    <row r="1515" spans="1:12" x14ac:dyDescent="0.35">
      <c r="A1515" s="1019"/>
      <c r="B1515" s="1019"/>
      <c r="C1515" s="1019"/>
      <c r="D1515" s="1019"/>
      <c r="E1515" s="1019"/>
      <c r="F1515" s="1019"/>
      <c r="G1515" s="1019"/>
      <c r="H1515" s="1019"/>
      <c r="I1515" s="1019"/>
      <c r="J1515" s="1019"/>
      <c r="K1515" s="1019"/>
      <c r="L1515" s="1140"/>
    </row>
    <row r="1516" spans="1:12" x14ac:dyDescent="0.35">
      <c r="A1516" s="1019"/>
      <c r="B1516" s="1019"/>
      <c r="C1516" s="1019"/>
      <c r="D1516" s="1019"/>
      <c r="E1516" s="1019"/>
      <c r="F1516" s="1019"/>
      <c r="G1516" s="1019"/>
      <c r="H1516" s="1019"/>
      <c r="I1516" s="1019"/>
      <c r="J1516" s="1019"/>
      <c r="K1516" s="1019"/>
      <c r="L1516" s="1140"/>
    </row>
    <row r="1517" spans="1:12" x14ac:dyDescent="0.35">
      <c r="A1517" s="1019"/>
      <c r="B1517" s="1019"/>
      <c r="C1517" s="1019"/>
      <c r="D1517" s="1019"/>
      <c r="E1517" s="1019"/>
      <c r="F1517" s="1019"/>
      <c r="G1517" s="1019"/>
      <c r="H1517" s="1019"/>
      <c r="I1517" s="1019"/>
      <c r="J1517" s="1019"/>
      <c r="K1517" s="1019"/>
      <c r="L1517" s="1140"/>
    </row>
    <row r="1518" spans="1:12" x14ac:dyDescent="0.35">
      <c r="A1518" s="1019"/>
      <c r="B1518" s="1019"/>
      <c r="C1518" s="1019"/>
      <c r="D1518" s="1019"/>
      <c r="E1518" s="1019"/>
      <c r="F1518" s="1019"/>
      <c r="G1518" s="1019"/>
      <c r="H1518" s="1019"/>
      <c r="I1518" s="1019"/>
      <c r="J1518" s="1019"/>
      <c r="K1518" s="1019"/>
      <c r="L1518" s="1140"/>
    </row>
    <row r="1519" spans="1:12" x14ac:dyDescent="0.35">
      <c r="A1519" s="1019"/>
      <c r="B1519" s="1019"/>
      <c r="C1519" s="1019"/>
      <c r="D1519" s="1019"/>
      <c r="E1519" s="1019"/>
      <c r="F1519" s="1019"/>
      <c r="G1519" s="1019"/>
      <c r="H1519" s="1019"/>
      <c r="I1519" s="1019"/>
      <c r="J1519" s="1019"/>
      <c r="K1519" s="1019"/>
      <c r="L1519" s="1140"/>
    </row>
    <row r="1520" spans="1:12" x14ac:dyDescent="0.35">
      <c r="A1520" s="1019"/>
      <c r="B1520" s="1019"/>
      <c r="C1520" s="1019"/>
      <c r="D1520" s="1019"/>
      <c r="E1520" s="1019"/>
      <c r="F1520" s="1019"/>
      <c r="G1520" s="1019"/>
      <c r="H1520" s="1019"/>
      <c r="I1520" s="1019"/>
      <c r="J1520" s="1019"/>
      <c r="K1520" s="1019"/>
      <c r="L1520" s="1140"/>
    </row>
    <row r="1521" spans="1:12" x14ac:dyDescent="0.35">
      <c r="A1521" s="1019"/>
      <c r="B1521" s="1019"/>
      <c r="C1521" s="1019"/>
      <c r="D1521" s="1019"/>
      <c r="E1521" s="1019"/>
      <c r="F1521" s="1019"/>
      <c r="G1521" s="1019"/>
      <c r="H1521" s="1019"/>
      <c r="I1521" s="1019"/>
      <c r="J1521" s="1019"/>
      <c r="K1521" s="1019"/>
      <c r="L1521" s="1140"/>
    </row>
    <row r="1522" spans="1:12" x14ac:dyDescent="0.35">
      <c r="A1522" s="1019"/>
      <c r="B1522" s="1019"/>
      <c r="C1522" s="1019"/>
      <c r="D1522" s="1019"/>
      <c r="E1522" s="1019"/>
      <c r="F1522" s="1019"/>
      <c r="G1522" s="1019"/>
      <c r="H1522" s="1019"/>
      <c r="I1522" s="1019"/>
      <c r="J1522" s="1019"/>
      <c r="K1522" s="1019"/>
      <c r="L1522" s="1140"/>
    </row>
    <row r="1523" spans="1:12" x14ac:dyDescent="0.35">
      <c r="A1523" s="1019"/>
      <c r="B1523" s="1019"/>
      <c r="C1523" s="1019"/>
      <c r="D1523" s="1019"/>
      <c r="E1523" s="1019"/>
      <c r="F1523" s="1019"/>
      <c r="G1523" s="1019"/>
      <c r="H1523" s="1019"/>
      <c r="I1523" s="1019"/>
      <c r="J1523" s="1019"/>
      <c r="K1523" s="1019"/>
      <c r="L1523" s="1140"/>
    </row>
    <row r="1524" spans="1:12" x14ac:dyDescent="0.35">
      <c r="A1524" s="1019"/>
      <c r="B1524" s="1019"/>
      <c r="C1524" s="1019"/>
      <c r="D1524" s="1019"/>
      <c r="E1524" s="1019"/>
      <c r="F1524" s="1019"/>
      <c r="G1524" s="1019"/>
      <c r="H1524" s="1019"/>
      <c r="I1524" s="1019"/>
      <c r="J1524" s="1019"/>
      <c r="K1524" s="1019"/>
      <c r="L1524" s="1140"/>
    </row>
    <row r="1525" spans="1:12" x14ac:dyDescent="0.35">
      <c r="A1525" s="1019"/>
      <c r="B1525" s="1019"/>
      <c r="C1525" s="1019"/>
      <c r="D1525" s="1019"/>
      <c r="E1525" s="1019"/>
      <c r="F1525" s="1019"/>
      <c r="G1525" s="1019"/>
      <c r="H1525" s="1019"/>
      <c r="I1525" s="1019"/>
      <c r="J1525" s="1019"/>
      <c r="K1525" s="1019"/>
      <c r="L1525" s="1140"/>
    </row>
    <row r="1526" spans="1:12" x14ac:dyDescent="0.35">
      <c r="A1526" s="1019"/>
      <c r="B1526" s="1019"/>
      <c r="C1526" s="1019"/>
      <c r="D1526" s="1019"/>
      <c r="E1526" s="1019"/>
      <c r="F1526" s="1019"/>
      <c r="G1526" s="1019"/>
      <c r="H1526" s="1019"/>
      <c r="I1526" s="1019"/>
      <c r="J1526" s="1019"/>
      <c r="K1526" s="1019"/>
      <c r="L1526" s="1140"/>
    </row>
    <row r="1527" spans="1:12" x14ac:dyDescent="0.35">
      <c r="A1527" s="1019"/>
      <c r="B1527" s="1019"/>
      <c r="C1527" s="1019"/>
      <c r="D1527" s="1019"/>
      <c r="E1527" s="1019"/>
      <c r="F1527" s="1019"/>
      <c r="G1527" s="1019"/>
      <c r="H1527" s="1019"/>
      <c r="I1527" s="1019"/>
      <c r="J1527" s="1019"/>
      <c r="K1527" s="1019"/>
      <c r="L1527" s="1140"/>
    </row>
    <row r="1528" spans="1:12" x14ac:dyDescent="0.35">
      <c r="A1528" s="1019"/>
      <c r="B1528" s="1019"/>
      <c r="C1528" s="1019"/>
      <c r="D1528" s="1019"/>
      <c r="E1528" s="1019"/>
      <c r="F1528" s="1019"/>
      <c r="G1528" s="1019"/>
      <c r="H1528" s="1019"/>
      <c r="I1528" s="1019"/>
      <c r="J1528" s="1019"/>
      <c r="K1528" s="1019"/>
      <c r="L1528" s="1140"/>
    </row>
    <row r="1529" spans="1:12" x14ac:dyDescent="0.35">
      <c r="A1529" s="1019"/>
      <c r="B1529" s="1019"/>
      <c r="C1529" s="1019"/>
      <c r="D1529" s="1019"/>
      <c r="E1529" s="1019"/>
      <c r="F1529" s="1019"/>
      <c r="G1529" s="1019"/>
      <c r="H1529" s="1019"/>
      <c r="I1529" s="1019"/>
      <c r="J1529" s="1019"/>
      <c r="K1529" s="1019"/>
      <c r="L1529" s="1140"/>
    </row>
    <row r="1530" spans="1:12" x14ac:dyDescent="0.35">
      <c r="A1530" s="1019"/>
      <c r="B1530" s="1019"/>
      <c r="C1530" s="1019"/>
      <c r="D1530" s="1019"/>
      <c r="E1530" s="1019"/>
      <c r="F1530" s="1019"/>
      <c r="G1530" s="1019"/>
      <c r="H1530" s="1019"/>
      <c r="I1530" s="1019"/>
      <c r="J1530" s="1019"/>
      <c r="K1530" s="1019"/>
      <c r="L1530" s="1140"/>
    </row>
    <row r="1531" spans="1:12" x14ac:dyDescent="0.35">
      <c r="A1531" s="1019"/>
      <c r="B1531" s="1019"/>
      <c r="C1531" s="1019"/>
      <c r="D1531" s="1019"/>
      <c r="E1531" s="1019"/>
      <c r="F1531" s="1019"/>
      <c r="G1531" s="1019"/>
      <c r="H1531" s="1019"/>
      <c r="I1531" s="1019"/>
      <c r="J1531" s="1019"/>
      <c r="K1531" s="1019"/>
      <c r="L1531" s="1140"/>
    </row>
    <row r="1532" spans="1:12" x14ac:dyDescent="0.35">
      <c r="A1532" s="1019"/>
      <c r="B1532" s="1019"/>
      <c r="C1532" s="1019"/>
      <c r="D1532" s="1019"/>
      <c r="E1532" s="1019"/>
      <c r="F1532" s="1019"/>
      <c r="G1532" s="1019"/>
      <c r="H1532" s="1019"/>
      <c r="I1532" s="1019"/>
      <c r="J1532" s="1019"/>
      <c r="K1532" s="1019"/>
      <c r="L1532" s="1140"/>
    </row>
    <row r="1533" spans="1:12" x14ac:dyDescent="0.35">
      <c r="A1533" s="1019"/>
      <c r="B1533" s="1019"/>
      <c r="C1533" s="1019"/>
      <c r="D1533" s="1019"/>
      <c r="E1533" s="1019"/>
      <c r="F1533" s="1019"/>
      <c r="G1533" s="1019"/>
      <c r="H1533" s="1019"/>
      <c r="I1533" s="1019"/>
      <c r="J1533" s="1019"/>
      <c r="K1533" s="1019"/>
      <c r="L1533" s="1140"/>
    </row>
    <row r="1534" spans="1:12" x14ac:dyDescent="0.35">
      <c r="A1534" s="1019"/>
      <c r="B1534" s="1019"/>
      <c r="C1534" s="1019"/>
      <c r="D1534" s="1019"/>
      <c r="E1534" s="1019"/>
      <c r="F1534" s="1019"/>
      <c r="G1534" s="1019"/>
      <c r="H1534" s="1019"/>
      <c r="I1534" s="1019"/>
      <c r="J1534" s="1019"/>
      <c r="K1534" s="1019"/>
      <c r="L1534" s="1140"/>
    </row>
    <row r="1535" spans="1:12" x14ac:dyDescent="0.35">
      <c r="A1535" s="1019"/>
      <c r="B1535" s="1019"/>
      <c r="C1535" s="1019"/>
      <c r="D1535" s="1019"/>
      <c r="E1535" s="1019"/>
      <c r="F1535" s="1019"/>
      <c r="G1535" s="1019"/>
      <c r="H1535" s="1019"/>
      <c r="I1535" s="1019"/>
      <c r="J1535" s="1019"/>
      <c r="K1535" s="1019"/>
      <c r="L1535" s="1140"/>
    </row>
    <row r="1536" spans="1:12" x14ac:dyDescent="0.35">
      <c r="A1536" s="1019"/>
      <c r="B1536" s="1019"/>
      <c r="C1536" s="1019"/>
      <c r="D1536" s="1019"/>
      <c r="E1536" s="1019"/>
      <c r="F1536" s="1019"/>
      <c r="G1536" s="1019"/>
      <c r="H1536" s="1019"/>
      <c r="I1536" s="1019"/>
      <c r="J1536" s="1019"/>
      <c r="K1536" s="1019"/>
      <c r="L1536" s="1140"/>
    </row>
    <row r="1537" spans="1:12" x14ac:dyDescent="0.35">
      <c r="A1537" s="1019"/>
      <c r="B1537" s="1019"/>
      <c r="C1537" s="1019"/>
      <c r="D1537" s="1019"/>
      <c r="E1537" s="1019"/>
      <c r="F1537" s="1019"/>
      <c r="G1537" s="1019"/>
      <c r="H1537" s="1019"/>
      <c r="I1537" s="1019"/>
      <c r="J1537" s="1019"/>
      <c r="K1537" s="1019"/>
      <c r="L1537" s="1140"/>
    </row>
    <row r="1538" spans="1:12" x14ac:dyDescent="0.35">
      <c r="A1538" s="1019"/>
      <c r="B1538" s="1019"/>
      <c r="C1538" s="1019"/>
      <c r="D1538" s="1019"/>
      <c r="E1538" s="1019"/>
      <c r="F1538" s="1019"/>
      <c r="G1538" s="1019"/>
      <c r="H1538" s="1019"/>
      <c r="I1538" s="1019"/>
      <c r="J1538" s="1019"/>
      <c r="K1538" s="1019"/>
      <c r="L1538" s="1140"/>
    </row>
    <row r="1539" spans="1:12" x14ac:dyDescent="0.35">
      <c r="A1539" s="1019"/>
      <c r="B1539" s="1019"/>
      <c r="C1539" s="1019"/>
      <c r="D1539" s="1019"/>
      <c r="E1539" s="1019"/>
      <c r="F1539" s="1019"/>
      <c r="G1539" s="1019"/>
      <c r="H1539" s="1019"/>
      <c r="I1539" s="1019"/>
      <c r="J1539" s="1019"/>
      <c r="K1539" s="1019"/>
      <c r="L1539" s="1140"/>
    </row>
    <row r="1540" spans="1:12" x14ac:dyDescent="0.35">
      <c r="A1540" s="1019"/>
      <c r="B1540" s="1019"/>
      <c r="C1540" s="1019"/>
      <c r="D1540" s="1019"/>
      <c r="E1540" s="1019"/>
      <c r="F1540" s="1019"/>
      <c r="G1540" s="1019"/>
      <c r="H1540" s="1019"/>
      <c r="I1540" s="1019"/>
      <c r="J1540" s="1019"/>
      <c r="K1540" s="1019"/>
      <c r="L1540" s="1140"/>
    </row>
    <row r="1541" spans="1:12" x14ac:dyDescent="0.35">
      <c r="A1541" s="1019"/>
      <c r="B1541" s="1019"/>
      <c r="C1541" s="1019"/>
      <c r="D1541" s="1019"/>
      <c r="E1541" s="1019"/>
      <c r="F1541" s="1019"/>
      <c r="G1541" s="1019"/>
      <c r="H1541" s="1019"/>
      <c r="I1541" s="1019"/>
      <c r="J1541" s="1019"/>
      <c r="K1541" s="1019"/>
      <c r="L1541" s="1140"/>
    </row>
    <row r="1542" spans="1:12" x14ac:dyDescent="0.35">
      <c r="A1542" s="1019"/>
      <c r="B1542" s="1019"/>
      <c r="C1542" s="1019"/>
      <c r="D1542" s="1019"/>
      <c r="E1542" s="1019"/>
      <c r="F1542" s="1019"/>
      <c r="G1542" s="1019"/>
      <c r="H1542" s="1019"/>
      <c r="I1542" s="1019"/>
      <c r="J1542" s="1019"/>
      <c r="K1542" s="1019"/>
      <c r="L1542" s="1140"/>
    </row>
    <row r="1543" spans="1:12" x14ac:dyDescent="0.35">
      <c r="A1543" s="1019"/>
      <c r="B1543" s="1019"/>
      <c r="C1543" s="1019"/>
      <c r="D1543" s="1019"/>
      <c r="E1543" s="1019"/>
      <c r="F1543" s="1019"/>
      <c r="G1543" s="1019"/>
      <c r="H1543" s="1019"/>
      <c r="I1543" s="1019"/>
      <c r="J1543" s="1019"/>
      <c r="K1543" s="1019"/>
      <c r="L1543" s="1140"/>
    </row>
    <row r="1544" spans="1:12" x14ac:dyDescent="0.35">
      <c r="A1544" s="1019"/>
      <c r="B1544" s="1019"/>
      <c r="C1544" s="1019"/>
      <c r="D1544" s="1019"/>
      <c r="E1544" s="1019"/>
      <c r="F1544" s="1019"/>
      <c r="G1544" s="1019"/>
      <c r="H1544" s="1019"/>
      <c r="I1544" s="1019"/>
      <c r="J1544" s="1019"/>
      <c r="K1544" s="1019"/>
      <c r="L1544" s="1140"/>
    </row>
    <row r="1545" spans="1:12" x14ac:dyDescent="0.35">
      <c r="A1545" s="1019"/>
      <c r="B1545" s="1019"/>
      <c r="C1545" s="1019"/>
      <c r="D1545" s="1019"/>
      <c r="E1545" s="1019"/>
      <c r="F1545" s="1019"/>
      <c r="G1545" s="1019"/>
      <c r="H1545" s="1019"/>
      <c r="I1545" s="1019"/>
      <c r="J1545" s="1019"/>
      <c r="K1545" s="1019"/>
      <c r="L1545" s="1140"/>
    </row>
    <row r="1546" spans="1:12" x14ac:dyDescent="0.35">
      <c r="A1546" s="1019"/>
      <c r="B1546" s="1019"/>
      <c r="C1546" s="1019"/>
      <c r="D1546" s="1019"/>
      <c r="E1546" s="1019"/>
      <c r="F1546" s="1019"/>
      <c r="G1546" s="1019"/>
      <c r="H1546" s="1019"/>
      <c r="I1546" s="1019"/>
      <c r="J1546" s="1019"/>
      <c r="K1546" s="1019"/>
      <c r="L1546" s="1140"/>
    </row>
    <row r="1547" spans="1:12" x14ac:dyDescent="0.35">
      <c r="A1547" s="1019"/>
      <c r="B1547" s="1019"/>
      <c r="C1547" s="1019"/>
      <c r="D1547" s="1019"/>
      <c r="E1547" s="1019"/>
      <c r="F1547" s="1019"/>
      <c r="G1547" s="1019"/>
      <c r="H1547" s="1019"/>
      <c r="I1547" s="1019"/>
      <c r="J1547" s="1019"/>
      <c r="K1547" s="1019"/>
      <c r="L1547" s="1140"/>
    </row>
    <row r="1548" spans="1:12" x14ac:dyDescent="0.35">
      <c r="A1548" s="1019"/>
      <c r="B1548" s="1019"/>
      <c r="C1548" s="1019"/>
      <c r="D1548" s="1019"/>
      <c r="E1548" s="1019"/>
      <c r="F1548" s="1019"/>
      <c r="G1548" s="1019"/>
      <c r="H1548" s="1019"/>
      <c r="I1548" s="1019"/>
      <c r="J1548" s="1019"/>
      <c r="K1548" s="1019"/>
      <c r="L1548" s="1140"/>
    </row>
    <row r="1549" spans="1:12" x14ac:dyDescent="0.35">
      <c r="A1549" s="1019"/>
      <c r="B1549" s="1019"/>
      <c r="C1549" s="1019"/>
      <c r="D1549" s="1019"/>
      <c r="E1549" s="1019"/>
      <c r="F1549" s="1019"/>
      <c r="G1549" s="1019"/>
      <c r="H1549" s="1019"/>
      <c r="I1549" s="1019"/>
      <c r="J1549" s="1019"/>
      <c r="K1549" s="1019"/>
      <c r="L1549" s="1140"/>
    </row>
    <row r="1550" spans="1:12" x14ac:dyDescent="0.35">
      <c r="A1550" s="1019"/>
      <c r="B1550" s="1019"/>
      <c r="C1550" s="1019"/>
      <c r="D1550" s="1019"/>
      <c r="E1550" s="1019"/>
      <c r="F1550" s="1019"/>
      <c r="G1550" s="1019"/>
      <c r="H1550" s="1019"/>
      <c r="I1550" s="1019"/>
      <c r="J1550" s="1019"/>
      <c r="K1550" s="1019"/>
      <c r="L1550" s="1140"/>
    </row>
    <row r="1551" spans="1:12" x14ac:dyDescent="0.35">
      <c r="A1551" s="1019"/>
      <c r="B1551" s="1019"/>
      <c r="C1551" s="1019"/>
      <c r="D1551" s="1019"/>
      <c r="E1551" s="1019"/>
      <c r="F1551" s="1019"/>
      <c r="G1551" s="1019"/>
      <c r="H1551" s="1019"/>
      <c r="I1551" s="1019"/>
      <c r="J1551" s="1019"/>
      <c r="K1551" s="1019"/>
      <c r="L1551" s="1140"/>
    </row>
    <row r="1552" spans="1:12" x14ac:dyDescent="0.35">
      <c r="A1552" s="1019"/>
      <c r="B1552" s="1019"/>
      <c r="C1552" s="1019"/>
      <c r="D1552" s="1019"/>
      <c r="E1552" s="1019"/>
      <c r="F1552" s="1019"/>
      <c r="G1552" s="1019"/>
      <c r="H1552" s="1019"/>
      <c r="I1552" s="1019"/>
      <c r="J1552" s="1019"/>
      <c r="K1552" s="1019"/>
      <c r="L1552" s="1140"/>
    </row>
    <row r="1553" spans="1:12" x14ac:dyDescent="0.35">
      <c r="A1553" s="1019"/>
      <c r="B1553" s="1019"/>
      <c r="C1553" s="1019"/>
      <c r="D1553" s="1019"/>
      <c r="E1553" s="1019"/>
      <c r="F1553" s="1019"/>
      <c r="G1553" s="1019"/>
      <c r="H1553" s="1019"/>
      <c r="I1553" s="1019"/>
      <c r="J1553" s="1019"/>
      <c r="K1553" s="1019"/>
      <c r="L1553" s="1140"/>
    </row>
    <row r="1554" spans="1:12" x14ac:dyDescent="0.35">
      <c r="A1554" s="1019"/>
      <c r="B1554" s="1019"/>
      <c r="C1554" s="1019"/>
      <c r="D1554" s="1019"/>
      <c r="E1554" s="1019"/>
      <c r="F1554" s="1019"/>
      <c r="G1554" s="1019"/>
      <c r="H1554" s="1019"/>
      <c r="I1554" s="1019"/>
      <c r="J1554" s="1019"/>
      <c r="K1554" s="1019"/>
      <c r="L1554" s="1140"/>
    </row>
    <row r="1555" spans="1:12" x14ac:dyDescent="0.35">
      <c r="A1555" s="1019"/>
      <c r="B1555" s="1019"/>
      <c r="C1555" s="1019"/>
      <c r="D1555" s="1019"/>
      <c r="E1555" s="1019"/>
      <c r="F1555" s="1019"/>
      <c r="G1555" s="1019"/>
      <c r="H1555" s="1019"/>
      <c r="I1555" s="1019"/>
      <c r="J1555" s="1019"/>
      <c r="K1555" s="1019"/>
      <c r="L1555" s="1140"/>
    </row>
    <row r="1556" spans="1:12" x14ac:dyDescent="0.35">
      <c r="A1556" s="1019"/>
      <c r="B1556" s="1019"/>
      <c r="C1556" s="1019"/>
      <c r="D1556" s="1019"/>
      <c r="E1556" s="1019"/>
      <c r="F1556" s="1019"/>
      <c r="G1556" s="1019"/>
      <c r="H1556" s="1019"/>
      <c r="I1556" s="1019"/>
      <c r="J1556" s="1019"/>
      <c r="K1556" s="1019"/>
      <c r="L1556" s="1140"/>
    </row>
    <row r="1557" spans="1:12" x14ac:dyDescent="0.35">
      <c r="A1557" s="1019"/>
      <c r="B1557" s="1019"/>
      <c r="C1557" s="1019"/>
      <c r="D1557" s="1019"/>
      <c r="E1557" s="1019"/>
      <c r="F1557" s="1019"/>
      <c r="G1557" s="1019"/>
      <c r="H1557" s="1019"/>
      <c r="I1557" s="1019"/>
      <c r="J1557" s="1019"/>
      <c r="K1557" s="1019"/>
      <c r="L1557" s="1140"/>
    </row>
    <row r="1558" spans="1:12" x14ac:dyDescent="0.35">
      <c r="A1558" s="1019"/>
      <c r="B1558" s="1019"/>
      <c r="C1558" s="1019"/>
      <c r="D1558" s="1019"/>
      <c r="E1558" s="1019"/>
      <c r="F1558" s="1019"/>
      <c r="G1558" s="1019"/>
      <c r="H1558" s="1019"/>
      <c r="I1558" s="1019"/>
      <c r="J1558" s="1019"/>
      <c r="K1558" s="1019"/>
      <c r="L1558" s="1140"/>
    </row>
    <row r="1559" spans="1:12" x14ac:dyDescent="0.35">
      <c r="A1559" s="1019"/>
      <c r="B1559" s="1019"/>
      <c r="C1559" s="1019"/>
      <c r="D1559" s="1019"/>
      <c r="E1559" s="1019"/>
      <c r="F1559" s="1019"/>
      <c r="G1559" s="1019"/>
      <c r="H1559" s="1019"/>
      <c r="I1559" s="1019"/>
      <c r="J1559" s="1019"/>
      <c r="K1559" s="1019"/>
      <c r="L1559" s="1140"/>
    </row>
    <row r="1560" spans="1:12" x14ac:dyDescent="0.35">
      <c r="A1560" s="1019"/>
      <c r="B1560" s="1019"/>
      <c r="C1560" s="1019"/>
      <c r="D1560" s="1019"/>
      <c r="E1560" s="1019"/>
      <c r="F1560" s="1019"/>
      <c r="G1560" s="1019"/>
      <c r="H1560" s="1019"/>
      <c r="I1560" s="1019"/>
      <c r="J1560" s="1019"/>
      <c r="K1560" s="1019"/>
      <c r="L1560" s="1140"/>
    </row>
    <row r="1561" spans="1:12" x14ac:dyDescent="0.35">
      <c r="A1561" s="1019"/>
      <c r="B1561" s="1019"/>
      <c r="C1561" s="1019"/>
      <c r="D1561" s="1019"/>
      <c r="E1561" s="1019"/>
      <c r="F1561" s="1019"/>
      <c r="G1561" s="1019"/>
      <c r="H1561" s="1019"/>
      <c r="I1561" s="1019"/>
      <c r="J1561" s="1019"/>
      <c r="K1561" s="1019"/>
      <c r="L1561" s="1140"/>
    </row>
    <row r="1562" spans="1:12" x14ac:dyDescent="0.35">
      <c r="A1562" s="1019"/>
      <c r="B1562" s="1019"/>
      <c r="C1562" s="1019"/>
      <c r="D1562" s="1019"/>
      <c r="E1562" s="1019"/>
      <c r="F1562" s="1019"/>
      <c r="G1562" s="1019"/>
      <c r="H1562" s="1019"/>
      <c r="I1562" s="1019"/>
      <c r="J1562" s="1019"/>
      <c r="K1562" s="1019"/>
      <c r="L1562" s="1140"/>
    </row>
    <row r="1563" spans="1:12" x14ac:dyDescent="0.35">
      <c r="A1563" s="1019"/>
      <c r="B1563" s="1019"/>
      <c r="C1563" s="1019"/>
      <c r="D1563" s="1019"/>
      <c r="E1563" s="1019"/>
      <c r="F1563" s="1019"/>
      <c r="G1563" s="1019"/>
      <c r="H1563" s="1019"/>
      <c r="I1563" s="1019"/>
      <c r="J1563" s="1019"/>
      <c r="K1563" s="1019"/>
      <c r="L1563" s="1140"/>
    </row>
    <row r="1564" spans="1:12" x14ac:dyDescent="0.35">
      <c r="A1564" s="1019"/>
      <c r="B1564" s="1019"/>
      <c r="C1564" s="1019"/>
      <c r="D1564" s="1019"/>
      <c r="E1564" s="1019"/>
      <c r="F1564" s="1019"/>
      <c r="G1564" s="1019"/>
      <c r="H1564" s="1019"/>
      <c r="I1564" s="1019"/>
      <c r="J1564" s="1019"/>
      <c r="K1564" s="1019"/>
      <c r="L1564" s="1140"/>
    </row>
    <row r="1565" spans="1:12" x14ac:dyDescent="0.35">
      <c r="A1565" s="1019"/>
      <c r="B1565" s="1019"/>
      <c r="C1565" s="1019"/>
      <c r="D1565" s="1019"/>
      <c r="E1565" s="1019"/>
      <c r="F1565" s="1019"/>
      <c r="G1565" s="1019"/>
      <c r="H1565" s="1019"/>
      <c r="I1565" s="1019"/>
      <c r="J1565" s="1019"/>
      <c r="K1565" s="1019"/>
      <c r="L1565" s="1140"/>
    </row>
    <row r="1566" spans="1:12" x14ac:dyDescent="0.35">
      <c r="A1566" s="1019"/>
      <c r="B1566" s="1019"/>
      <c r="C1566" s="1019"/>
      <c r="D1566" s="1019"/>
      <c r="E1566" s="1019"/>
      <c r="F1566" s="1019"/>
      <c r="G1566" s="1019"/>
      <c r="H1566" s="1019"/>
      <c r="I1566" s="1019"/>
      <c r="J1566" s="1019"/>
      <c r="K1566" s="1019"/>
      <c r="L1566" s="1140"/>
    </row>
    <row r="1567" spans="1:12" x14ac:dyDescent="0.35">
      <c r="A1567" s="1019"/>
      <c r="B1567" s="1019"/>
      <c r="C1567" s="1019"/>
      <c r="D1567" s="1019"/>
      <c r="E1567" s="1019"/>
      <c r="F1567" s="1019"/>
      <c r="G1567" s="1019"/>
      <c r="H1567" s="1019"/>
      <c r="I1567" s="1019"/>
      <c r="J1567" s="1019"/>
      <c r="K1567" s="1019"/>
      <c r="L1567" s="1140"/>
    </row>
    <row r="1568" spans="1:12" x14ac:dyDescent="0.35">
      <c r="A1568" s="1019"/>
      <c r="B1568" s="1019"/>
      <c r="C1568" s="1019"/>
      <c r="D1568" s="1019"/>
      <c r="E1568" s="1019"/>
      <c r="F1568" s="1019"/>
      <c r="G1568" s="1019"/>
      <c r="H1568" s="1019"/>
      <c r="I1568" s="1019"/>
      <c r="J1568" s="1019"/>
      <c r="K1568" s="1019"/>
      <c r="L1568" s="1140"/>
    </row>
    <row r="1569" spans="1:12" x14ac:dyDescent="0.35">
      <c r="A1569" s="1019"/>
      <c r="B1569" s="1019"/>
      <c r="C1569" s="1019"/>
      <c r="D1569" s="1019"/>
      <c r="E1569" s="1019"/>
      <c r="F1569" s="1019"/>
      <c r="G1569" s="1019"/>
      <c r="H1569" s="1019"/>
      <c r="I1569" s="1019"/>
      <c r="J1569" s="1019"/>
      <c r="K1569" s="1019"/>
      <c r="L1569" s="1140"/>
    </row>
    <row r="1570" spans="1:12" x14ac:dyDescent="0.35">
      <c r="A1570" s="1019"/>
      <c r="B1570" s="1019"/>
      <c r="C1570" s="1019"/>
      <c r="D1570" s="1019"/>
      <c r="E1570" s="1019"/>
      <c r="F1570" s="1019"/>
      <c r="G1570" s="1019"/>
      <c r="H1570" s="1019"/>
      <c r="I1570" s="1019"/>
      <c r="J1570" s="1019"/>
      <c r="K1570" s="1019"/>
      <c r="L1570" s="1140"/>
    </row>
    <row r="1571" spans="1:12" x14ac:dyDescent="0.35">
      <c r="A1571" s="1019"/>
      <c r="B1571" s="1019"/>
      <c r="C1571" s="1019"/>
      <c r="D1571" s="1019"/>
      <c r="E1571" s="1019"/>
      <c r="F1571" s="1019"/>
      <c r="G1571" s="1019"/>
      <c r="H1571" s="1019"/>
      <c r="I1571" s="1019"/>
      <c r="J1571" s="1019"/>
      <c r="K1571" s="1019"/>
      <c r="L1571" s="1140"/>
    </row>
    <row r="1572" spans="1:12" x14ac:dyDescent="0.35">
      <c r="A1572" s="1019"/>
      <c r="B1572" s="1019"/>
      <c r="C1572" s="1019"/>
      <c r="D1572" s="1019"/>
      <c r="E1572" s="1019"/>
      <c r="F1572" s="1019"/>
      <c r="G1572" s="1019"/>
      <c r="H1572" s="1019"/>
      <c r="I1572" s="1019"/>
      <c r="J1572" s="1019"/>
      <c r="K1572" s="1019"/>
      <c r="L1572" s="1140"/>
    </row>
    <row r="1573" spans="1:12" x14ac:dyDescent="0.35">
      <c r="A1573" s="1019"/>
      <c r="B1573" s="1019"/>
      <c r="C1573" s="1019"/>
      <c r="D1573" s="1019"/>
      <c r="E1573" s="1019"/>
      <c r="F1573" s="1019"/>
      <c r="G1573" s="1019"/>
      <c r="H1573" s="1019"/>
      <c r="I1573" s="1019"/>
      <c r="J1573" s="1019"/>
      <c r="K1573" s="1019"/>
      <c r="L1573" s="1140"/>
    </row>
    <row r="1574" spans="1:12" x14ac:dyDescent="0.35">
      <c r="A1574" s="1019"/>
      <c r="B1574" s="1019"/>
      <c r="C1574" s="1019"/>
      <c r="D1574" s="1019"/>
      <c r="E1574" s="1019"/>
      <c r="F1574" s="1019"/>
      <c r="G1574" s="1019"/>
      <c r="H1574" s="1019"/>
      <c r="I1574" s="1019"/>
      <c r="J1574" s="1019"/>
      <c r="K1574" s="1019"/>
      <c r="L1574" s="1140"/>
    </row>
    <row r="1575" spans="1:12" x14ac:dyDescent="0.35">
      <c r="A1575" s="1019"/>
      <c r="B1575" s="1019"/>
      <c r="C1575" s="1019"/>
      <c r="D1575" s="1019"/>
      <c r="E1575" s="1019"/>
      <c r="F1575" s="1019"/>
      <c r="G1575" s="1019"/>
      <c r="H1575" s="1019"/>
      <c r="I1575" s="1019"/>
      <c r="J1575" s="1019"/>
      <c r="K1575" s="1019"/>
      <c r="L1575" s="1140"/>
    </row>
    <row r="1576" spans="1:12" x14ac:dyDescent="0.35">
      <c r="A1576" s="1019"/>
      <c r="B1576" s="1019"/>
      <c r="C1576" s="1019"/>
      <c r="D1576" s="1019"/>
      <c r="E1576" s="1019"/>
      <c r="F1576" s="1019"/>
      <c r="G1576" s="1019"/>
      <c r="H1576" s="1019"/>
      <c r="I1576" s="1019"/>
      <c r="J1576" s="1019"/>
      <c r="K1576" s="1019"/>
      <c r="L1576" s="1140"/>
    </row>
    <row r="1577" spans="1:12" x14ac:dyDescent="0.35">
      <c r="A1577" s="1019"/>
      <c r="B1577" s="1019"/>
      <c r="C1577" s="1019"/>
      <c r="D1577" s="1019"/>
      <c r="E1577" s="1019"/>
      <c r="F1577" s="1019"/>
      <c r="G1577" s="1019"/>
      <c r="H1577" s="1019"/>
      <c r="I1577" s="1019"/>
      <c r="J1577" s="1019"/>
      <c r="K1577" s="1019"/>
      <c r="L1577" s="1140"/>
    </row>
    <row r="1578" spans="1:12" x14ac:dyDescent="0.35">
      <c r="A1578" s="1019"/>
      <c r="B1578" s="1019"/>
      <c r="C1578" s="1019"/>
      <c r="D1578" s="1019"/>
      <c r="E1578" s="1019"/>
      <c r="F1578" s="1019"/>
      <c r="G1578" s="1019"/>
      <c r="H1578" s="1019"/>
      <c r="I1578" s="1019"/>
      <c r="J1578" s="1019"/>
      <c r="K1578" s="1019"/>
      <c r="L1578" s="1140"/>
    </row>
    <row r="1579" spans="1:12" x14ac:dyDescent="0.35">
      <c r="A1579" s="1019"/>
      <c r="B1579" s="1019"/>
      <c r="C1579" s="1019"/>
      <c r="D1579" s="1019"/>
      <c r="E1579" s="1019"/>
      <c r="F1579" s="1019"/>
      <c r="G1579" s="1019"/>
      <c r="H1579" s="1019"/>
      <c r="I1579" s="1019"/>
      <c r="J1579" s="1019"/>
      <c r="K1579" s="1019"/>
      <c r="L1579" s="1140"/>
    </row>
    <row r="1580" spans="1:12" x14ac:dyDescent="0.35">
      <c r="A1580" s="1019"/>
      <c r="B1580" s="1019"/>
      <c r="C1580" s="1019"/>
      <c r="D1580" s="1019"/>
      <c r="E1580" s="1019"/>
      <c r="F1580" s="1019"/>
      <c r="G1580" s="1019"/>
      <c r="H1580" s="1019"/>
      <c r="I1580" s="1019"/>
      <c r="J1580" s="1019"/>
      <c r="K1580" s="1019"/>
      <c r="L1580" s="1140"/>
    </row>
    <row r="1581" spans="1:12" x14ac:dyDescent="0.35">
      <c r="A1581" s="1019"/>
      <c r="B1581" s="1019"/>
      <c r="C1581" s="1019"/>
      <c r="D1581" s="1019"/>
      <c r="E1581" s="1019"/>
      <c r="F1581" s="1019"/>
      <c r="G1581" s="1019"/>
      <c r="H1581" s="1019"/>
      <c r="I1581" s="1019"/>
      <c r="J1581" s="1019"/>
      <c r="K1581" s="1019"/>
      <c r="L1581" s="1140"/>
    </row>
    <row r="1582" spans="1:12" x14ac:dyDescent="0.35">
      <c r="A1582" s="1019"/>
      <c r="B1582" s="1019"/>
      <c r="C1582" s="1019"/>
      <c r="D1582" s="1019"/>
      <c r="E1582" s="1019"/>
      <c r="F1582" s="1019"/>
      <c r="G1582" s="1019"/>
      <c r="H1582" s="1019"/>
      <c r="I1582" s="1019"/>
      <c r="J1582" s="1019"/>
      <c r="K1582" s="1019"/>
      <c r="L1582" s="1140"/>
    </row>
    <row r="1583" spans="1:12" x14ac:dyDescent="0.35">
      <c r="A1583" s="1019"/>
      <c r="B1583" s="1019"/>
      <c r="C1583" s="1019"/>
      <c r="D1583" s="1019"/>
      <c r="E1583" s="1019"/>
      <c r="F1583" s="1019"/>
      <c r="G1583" s="1019"/>
      <c r="H1583" s="1019"/>
      <c r="I1583" s="1019"/>
      <c r="J1583" s="1019"/>
      <c r="K1583" s="1019"/>
      <c r="L1583" s="1140"/>
    </row>
    <row r="1584" spans="1:12" x14ac:dyDescent="0.35">
      <c r="A1584" s="1019"/>
      <c r="B1584" s="1019"/>
      <c r="C1584" s="1019"/>
      <c r="D1584" s="1019"/>
      <c r="E1584" s="1019"/>
      <c r="F1584" s="1019"/>
      <c r="G1584" s="1019"/>
      <c r="H1584" s="1019"/>
      <c r="I1584" s="1019"/>
      <c r="J1584" s="1019"/>
      <c r="K1584" s="1019"/>
      <c r="L1584" s="1140"/>
    </row>
    <row r="1585" spans="1:12" x14ac:dyDescent="0.35">
      <c r="A1585" s="1019"/>
      <c r="B1585" s="1019"/>
      <c r="C1585" s="1019"/>
      <c r="D1585" s="1019"/>
      <c r="E1585" s="1019"/>
      <c r="F1585" s="1019"/>
      <c r="G1585" s="1019"/>
      <c r="H1585" s="1019"/>
      <c r="I1585" s="1019"/>
      <c r="J1585" s="1019"/>
      <c r="K1585" s="1019"/>
      <c r="L1585" s="1140"/>
    </row>
    <row r="1586" spans="1:12" x14ac:dyDescent="0.35">
      <c r="A1586" s="1019"/>
      <c r="B1586" s="1019"/>
      <c r="C1586" s="1019"/>
      <c r="D1586" s="1019"/>
      <c r="E1586" s="1019"/>
      <c r="F1586" s="1019"/>
      <c r="G1586" s="1019"/>
      <c r="H1586" s="1019"/>
      <c r="I1586" s="1019"/>
      <c r="J1586" s="1019"/>
      <c r="K1586" s="1019"/>
      <c r="L1586" s="1140"/>
    </row>
    <row r="1587" spans="1:12" x14ac:dyDescent="0.35">
      <c r="A1587" s="1019"/>
      <c r="B1587" s="1019"/>
      <c r="C1587" s="1019"/>
      <c r="D1587" s="1019"/>
      <c r="E1587" s="1019"/>
      <c r="F1587" s="1019"/>
      <c r="G1587" s="1019"/>
      <c r="H1587" s="1019"/>
      <c r="I1587" s="1019"/>
      <c r="J1587" s="1019"/>
      <c r="K1587" s="1019"/>
      <c r="L1587" s="1140"/>
    </row>
    <row r="1588" spans="1:12" x14ac:dyDescent="0.35">
      <c r="A1588" s="1019"/>
      <c r="B1588" s="1019"/>
      <c r="C1588" s="1019"/>
      <c r="D1588" s="1019"/>
      <c r="E1588" s="1019"/>
      <c r="F1588" s="1019"/>
      <c r="G1588" s="1019"/>
      <c r="H1588" s="1019"/>
      <c r="I1588" s="1019"/>
      <c r="J1588" s="1019"/>
      <c r="K1588" s="1019"/>
      <c r="L1588" s="1140"/>
    </row>
    <row r="1589" spans="1:12" x14ac:dyDescent="0.35">
      <c r="A1589" s="1019"/>
      <c r="B1589" s="1019"/>
      <c r="C1589" s="1019"/>
      <c r="D1589" s="1019"/>
      <c r="E1589" s="1019"/>
      <c r="F1589" s="1019"/>
      <c r="G1589" s="1019"/>
      <c r="H1589" s="1019"/>
      <c r="I1589" s="1019"/>
      <c r="J1589" s="1019"/>
      <c r="K1589" s="1019"/>
      <c r="L1589" s="1140"/>
    </row>
    <row r="1590" spans="1:12" x14ac:dyDescent="0.35">
      <c r="A1590" s="1019"/>
      <c r="B1590" s="1019"/>
      <c r="C1590" s="1019"/>
      <c r="D1590" s="1019"/>
      <c r="E1590" s="1019"/>
      <c r="F1590" s="1019"/>
      <c r="G1590" s="1019"/>
      <c r="H1590" s="1019"/>
      <c r="I1590" s="1019"/>
      <c r="J1590" s="1019"/>
      <c r="K1590" s="1019"/>
      <c r="L1590" s="1140"/>
    </row>
    <row r="1591" spans="1:12" x14ac:dyDescent="0.35">
      <c r="A1591" s="1019"/>
      <c r="B1591" s="1019"/>
      <c r="C1591" s="1019"/>
      <c r="D1591" s="1019"/>
      <c r="E1591" s="1019"/>
      <c r="F1591" s="1019"/>
      <c r="G1591" s="1019"/>
      <c r="H1591" s="1019"/>
      <c r="I1591" s="1019"/>
      <c r="J1591" s="1019"/>
      <c r="K1591" s="1019"/>
      <c r="L1591" s="1140"/>
    </row>
    <row r="1592" spans="1:12" x14ac:dyDescent="0.35">
      <c r="A1592" s="1019"/>
      <c r="B1592" s="1019"/>
      <c r="C1592" s="1019"/>
      <c r="D1592" s="1019"/>
      <c r="E1592" s="1019"/>
      <c r="F1592" s="1019"/>
      <c r="G1592" s="1019"/>
      <c r="H1592" s="1019"/>
      <c r="I1592" s="1019"/>
      <c r="J1592" s="1019"/>
      <c r="K1592" s="1019"/>
      <c r="L1592" s="1140"/>
    </row>
    <row r="1593" spans="1:12" x14ac:dyDescent="0.35">
      <c r="A1593" s="1019"/>
      <c r="B1593" s="1019"/>
      <c r="C1593" s="1019"/>
      <c r="D1593" s="1019"/>
      <c r="E1593" s="1019"/>
      <c r="F1593" s="1019"/>
      <c r="G1593" s="1019"/>
      <c r="H1593" s="1019"/>
      <c r="I1593" s="1019"/>
      <c r="J1593" s="1019"/>
      <c r="K1593" s="1019"/>
      <c r="L1593" s="1140"/>
    </row>
    <row r="1594" spans="1:12" x14ac:dyDescent="0.35">
      <c r="A1594" s="1019"/>
      <c r="B1594" s="1019"/>
      <c r="C1594" s="1019"/>
      <c r="D1594" s="1019"/>
      <c r="E1594" s="1019"/>
      <c r="F1594" s="1019"/>
      <c r="G1594" s="1019"/>
      <c r="H1594" s="1019"/>
      <c r="I1594" s="1019"/>
      <c r="J1594" s="1019"/>
      <c r="K1594" s="1019"/>
      <c r="L1594" s="1140"/>
    </row>
    <row r="1595" spans="1:12" x14ac:dyDescent="0.35">
      <c r="A1595" s="1019"/>
      <c r="B1595" s="1019"/>
      <c r="C1595" s="1019"/>
      <c r="D1595" s="1019"/>
      <c r="E1595" s="1019"/>
      <c r="F1595" s="1019"/>
      <c r="G1595" s="1019"/>
      <c r="H1595" s="1019"/>
      <c r="I1595" s="1019"/>
      <c r="J1595" s="1019"/>
      <c r="K1595" s="1019"/>
      <c r="L1595" s="1140"/>
    </row>
    <row r="1596" spans="1:12" x14ac:dyDescent="0.35">
      <c r="A1596" s="1019"/>
      <c r="B1596" s="1019"/>
      <c r="C1596" s="1019"/>
      <c r="D1596" s="1019"/>
      <c r="E1596" s="1019"/>
      <c r="F1596" s="1019"/>
      <c r="G1596" s="1019"/>
      <c r="H1596" s="1019"/>
      <c r="I1596" s="1019"/>
      <c r="J1596" s="1019"/>
      <c r="K1596" s="1019"/>
      <c r="L1596" s="1140"/>
    </row>
    <row r="1597" spans="1:12" x14ac:dyDescent="0.35">
      <c r="A1597" s="1019"/>
      <c r="B1597" s="1019"/>
      <c r="C1597" s="1019"/>
      <c r="D1597" s="1019"/>
      <c r="E1597" s="1019"/>
      <c r="F1597" s="1019"/>
      <c r="G1597" s="1019"/>
      <c r="H1597" s="1019"/>
      <c r="I1597" s="1019"/>
      <c r="J1597" s="1019"/>
      <c r="K1597" s="1019"/>
      <c r="L1597" s="1140"/>
    </row>
    <row r="1598" spans="1:12" x14ac:dyDescent="0.35">
      <c r="A1598" s="1019"/>
      <c r="B1598" s="1019"/>
      <c r="C1598" s="1019"/>
      <c r="D1598" s="1019"/>
      <c r="E1598" s="1019"/>
      <c r="F1598" s="1019"/>
      <c r="G1598" s="1019"/>
      <c r="H1598" s="1019"/>
      <c r="I1598" s="1019"/>
      <c r="J1598" s="1019"/>
      <c r="K1598" s="1019"/>
      <c r="L1598" s="1140"/>
    </row>
    <row r="1599" spans="1:12" x14ac:dyDescent="0.35">
      <c r="A1599" s="1019"/>
      <c r="B1599" s="1019"/>
      <c r="C1599" s="1019"/>
      <c r="D1599" s="1019"/>
      <c r="E1599" s="1019"/>
      <c r="F1599" s="1019"/>
      <c r="G1599" s="1019"/>
      <c r="H1599" s="1019"/>
      <c r="I1599" s="1019"/>
      <c r="J1599" s="1019"/>
      <c r="K1599" s="1019"/>
      <c r="L1599" s="1140"/>
    </row>
    <row r="1600" spans="1:12" x14ac:dyDescent="0.35">
      <c r="A1600" s="1019"/>
      <c r="B1600" s="1019"/>
      <c r="C1600" s="1019"/>
      <c r="D1600" s="1019"/>
      <c r="E1600" s="1019"/>
      <c r="F1600" s="1019"/>
      <c r="G1600" s="1019"/>
      <c r="H1600" s="1019"/>
      <c r="I1600" s="1019"/>
      <c r="J1600" s="1019"/>
      <c r="K1600" s="1019"/>
      <c r="L1600" s="1140"/>
    </row>
    <row r="1601" spans="1:12" x14ac:dyDescent="0.35">
      <c r="A1601" s="1019"/>
      <c r="B1601" s="1019"/>
      <c r="C1601" s="1019"/>
      <c r="D1601" s="1019"/>
      <c r="E1601" s="1019"/>
      <c r="F1601" s="1019"/>
      <c r="G1601" s="1019"/>
      <c r="H1601" s="1019"/>
      <c r="I1601" s="1019"/>
      <c r="J1601" s="1019"/>
      <c r="K1601" s="1019"/>
      <c r="L1601" s="1140"/>
    </row>
    <row r="1602" spans="1:12" x14ac:dyDescent="0.35">
      <c r="A1602" s="1019"/>
      <c r="B1602" s="1019"/>
      <c r="C1602" s="1019"/>
      <c r="D1602" s="1019"/>
      <c r="E1602" s="1019"/>
      <c r="F1602" s="1019"/>
      <c r="G1602" s="1019"/>
      <c r="H1602" s="1019"/>
      <c r="I1602" s="1019"/>
      <c r="J1602" s="1019"/>
      <c r="K1602" s="1019"/>
      <c r="L1602" s="1140"/>
    </row>
    <row r="1603" spans="1:12" x14ac:dyDescent="0.35">
      <c r="A1603" s="1019"/>
      <c r="B1603" s="1019"/>
      <c r="C1603" s="1019"/>
      <c r="D1603" s="1019"/>
      <c r="E1603" s="1019"/>
      <c r="F1603" s="1019"/>
      <c r="G1603" s="1019"/>
      <c r="H1603" s="1019"/>
      <c r="I1603" s="1019"/>
      <c r="J1603" s="1019"/>
      <c r="K1603" s="1019"/>
      <c r="L1603" s="1140"/>
    </row>
    <row r="1604" spans="1:12" x14ac:dyDescent="0.35">
      <c r="A1604" s="1019"/>
      <c r="B1604" s="1019"/>
      <c r="C1604" s="1019"/>
      <c r="D1604" s="1019"/>
      <c r="E1604" s="1019"/>
      <c r="F1604" s="1019"/>
      <c r="G1604" s="1019"/>
      <c r="H1604" s="1019"/>
      <c r="I1604" s="1019"/>
      <c r="J1604" s="1019"/>
      <c r="K1604" s="1019"/>
      <c r="L1604" s="1140"/>
    </row>
    <row r="1605" spans="1:12" x14ac:dyDescent="0.35">
      <c r="A1605" s="1019"/>
      <c r="B1605" s="1019"/>
      <c r="C1605" s="1019"/>
      <c r="D1605" s="1019"/>
      <c r="E1605" s="1019"/>
      <c r="F1605" s="1019"/>
      <c r="G1605" s="1019"/>
      <c r="H1605" s="1019"/>
      <c r="I1605" s="1019"/>
      <c r="J1605" s="1019"/>
      <c r="K1605" s="1019"/>
      <c r="L1605" s="1140"/>
    </row>
    <row r="1606" spans="1:12" x14ac:dyDescent="0.35">
      <c r="A1606" s="1019"/>
      <c r="B1606" s="1019"/>
      <c r="C1606" s="1019"/>
      <c r="D1606" s="1019"/>
      <c r="E1606" s="1019"/>
      <c r="F1606" s="1019"/>
      <c r="G1606" s="1019"/>
      <c r="H1606" s="1019"/>
      <c r="I1606" s="1019"/>
      <c r="J1606" s="1019"/>
      <c r="K1606" s="1019"/>
      <c r="L1606" s="1140"/>
    </row>
    <row r="1607" spans="1:12" x14ac:dyDescent="0.35">
      <c r="A1607" s="1019"/>
      <c r="B1607" s="1019"/>
      <c r="C1607" s="1019"/>
      <c r="D1607" s="1019"/>
      <c r="E1607" s="1019"/>
      <c r="F1607" s="1019"/>
      <c r="G1607" s="1019"/>
      <c r="H1607" s="1019"/>
      <c r="I1607" s="1019"/>
      <c r="J1607" s="1019"/>
      <c r="K1607" s="1019"/>
      <c r="L1607" s="1140"/>
    </row>
    <row r="1608" spans="1:12" x14ac:dyDescent="0.35">
      <c r="A1608" s="1019"/>
      <c r="B1608" s="1019"/>
      <c r="C1608" s="1019"/>
      <c r="D1608" s="1019"/>
      <c r="E1608" s="1019"/>
      <c r="F1608" s="1019"/>
      <c r="G1608" s="1019"/>
      <c r="H1608" s="1019"/>
      <c r="I1608" s="1019"/>
      <c r="J1608" s="1019"/>
      <c r="K1608" s="1019"/>
      <c r="L1608" s="1140"/>
    </row>
    <row r="1609" spans="1:12" x14ac:dyDescent="0.35">
      <c r="A1609" s="1019"/>
      <c r="B1609" s="1019"/>
      <c r="C1609" s="1019"/>
      <c r="D1609" s="1019"/>
      <c r="E1609" s="1019"/>
      <c r="F1609" s="1019"/>
      <c r="G1609" s="1019"/>
      <c r="H1609" s="1019"/>
      <c r="I1609" s="1019"/>
      <c r="J1609" s="1019"/>
      <c r="K1609" s="1019"/>
      <c r="L1609" s="1140"/>
    </row>
    <row r="1610" spans="1:12" x14ac:dyDescent="0.35">
      <c r="A1610" s="1019"/>
      <c r="B1610" s="1019"/>
      <c r="C1610" s="1019"/>
      <c r="D1610" s="1019"/>
      <c r="E1610" s="1019"/>
      <c r="F1610" s="1019"/>
      <c r="G1610" s="1019"/>
      <c r="H1610" s="1019"/>
      <c r="I1610" s="1019"/>
      <c r="J1610" s="1019"/>
      <c r="K1610" s="1019"/>
      <c r="L1610" s="1140"/>
    </row>
    <row r="1611" spans="1:12" x14ac:dyDescent="0.35">
      <c r="A1611" s="1019"/>
      <c r="B1611" s="1019"/>
      <c r="C1611" s="1019"/>
      <c r="D1611" s="1019"/>
      <c r="E1611" s="1019"/>
      <c r="F1611" s="1019"/>
      <c r="G1611" s="1019"/>
      <c r="H1611" s="1019"/>
      <c r="I1611" s="1019"/>
      <c r="J1611" s="1019"/>
      <c r="K1611" s="1019"/>
      <c r="L1611" s="1140"/>
    </row>
    <row r="1612" spans="1:12" x14ac:dyDescent="0.35">
      <c r="A1612" s="1019"/>
      <c r="B1612" s="1019"/>
      <c r="C1612" s="1019"/>
      <c r="D1612" s="1019"/>
      <c r="E1612" s="1019"/>
      <c r="F1612" s="1019"/>
      <c r="G1612" s="1019"/>
      <c r="H1612" s="1019"/>
      <c r="I1612" s="1019"/>
      <c r="J1612" s="1019"/>
      <c r="K1612" s="1019"/>
      <c r="L1612" s="1140"/>
    </row>
    <row r="1613" spans="1:12" x14ac:dyDescent="0.35">
      <c r="A1613" s="1019"/>
      <c r="B1613" s="1019"/>
      <c r="C1613" s="1019"/>
      <c r="D1613" s="1019"/>
      <c r="E1613" s="1019"/>
      <c r="F1613" s="1019"/>
      <c r="G1613" s="1019"/>
      <c r="H1613" s="1019"/>
      <c r="I1613" s="1019"/>
      <c r="J1613" s="1019"/>
      <c r="K1613" s="1019"/>
      <c r="L1613" s="1140"/>
    </row>
    <row r="1614" spans="1:12" x14ac:dyDescent="0.35">
      <c r="A1614" s="1019"/>
      <c r="B1614" s="1019"/>
      <c r="C1614" s="1019"/>
      <c r="D1614" s="1019"/>
      <c r="E1614" s="1019"/>
      <c r="F1614" s="1019"/>
      <c r="G1614" s="1019"/>
      <c r="H1614" s="1019"/>
      <c r="I1614" s="1019"/>
      <c r="J1614" s="1019"/>
      <c r="K1614" s="1019"/>
      <c r="L1614" s="1140"/>
    </row>
    <row r="1615" spans="1:12" x14ac:dyDescent="0.35">
      <c r="A1615" s="1019"/>
      <c r="B1615" s="1019"/>
      <c r="C1615" s="1019"/>
      <c r="D1615" s="1019"/>
      <c r="E1615" s="1019"/>
      <c r="F1615" s="1019"/>
      <c r="G1615" s="1019"/>
      <c r="H1615" s="1019"/>
      <c r="I1615" s="1019"/>
      <c r="J1615" s="1019"/>
      <c r="K1615" s="1019"/>
      <c r="L1615" s="1140"/>
    </row>
    <row r="1616" spans="1:12" x14ac:dyDescent="0.35">
      <c r="A1616" s="1019"/>
      <c r="B1616" s="1019"/>
      <c r="C1616" s="1019"/>
      <c r="D1616" s="1019"/>
      <c r="E1616" s="1019"/>
      <c r="F1616" s="1019"/>
      <c r="G1616" s="1019"/>
      <c r="H1616" s="1019"/>
      <c r="I1616" s="1019"/>
      <c r="J1616" s="1019"/>
      <c r="K1616" s="1019"/>
      <c r="L1616" s="1140"/>
    </row>
    <row r="1617" spans="1:12" x14ac:dyDescent="0.35">
      <c r="A1617" s="1019"/>
      <c r="B1617" s="1019"/>
      <c r="C1617" s="1019"/>
      <c r="D1617" s="1019"/>
      <c r="E1617" s="1019"/>
      <c r="F1617" s="1019"/>
      <c r="G1617" s="1019"/>
      <c r="H1617" s="1019"/>
      <c r="I1617" s="1019"/>
      <c r="J1617" s="1019"/>
      <c r="K1617" s="1019"/>
      <c r="L1617" s="1140"/>
    </row>
    <row r="1618" spans="1:12" x14ac:dyDescent="0.35">
      <c r="A1618" s="1019"/>
      <c r="B1618" s="1019"/>
      <c r="C1618" s="1019"/>
      <c r="D1618" s="1019"/>
      <c r="E1618" s="1019"/>
      <c r="F1618" s="1019"/>
      <c r="G1618" s="1019"/>
      <c r="H1618" s="1019"/>
      <c r="I1618" s="1019"/>
      <c r="J1618" s="1019"/>
      <c r="K1618" s="1019"/>
      <c r="L1618" s="1140"/>
    </row>
    <row r="1619" spans="1:12" x14ac:dyDescent="0.35">
      <c r="A1619" s="1019"/>
      <c r="B1619" s="1019"/>
      <c r="C1619" s="1019"/>
      <c r="D1619" s="1019"/>
      <c r="E1619" s="1019"/>
      <c r="F1619" s="1019"/>
      <c r="G1619" s="1019"/>
      <c r="H1619" s="1019"/>
      <c r="I1619" s="1019"/>
      <c r="J1619" s="1019"/>
      <c r="K1619" s="1019"/>
      <c r="L1619" s="1140"/>
    </row>
    <row r="1620" spans="1:12" x14ac:dyDescent="0.35">
      <c r="A1620" s="1019"/>
      <c r="B1620" s="1019"/>
      <c r="C1620" s="1019"/>
      <c r="D1620" s="1019"/>
      <c r="E1620" s="1019"/>
      <c r="F1620" s="1019"/>
      <c r="G1620" s="1019"/>
      <c r="H1620" s="1019"/>
      <c r="I1620" s="1019"/>
      <c r="J1620" s="1019"/>
      <c r="K1620" s="1019"/>
      <c r="L1620" s="1140"/>
    </row>
    <row r="1621" spans="1:12" x14ac:dyDescent="0.35">
      <c r="A1621" s="1019"/>
      <c r="B1621" s="1019"/>
      <c r="C1621" s="1019"/>
      <c r="D1621" s="1019"/>
      <c r="E1621" s="1019"/>
      <c r="F1621" s="1019"/>
      <c r="G1621" s="1019"/>
      <c r="H1621" s="1019"/>
      <c r="I1621" s="1019"/>
      <c r="J1621" s="1019"/>
      <c r="K1621" s="1019"/>
      <c r="L1621" s="1140"/>
    </row>
    <row r="1622" spans="1:12" x14ac:dyDescent="0.35">
      <c r="A1622" s="1019"/>
      <c r="B1622" s="1019"/>
      <c r="C1622" s="1019"/>
      <c r="D1622" s="1019"/>
      <c r="E1622" s="1019"/>
      <c r="F1622" s="1019"/>
      <c r="G1622" s="1019"/>
      <c r="H1622" s="1019"/>
      <c r="I1622" s="1019"/>
      <c r="J1622" s="1019"/>
      <c r="K1622" s="1019"/>
      <c r="L1622" s="1140"/>
    </row>
    <row r="1623" spans="1:12" x14ac:dyDescent="0.35">
      <c r="A1623" s="1019"/>
      <c r="B1623" s="1019"/>
      <c r="C1623" s="1019"/>
      <c r="D1623" s="1019"/>
      <c r="E1623" s="1019"/>
      <c r="F1623" s="1019"/>
      <c r="G1623" s="1019"/>
      <c r="H1623" s="1019"/>
      <c r="I1623" s="1019"/>
      <c r="J1623" s="1019"/>
      <c r="K1623" s="1019"/>
      <c r="L1623" s="1140"/>
    </row>
    <row r="1624" spans="1:12" x14ac:dyDescent="0.35">
      <c r="A1624" s="1019"/>
      <c r="B1624" s="1019"/>
      <c r="C1624" s="1019"/>
      <c r="D1624" s="1019"/>
      <c r="E1624" s="1019"/>
      <c r="F1624" s="1019"/>
      <c r="G1624" s="1019"/>
      <c r="H1624" s="1019"/>
      <c r="I1624" s="1019"/>
      <c r="J1624" s="1019"/>
      <c r="K1624" s="1019"/>
      <c r="L1624" s="1140"/>
    </row>
    <row r="1625" spans="1:12" x14ac:dyDescent="0.35">
      <c r="A1625" s="1019"/>
      <c r="B1625" s="1019"/>
      <c r="C1625" s="1019"/>
      <c r="D1625" s="1019"/>
      <c r="E1625" s="1019"/>
      <c r="F1625" s="1019"/>
      <c r="G1625" s="1019"/>
      <c r="H1625" s="1019"/>
      <c r="I1625" s="1019"/>
      <c r="J1625" s="1019"/>
      <c r="K1625" s="1019"/>
      <c r="L1625" s="1140"/>
    </row>
    <row r="1626" spans="1:12" x14ac:dyDescent="0.35">
      <c r="A1626" s="1019"/>
      <c r="B1626" s="1019"/>
      <c r="C1626" s="1019"/>
      <c r="D1626" s="1019"/>
      <c r="E1626" s="1019"/>
      <c r="F1626" s="1019"/>
      <c r="G1626" s="1019"/>
      <c r="H1626" s="1019"/>
      <c r="I1626" s="1019"/>
      <c r="J1626" s="1019"/>
      <c r="K1626" s="1019"/>
      <c r="L1626" s="1140"/>
    </row>
    <row r="1627" spans="1:12" x14ac:dyDescent="0.35">
      <c r="A1627" s="1019"/>
      <c r="B1627" s="1019"/>
      <c r="C1627" s="1019"/>
      <c r="D1627" s="1019"/>
      <c r="E1627" s="1019"/>
      <c r="F1627" s="1019"/>
      <c r="G1627" s="1019"/>
      <c r="H1627" s="1019"/>
      <c r="I1627" s="1019"/>
      <c r="J1627" s="1019"/>
      <c r="K1627" s="1019"/>
      <c r="L1627" s="1140"/>
    </row>
    <row r="1628" spans="1:12" x14ac:dyDescent="0.35">
      <c r="A1628" s="1019"/>
      <c r="B1628" s="1019"/>
      <c r="C1628" s="1019"/>
      <c r="D1628" s="1019"/>
      <c r="E1628" s="1019"/>
      <c r="F1628" s="1019"/>
      <c r="G1628" s="1019"/>
      <c r="H1628" s="1019"/>
      <c r="I1628" s="1019"/>
      <c r="J1628" s="1019"/>
      <c r="K1628" s="1019"/>
      <c r="L1628" s="1140"/>
    </row>
    <row r="1629" spans="1:12" x14ac:dyDescent="0.35">
      <c r="A1629" s="1019"/>
      <c r="B1629" s="1019"/>
      <c r="C1629" s="1019"/>
      <c r="D1629" s="1019"/>
      <c r="E1629" s="1019"/>
      <c r="F1629" s="1019"/>
      <c r="G1629" s="1019"/>
      <c r="H1629" s="1019"/>
      <c r="I1629" s="1019"/>
      <c r="J1629" s="1019"/>
      <c r="K1629" s="1019"/>
      <c r="L1629" s="1140"/>
    </row>
    <row r="1630" spans="1:12" x14ac:dyDescent="0.35">
      <c r="A1630" s="1019"/>
      <c r="B1630" s="1019"/>
      <c r="C1630" s="1019"/>
      <c r="D1630" s="1019"/>
      <c r="E1630" s="1019"/>
      <c r="F1630" s="1019"/>
      <c r="G1630" s="1019"/>
      <c r="H1630" s="1019"/>
      <c r="I1630" s="1019"/>
      <c r="J1630" s="1019"/>
      <c r="K1630" s="1019"/>
      <c r="L1630" s="1140"/>
    </row>
    <row r="1631" spans="1:12" x14ac:dyDescent="0.35">
      <c r="A1631" s="1019"/>
      <c r="B1631" s="1019"/>
      <c r="C1631" s="1019"/>
      <c r="D1631" s="1019"/>
      <c r="E1631" s="1019"/>
      <c r="F1631" s="1019"/>
      <c r="G1631" s="1019"/>
      <c r="H1631" s="1019"/>
      <c r="I1631" s="1019"/>
      <c r="J1631" s="1019"/>
      <c r="K1631" s="1019"/>
      <c r="L1631" s="1140"/>
    </row>
    <row r="1632" spans="1:12" x14ac:dyDescent="0.35">
      <c r="A1632" s="1019"/>
      <c r="B1632" s="1019"/>
      <c r="C1632" s="1019"/>
      <c r="D1632" s="1019"/>
      <c r="E1632" s="1019"/>
      <c r="F1632" s="1019"/>
      <c r="G1632" s="1019"/>
      <c r="H1632" s="1019"/>
      <c r="I1632" s="1019"/>
      <c r="J1632" s="1019"/>
      <c r="K1632" s="1019"/>
      <c r="L1632" s="1140"/>
    </row>
    <row r="1633" spans="1:12" x14ac:dyDescent="0.35">
      <c r="A1633" s="1019"/>
      <c r="B1633" s="1019"/>
      <c r="C1633" s="1019"/>
      <c r="D1633" s="1019"/>
      <c r="E1633" s="1019"/>
      <c r="F1633" s="1019"/>
      <c r="G1633" s="1019"/>
      <c r="H1633" s="1019"/>
      <c r="I1633" s="1019"/>
      <c r="J1633" s="1019"/>
      <c r="K1633" s="1019"/>
      <c r="L1633" s="1140"/>
    </row>
    <row r="1634" spans="1:12" x14ac:dyDescent="0.35">
      <c r="A1634" s="1019"/>
      <c r="B1634" s="1019"/>
      <c r="C1634" s="1019"/>
      <c r="D1634" s="1019"/>
      <c r="E1634" s="1019"/>
      <c r="F1634" s="1019"/>
      <c r="G1634" s="1019"/>
      <c r="H1634" s="1019"/>
      <c r="I1634" s="1019"/>
      <c r="J1634" s="1019"/>
      <c r="K1634" s="1019"/>
      <c r="L1634" s="1140"/>
    </row>
    <row r="1635" spans="1:12" x14ac:dyDescent="0.35">
      <c r="A1635" s="1019"/>
      <c r="B1635" s="1019"/>
      <c r="C1635" s="1019"/>
      <c r="D1635" s="1019"/>
      <c r="E1635" s="1019"/>
      <c r="F1635" s="1019"/>
      <c r="G1635" s="1019"/>
      <c r="H1635" s="1019"/>
      <c r="I1635" s="1019"/>
      <c r="J1635" s="1019"/>
      <c r="K1635" s="1019"/>
      <c r="L1635" s="1140"/>
    </row>
    <row r="1636" spans="1:12" x14ac:dyDescent="0.35">
      <c r="A1636" s="1019"/>
      <c r="B1636" s="1019"/>
      <c r="C1636" s="1019"/>
      <c r="D1636" s="1019"/>
      <c r="E1636" s="1019"/>
      <c r="F1636" s="1019"/>
      <c r="G1636" s="1019"/>
      <c r="H1636" s="1019"/>
      <c r="I1636" s="1019"/>
      <c r="J1636" s="1019"/>
      <c r="K1636" s="1019"/>
      <c r="L1636" s="1140"/>
    </row>
    <row r="1637" spans="1:12" x14ac:dyDescent="0.35">
      <c r="A1637" s="1019"/>
      <c r="B1637" s="1019"/>
      <c r="C1637" s="1019"/>
      <c r="D1637" s="1019"/>
      <c r="E1637" s="1019"/>
      <c r="F1637" s="1019"/>
      <c r="G1637" s="1019"/>
      <c r="H1637" s="1019"/>
      <c r="I1637" s="1019"/>
      <c r="J1637" s="1019"/>
      <c r="K1637" s="1019"/>
      <c r="L1637" s="1140"/>
    </row>
    <row r="1638" spans="1:12" x14ac:dyDescent="0.35">
      <c r="A1638" s="1019"/>
      <c r="B1638" s="1019"/>
      <c r="C1638" s="1019"/>
      <c r="D1638" s="1019"/>
      <c r="E1638" s="1019"/>
      <c r="F1638" s="1019"/>
      <c r="G1638" s="1019"/>
      <c r="H1638" s="1019"/>
      <c r="I1638" s="1019"/>
      <c r="J1638" s="1019"/>
      <c r="K1638" s="1019"/>
      <c r="L1638" s="1140"/>
    </row>
    <row r="1639" spans="1:12" x14ac:dyDescent="0.35">
      <c r="A1639" s="1019"/>
      <c r="B1639" s="1019"/>
      <c r="C1639" s="1019"/>
      <c r="D1639" s="1019"/>
      <c r="E1639" s="1019"/>
      <c r="F1639" s="1019"/>
      <c r="G1639" s="1019"/>
      <c r="H1639" s="1019"/>
      <c r="I1639" s="1019"/>
      <c r="J1639" s="1019"/>
      <c r="K1639" s="1019"/>
      <c r="L1639" s="1140"/>
    </row>
    <row r="1640" spans="1:12" x14ac:dyDescent="0.35">
      <c r="A1640" s="1019"/>
      <c r="B1640" s="1019"/>
      <c r="C1640" s="1019"/>
      <c r="D1640" s="1019"/>
      <c r="E1640" s="1019"/>
      <c r="F1640" s="1019"/>
      <c r="G1640" s="1019"/>
      <c r="H1640" s="1019"/>
      <c r="I1640" s="1019"/>
      <c r="J1640" s="1019"/>
      <c r="K1640" s="1019"/>
      <c r="L1640" s="1140"/>
    </row>
    <row r="1641" spans="1:12" x14ac:dyDescent="0.35">
      <c r="A1641" s="1019"/>
      <c r="B1641" s="1019"/>
      <c r="C1641" s="1019"/>
      <c r="D1641" s="1019"/>
      <c r="E1641" s="1019"/>
      <c r="F1641" s="1019"/>
      <c r="G1641" s="1019"/>
      <c r="H1641" s="1019"/>
      <c r="I1641" s="1019"/>
      <c r="J1641" s="1019"/>
      <c r="K1641" s="1019"/>
      <c r="L1641" s="1140"/>
    </row>
    <row r="1642" spans="1:12" x14ac:dyDescent="0.35">
      <c r="A1642" s="1019"/>
      <c r="B1642" s="1019"/>
      <c r="C1642" s="1019"/>
      <c r="D1642" s="1019"/>
      <c r="E1642" s="1019"/>
      <c r="F1642" s="1019"/>
      <c r="G1642" s="1019"/>
      <c r="H1642" s="1019"/>
      <c r="I1642" s="1019"/>
      <c r="J1642" s="1019"/>
      <c r="K1642" s="1019"/>
      <c r="L1642" s="1140"/>
    </row>
    <row r="1643" spans="1:12" x14ac:dyDescent="0.35">
      <c r="A1643" s="1019"/>
      <c r="B1643" s="1019"/>
      <c r="C1643" s="1019"/>
      <c r="D1643" s="1019"/>
      <c r="E1643" s="1019"/>
      <c r="F1643" s="1019"/>
      <c r="G1643" s="1019"/>
      <c r="H1643" s="1019"/>
      <c r="I1643" s="1019"/>
      <c r="J1643" s="1019"/>
      <c r="K1643" s="1019"/>
      <c r="L1643" s="1140"/>
    </row>
    <row r="1644" spans="1:12" x14ac:dyDescent="0.35">
      <c r="A1644" s="1019"/>
      <c r="B1644" s="1019"/>
      <c r="C1644" s="1019"/>
      <c r="D1644" s="1019"/>
      <c r="E1644" s="1019"/>
      <c r="F1644" s="1019"/>
      <c r="G1644" s="1019"/>
      <c r="H1644" s="1019"/>
      <c r="I1644" s="1019"/>
      <c r="J1644" s="1019"/>
      <c r="K1644" s="1019"/>
      <c r="L1644" s="1140"/>
    </row>
    <row r="1645" spans="1:12" x14ac:dyDescent="0.35">
      <c r="A1645" s="1019"/>
      <c r="B1645" s="1019"/>
      <c r="C1645" s="1019"/>
      <c r="D1645" s="1019"/>
      <c r="E1645" s="1019"/>
      <c r="F1645" s="1019"/>
      <c r="G1645" s="1019"/>
      <c r="H1645" s="1019"/>
      <c r="I1645" s="1019"/>
      <c r="J1645" s="1019"/>
      <c r="K1645" s="1019"/>
      <c r="L1645" s="1140"/>
    </row>
    <row r="1646" spans="1:12" x14ac:dyDescent="0.35">
      <c r="A1646" s="1019"/>
      <c r="B1646" s="1019"/>
      <c r="C1646" s="1019"/>
      <c r="D1646" s="1019"/>
      <c r="E1646" s="1019"/>
      <c r="F1646" s="1019"/>
      <c r="G1646" s="1019"/>
      <c r="H1646" s="1019"/>
      <c r="I1646" s="1019"/>
      <c r="J1646" s="1019"/>
      <c r="K1646" s="1019"/>
      <c r="L1646" s="1140"/>
    </row>
    <row r="1647" spans="1:12" x14ac:dyDescent="0.35">
      <c r="A1647" s="1019"/>
      <c r="B1647" s="1019"/>
      <c r="C1647" s="1019"/>
      <c r="D1647" s="1019"/>
      <c r="E1647" s="1019"/>
      <c r="F1647" s="1019"/>
      <c r="G1647" s="1019"/>
      <c r="H1647" s="1019"/>
      <c r="I1647" s="1019"/>
      <c r="J1647" s="1019"/>
      <c r="K1647" s="1019"/>
      <c r="L1647" s="1140"/>
    </row>
    <row r="1648" spans="1:12" x14ac:dyDescent="0.35">
      <c r="A1648" s="1019"/>
      <c r="B1648" s="1019"/>
      <c r="C1648" s="1019"/>
      <c r="D1648" s="1019"/>
      <c r="E1648" s="1019"/>
      <c r="F1648" s="1019"/>
      <c r="G1648" s="1019"/>
      <c r="H1648" s="1019"/>
      <c r="I1648" s="1019"/>
      <c r="J1648" s="1019"/>
      <c r="K1648" s="1019"/>
      <c r="L1648" s="1140"/>
    </row>
    <row r="1649" spans="1:12" x14ac:dyDescent="0.35">
      <c r="A1649" s="1019"/>
      <c r="B1649" s="1019"/>
      <c r="C1649" s="1019"/>
      <c r="D1649" s="1019"/>
      <c r="E1649" s="1019"/>
      <c r="F1649" s="1019"/>
      <c r="G1649" s="1019"/>
      <c r="H1649" s="1019"/>
      <c r="I1649" s="1019"/>
      <c r="J1649" s="1019"/>
      <c r="K1649" s="1019"/>
      <c r="L1649" s="1140"/>
    </row>
    <row r="1650" spans="1:12" x14ac:dyDescent="0.35">
      <c r="A1650" s="1019"/>
      <c r="B1650" s="1019"/>
      <c r="C1650" s="1019"/>
      <c r="D1650" s="1019"/>
      <c r="E1650" s="1019"/>
      <c r="F1650" s="1019"/>
      <c r="G1650" s="1019"/>
      <c r="H1650" s="1019"/>
      <c r="I1650" s="1019"/>
      <c r="J1650" s="1019"/>
      <c r="K1650" s="1019"/>
      <c r="L1650" s="1140"/>
    </row>
    <row r="1651" spans="1:12" x14ac:dyDescent="0.35">
      <c r="A1651" s="1019"/>
      <c r="B1651" s="1019"/>
      <c r="C1651" s="1019"/>
      <c r="D1651" s="1019"/>
      <c r="E1651" s="1019"/>
      <c r="F1651" s="1019"/>
      <c r="G1651" s="1019"/>
      <c r="H1651" s="1019"/>
      <c r="I1651" s="1019"/>
      <c r="J1651" s="1019"/>
      <c r="K1651" s="1019"/>
      <c r="L1651" s="1140"/>
    </row>
    <row r="1652" spans="1:12" x14ac:dyDescent="0.35">
      <c r="A1652" s="1019"/>
      <c r="B1652" s="1019"/>
      <c r="C1652" s="1019"/>
      <c r="D1652" s="1019"/>
      <c r="E1652" s="1019"/>
      <c r="F1652" s="1019"/>
      <c r="G1652" s="1019"/>
      <c r="H1652" s="1019"/>
      <c r="I1652" s="1019"/>
      <c r="J1652" s="1019"/>
      <c r="K1652" s="1019"/>
      <c r="L1652" s="1140"/>
    </row>
    <row r="1653" spans="1:12" x14ac:dyDescent="0.35">
      <c r="A1653" s="1019"/>
      <c r="B1653" s="1019"/>
      <c r="C1653" s="1019"/>
      <c r="D1653" s="1019"/>
      <c r="E1653" s="1019"/>
      <c r="F1653" s="1019"/>
      <c r="G1653" s="1019"/>
      <c r="H1653" s="1019"/>
      <c r="I1653" s="1019"/>
      <c r="J1653" s="1019"/>
      <c r="K1653" s="1019"/>
      <c r="L1653" s="1140"/>
    </row>
    <row r="1654" spans="1:12" x14ac:dyDescent="0.35">
      <c r="A1654" s="1019"/>
      <c r="B1654" s="1019"/>
      <c r="C1654" s="1019"/>
      <c r="D1654" s="1019"/>
      <c r="E1654" s="1019"/>
      <c r="F1654" s="1019"/>
      <c r="G1654" s="1019"/>
      <c r="H1654" s="1019"/>
      <c r="I1654" s="1019"/>
      <c r="J1654" s="1019"/>
      <c r="K1654" s="1019"/>
      <c r="L1654" s="1140"/>
    </row>
    <row r="1655" spans="1:12" x14ac:dyDescent="0.35">
      <c r="A1655" s="1019"/>
      <c r="B1655" s="1019"/>
      <c r="C1655" s="1019"/>
      <c r="D1655" s="1019"/>
      <c r="E1655" s="1019"/>
      <c r="F1655" s="1019"/>
      <c r="G1655" s="1019"/>
      <c r="H1655" s="1019"/>
      <c r="I1655" s="1019"/>
      <c r="J1655" s="1019"/>
      <c r="K1655" s="1019"/>
      <c r="L1655" s="1140"/>
    </row>
    <row r="1656" spans="1:12" x14ac:dyDescent="0.35">
      <c r="A1656" s="1019"/>
      <c r="B1656" s="1019"/>
      <c r="C1656" s="1019"/>
      <c r="D1656" s="1019"/>
      <c r="E1656" s="1019"/>
      <c r="F1656" s="1019"/>
      <c r="G1656" s="1019"/>
      <c r="H1656" s="1019"/>
      <c r="I1656" s="1019"/>
      <c r="J1656" s="1019"/>
      <c r="K1656" s="1019"/>
      <c r="L1656" s="1140"/>
    </row>
    <row r="1657" spans="1:12" x14ac:dyDescent="0.35">
      <c r="A1657" s="1019"/>
      <c r="B1657" s="1019"/>
      <c r="C1657" s="1019"/>
      <c r="D1657" s="1019"/>
      <c r="E1657" s="1019"/>
      <c r="F1657" s="1019"/>
      <c r="G1657" s="1019"/>
      <c r="H1657" s="1019"/>
      <c r="I1657" s="1019"/>
      <c r="J1657" s="1019"/>
      <c r="K1657" s="1019"/>
      <c r="L1657" s="1140"/>
    </row>
    <row r="1658" spans="1:12" x14ac:dyDescent="0.35">
      <c r="A1658" s="1019"/>
      <c r="B1658" s="1019"/>
      <c r="C1658" s="1019"/>
      <c r="D1658" s="1019"/>
      <c r="E1658" s="1019"/>
      <c r="F1658" s="1019"/>
      <c r="G1658" s="1019"/>
      <c r="H1658" s="1019"/>
      <c r="I1658" s="1019"/>
      <c r="J1658" s="1019"/>
      <c r="K1658" s="1019"/>
      <c r="L1658" s="1140"/>
    </row>
    <row r="1659" spans="1:12" x14ac:dyDescent="0.35">
      <c r="A1659" s="1019"/>
      <c r="B1659" s="1019"/>
      <c r="C1659" s="1019"/>
      <c r="D1659" s="1019"/>
      <c r="E1659" s="1019"/>
      <c r="F1659" s="1019"/>
      <c r="G1659" s="1019"/>
      <c r="H1659" s="1019"/>
      <c r="I1659" s="1019"/>
      <c r="J1659" s="1019"/>
      <c r="K1659" s="1019"/>
      <c r="L1659" s="1140"/>
    </row>
    <row r="1660" spans="1:12" x14ac:dyDescent="0.35">
      <c r="A1660" s="1019"/>
      <c r="B1660" s="1019"/>
      <c r="C1660" s="1019"/>
      <c r="D1660" s="1019"/>
      <c r="E1660" s="1019"/>
      <c r="F1660" s="1019"/>
      <c r="G1660" s="1019"/>
      <c r="H1660" s="1019"/>
      <c r="I1660" s="1019"/>
      <c r="J1660" s="1019"/>
      <c r="K1660" s="1019"/>
      <c r="L1660" s="1140"/>
    </row>
    <row r="1661" spans="1:12" x14ac:dyDescent="0.35">
      <c r="A1661" s="1019"/>
      <c r="B1661" s="1019"/>
      <c r="C1661" s="1019"/>
      <c r="D1661" s="1019"/>
      <c r="E1661" s="1019"/>
      <c r="F1661" s="1019"/>
      <c r="G1661" s="1019"/>
      <c r="H1661" s="1019"/>
      <c r="I1661" s="1019"/>
      <c r="J1661" s="1019"/>
      <c r="K1661" s="1019"/>
      <c r="L1661" s="1140"/>
    </row>
    <row r="1662" spans="1:12" x14ac:dyDescent="0.35">
      <c r="A1662" s="1019"/>
      <c r="B1662" s="1019"/>
      <c r="C1662" s="1019"/>
      <c r="D1662" s="1019"/>
      <c r="E1662" s="1019"/>
      <c r="F1662" s="1019"/>
      <c r="G1662" s="1019"/>
      <c r="H1662" s="1019"/>
      <c r="I1662" s="1019"/>
      <c r="J1662" s="1019"/>
      <c r="K1662" s="1019"/>
      <c r="L1662" s="1140"/>
    </row>
    <row r="1663" spans="1:12" x14ac:dyDescent="0.35">
      <c r="A1663" s="1019"/>
      <c r="B1663" s="1019"/>
      <c r="C1663" s="1019"/>
      <c r="D1663" s="1019"/>
      <c r="E1663" s="1019"/>
      <c r="F1663" s="1019"/>
      <c r="G1663" s="1019"/>
      <c r="H1663" s="1019"/>
      <c r="I1663" s="1019"/>
      <c r="J1663" s="1019"/>
      <c r="K1663" s="1019"/>
      <c r="L1663" s="1140"/>
    </row>
    <row r="1664" spans="1:12" x14ac:dyDescent="0.35">
      <c r="A1664" s="1019"/>
      <c r="B1664" s="1019"/>
      <c r="C1664" s="1019"/>
      <c r="D1664" s="1019"/>
      <c r="E1664" s="1019"/>
      <c r="F1664" s="1019"/>
      <c r="G1664" s="1019"/>
      <c r="H1664" s="1019"/>
      <c r="I1664" s="1019"/>
      <c r="J1664" s="1019"/>
      <c r="K1664" s="1019"/>
      <c r="L1664" s="1140"/>
    </row>
    <row r="1665" spans="1:12" x14ac:dyDescent="0.35">
      <c r="A1665" s="1019"/>
      <c r="B1665" s="1019"/>
      <c r="C1665" s="1019"/>
      <c r="D1665" s="1019"/>
      <c r="E1665" s="1019"/>
      <c r="F1665" s="1019"/>
      <c r="G1665" s="1019"/>
      <c r="H1665" s="1019"/>
      <c r="I1665" s="1019"/>
      <c r="J1665" s="1019"/>
      <c r="K1665" s="1019"/>
      <c r="L1665" s="1140"/>
    </row>
    <row r="1666" spans="1:12" x14ac:dyDescent="0.35">
      <c r="A1666" s="1019"/>
      <c r="B1666" s="1019"/>
      <c r="C1666" s="1019"/>
      <c r="D1666" s="1019"/>
      <c r="E1666" s="1019"/>
      <c r="F1666" s="1019"/>
      <c r="G1666" s="1019"/>
      <c r="H1666" s="1019"/>
      <c r="I1666" s="1019"/>
      <c r="J1666" s="1019"/>
      <c r="K1666" s="1019"/>
      <c r="L1666" s="1140"/>
    </row>
    <row r="1667" spans="1:12" x14ac:dyDescent="0.35">
      <c r="A1667" s="1019"/>
      <c r="B1667" s="1019"/>
      <c r="C1667" s="1019"/>
      <c r="D1667" s="1019"/>
      <c r="E1667" s="1019"/>
      <c r="F1667" s="1019"/>
      <c r="G1667" s="1019"/>
      <c r="H1667" s="1019"/>
      <c r="I1667" s="1019"/>
      <c r="J1667" s="1019"/>
      <c r="K1667" s="1019"/>
      <c r="L1667" s="1140"/>
    </row>
    <row r="1668" spans="1:12" x14ac:dyDescent="0.35">
      <c r="A1668" s="1019"/>
      <c r="B1668" s="1019"/>
      <c r="C1668" s="1019"/>
      <c r="D1668" s="1019"/>
      <c r="E1668" s="1019"/>
      <c r="F1668" s="1019"/>
      <c r="G1668" s="1019"/>
      <c r="H1668" s="1019"/>
      <c r="I1668" s="1019"/>
      <c r="J1668" s="1019"/>
      <c r="K1668" s="1019"/>
      <c r="L1668" s="1140"/>
    </row>
    <row r="1669" spans="1:12" x14ac:dyDescent="0.35">
      <c r="A1669" s="1019"/>
      <c r="B1669" s="1019"/>
      <c r="C1669" s="1019"/>
      <c r="D1669" s="1019"/>
      <c r="E1669" s="1019"/>
      <c r="F1669" s="1019"/>
      <c r="G1669" s="1019"/>
      <c r="H1669" s="1019"/>
      <c r="I1669" s="1019"/>
      <c r="J1669" s="1019"/>
      <c r="K1669" s="1019"/>
      <c r="L1669" s="1140"/>
    </row>
    <row r="1670" spans="1:12" x14ac:dyDescent="0.35">
      <c r="A1670" s="1019"/>
      <c r="B1670" s="1019"/>
      <c r="C1670" s="1019"/>
      <c r="D1670" s="1019"/>
      <c r="E1670" s="1019"/>
      <c r="F1670" s="1019"/>
      <c r="G1670" s="1019"/>
      <c r="H1670" s="1019"/>
      <c r="I1670" s="1019"/>
      <c r="J1670" s="1019"/>
      <c r="K1670" s="1019"/>
      <c r="L1670" s="1140"/>
    </row>
    <row r="1671" spans="1:12" x14ac:dyDescent="0.35">
      <c r="A1671" s="1019"/>
      <c r="B1671" s="1019"/>
      <c r="C1671" s="1019"/>
      <c r="D1671" s="1019"/>
      <c r="E1671" s="1019"/>
      <c r="F1671" s="1019"/>
      <c r="G1671" s="1019"/>
      <c r="H1671" s="1019"/>
      <c r="I1671" s="1019"/>
      <c r="J1671" s="1019"/>
      <c r="K1671" s="1019"/>
      <c r="L1671" s="1140"/>
    </row>
    <row r="1672" spans="1:12" x14ac:dyDescent="0.35">
      <c r="A1672" s="1019"/>
      <c r="B1672" s="1019"/>
      <c r="C1672" s="1019"/>
      <c r="D1672" s="1019"/>
      <c r="E1672" s="1019"/>
      <c r="F1672" s="1019"/>
      <c r="G1672" s="1019"/>
      <c r="H1672" s="1019"/>
      <c r="I1672" s="1019"/>
      <c r="J1672" s="1019"/>
      <c r="K1672" s="1019"/>
      <c r="L1672" s="1140"/>
    </row>
    <row r="1673" spans="1:12" x14ac:dyDescent="0.35">
      <c r="A1673" s="1019"/>
      <c r="B1673" s="1019"/>
      <c r="C1673" s="1019"/>
      <c r="D1673" s="1019"/>
      <c r="E1673" s="1019"/>
      <c r="F1673" s="1019"/>
      <c r="G1673" s="1019"/>
      <c r="H1673" s="1019"/>
      <c r="I1673" s="1019"/>
      <c r="J1673" s="1019"/>
      <c r="K1673" s="1019"/>
      <c r="L1673" s="1140"/>
    </row>
    <row r="1674" spans="1:12" x14ac:dyDescent="0.35">
      <c r="A1674" s="1019"/>
      <c r="B1674" s="1019"/>
      <c r="C1674" s="1019"/>
      <c r="D1674" s="1019"/>
      <c r="E1674" s="1019"/>
      <c r="F1674" s="1019"/>
      <c r="G1674" s="1019"/>
      <c r="H1674" s="1019"/>
      <c r="I1674" s="1019"/>
      <c r="J1674" s="1019"/>
      <c r="K1674" s="1019"/>
      <c r="L1674" s="1140"/>
    </row>
    <row r="1675" spans="1:12" x14ac:dyDescent="0.35">
      <c r="A1675" s="1019"/>
      <c r="B1675" s="1019"/>
      <c r="C1675" s="1019"/>
      <c r="D1675" s="1019"/>
      <c r="E1675" s="1019"/>
      <c r="F1675" s="1019"/>
      <c r="G1675" s="1019"/>
      <c r="H1675" s="1019"/>
      <c r="I1675" s="1019"/>
      <c r="J1675" s="1019"/>
      <c r="K1675" s="1019"/>
      <c r="L1675" s="1140"/>
    </row>
    <row r="1676" spans="1:12" x14ac:dyDescent="0.35">
      <c r="A1676" s="1019"/>
      <c r="B1676" s="1019"/>
      <c r="C1676" s="1019"/>
      <c r="D1676" s="1019"/>
      <c r="E1676" s="1019"/>
      <c r="F1676" s="1019"/>
      <c r="G1676" s="1019"/>
      <c r="H1676" s="1019"/>
      <c r="I1676" s="1019"/>
      <c r="J1676" s="1019"/>
      <c r="K1676" s="1019"/>
      <c r="L1676" s="1140"/>
    </row>
    <row r="1677" spans="1:12" x14ac:dyDescent="0.35">
      <c r="A1677" s="1019"/>
      <c r="B1677" s="1019"/>
      <c r="C1677" s="1019"/>
      <c r="D1677" s="1019"/>
      <c r="E1677" s="1019"/>
      <c r="F1677" s="1019"/>
      <c r="G1677" s="1019"/>
      <c r="H1677" s="1019"/>
      <c r="I1677" s="1019"/>
      <c r="J1677" s="1019"/>
      <c r="K1677" s="1019"/>
      <c r="L1677" s="1140"/>
    </row>
    <row r="1678" spans="1:12" x14ac:dyDescent="0.35">
      <c r="A1678" s="1019"/>
      <c r="B1678" s="1019"/>
      <c r="C1678" s="1019"/>
      <c r="D1678" s="1019"/>
      <c r="E1678" s="1019"/>
      <c r="F1678" s="1019"/>
      <c r="G1678" s="1019"/>
      <c r="H1678" s="1019"/>
      <c r="I1678" s="1019"/>
      <c r="J1678" s="1019"/>
      <c r="K1678" s="1019"/>
      <c r="L1678" s="1140"/>
    </row>
    <row r="1679" spans="1:12" x14ac:dyDescent="0.35">
      <c r="A1679" s="1019"/>
      <c r="B1679" s="1019"/>
      <c r="C1679" s="1019"/>
      <c r="D1679" s="1019"/>
      <c r="E1679" s="1019"/>
      <c r="F1679" s="1019"/>
      <c r="G1679" s="1019"/>
      <c r="H1679" s="1019"/>
      <c r="I1679" s="1019"/>
      <c r="J1679" s="1019"/>
      <c r="K1679" s="1019"/>
      <c r="L1679" s="1140"/>
    </row>
    <row r="1680" spans="1:12" x14ac:dyDescent="0.35">
      <c r="A1680" s="1019"/>
      <c r="B1680" s="1019"/>
      <c r="C1680" s="1019"/>
      <c r="D1680" s="1019"/>
      <c r="E1680" s="1019"/>
      <c r="F1680" s="1019"/>
      <c r="G1680" s="1019"/>
      <c r="H1680" s="1019"/>
      <c r="I1680" s="1019"/>
      <c r="J1680" s="1019"/>
      <c r="K1680" s="1019"/>
      <c r="L1680" s="1140"/>
    </row>
    <row r="1681" spans="1:12" x14ac:dyDescent="0.35">
      <c r="A1681" s="1019"/>
      <c r="B1681" s="1019"/>
      <c r="C1681" s="1019"/>
      <c r="D1681" s="1019"/>
      <c r="E1681" s="1019"/>
      <c r="F1681" s="1019"/>
      <c r="G1681" s="1019"/>
      <c r="H1681" s="1019"/>
      <c r="I1681" s="1019"/>
      <c r="J1681" s="1019"/>
      <c r="K1681" s="1019"/>
      <c r="L1681" s="1140"/>
    </row>
    <row r="1682" spans="1:12" x14ac:dyDescent="0.35">
      <c r="A1682" s="1019"/>
      <c r="B1682" s="1019"/>
      <c r="C1682" s="1019"/>
      <c r="D1682" s="1019"/>
      <c r="E1682" s="1019"/>
      <c r="F1682" s="1019"/>
      <c r="G1682" s="1019"/>
      <c r="H1682" s="1019"/>
      <c r="I1682" s="1019"/>
      <c r="J1682" s="1019"/>
      <c r="K1682" s="1019"/>
      <c r="L1682" s="1140"/>
    </row>
    <row r="1683" spans="1:12" x14ac:dyDescent="0.35">
      <c r="A1683" s="1019"/>
      <c r="B1683" s="1019"/>
      <c r="C1683" s="1019"/>
      <c r="D1683" s="1019"/>
      <c r="E1683" s="1019"/>
      <c r="F1683" s="1019"/>
      <c r="G1683" s="1019"/>
      <c r="H1683" s="1019"/>
      <c r="I1683" s="1019"/>
      <c r="J1683" s="1019"/>
      <c r="K1683" s="1019"/>
      <c r="L1683" s="1140"/>
    </row>
    <row r="1684" spans="1:12" x14ac:dyDescent="0.35">
      <c r="A1684" s="1019"/>
      <c r="B1684" s="1019"/>
      <c r="C1684" s="1019"/>
      <c r="D1684" s="1019"/>
      <c r="E1684" s="1019"/>
      <c r="F1684" s="1019"/>
      <c r="G1684" s="1019"/>
      <c r="H1684" s="1019"/>
      <c r="I1684" s="1019"/>
      <c r="J1684" s="1019"/>
      <c r="K1684" s="1019"/>
      <c r="L1684" s="1140"/>
    </row>
    <row r="1685" spans="1:12" x14ac:dyDescent="0.35">
      <c r="A1685" s="1019"/>
      <c r="B1685" s="1019"/>
      <c r="C1685" s="1019"/>
      <c r="D1685" s="1019"/>
      <c r="E1685" s="1019"/>
      <c r="F1685" s="1019"/>
      <c r="G1685" s="1019"/>
      <c r="H1685" s="1019"/>
      <c r="I1685" s="1019"/>
      <c r="J1685" s="1019"/>
      <c r="K1685" s="1019"/>
      <c r="L1685" s="1140"/>
    </row>
    <row r="1686" spans="1:12" x14ac:dyDescent="0.35">
      <c r="A1686" s="1019"/>
      <c r="B1686" s="1019"/>
      <c r="C1686" s="1019"/>
      <c r="D1686" s="1019"/>
      <c r="E1686" s="1019"/>
      <c r="F1686" s="1019"/>
      <c r="G1686" s="1019"/>
      <c r="H1686" s="1019"/>
      <c r="I1686" s="1019"/>
      <c r="J1686" s="1019"/>
      <c r="K1686" s="1019"/>
      <c r="L1686" s="1140"/>
    </row>
    <row r="1687" spans="1:12" x14ac:dyDescent="0.35">
      <c r="A1687" s="1019"/>
      <c r="B1687" s="1019"/>
      <c r="C1687" s="1019"/>
      <c r="D1687" s="1019"/>
      <c r="E1687" s="1019"/>
      <c r="F1687" s="1019"/>
      <c r="G1687" s="1019"/>
      <c r="H1687" s="1019"/>
      <c r="I1687" s="1019"/>
      <c r="J1687" s="1019"/>
      <c r="K1687" s="1019"/>
      <c r="L1687" s="1140"/>
    </row>
    <row r="1688" spans="1:12" x14ac:dyDescent="0.35">
      <c r="A1688" s="1019"/>
      <c r="B1688" s="1019"/>
      <c r="C1688" s="1019"/>
      <c r="D1688" s="1019"/>
      <c r="E1688" s="1019"/>
      <c r="F1688" s="1019"/>
      <c r="G1688" s="1019"/>
      <c r="H1688" s="1019"/>
      <c r="I1688" s="1019"/>
      <c r="J1688" s="1019"/>
      <c r="K1688" s="1019"/>
      <c r="L1688" s="1140"/>
    </row>
    <row r="1689" spans="1:12" x14ac:dyDescent="0.35">
      <c r="A1689" s="1019"/>
      <c r="B1689" s="1019"/>
      <c r="C1689" s="1019"/>
      <c r="D1689" s="1019"/>
      <c r="E1689" s="1019"/>
      <c r="F1689" s="1019"/>
      <c r="G1689" s="1019"/>
      <c r="H1689" s="1019"/>
      <c r="I1689" s="1019"/>
      <c r="J1689" s="1019"/>
      <c r="K1689" s="1019"/>
      <c r="L1689" s="1140"/>
    </row>
    <row r="1690" spans="1:12" x14ac:dyDescent="0.35">
      <c r="A1690" s="1019"/>
      <c r="B1690" s="1019"/>
      <c r="C1690" s="1019"/>
      <c r="D1690" s="1019"/>
      <c r="E1690" s="1019"/>
      <c r="F1690" s="1019"/>
      <c r="G1690" s="1019"/>
      <c r="H1690" s="1019"/>
      <c r="I1690" s="1019"/>
      <c r="J1690" s="1019"/>
      <c r="K1690" s="1019"/>
      <c r="L1690" s="1140"/>
    </row>
    <row r="1691" spans="1:12" x14ac:dyDescent="0.35">
      <c r="A1691" s="1019"/>
      <c r="B1691" s="1019"/>
      <c r="C1691" s="1019"/>
      <c r="D1691" s="1019"/>
      <c r="E1691" s="1019"/>
      <c r="F1691" s="1019"/>
      <c r="G1691" s="1019"/>
      <c r="H1691" s="1019"/>
      <c r="I1691" s="1019"/>
      <c r="J1691" s="1019"/>
      <c r="K1691" s="1019"/>
      <c r="L1691" s="1140"/>
    </row>
    <row r="1692" spans="1:12" x14ac:dyDescent="0.35">
      <c r="A1692" s="1019"/>
      <c r="B1692" s="1019"/>
      <c r="C1692" s="1019"/>
      <c r="D1692" s="1019"/>
      <c r="E1692" s="1019"/>
      <c r="F1692" s="1019"/>
      <c r="G1692" s="1019"/>
      <c r="H1692" s="1019"/>
      <c r="I1692" s="1019"/>
      <c r="J1692" s="1019"/>
      <c r="K1692" s="1019"/>
      <c r="L1692" s="1140"/>
    </row>
    <row r="1693" spans="1:12" x14ac:dyDescent="0.35">
      <c r="A1693" s="1019"/>
      <c r="B1693" s="1019"/>
      <c r="C1693" s="1019"/>
      <c r="D1693" s="1019"/>
      <c r="E1693" s="1019"/>
      <c r="F1693" s="1019"/>
      <c r="G1693" s="1019"/>
      <c r="H1693" s="1019"/>
      <c r="I1693" s="1019"/>
      <c r="J1693" s="1019"/>
      <c r="K1693" s="1019"/>
      <c r="L1693" s="1140"/>
    </row>
    <row r="1694" spans="1:12" x14ac:dyDescent="0.35">
      <c r="A1694" s="1019"/>
      <c r="B1694" s="1019"/>
      <c r="C1694" s="1019"/>
      <c r="D1694" s="1019"/>
      <c r="E1694" s="1019"/>
      <c r="F1694" s="1019"/>
      <c r="G1694" s="1019"/>
      <c r="H1694" s="1019"/>
      <c r="I1694" s="1019"/>
      <c r="J1694" s="1019"/>
      <c r="K1694" s="1019"/>
      <c r="L1694" s="1140"/>
    </row>
    <row r="1695" spans="1:12" x14ac:dyDescent="0.35">
      <c r="A1695" s="1019"/>
      <c r="B1695" s="1019"/>
      <c r="C1695" s="1019"/>
      <c r="D1695" s="1019"/>
      <c r="E1695" s="1019"/>
      <c r="F1695" s="1019"/>
      <c r="G1695" s="1019"/>
      <c r="H1695" s="1019"/>
      <c r="I1695" s="1019"/>
      <c r="J1695" s="1019"/>
      <c r="K1695" s="1019"/>
      <c r="L1695" s="1140"/>
    </row>
    <row r="1696" spans="1:12" x14ac:dyDescent="0.35">
      <c r="A1696" s="1019"/>
      <c r="B1696" s="1019"/>
      <c r="C1696" s="1019"/>
      <c r="D1696" s="1019"/>
      <c r="E1696" s="1019"/>
      <c r="F1696" s="1019"/>
      <c r="G1696" s="1019"/>
      <c r="H1696" s="1019"/>
      <c r="I1696" s="1019"/>
      <c r="J1696" s="1019"/>
      <c r="K1696" s="1019"/>
      <c r="L1696" s="1140"/>
    </row>
    <row r="1697" spans="1:12" x14ac:dyDescent="0.35">
      <c r="A1697" s="1019"/>
      <c r="B1697" s="1019"/>
      <c r="C1697" s="1019"/>
      <c r="D1697" s="1019"/>
      <c r="E1697" s="1019"/>
      <c r="F1697" s="1019"/>
      <c r="G1697" s="1019"/>
      <c r="H1697" s="1019"/>
      <c r="I1697" s="1019"/>
      <c r="J1697" s="1019"/>
      <c r="K1697" s="1019"/>
      <c r="L1697" s="1140"/>
    </row>
    <row r="1698" spans="1:12" x14ac:dyDescent="0.35">
      <c r="A1698" s="1019"/>
      <c r="B1698" s="1019"/>
      <c r="C1698" s="1019"/>
      <c r="D1698" s="1019"/>
      <c r="E1698" s="1019"/>
      <c r="F1698" s="1019"/>
      <c r="G1698" s="1019"/>
      <c r="H1698" s="1019"/>
      <c r="I1698" s="1019"/>
      <c r="J1698" s="1019"/>
      <c r="K1698" s="1019"/>
      <c r="L1698" s="1140"/>
    </row>
    <row r="1699" spans="1:12" x14ac:dyDescent="0.35">
      <c r="A1699" s="1019"/>
      <c r="B1699" s="1019"/>
      <c r="C1699" s="1019"/>
      <c r="D1699" s="1019"/>
      <c r="E1699" s="1019"/>
      <c r="F1699" s="1019"/>
      <c r="G1699" s="1019"/>
      <c r="H1699" s="1019"/>
      <c r="I1699" s="1019"/>
      <c r="J1699" s="1019"/>
      <c r="K1699" s="1019"/>
      <c r="L1699" s="1140"/>
    </row>
    <row r="1700" spans="1:12" x14ac:dyDescent="0.35">
      <c r="A1700" s="1019"/>
      <c r="B1700" s="1019"/>
      <c r="C1700" s="1019"/>
      <c r="D1700" s="1019"/>
      <c r="E1700" s="1019"/>
      <c r="F1700" s="1019"/>
      <c r="G1700" s="1019"/>
      <c r="H1700" s="1019"/>
      <c r="I1700" s="1019"/>
      <c r="J1700" s="1019"/>
      <c r="K1700" s="1019"/>
      <c r="L1700" s="1140"/>
    </row>
    <row r="1701" spans="1:12" x14ac:dyDescent="0.35">
      <c r="A1701" s="1019"/>
      <c r="B1701" s="1019"/>
      <c r="C1701" s="1019"/>
      <c r="D1701" s="1019"/>
      <c r="E1701" s="1019"/>
      <c r="F1701" s="1019"/>
      <c r="G1701" s="1019"/>
      <c r="H1701" s="1019"/>
      <c r="I1701" s="1019"/>
      <c r="J1701" s="1019"/>
      <c r="K1701" s="1019"/>
      <c r="L1701" s="1140"/>
    </row>
    <row r="1702" spans="1:12" x14ac:dyDescent="0.35">
      <c r="A1702" s="1019"/>
      <c r="B1702" s="1019"/>
      <c r="C1702" s="1019"/>
      <c r="D1702" s="1019"/>
      <c r="E1702" s="1019"/>
      <c r="F1702" s="1019"/>
      <c r="G1702" s="1019"/>
      <c r="H1702" s="1019"/>
      <c r="I1702" s="1019"/>
      <c r="J1702" s="1019"/>
      <c r="K1702" s="1019"/>
      <c r="L1702" s="1140"/>
    </row>
    <row r="1703" spans="1:12" x14ac:dyDescent="0.35">
      <c r="A1703" s="1019"/>
      <c r="B1703" s="1019"/>
      <c r="C1703" s="1019"/>
      <c r="D1703" s="1019"/>
      <c r="E1703" s="1019"/>
      <c r="F1703" s="1019"/>
      <c r="G1703" s="1019"/>
      <c r="H1703" s="1019"/>
      <c r="I1703" s="1019"/>
      <c r="J1703" s="1019"/>
      <c r="K1703" s="1019"/>
      <c r="L1703" s="1140"/>
    </row>
    <row r="1704" spans="1:12" x14ac:dyDescent="0.35">
      <c r="A1704" s="1019"/>
      <c r="B1704" s="1019"/>
      <c r="C1704" s="1019"/>
      <c r="D1704" s="1019"/>
      <c r="E1704" s="1019"/>
      <c r="F1704" s="1019"/>
      <c r="G1704" s="1019"/>
      <c r="H1704" s="1019"/>
      <c r="I1704" s="1019"/>
      <c r="J1704" s="1019"/>
      <c r="K1704" s="1019"/>
      <c r="L1704" s="1140"/>
    </row>
    <row r="1705" spans="1:12" x14ac:dyDescent="0.35">
      <c r="A1705" s="1019"/>
      <c r="B1705" s="1019"/>
      <c r="C1705" s="1019"/>
      <c r="D1705" s="1019"/>
      <c r="E1705" s="1019"/>
      <c r="F1705" s="1019"/>
      <c r="G1705" s="1019"/>
      <c r="H1705" s="1019"/>
      <c r="I1705" s="1019"/>
      <c r="J1705" s="1019"/>
      <c r="K1705" s="1019"/>
      <c r="L1705" s="1140"/>
    </row>
    <row r="1706" spans="1:12" x14ac:dyDescent="0.35">
      <c r="A1706" s="1019"/>
      <c r="B1706" s="1019"/>
      <c r="C1706" s="1019"/>
      <c r="D1706" s="1019"/>
      <c r="E1706" s="1019"/>
      <c r="F1706" s="1019"/>
      <c r="G1706" s="1019"/>
      <c r="H1706" s="1019"/>
      <c r="I1706" s="1019"/>
      <c r="J1706" s="1019"/>
      <c r="K1706" s="1019"/>
      <c r="L1706" s="1140"/>
    </row>
    <row r="1707" spans="1:12" x14ac:dyDescent="0.35">
      <c r="A1707" s="1019"/>
      <c r="B1707" s="1019"/>
      <c r="C1707" s="1019"/>
      <c r="D1707" s="1019"/>
      <c r="E1707" s="1019"/>
      <c r="F1707" s="1019"/>
      <c r="G1707" s="1019"/>
      <c r="H1707" s="1019"/>
      <c r="I1707" s="1019"/>
      <c r="J1707" s="1019"/>
      <c r="K1707" s="1019"/>
      <c r="L1707" s="1140"/>
    </row>
    <row r="1708" spans="1:12" x14ac:dyDescent="0.35">
      <c r="A1708" s="1019"/>
      <c r="B1708" s="1019"/>
      <c r="C1708" s="1019"/>
      <c r="D1708" s="1019"/>
      <c r="E1708" s="1019"/>
      <c r="F1708" s="1019"/>
      <c r="G1708" s="1019"/>
      <c r="H1708" s="1019"/>
      <c r="I1708" s="1019"/>
      <c r="J1708" s="1019"/>
      <c r="K1708" s="1019"/>
      <c r="L1708" s="1140"/>
    </row>
    <row r="1709" spans="1:12" x14ac:dyDescent="0.35">
      <c r="A1709" s="1019"/>
      <c r="B1709" s="1019"/>
      <c r="C1709" s="1019"/>
      <c r="D1709" s="1019"/>
      <c r="E1709" s="1019"/>
      <c r="F1709" s="1019"/>
      <c r="G1709" s="1019"/>
      <c r="H1709" s="1019"/>
      <c r="I1709" s="1019"/>
      <c r="J1709" s="1019"/>
      <c r="K1709" s="1019"/>
      <c r="L1709" s="1140"/>
    </row>
    <row r="1710" spans="1:12" x14ac:dyDescent="0.35">
      <c r="A1710" s="1019"/>
      <c r="B1710" s="1019"/>
      <c r="C1710" s="1019"/>
      <c r="D1710" s="1019"/>
      <c r="E1710" s="1019"/>
      <c r="F1710" s="1019"/>
      <c r="G1710" s="1019"/>
      <c r="H1710" s="1019"/>
      <c r="I1710" s="1019"/>
      <c r="J1710" s="1019"/>
      <c r="K1710" s="1019"/>
      <c r="L1710" s="1140"/>
    </row>
    <row r="1711" spans="1:12" x14ac:dyDescent="0.35">
      <c r="A1711" s="1019"/>
      <c r="B1711" s="1019"/>
      <c r="C1711" s="1019"/>
      <c r="D1711" s="1019"/>
      <c r="E1711" s="1019"/>
      <c r="F1711" s="1019"/>
      <c r="G1711" s="1019"/>
      <c r="H1711" s="1019"/>
      <c r="I1711" s="1019"/>
      <c r="J1711" s="1019"/>
      <c r="K1711" s="1019"/>
      <c r="L1711" s="1140"/>
    </row>
    <row r="1712" spans="1:12" x14ac:dyDescent="0.35">
      <c r="A1712" s="1019"/>
      <c r="B1712" s="1019"/>
      <c r="C1712" s="1019"/>
      <c r="D1712" s="1019"/>
      <c r="E1712" s="1019"/>
      <c r="F1712" s="1019"/>
      <c r="G1712" s="1019"/>
      <c r="H1712" s="1019"/>
      <c r="I1712" s="1019"/>
      <c r="J1712" s="1019"/>
      <c r="K1712" s="1019"/>
      <c r="L1712" s="1140"/>
    </row>
    <row r="1713" spans="1:12" x14ac:dyDescent="0.35">
      <c r="A1713" s="1019"/>
      <c r="B1713" s="1019"/>
      <c r="C1713" s="1019"/>
      <c r="D1713" s="1019"/>
      <c r="E1713" s="1019"/>
      <c r="F1713" s="1019"/>
      <c r="G1713" s="1019"/>
      <c r="H1713" s="1019"/>
      <c r="I1713" s="1019"/>
      <c r="J1713" s="1019"/>
      <c r="K1713" s="1019"/>
      <c r="L1713" s="1140"/>
    </row>
    <row r="1714" spans="1:12" x14ac:dyDescent="0.35">
      <c r="A1714" s="1019"/>
      <c r="B1714" s="1019"/>
      <c r="C1714" s="1019"/>
      <c r="D1714" s="1019"/>
      <c r="E1714" s="1019"/>
      <c r="F1714" s="1019"/>
      <c r="G1714" s="1019"/>
      <c r="H1714" s="1019"/>
      <c r="I1714" s="1019"/>
      <c r="J1714" s="1019"/>
      <c r="K1714" s="1019"/>
      <c r="L1714" s="1140"/>
    </row>
    <row r="1715" spans="1:12" x14ac:dyDescent="0.35">
      <c r="A1715" s="1019"/>
      <c r="B1715" s="1019"/>
      <c r="C1715" s="1019"/>
      <c r="D1715" s="1019"/>
      <c r="E1715" s="1019"/>
      <c r="F1715" s="1019"/>
      <c r="G1715" s="1019"/>
      <c r="H1715" s="1019"/>
      <c r="I1715" s="1019"/>
      <c r="J1715" s="1019"/>
      <c r="K1715" s="1019"/>
      <c r="L1715" s="1140"/>
    </row>
    <row r="1716" spans="1:12" x14ac:dyDescent="0.35">
      <c r="A1716" s="1019"/>
      <c r="B1716" s="1019"/>
      <c r="C1716" s="1019"/>
      <c r="D1716" s="1019"/>
      <c r="E1716" s="1019"/>
      <c r="F1716" s="1019"/>
      <c r="G1716" s="1019"/>
      <c r="H1716" s="1019"/>
      <c r="I1716" s="1019"/>
      <c r="J1716" s="1019"/>
      <c r="K1716" s="1019"/>
      <c r="L1716" s="1140"/>
    </row>
    <row r="1717" spans="1:12" x14ac:dyDescent="0.35">
      <c r="A1717" s="1019"/>
      <c r="B1717" s="1019"/>
      <c r="C1717" s="1019"/>
      <c r="D1717" s="1019"/>
      <c r="E1717" s="1019"/>
      <c r="F1717" s="1019"/>
      <c r="G1717" s="1019"/>
      <c r="H1717" s="1019"/>
      <c r="I1717" s="1019"/>
      <c r="J1717" s="1019"/>
      <c r="K1717" s="1019"/>
      <c r="L1717" s="1140"/>
    </row>
    <row r="1718" spans="1:12" x14ac:dyDescent="0.35">
      <c r="A1718" s="1019"/>
      <c r="B1718" s="1019"/>
      <c r="C1718" s="1019"/>
      <c r="D1718" s="1019"/>
      <c r="E1718" s="1019"/>
      <c r="F1718" s="1019"/>
      <c r="G1718" s="1019"/>
      <c r="H1718" s="1019"/>
      <c r="I1718" s="1019"/>
      <c r="J1718" s="1019"/>
      <c r="K1718" s="1019"/>
      <c r="L1718" s="1140"/>
    </row>
    <row r="1719" spans="1:12" x14ac:dyDescent="0.35">
      <c r="A1719" s="1019"/>
      <c r="B1719" s="1019"/>
      <c r="C1719" s="1019"/>
      <c r="D1719" s="1019"/>
      <c r="E1719" s="1019"/>
      <c r="F1719" s="1019"/>
      <c r="G1719" s="1019"/>
      <c r="H1719" s="1019"/>
      <c r="I1719" s="1019"/>
      <c r="J1719" s="1019"/>
      <c r="K1719" s="1019"/>
      <c r="L1719" s="1140"/>
    </row>
    <row r="1720" spans="1:12" x14ac:dyDescent="0.35">
      <c r="A1720" s="1019"/>
      <c r="B1720" s="1019"/>
      <c r="C1720" s="1019"/>
      <c r="D1720" s="1019"/>
      <c r="E1720" s="1019"/>
      <c r="F1720" s="1019"/>
      <c r="G1720" s="1019"/>
      <c r="H1720" s="1019"/>
      <c r="I1720" s="1019"/>
      <c r="J1720" s="1019"/>
      <c r="K1720" s="1019"/>
      <c r="L1720" s="1140"/>
    </row>
    <row r="1721" spans="1:12" x14ac:dyDescent="0.35">
      <c r="A1721" s="1019"/>
      <c r="B1721" s="1019"/>
      <c r="C1721" s="1019"/>
      <c r="D1721" s="1019"/>
      <c r="E1721" s="1019"/>
      <c r="F1721" s="1019"/>
      <c r="G1721" s="1019"/>
      <c r="H1721" s="1019"/>
      <c r="I1721" s="1019"/>
      <c r="J1721" s="1019"/>
      <c r="K1721" s="1019"/>
      <c r="L1721" s="1140"/>
    </row>
    <row r="1722" spans="1:12" x14ac:dyDescent="0.35">
      <c r="A1722" s="1019"/>
      <c r="B1722" s="1019"/>
      <c r="C1722" s="1019"/>
      <c r="D1722" s="1019"/>
      <c r="E1722" s="1019"/>
      <c r="F1722" s="1019"/>
      <c r="G1722" s="1019"/>
      <c r="H1722" s="1019"/>
      <c r="I1722" s="1019"/>
      <c r="J1722" s="1019"/>
      <c r="K1722" s="1019"/>
      <c r="L1722" s="1140"/>
    </row>
    <row r="1723" spans="1:12" x14ac:dyDescent="0.35">
      <c r="A1723" s="1019"/>
      <c r="B1723" s="1019"/>
      <c r="C1723" s="1019"/>
      <c r="D1723" s="1019"/>
      <c r="E1723" s="1019"/>
      <c r="F1723" s="1019"/>
      <c r="G1723" s="1019"/>
      <c r="H1723" s="1019"/>
      <c r="I1723" s="1019"/>
      <c r="J1723" s="1019"/>
      <c r="K1723" s="1019"/>
      <c r="L1723" s="1140"/>
    </row>
    <row r="1724" spans="1:12" x14ac:dyDescent="0.35">
      <c r="A1724" s="1019"/>
      <c r="B1724" s="1019"/>
      <c r="C1724" s="1019"/>
      <c r="D1724" s="1019"/>
      <c r="E1724" s="1019"/>
      <c r="F1724" s="1019"/>
      <c r="G1724" s="1019"/>
      <c r="H1724" s="1019"/>
      <c r="I1724" s="1019"/>
      <c r="J1724" s="1019"/>
      <c r="K1724" s="1019"/>
      <c r="L1724" s="1140"/>
    </row>
    <row r="1725" spans="1:12" x14ac:dyDescent="0.35">
      <c r="A1725" s="1019"/>
      <c r="B1725" s="1019"/>
      <c r="C1725" s="1019"/>
      <c r="D1725" s="1019"/>
      <c r="E1725" s="1019"/>
      <c r="F1725" s="1019"/>
      <c r="G1725" s="1019"/>
      <c r="H1725" s="1019"/>
      <c r="I1725" s="1019"/>
      <c r="J1725" s="1019"/>
      <c r="K1725" s="1019"/>
      <c r="L1725" s="1140"/>
    </row>
    <row r="1726" spans="1:12" x14ac:dyDescent="0.35">
      <c r="A1726" s="1019"/>
      <c r="B1726" s="1019"/>
      <c r="C1726" s="1019"/>
      <c r="D1726" s="1019"/>
      <c r="E1726" s="1019"/>
      <c r="F1726" s="1019"/>
      <c r="G1726" s="1019"/>
      <c r="H1726" s="1019"/>
      <c r="I1726" s="1019"/>
      <c r="J1726" s="1019"/>
      <c r="K1726" s="1019"/>
      <c r="L1726" s="1140"/>
    </row>
    <row r="1727" spans="1:12" x14ac:dyDescent="0.35">
      <c r="A1727" s="1019"/>
      <c r="B1727" s="1019"/>
      <c r="C1727" s="1019"/>
      <c r="D1727" s="1019"/>
      <c r="E1727" s="1019"/>
      <c r="F1727" s="1019"/>
      <c r="G1727" s="1019"/>
      <c r="H1727" s="1019"/>
      <c r="I1727" s="1019"/>
      <c r="J1727" s="1019"/>
      <c r="K1727" s="1019"/>
      <c r="L1727" s="1140"/>
    </row>
    <row r="1728" spans="1:12" x14ac:dyDescent="0.35">
      <c r="A1728" s="1019"/>
      <c r="B1728" s="1019"/>
      <c r="C1728" s="1019"/>
      <c r="D1728" s="1019"/>
      <c r="E1728" s="1019"/>
      <c r="F1728" s="1019"/>
      <c r="G1728" s="1019"/>
      <c r="H1728" s="1019"/>
      <c r="I1728" s="1019"/>
      <c r="J1728" s="1019"/>
      <c r="K1728" s="1019"/>
      <c r="L1728" s="1140"/>
    </row>
    <row r="1729" spans="1:12" x14ac:dyDescent="0.35">
      <c r="A1729" s="1019"/>
      <c r="B1729" s="1019"/>
      <c r="C1729" s="1019"/>
      <c r="D1729" s="1019"/>
      <c r="E1729" s="1019"/>
      <c r="F1729" s="1019"/>
      <c r="G1729" s="1019"/>
      <c r="H1729" s="1019"/>
      <c r="I1729" s="1019"/>
      <c r="J1729" s="1019"/>
      <c r="K1729" s="1019"/>
      <c r="L1729" s="1140"/>
    </row>
    <row r="1730" spans="1:12" x14ac:dyDescent="0.35">
      <c r="A1730" s="1019"/>
      <c r="B1730" s="1019"/>
      <c r="C1730" s="1019"/>
      <c r="D1730" s="1019"/>
      <c r="E1730" s="1019"/>
      <c r="F1730" s="1019"/>
      <c r="G1730" s="1019"/>
      <c r="H1730" s="1019"/>
      <c r="I1730" s="1019"/>
      <c r="J1730" s="1019"/>
      <c r="K1730" s="1019"/>
      <c r="L1730" s="1140"/>
    </row>
    <row r="1731" spans="1:12" x14ac:dyDescent="0.35">
      <c r="A1731" s="1019"/>
      <c r="B1731" s="1019"/>
      <c r="C1731" s="1019"/>
      <c r="D1731" s="1019"/>
      <c r="E1731" s="1019"/>
      <c r="F1731" s="1019"/>
      <c r="G1731" s="1019"/>
      <c r="H1731" s="1019"/>
      <c r="I1731" s="1019"/>
      <c r="J1731" s="1019"/>
      <c r="K1731" s="1019"/>
      <c r="L1731" s="1140"/>
    </row>
    <row r="1732" spans="1:12" x14ac:dyDescent="0.35">
      <c r="A1732" s="1019"/>
      <c r="B1732" s="1019"/>
      <c r="C1732" s="1019"/>
      <c r="D1732" s="1019"/>
      <c r="E1732" s="1019"/>
      <c r="F1732" s="1019"/>
      <c r="G1732" s="1019"/>
      <c r="H1732" s="1019"/>
      <c r="I1732" s="1019"/>
      <c r="J1732" s="1019"/>
      <c r="K1732" s="1019"/>
      <c r="L1732" s="1140"/>
    </row>
    <row r="1733" spans="1:12" x14ac:dyDescent="0.35">
      <c r="A1733" s="1019"/>
      <c r="B1733" s="1019"/>
      <c r="C1733" s="1019"/>
      <c r="D1733" s="1019"/>
      <c r="E1733" s="1019"/>
      <c r="F1733" s="1019"/>
      <c r="G1733" s="1019"/>
      <c r="H1733" s="1019"/>
      <c r="I1733" s="1019"/>
      <c r="J1733" s="1019"/>
      <c r="K1733" s="1019"/>
      <c r="L1733" s="1140"/>
    </row>
    <row r="1734" spans="1:12" x14ac:dyDescent="0.35">
      <c r="A1734" s="1019"/>
      <c r="B1734" s="1019"/>
      <c r="C1734" s="1019"/>
      <c r="D1734" s="1019"/>
      <c r="E1734" s="1019"/>
      <c r="F1734" s="1019"/>
      <c r="G1734" s="1019"/>
      <c r="H1734" s="1019"/>
      <c r="I1734" s="1019"/>
      <c r="J1734" s="1019"/>
      <c r="K1734" s="1019"/>
      <c r="L1734" s="1140"/>
    </row>
    <row r="1735" spans="1:12" x14ac:dyDescent="0.35">
      <c r="A1735" s="1019"/>
      <c r="B1735" s="1019"/>
      <c r="C1735" s="1019"/>
      <c r="D1735" s="1019"/>
      <c r="E1735" s="1019"/>
      <c r="F1735" s="1019"/>
      <c r="G1735" s="1019"/>
      <c r="H1735" s="1019"/>
      <c r="I1735" s="1019"/>
      <c r="J1735" s="1019"/>
      <c r="K1735" s="1019"/>
      <c r="L1735" s="1140"/>
    </row>
    <row r="1736" spans="1:12" x14ac:dyDescent="0.35">
      <c r="A1736" s="1019"/>
      <c r="B1736" s="1019"/>
      <c r="C1736" s="1019"/>
      <c r="D1736" s="1019"/>
      <c r="E1736" s="1019"/>
      <c r="F1736" s="1019"/>
      <c r="G1736" s="1019"/>
      <c r="H1736" s="1019"/>
      <c r="I1736" s="1019"/>
      <c r="J1736" s="1019"/>
      <c r="K1736" s="1019"/>
      <c r="L1736" s="1140"/>
    </row>
    <row r="1737" spans="1:12" x14ac:dyDescent="0.35">
      <c r="A1737" s="1019"/>
      <c r="B1737" s="1019"/>
      <c r="C1737" s="1019"/>
      <c r="D1737" s="1019"/>
      <c r="E1737" s="1019"/>
      <c r="F1737" s="1019"/>
      <c r="G1737" s="1019"/>
      <c r="H1737" s="1019"/>
      <c r="I1737" s="1019"/>
      <c r="J1737" s="1019"/>
      <c r="K1737" s="1019"/>
      <c r="L1737" s="1140"/>
    </row>
    <row r="1738" spans="1:12" x14ac:dyDescent="0.35">
      <c r="A1738" s="1019"/>
      <c r="B1738" s="1019"/>
      <c r="C1738" s="1019"/>
      <c r="D1738" s="1019"/>
      <c r="E1738" s="1019"/>
      <c r="F1738" s="1019"/>
      <c r="G1738" s="1019"/>
      <c r="H1738" s="1019"/>
      <c r="I1738" s="1019"/>
      <c r="J1738" s="1019"/>
      <c r="K1738" s="1019"/>
      <c r="L1738" s="1140"/>
    </row>
    <row r="1739" spans="1:12" x14ac:dyDescent="0.35">
      <c r="A1739" s="1019"/>
      <c r="B1739" s="1019"/>
      <c r="C1739" s="1019"/>
      <c r="D1739" s="1019"/>
      <c r="E1739" s="1019"/>
      <c r="F1739" s="1019"/>
      <c r="G1739" s="1019"/>
      <c r="H1739" s="1019"/>
      <c r="I1739" s="1019"/>
      <c r="J1739" s="1019"/>
      <c r="K1739" s="1019"/>
      <c r="L1739" s="1140"/>
    </row>
    <row r="1740" spans="1:12" x14ac:dyDescent="0.35">
      <c r="A1740" s="1019"/>
      <c r="B1740" s="1019"/>
      <c r="C1740" s="1019"/>
      <c r="D1740" s="1019"/>
      <c r="E1740" s="1019"/>
      <c r="F1740" s="1019"/>
      <c r="G1740" s="1019"/>
      <c r="H1740" s="1019"/>
      <c r="I1740" s="1019"/>
      <c r="J1740" s="1019"/>
      <c r="K1740" s="1019"/>
      <c r="L1740" s="1140"/>
    </row>
    <row r="1741" spans="1:12" x14ac:dyDescent="0.35">
      <c r="A1741" s="1019"/>
      <c r="B1741" s="1019"/>
      <c r="C1741" s="1019"/>
      <c r="D1741" s="1019"/>
      <c r="E1741" s="1019"/>
      <c r="F1741" s="1019"/>
      <c r="G1741" s="1019"/>
      <c r="H1741" s="1019"/>
      <c r="I1741" s="1019"/>
      <c r="J1741" s="1019"/>
      <c r="K1741" s="1019"/>
      <c r="L1741" s="1140"/>
    </row>
    <row r="1742" spans="1:12" x14ac:dyDescent="0.35">
      <c r="A1742" s="1019"/>
      <c r="B1742" s="1019"/>
      <c r="C1742" s="1019"/>
      <c r="D1742" s="1019"/>
      <c r="E1742" s="1019"/>
      <c r="F1742" s="1019"/>
      <c r="G1742" s="1019"/>
      <c r="H1742" s="1019"/>
      <c r="I1742" s="1019"/>
      <c r="J1742" s="1019"/>
      <c r="K1742" s="1019"/>
      <c r="L1742" s="1140"/>
    </row>
    <row r="1743" spans="1:12" x14ac:dyDescent="0.35">
      <c r="A1743" s="1019"/>
      <c r="B1743" s="1019"/>
      <c r="C1743" s="1019"/>
      <c r="D1743" s="1019"/>
      <c r="E1743" s="1019"/>
      <c r="F1743" s="1019"/>
      <c r="G1743" s="1019"/>
      <c r="H1743" s="1019"/>
      <c r="I1743" s="1019"/>
      <c r="J1743" s="1019"/>
      <c r="K1743" s="1019"/>
      <c r="L1743" s="1140"/>
    </row>
    <row r="1744" spans="1:12" x14ac:dyDescent="0.35">
      <c r="A1744" s="1019"/>
      <c r="B1744" s="1019"/>
      <c r="C1744" s="1019"/>
      <c r="D1744" s="1019"/>
      <c r="E1744" s="1019"/>
      <c r="F1744" s="1019"/>
      <c r="G1744" s="1019"/>
      <c r="H1744" s="1019"/>
      <c r="I1744" s="1019"/>
      <c r="J1744" s="1019"/>
      <c r="K1744" s="1019"/>
      <c r="L1744" s="1140"/>
    </row>
    <row r="1745" spans="1:12" x14ac:dyDescent="0.35">
      <c r="A1745" s="1019"/>
      <c r="B1745" s="1019"/>
      <c r="C1745" s="1019"/>
      <c r="D1745" s="1019"/>
      <c r="E1745" s="1019"/>
      <c r="F1745" s="1019"/>
      <c r="G1745" s="1019"/>
      <c r="H1745" s="1019"/>
      <c r="I1745" s="1019"/>
      <c r="J1745" s="1019"/>
      <c r="K1745" s="1019"/>
      <c r="L1745" s="1140"/>
    </row>
    <row r="1746" spans="1:12" x14ac:dyDescent="0.35">
      <c r="A1746" s="1019"/>
      <c r="B1746" s="1019"/>
      <c r="C1746" s="1019"/>
      <c r="D1746" s="1019"/>
      <c r="E1746" s="1019"/>
      <c r="F1746" s="1019"/>
      <c r="G1746" s="1019"/>
      <c r="H1746" s="1019"/>
      <c r="I1746" s="1019"/>
      <c r="J1746" s="1019"/>
      <c r="K1746" s="1019"/>
      <c r="L1746" s="1140"/>
    </row>
    <row r="1747" spans="1:12" x14ac:dyDescent="0.35">
      <c r="A1747" s="1019"/>
      <c r="B1747" s="1019"/>
      <c r="C1747" s="1019"/>
      <c r="D1747" s="1019"/>
      <c r="E1747" s="1019"/>
      <c r="F1747" s="1019"/>
      <c r="G1747" s="1019"/>
      <c r="H1747" s="1019"/>
      <c r="I1747" s="1019"/>
      <c r="J1747" s="1019"/>
      <c r="K1747" s="1019"/>
      <c r="L1747" s="1140"/>
    </row>
    <row r="1748" spans="1:12" x14ac:dyDescent="0.35">
      <c r="A1748" s="1019"/>
      <c r="B1748" s="1019"/>
      <c r="C1748" s="1019"/>
      <c r="D1748" s="1019"/>
      <c r="E1748" s="1019"/>
      <c r="F1748" s="1019"/>
      <c r="G1748" s="1019"/>
      <c r="H1748" s="1019"/>
      <c r="I1748" s="1019"/>
      <c r="J1748" s="1019"/>
      <c r="K1748" s="1019"/>
      <c r="L1748" s="1140"/>
    </row>
    <row r="1749" spans="1:12" x14ac:dyDescent="0.35">
      <c r="A1749" s="1019"/>
      <c r="B1749" s="1019"/>
      <c r="C1749" s="1019"/>
      <c r="D1749" s="1019"/>
      <c r="E1749" s="1019"/>
      <c r="F1749" s="1019"/>
      <c r="G1749" s="1019"/>
      <c r="H1749" s="1019"/>
      <c r="I1749" s="1019"/>
      <c r="J1749" s="1019"/>
      <c r="K1749" s="1019"/>
      <c r="L1749" s="1140"/>
    </row>
    <row r="1750" spans="1:12" x14ac:dyDescent="0.35">
      <c r="A1750" s="1019"/>
      <c r="B1750" s="1019"/>
      <c r="C1750" s="1019"/>
      <c r="D1750" s="1019"/>
      <c r="E1750" s="1019"/>
      <c r="F1750" s="1019"/>
      <c r="G1750" s="1019"/>
      <c r="H1750" s="1019"/>
      <c r="I1750" s="1019"/>
      <c r="J1750" s="1019"/>
      <c r="K1750" s="1019"/>
      <c r="L1750" s="1140"/>
    </row>
    <row r="1751" spans="1:12" x14ac:dyDescent="0.35">
      <c r="A1751" s="1019"/>
      <c r="B1751" s="1019"/>
      <c r="C1751" s="1019"/>
      <c r="D1751" s="1019"/>
      <c r="E1751" s="1019"/>
      <c r="F1751" s="1019"/>
      <c r="G1751" s="1019"/>
      <c r="H1751" s="1019"/>
      <c r="I1751" s="1019"/>
      <c r="J1751" s="1019"/>
      <c r="K1751" s="1019"/>
      <c r="L1751" s="1140"/>
    </row>
    <row r="1752" spans="1:12" x14ac:dyDescent="0.35">
      <c r="A1752" s="1019"/>
      <c r="B1752" s="1019"/>
      <c r="C1752" s="1019"/>
      <c r="D1752" s="1019"/>
      <c r="E1752" s="1019"/>
      <c r="F1752" s="1019"/>
      <c r="G1752" s="1019"/>
      <c r="H1752" s="1019"/>
      <c r="I1752" s="1019"/>
      <c r="J1752" s="1019"/>
      <c r="K1752" s="1019"/>
      <c r="L1752" s="1140"/>
    </row>
    <row r="1753" spans="1:12" x14ac:dyDescent="0.35">
      <c r="A1753" s="1019"/>
      <c r="B1753" s="1019"/>
      <c r="C1753" s="1019"/>
      <c r="D1753" s="1019"/>
      <c r="E1753" s="1019"/>
      <c r="F1753" s="1019"/>
      <c r="G1753" s="1019"/>
      <c r="H1753" s="1019"/>
      <c r="I1753" s="1019"/>
      <c r="J1753" s="1019"/>
      <c r="K1753" s="1019"/>
      <c r="L1753" s="1140"/>
    </row>
    <row r="1754" spans="1:12" x14ac:dyDescent="0.35">
      <c r="A1754" s="1019"/>
      <c r="B1754" s="1019"/>
      <c r="C1754" s="1019"/>
      <c r="D1754" s="1019"/>
      <c r="E1754" s="1019"/>
      <c r="F1754" s="1019"/>
      <c r="G1754" s="1019"/>
      <c r="H1754" s="1019"/>
      <c r="I1754" s="1019"/>
      <c r="J1754" s="1019"/>
      <c r="K1754" s="1019"/>
      <c r="L1754" s="1140"/>
    </row>
    <row r="1755" spans="1:12" x14ac:dyDescent="0.35">
      <c r="A1755" s="1019"/>
      <c r="B1755" s="1019"/>
      <c r="C1755" s="1019"/>
      <c r="D1755" s="1019"/>
      <c r="E1755" s="1019"/>
      <c r="F1755" s="1019"/>
      <c r="G1755" s="1019"/>
      <c r="H1755" s="1019"/>
      <c r="I1755" s="1019"/>
      <c r="J1755" s="1019"/>
      <c r="K1755" s="1019"/>
      <c r="L1755" s="1140"/>
    </row>
    <row r="1756" spans="1:12" x14ac:dyDescent="0.35">
      <c r="A1756" s="1019"/>
      <c r="B1756" s="1019"/>
      <c r="C1756" s="1019"/>
      <c r="D1756" s="1019"/>
      <c r="E1756" s="1019"/>
      <c r="F1756" s="1019"/>
      <c r="G1756" s="1019"/>
      <c r="H1756" s="1019"/>
      <c r="I1756" s="1019"/>
      <c r="J1756" s="1019"/>
      <c r="K1756" s="1019"/>
      <c r="L1756" s="1140"/>
    </row>
    <row r="1757" spans="1:12" x14ac:dyDescent="0.35">
      <c r="A1757" s="1019"/>
      <c r="B1757" s="1019"/>
      <c r="C1757" s="1019"/>
      <c r="D1757" s="1019"/>
      <c r="E1757" s="1019"/>
      <c r="F1757" s="1019"/>
      <c r="G1757" s="1019"/>
      <c r="H1757" s="1019"/>
      <c r="I1757" s="1019"/>
      <c r="J1757" s="1019"/>
      <c r="K1757" s="1019"/>
      <c r="L1757" s="1140"/>
    </row>
    <row r="1758" spans="1:12" x14ac:dyDescent="0.35">
      <c r="A1758" s="1019"/>
      <c r="B1758" s="1019"/>
      <c r="C1758" s="1019"/>
      <c r="D1758" s="1019"/>
      <c r="E1758" s="1019"/>
      <c r="F1758" s="1019"/>
      <c r="G1758" s="1019"/>
      <c r="H1758" s="1019"/>
      <c r="I1758" s="1019"/>
      <c r="J1758" s="1019"/>
      <c r="K1758" s="1019"/>
      <c r="L1758" s="1140"/>
    </row>
    <row r="1759" spans="1:12" x14ac:dyDescent="0.35">
      <c r="A1759" s="1019"/>
      <c r="B1759" s="1019"/>
      <c r="C1759" s="1019"/>
      <c r="D1759" s="1019"/>
      <c r="E1759" s="1019"/>
      <c r="F1759" s="1019"/>
      <c r="G1759" s="1019"/>
      <c r="H1759" s="1019"/>
      <c r="I1759" s="1019"/>
      <c r="J1759" s="1019"/>
      <c r="K1759" s="1019"/>
      <c r="L1759" s="1140"/>
    </row>
    <row r="1760" spans="1:12" x14ac:dyDescent="0.35">
      <c r="A1760" s="1019"/>
      <c r="B1760" s="1019"/>
      <c r="C1760" s="1019"/>
      <c r="D1760" s="1019"/>
      <c r="E1760" s="1019"/>
      <c r="F1760" s="1019"/>
      <c r="G1760" s="1019"/>
      <c r="H1760" s="1019"/>
      <c r="I1760" s="1019"/>
      <c r="J1760" s="1019"/>
      <c r="K1760" s="1019"/>
      <c r="L1760" s="1140"/>
    </row>
    <row r="1761" spans="1:12" x14ac:dyDescent="0.35">
      <c r="A1761" s="1019"/>
      <c r="B1761" s="1019"/>
      <c r="C1761" s="1019"/>
      <c r="D1761" s="1019"/>
      <c r="E1761" s="1019"/>
      <c r="F1761" s="1019"/>
      <c r="G1761" s="1019"/>
      <c r="H1761" s="1019"/>
      <c r="I1761" s="1019"/>
      <c r="J1761" s="1019"/>
      <c r="K1761" s="1019"/>
      <c r="L1761" s="1140"/>
    </row>
    <row r="1762" spans="1:12" x14ac:dyDescent="0.35">
      <c r="A1762" s="1019"/>
      <c r="B1762" s="1019"/>
      <c r="C1762" s="1019"/>
      <c r="D1762" s="1019"/>
      <c r="E1762" s="1019"/>
      <c r="F1762" s="1019"/>
      <c r="G1762" s="1019"/>
      <c r="H1762" s="1019"/>
      <c r="I1762" s="1019"/>
      <c r="J1762" s="1019"/>
      <c r="K1762" s="1019"/>
      <c r="L1762" s="1140"/>
    </row>
    <row r="1763" spans="1:12" x14ac:dyDescent="0.35">
      <c r="A1763" s="1019"/>
      <c r="B1763" s="1019"/>
      <c r="C1763" s="1019"/>
      <c r="D1763" s="1019"/>
      <c r="E1763" s="1019"/>
      <c r="F1763" s="1019"/>
      <c r="G1763" s="1019"/>
      <c r="H1763" s="1019"/>
      <c r="I1763" s="1019"/>
      <c r="J1763" s="1019"/>
      <c r="K1763" s="1019"/>
      <c r="L1763" s="1140"/>
    </row>
    <row r="1764" spans="1:12" x14ac:dyDescent="0.35">
      <c r="A1764" s="1019"/>
      <c r="B1764" s="1019"/>
      <c r="C1764" s="1019"/>
      <c r="D1764" s="1019"/>
      <c r="E1764" s="1019"/>
      <c r="F1764" s="1019"/>
      <c r="G1764" s="1019"/>
      <c r="H1764" s="1019"/>
      <c r="I1764" s="1019"/>
      <c r="J1764" s="1019"/>
      <c r="K1764" s="1019"/>
      <c r="L1764" s="1140"/>
    </row>
    <row r="1765" spans="1:12" x14ac:dyDescent="0.35">
      <c r="A1765" s="1019"/>
      <c r="B1765" s="1019"/>
      <c r="C1765" s="1019"/>
      <c r="D1765" s="1019"/>
      <c r="E1765" s="1019"/>
      <c r="F1765" s="1019"/>
      <c r="G1765" s="1019"/>
      <c r="H1765" s="1019"/>
      <c r="I1765" s="1019"/>
      <c r="J1765" s="1019"/>
      <c r="K1765" s="1019"/>
      <c r="L1765" s="1140"/>
    </row>
    <row r="1766" spans="1:12" x14ac:dyDescent="0.35">
      <c r="A1766" s="1019"/>
      <c r="B1766" s="1019"/>
      <c r="C1766" s="1019"/>
      <c r="D1766" s="1019"/>
      <c r="E1766" s="1019"/>
      <c r="F1766" s="1019"/>
      <c r="G1766" s="1019"/>
      <c r="H1766" s="1019"/>
      <c r="I1766" s="1019"/>
      <c r="J1766" s="1019"/>
      <c r="K1766" s="1019"/>
      <c r="L1766" s="1140"/>
    </row>
    <row r="1767" spans="1:12" x14ac:dyDescent="0.35">
      <c r="A1767" s="1019"/>
      <c r="B1767" s="1019"/>
      <c r="C1767" s="1019"/>
      <c r="D1767" s="1019"/>
      <c r="E1767" s="1019"/>
      <c r="F1767" s="1019"/>
      <c r="G1767" s="1019"/>
      <c r="H1767" s="1019"/>
      <c r="I1767" s="1019"/>
      <c r="J1767" s="1019"/>
      <c r="K1767" s="1019"/>
      <c r="L1767" s="1140"/>
    </row>
    <row r="1768" spans="1:12" x14ac:dyDescent="0.35">
      <c r="A1768" s="1019"/>
      <c r="B1768" s="1019"/>
      <c r="C1768" s="1019"/>
      <c r="D1768" s="1019"/>
      <c r="E1768" s="1019"/>
      <c r="F1768" s="1019"/>
      <c r="G1768" s="1019"/>
      <c r="H1768" s="1019"/>
      <c r="I1768" s="1019"/>
      <c r="J1768" s="1019"/>
      <c r="K1768" s="1019"/>
      <c r="L1768" s="1140"/>
    </row>
    <row r="1769" spans="1:12" x14ac:dyDescent="0.35">
      <c r="A1769" s="1019"/>
      <c r="B1769" s="1019"/>
      <c r="C1769" s="1019"/>
      <c r="D1769" s="1019"/>
      <c r="E1769" s="1019"/>
      <c r="F1769" s="1019"/>
      <c r="G1769" s="1019"/>
      <c r="H1769" s="1019"/>
      <c r="I1769" s="1019"/>
      <c r="J1769" s="1019"/>
      <c r="K1769" s="1019"/>
      <c r="L1769" s="1140"/>
    </row>
    <row r="1770" spans="1:12" x14ac:dyDescent="0.35">
      <c r="A1770" s="1019"/>
      <c r="B1770" s="1019"/>
      <c r="C1770" s="1019"/>
      <c r="D1770" s="1019"/>
      <c r="E1770" s="1019"/>
      <c r="F1770" s="1019"/>
      <c r="G1770" s="1019"/>
      <c r="H1770" s="1019"/>
      <c r="I1770" s="1019"/>
      <c r="J1770" s="1019"/>
      <c r="K1770" s="1019"/>
      <c r="L1770" s="1140"/>
    </row>
    <row r="1771" spans="1:12" x14ac:dyDescent="0.35">
      <c r="A1771" s="1019"/>
      <c r="B1771" s="1019"/>
      <c r="C1771" s="1019"/>
      <c r="D1771" s="1019"/>
      <c r="E1771" s="1019"/>
      <c r="F1771" s="1019"/>
      <c r="G1771" s="1019"/>
      <c r="H1771" s="1019"/>
      <c r="I1771" s="1019"/>
      <c r="J1771" s="1019"/>
      <c r="K1771" s="1019"/>
      <c r="L1771" s="1140"/>
    </row>
    <row r="1772" spans="1:12" x14ac:dyDescent="0.35">
      <c r="A1772" s="1019"/>
      <c r="B1772" s="1019"/>
      <c r="C1772" s="1019"/>
      <c r="D1772" s="1019"/>
      <c r="E1772" s="1019"/>
      <c r="F1772" s="1019"/>
      <c r="G1772" s="1019"/>
      <c r="H1772" s="1019"/>
      <c r="I1772" s="1019"/>
      <c r="J1772" s="1019"/>
      <c r="K1772" s="1019"/>
      <c r="L1772" s="1140"/>
    </row>
    <row r="1773" spans="1:12" x14ac:dyDescent="0.35">
      <c r="A1773" s="1019"/>
      <c r="B1773" s="1019"/>
      <c r="C1773" s="1019"/>
      <c r="D1773" s="1019"/>
      <c r="E1773" s="1019"/>
      <c r="F1773" s="1019"/>
      <c r="G1773" s="1019"/>
      <c r="H1773" s="1019"/>
      <c r="I1773" s="1019"/>
      <c r="J1773" s="1019"/>
      <c r="K1773" s="1019"/>
      <c r="L1773" s="1140"/>
    </row>
    <row r="1774" spans="1:12" x14ac:dyDescent="0.35">
      <c r="A1774" s="1019"/>
      <c r="B1774" s="1019"/>
      <c r="C1774" s="1019"/>
      <c r="D1774" s="1019"/>
      <c r="E1774" s="1019"/>
      <c r="F1774" s="1019"/>
      <c r="G1774" s="1019"/>
      <c r="H1774" s="1019"/>
      <c r="I1774" s="1019"/>
      <c r="J1774" s="1019"/>
      <c r="K1774" s="1019"/>
      <c r="L1774" s="1140"/>
    </row>
    <row r="1775" spans="1:12" x14ac:dyDescent="0.35">
      <c r="A1775" s="1019"/>
      <c r="B1775" s="1019"/>
      <c r="C1775" s="1019"/>
      <c r="D1775" s="1019"/>
      <c r="E1775" s="1019"/>
      <c r="F1775" s="1019"/>
      <c r="G1775" s="1019"/>
      <c r="H1775" s="1019"/>
      <c r="I1775" s="1019"/>
      <c r="J1775" s="1019"/>
      <c r="K1775" s="1019"/>
      <c r="L1775" s="1140"/>
    </row>
    <row r="1776" spans="1:12" x14ac:dyDescent="0.35">
      <c r="A1776" s="1019"/>
      <c r="B1776" s="1019"/>
      <c r="C1776" s="1019"/>
      <c r="D1776" s="1019"/>
      <c r="E1776" s="1019"/>
      <c r="F1776" s="1019"/>
      <c r="G1776" s="1019"/>
      <c r="H1776" s="1019"/>
      <c r="I1776" s="1019"/>
      <c r="J1776" s="1019"/>
      <c r="K1776" s="1019"/>
      <c r="L1776" s="1140"/>
    </row>
    <row r="1777" spans="1:12" x14ac:dyDescent="0.35">
      <c r="A1777" s="1019"/>
      <c r="B1777" s="1019"/>
      <c r="C1777" s="1019"/>
      <c r="D1777" s="1019"/>
      <c r="E1777" s="1019"/>
      <c r="F1777" s="1019"/>
      <c r="G1777" s="1019"/>
      <c r="H1777" s="1019"/>
      <c r="I1777" s="1019"/>
      <c r="J1777" s="1019"/>
      <c r="K1777" s="1019"/>
      <c r="L1777" s="1140"/>
    </row>
    <row r="1778" spans="1:12" x14ac:dyDescent="0.35">
      <c r="A1778" s="1019"/>
      <c r="B1778" s="1019"/>
      <c r="C1778" s="1019"/>
      <c r="D1778" s="1019"/>
      <c r="E1778" s="1019"/>
      <c r="F1778" s="1019"/>
      <c r="G1778" s="1019"/>
      <c r="H1778" s="1019"/>
      <c r="I1778" s="1019"/>
      <c r="J1778" s="1019"/>
      <c r="K1778" s="1019"/>
      <c r="L1778" s="1140"/>
    </row>
    <row r="1779" spans="1:12" x14ac:dyDescent="0.35">
      <c r="A1779" s="1019"/>
      <c r="B1779" s="1019"/>
      <c r="C1779" s="1019"/>
      <c r="D1779" s="1019"/>
      <c r="E1779" s="1019"/>
      <c r="F1779" s="1019"/>
      <c r="G1779" s="1019"/>
      <c r="H1779" s="1019"/>
      <c r="I1779" s="1019"/>
      <c r="J1779" s="1019"/>
      <c r="K1779" s="1019"/>
      <c r="L1779" s="1140"/>
    </row>
    <row r="1780" spans="1:12" x14ac:dyDescent="0.35">
      <c r="A1780" s="1019"/>
      <c r="B1780" s="1019"/>
      <c r="C1780" s="1019"/>
      <c r="D1780" s="1019"/>
      <c r="E1780" s="1019"/>
      <c r="F1780" s="1019"/>
      <c r="G1780" s="1019"/>
      <c r="H1780" s="1019"/>
      <c r="I1780" s="1019"/>
      <c r="J1780" s="1019"/>
      <c r="K1780" s="1019"/>
      <c r="L1780" s="1140"/>
    </row>
    <row r="1781" spans="1:12" x14ac:dyDescent="0.35">
      <c r="A1781" s="1019"/>
      <c r="B1781" s="1019"/>
      <c r="C1781" s="1019"/>
      <c r="D1781" s="1019"/>
      <c r="E1781" s="1019"/>
      <c r="F1781" s="1019"/>
      <c r="G1781" s="1019"/>
      <c r="H1781" s="1019"/>
      <c r="I1781" s="1019"/>
      <c r="J1781" s="1019"/>
      <c r="K1781" s="1019"/>
      <c r="L1781" s="1140"/>
    </row>
    <row r="1782" spans="1:12" x14ac:dyDescent="0.35">
      <c r="A1782" s="1019"/>
      <c r="B1782" s="1019"/>
      <c r="C1782" s="1019"/>
      <c r="D1782" s="1019"/>
      <c r="E1782" s="1019"/>
      <c r="F1782" s="1019"/>
      <c r="G1782" s="1019"/>
      <c r="H1782" s="1019"/>
      <c r="I1782" s="1019"/>
      <c r="J1782" s="1019"/>
      <c r="K1782" s="1019"/>
      <c r="L1782" s="1140"/>
    </row>
    <row r="1783" spans="1:12" x14ac:dyDescent="0.35">
      <c r="A1783" s="1019"/>
      <c r="B1783" s="1019"/>
      <c r="C1783" s="1019"/>
      <c r="D1783" s="1019"/>
      <c r="E1783" s="1019"/>
      <c r="F1783" s="1019"/>
      <c r="G1783" s="1019"/>
      <c r="H1783" s="1019"/>
      <c r="I1783" s="1019"/>
      <c r="J1783" s="1019"/>
      <c r="K1783" s="1019"/>
      <c r="L1783" s="1140"/>
    </row>
    <row r="1784" spans="1:12" x14ac:dyDescent="0.35">
      <c r="A1784" s="1019"/>
      <c r="B1784" s="1019"/>
      <c r="C1784" s="1019"/>
      <c r="D1784" s="1019"/>
      <c r="E1784" s="1019"/>
      <c r="F1784" s="1019"/>
      <c r="G1784" s="1019"/>
      <c r="H1784" s="1019"/>
      <c r="I1784" s="1019"/>
      <c r="J1784" s="1019"/>
      <c r="K1784" s="1019"/>
      <c r="L1784" s="1140"/>
    </row>
    <row r="1785" spans="1:12" x14ac:dyDescent="0.35">
      <c r="A1785" s="1019"/>
      <c r="B1785" s="1019"/>
      <c r="C1785" s="1019"/>
      <c r="D1785" s="1019"/>
      <c r="E1785" s="1019"/>
      <c r="F1785" s="1019"/>
      <c r="G1785" s="1019"/>
      <c r="H1785" s="1019"/>
      <c r="I1785" s="1019"/>
      <c r="J1785" s="1019"/>
      <c r="K1785" s="1019"/>
      <c r="L1785" s="1140"/>
    </row>
    <row r="1786" spans="1:12" x14ac:dyDescent="0.35">
      <c r="A1786" s="1019"/>
      <c r="B1786" s="1019"/>
      <c r="C1786" s="1019"/>
      <c r="D1786" s="1019"/>
      <c r="E1786" s="1019"/>
      <c r="F1786" s="1019"/>
      <c r="G1786" s="1019"/>
      <c r="H1786" s="1019"/>
      <c r="I1786" s="1019"/>
      <c r="J1786" s="1019"/>
      <c r="K1786" s="1019"/>
      <c r="L1786" s="1140"/>
    </row>
    <row r="1787" spans="1:12" x14ac:dyDescent="0.35">
      <c r="A1787" s="1019"/>
      <c r="B1787" s="1019"/>
      <c r="C1787" s="1019"/>
      <c r="D1787" s="1019"/>
      <c r="E1787" s="1019"/>
      <c r="F1787" s="1019"/>
      <c r="G1787" s="1019"/>
      <c r="H1787" s="1019"/>
      <c r="I1787" s="1019"/>
      <c r="J1787" s="1019"/>
      <c r="K1787" s="1019"/>
      <c r="L1787" s="1140"/>
    </row>
    <row r="1788" spans="1:12" x14ac:dyDescent="0.35">
      <c r="A1788" s="1019"/>
      <c r="B1788" s="1019"/>
      <c r="C1788" s="1019"/>
      <c r="D1788" s="1019"/>
      <c r="E1788" s="1019"/>
      <c r="F1788" s="1019"/>
      <c r="G1788" s="1019"/>
      <c r="H1788" s="1019"/>
      <c r="I1788" s="1019"/>
      <c r="J1788" s="1019"/>
      <c r="K1788" s="1019"/>
      <c r="L1788" s="1140"/>
    </row>
    <row r="1789" spans="1:12" x14ac:dyDescent="0.35">
      <c r="A1789" s="1019"/>
      <c r="B1789" s="1019"/>
      <c r="C1789" s="1019"/>
      <c r="D1789" s="1019"/>
      <c r="E1789" s="1019"/>
      <c r="F1789" s="1019"/>
      <c r="G1789" s="1019"/>
      <c r="H1789" s="1019"/>
      <c r="I1789" s="1019"/>
      <c r="J1789" s="1019"/>
      <c r="K1789" s="1019"/>
      <c r="L1789" s="1140"/>
    </row>
    <row r="1790" spans="1:12" x14ac:dyDescent="0.35">
      <c r="A1790" s="1019"/>
      <c r="B1790" s="1019"/>
      <c r="C1790" s="1019"/>
      <c r="D1790" s="1019"/>
      <c r="E1790" s="1019"/>
      <c r="F1790" s="1019"/>
      <c r="G1790" s="1019"/>
      <c r="H1790" s="1019"/>
      <c r="I1790" s="1019"/>
      <c r="J1790" s="1019"/>
      <c r="K1790" s="1019"/>
      <c r="L1790" s="1140"/>
    </row>
    <row r="1791" spans="1:12" x14ac:dyDescent="0.35">
      <c r="A1791" s="1019"/>
      <c r="B1791" s="1019"/>
      <c r="C1791" s="1019"/>
      <c r="D1791" s="1019"/>
      <c r="E1791" s="1019"/>
      <c r="F1791" s="1019"/>
      <c r="G1791" s="1019"/>
      <c r="H1791" s="1019"/>
      <c r="I1791" s="1019"/>
      <c r="J1791" s="1019"/>
      <c r="K1791" s="1019"/>
      <c r="L1791" s="1140"/>
    </row>
    <row r="1792" spans="1:12" x14ac:dyDescent="0.35">
      <c r="A1792" s="1019"/>
      <c r="B1792" s="1019"/>
      <c r="C1792" s="1019"/>
      <c r="D1792" s="1019"/>
      <c r="E1792" s="1019"/>
      <c r="F1792" s="1019"/>
      <c r="G1792" s="1019"/>
      <c r="H1792" s="1019"/>
      <c r="I1792" s="1019"/>
      <c r="J1792" s="1019"/>
      <c r="K1792" s="1019"/>
      <c r="L1792" s="1140"/>
    </row>
    <row r="1793" spans="1:12" x14ac:dyDescent="0.35">
      <c r="A1793" s="1019"/>
      <c r="B1793" s="1019"/>
      <c r="C1793" s="1019"/>
      <c r="D1793" s="1019"/>
      <c r="E1793" s="1019"/>
      <c r="F1793" s="1019"/>
      <c r="G1793" s="1019"/>
      <c r="H1793" s="1019"/>
      <c r="I1793" s="1019"/>
      <c r="J1793" s="1019"/>
      <c r="K1793" s="1019"/>
      <c r="L1793" s="1140"/>
    </row>
    <row r="1794" spans="1:12" x14ac:dyDescent="0.35">
      <c r="A1794" s="1019"/>
      <c r="B1794" s="1019"/>
      <c r="C1794" s="1019"/>
      <c r="D1794" s="1019"/>
      <c r="E1794" s="1019"/>
      <c r="F1794" s="1019"/>
      <c r="G1794" s="1019"/>
      <c r="H1794" s="1019"/>
      <c r="I1794" s="1019"/>
      <c r="J1794" s="1019"/>
      <c r="K1794" s="1019"/>
      <c r="L1794" s="1140"/>
    </row>
    <row r="1795" spans="1:12" x14ac:dyDescent="0.35">
      <c r="A1795" s="1019"/>
      <c r="B1795" s="1019"/>
      <c r="C1795" s="1019"/>
      <c r="D1795" s="1019"/>
      <c r="E1795" s="1019"/>
      <c r="F1795" s="1019"/>
      <c r="G1795" s="1019"/>
      <c r="H1795" s="1019"/>
      <c r="I1795" s="1019"/>
      <c r="J1795" s="1019"/>
      <c r="K1795" s="1019"/>
      <c r="L1795" s="1140"/>
    </row>
    <row r="1796" spans="1:12" x14ac:dyDescent="0.35">
      <c r="A1796" s="1019"/>
      <c r="B1796" s="1019"/>
      <c r="C1796" s="1019"/>
      <c r="D1796" s="1019"/>
      <c r="E1796" s="1019"/>
      <c r="F1796" s="1019"/>
      <c r="G1796" s="1019"/>
      <c r="H1796" s="1019"/>
      <c r="I1796" s="1019"/>
      <c r="J1796" s="1019"/>
      <c r="K1796" s="1019"/>
      <c r="L1796" s="1140"/>
    </row>
    <row r="1797" spans="1:12" x14ac:dyDescent="0.35">
      <c r="A1797" s="1019"/>
      <c r="B1797" s="1019"/>
      <c r="C1797" s="1019"/>
      <c r="D1797" s="1019"/>
      <c r="E1797" s="1019"/>
      <c r="F1797" s="1019"/>
      <c r="G1797" s="1019"/>
      <c r="H1797" s="1019"/>
      <c r="I1797" s="1019"/>
      <c r="J1797" s="1019"/>
      <c r="K1797" s="1019"/>
      <c r="L1797" s="1140"/>
    </row>
    <row r="1798" spans="1:12" x14ac:dyDescent="0.35">
      <c r="A1798" s="1019"/>
      <c r="B1798" s="1019"/>
      <c r="C1798" s="1019"/>
      <c r="D1798" s="1019"/>
      <c r="E1798" s="1019"/>
      <c r="F1798" s="1019"/>
      <c r="G1798" s="1019"/>
      <c r="H1798" s="1019"/>
      <c r="I1798" s="1019"/>
      <c r="J1798" s="1019"/>
      <c r="K1798" s="1019"/>
      <c r="L1798" s="1140"/>
    </row>
    <row r="1799" spans="1:12" x14ac:dyDescent="0.35">
      <c r="A1799" s="1019"/>
      <c r="B1799" s="1019"/>
      <c r="C1799" s="1019"/>
      <c r="D1799" s="1019"/>
      <c r="E1799" s="1019"/>
      <c r="F1799" s="1019"/>
      <c r="G1799" s="1019"/>
      <c r="H1799" s="1019"/>
      <c r="I1799" s="1019"/>
      <c r="J1799" s="1019"/>
      <c r="K1799" s="1019"/>
      <c r="L1799" s="1140"/>
    </row>
    <row r="1800" spans="1:12" x14ac:dyDescent="0.35">
      <c r="A1800" s="1019"/>
      <c r="B1800" s="1019"/>
      <c r="C1800" s="1019"/>
      <c r="D1800" s="1019"/>
      <c r="E1800" s="1019"/>
      <c r="F1800" s="1019"/>
      <c r="G1800" s="1019"/>
      <c r="H1800" s="1019"/>
      <c r="I1800" s="1019"/>
      <c r="J1800" s="1019"/>
      <c r="K1800" s="1019"/>
      <c r="L1800" s="1140"/>
    </row>
    <row r="1801" spans="1:12" x14ac:dyDescent="0.35">
      <c r="A1801" s="1019"/>
      <c r="B1801" s="1019"/>
      <c r="C1801" s="1019"/>
      <c r="D1801" s="1019"/>
      <c r="E1801" s="1019"/>
      <c r="F1801" s="1019"/>
      <c r="G1801" s="1019"/>
      <c r="H1801" s="1019"/>
      <c r="I1801" s="1019"/>
      <c r="J1801" s="1019"/>
      <c r="K1801" s="1019"/>
      <c r="L1801" s="1140"/>
    </row>
    <row r="1802" spans="1:12" x14ac:dyDescent="0.35">
      <c r="A1802" s="1019"/>
      <c r="B1802" s="1019"/>
      <c r="C1802" s="1019"/>
      <c r="D1802" s="1019"/>
      <c r="E1802" s="1019"/>
      <c r="F1802" s="1019"/>
      <c r="G1802" s="1019"/>
      <c r="H1802" s="1019"/>
      <c r="I1802" s="1019"/>
      <c r="J1802" s="1019"/>
      <c r="K1802" s="1019"/>
      <c r="L1802" s="1140"/>
    </row>
    <row r="1803" spans="1:12" x14ac:dyDescent="0.35">
      <c r="A1803" s="1019"/>
      <c r="B1803" s="1019"/>
      <c r="C1803" s="1019"/>
      <c r="D1803" s="1019"/>
      <c r="E1803" s="1019"/>
      <c r="F1803" s="1019"/>
      <c r="G1803" s="1019"/>
      <c r="H1803" s="1019"/>
      <c r="I1803" s="1019"/>
      <c r="J1803" s="1019"/>
      <c r="K1803" s="1019"/>
      <c r="L1803" s="1140"/>
    </row>
    <row r="1804" spans="1:12" x14ac:dyDescent="0.35">
      <c r="A1804" s="1019"/>
      <c r="B1804" s="1019"/>
      <c r="C1804" s="1019"/>
      <c r="D1804" s="1019"/>
      <c r="E1804" s="1019"/>
      <c r="F1804" s="1019"/>
      <c r="G1804" s="1019"/>
      <c r="H1804" s="1019"/>
      <c r="I1804" s="1019"/>
      <c r="J1804" s="1019"/>
      <c r="K1804" s="1019"/>
      <c r="L1804" s="1140"/>
    </row>
    <row r="1805" spans="1:12" x14ac:dyDescent="0.35">
      <c r="A1805" s="1019"/>
      <c r="B1805" s="1019"/>
      <c r="C1805" s="1019"/>
      <c r="D1805" s="1019"/>
      <c r="E1805" s="1019"/>
      <c r="F1805" s="1019"/>
      <c r="G1805" s="1019"/>
      <c r="H1805" s="1019"/>
      <c r="I1805" s="1019"/>
      <c r="J1805" s="1019"/>
      <c r="K1805" s="1019"/>
      <c r="L1805" s="1140"/>
    </row>
    <row r="1806" spans="1:12" x14ac:dyDescent="0.35">
      <c r="A1806" s="1019"/>
      <c r="B1806" s="1019"/>
      <c r="C1806" s="1019"/>
      <c r="D1806" s="1019"/>
      <c r="E1806" s="1019"/>
      <c r="F1806" s="1019"/>
      <c r="G1806" s="1019"/>
      <c r="H1806" s="1019"/>
      <c r="I1806" s="1019"/>
      <c r="J1806" s="1019"/>
      <c r="K1806" s="1019"/>
      <c r="L1806" s="1140"/>
    </row>
    <row r="1807" spans="1:12" x14ac:dyDescent="0.35">
      <c r="A1807" s="1019"/>
      <c r="B1807" s="1019"/>
      <c r="C1807" s="1019"/>
      <c r="D1807" s="1019"/>
      <c r="E1807" s="1019"/>
      <c r="F1807" s="1019"/>
      <c r="G1807" s="1019"/>
      <c r="H1807" s="1019"/>
      <c r="I1807" s="1019"/>
      <c r="J1807" s="1019"/>
      <c r="K1807" s="1019"/>
      <c r="L1807" s="1140"/>
    </row>
    <row r="1808" spans="1:12" x14ac:dyDescent="0.35">
      <c r="A1808" s="1019"/>
      <c r="B1808" s="1019"/>
      <c r="C1808" s="1019"/>
      <c r="D1808" s="1019"/>
      <c r="E1808" s="1019"/>
      <c r="F1808" s="1019"/>
      <c r="G1808" s="1019"/>
      <c r="H1808" s="1019"/>
      <c r="I1808" s="1019"/>
      <c r="J1808" s="1019"/>
      <c r="K1808" s="1019"/>
      <c r="L1808" s="1140"/>
    </row>
    <row r="1809" spans="1:12" x14ac:dyDescent="0.35">
      <c r="A1809" s="1019"/>
      <c r="B1809" s="1019"/>
      <c r="C1809" s="1019"/>
      <c r="D1809" s="1019"/>
      <c r="E1809" s="1019"/>
      <c r="F1809" s="1019"/>
      <c r="G1809" s="1019"/>
      <c r="H1809" s="1019"/>
      <c r="I1809" s="1019"/>
      <c r="J1809" s="1019"/>
      <c r="K1809" s="1019"/>
      <c r="L1809" s="1140"/>
    </row>
    <row r="1810" spans="1:12" x14ac:dyDescent="0.35">
      <c r="A1810" s="1019"/>
      <c r="B1810" s="1019"/>
      <c r="C1810" s="1019"/>
      <c r="D1810" s="1019"/>
      <c r="E1810" s="1019"/>
      <c r="F1810" s="1019"/>
      <c r="G1810" s="1019"/>
      <c r="H1810" s="1019"/>
      <c r="I1810" s="1019"/>
      <c r="J1810" s="1019"/>
      <c r="K1810" s="1019"/>
      <c r="L1810" s="1140"/>
    </row>
    <row r="1811" spans="1:12" x14ac:dyDescent="0.35">
      <c r="A1811" s="1019"/>
      <c r="B1811" s="1019"/>
      <c r="C1811" s="1019"/>
      <c r="D1811" s="1019"/>
      <c r="E1811" s="1019"/>
      <c r="F1811" s="1019"/>
      <c r="G1811" s="1019"/>
      <c r="H1811" s="1019"/>
      <c r="I1811" s="1019"/>
      <c r="J1811" s="1019"/>
      <c r="K1811" s="1019"/>
      <c r="L1811" s="1140"/>
    </row>
    <row r="1812" spans="1:12" x14ac:dyDescent="0.35">
      <c r="A1812" s="1019"/>
      <c r="B1812" s="1019"/>
      <c r="C1812" s="1019"/>
      <c r="D1812" s="1019"/>
      <c r="E1812" s="1019"/>
      <c r="F1812" s="1019"/>
      <c r="G1812" s="1019"/>
      <c r="H1812" s="1019"/>
      <c r="I1812" s="1019"/>
      <c r="J1812" s="1019"/>
      <c r="K1812" s="1019"/>
      <c r="L1812" s="1140"/>
    </row>
    <row r="1813" spans="1:12" x14ac:dyDescent="0.35">
      <c r="A1813" s="1019"/>
      <c r="B1813" s="1019"/>
      <c r="C1813" s="1019"/>
      <c r="D1813" s="1019"/>
      <c r="E1813" s="1019"/>
      <c r="F1813" s="1019"/>
      <c r="G1813" s="1019"/>
      <c r="H1813" s="1019"/>
      <c r="I1813" s="1019"/>
      <c r="J1813" s="1019"/>
      <c r="K1813" s="1019"/>
      <c r="L1813" s="1140"/>
    </row>
    <row r="1814" spans="1:12" x14ac:dyDescent="0.35">
      <c r="A1814" s="1019"/>
      <c r="B1814" s="1019"/>
      <c r="C1814" s="1019"/>
      <c r="D1814" s="1019"/>
      <c r="E1814" s="1019"/>
      <c r="F1814" s="1019"/>
      <c r="G1814" s="1019"/>
      <c r="H1814" s="1019"/>
      <c r="I1814" s="1019"/>
      <c r="J1814" s="1019"/>
      <c r="K1814" s="1019"/>
      <c r="L1814" s="1140"/>
    </row>
    <row r="1815" spans="1:12" x14ac:dyDescent="0.35">
      <c r="A1815" s="1019"/>
      <c r="B1815" s="1019"/>
      <c r="C1815" s="1019"/>
      <c r="D1815" s="1019"/>
      <c r="E1815" s="1019"/>
      <c r="F1815" s="1019"/>
      <c r="G1815" s="1019"/>
      <c r="H1815" s="1019"/>
      <c r="I1815" s="1019"/>
      <c r="J1815" s="1019"/>
      <c r="K1815" s="1019"/>
      <c r="L1815" s="1140"/>
    </row>
    <row r="1816" spans="1:12" x14ac:dyDescent="0.35">
      <c r="A1816" s="1019"/>
      <c r="B1816" s="1019"/>
      <c r="C1816" s="1019"/>
      <c r="D1816" s="1019"/>
      <c r="E1816" s="1019"/>
      <c r="F1816" s="1019"/>
      <c r="G1816" s="1019"/>
      <c r="H1816" s="1019"/>
      <c r="I1816" s="1019"/>
      <c r="J1816" s="1019"/>
      <c r="K1816" s="1019"/>
      <c r="L1816" s="1140"/>
    </row>
    <row r="1817" spans="1:12" x14ac:dyDescent="0.35">
      <c r="A1817" s="1019"/>
      <c r="B1817" s="1019"/>
      <c r="C1817" s="1019"/>
      <c r="D1817" s="1019"/>
      <c r="E1817" s="1019"/>
      <c r="F1817" s="1019"/>
      <c r="G1817" s="1019"/>
      <c r="H1817" s="1019"/>
      <c r="I1817" s="1019"/>
      <c r="J1817" s="1019"/>
      <c r="K1817" s="1019"/>
      <c r="L1817" s="1140"/>
    </row>
    <row r="1818" spans="1:12" x14ac:dyDescent="0.35">
      <c r="A1818" s="1019"/>
      <c r="B1818" s="1019"/>
      <c r="C1818" s="1019"/>
      <c r="D1818" s="1019"/>
      <c r="E1818" s="1019"/>
      <c r="F1818" s="1019"/>
      <c r="G1818" s="1019"/>
      <c r="H1818" s="1019"/>
      <c r="I1818" s="1019"/>
      <c r="J1818" s="1019"/>
      <c r="K1818" s="1019"/>
      <c r="L1818" s="1140"/>
    </row>
    <row r="1819" spans="1:12" x14ac:dyDescent="0.35">
      <c r="A1819" s="1019"/>
      <c r="B1819" s="1019"/>
      <c r="C1819" s="1019"/>
      <c r="D1819" s="1019"/>
      <c r="E1819" s="1019"/>
      <c r="F1819" s="1019"/>
      <c r="G1819" s="1019"/>
      <c r="H1819" s="1019"/>
      <c r="I1819" s="1019"/>
      <c r="J1819" s="1019"/>
      <c r="K1819" s="1019"/>
      <c r="L1819" s="1140"/>
    </row>
    <row r="1820" spans="1:12" x14ac:dyDescent="0.35">
      <c r="A1820" s="1019"/>
      <c r="B1820" s="1019"/>
      <c r="C1820" s="1019"/>
      <c r="D1820" s="1019"/>
      <c r="E1820" s="1019"/>
      <c r="F1820" s="1019"/>
      <c r="G1820" s="1019"/>
      <c r="H1820" s="1019"/>
      <c r="I1820" s="1019"/>
      <c r="J1820" s="1019"/>
      <c r="K1820" s="1019"/>
      <c r="L1820" s="1140"/>
    </row>
    <row r="1821" spans="1:12" x14ac:dyDescent="0.35">
      <c r="A1821" s="1019"/>
      <c r="B1821" s="1019"/>
      <c r="C1821" s="1019"/>
      <c r="D1821" s="1019"/>
      <c r="E1821" s="1019"/>
      <c r="F1821" s="1019"/>
      <c r="G1821" s="1019"/>
      <c r="H1821" s="1019"/>
      <c r="I1821" s="1019"/>
      <c r="J1821" s="1019"/>
      <c r="K1821" s="1019"/>
      <c r="L1821" s="1140"/>
    </row>
    <row r="1822" spans="1:12" x14ac:dyDescent="0.35">
      <c r="A1822" s="1019"/>
      <c r="B1822" s="1019"/>
      <c r="C1822" s="1019"/>
      <c r="D1822" s="1019"/>
      <c r="E1822" s="1019"/>
      <c r="F1822" s="1019"/>
      <c r="G1822" s="1019"/>
      <c r="H1822" s="1019"/>
      <c r="I1822" s="1019"/>
      <c r="J1822" s="1019"/>
      <c r="K1822" s="1019"/>
      <c r="L1822" s="1140"/>
    </row>
    <row r="1823" spans="1:12" x14ac:dyDescent="0.35">
      <c r="A1823" s="1019"/>
      <c r="B1823" s="1019"/>
      <c r="C1823" s="1019"/>
      <c r="D1823" s="1019"/>
      <c r="E1823" s="1019"/>
      <c r="F1823" s="1019"/>
      <c r="G1823" s="1019"/>
      <c r="H1823" s="1019"/>
      <c r="I1823" s="1019"/>
      <c r="J1823" s="1019"/>
      <c r="K1823" s="1019"/>
      <c r="L1823" s="1140"/>
    </row>
    <row r="1824" spans="1:12" x14ac:dyDescent="0.35">
      <c r="A1824" s="1019"/>
      <c r="B1824" s="1019"/>
      <c r="C1824" s="1019"/>
      <c r="D1824" s="1019"/>
      <c r="E1824" s="1019"/>
      <c r="F1824" s="1019"/>
      <c r="G1824" s="1019"/>
      <c r="H1824" s="1019"/>
      <c r="I1824" s="1019"/>
      <c r="J1824" s="1019"/>
      <c r="K1824" s="1019"/>
      <c r="L1824" s="1140"/>
    </row>
    <row r="1825" spans="1:12" x14ac:dyDescent="0.35">
      <c r="A1825" s="1019"/>
      <c r="B1825" s="1019"/>
      <c r="C1825" s="1019"/>
      <c r="D1825" s="1019"/>
      <c r="E1825" s="1019"/>
      <c r="F1825" s="1019"/>
      <c r="G1825" s="1019"/>
      <c r="H1825" s="1019"/>
      <c r="I1825" s="1019"/>
      <c r="J1825" s="1019"/>
      <c r="K1825" s="1019"/>
      <c r="L1825" s="1140"/>
    </row>
    <row r="1826" spans="1:12" x14ac:dyDescent="0.35">
      <c r="A1826" s="1019"/>
      <c r="B1826" s="1019"/>
      <c r="C1826" s="1019"/>
      <c r="D1826" s="1019"/>
      <c r="E1826" s="1019"/>
      <c r="F1826" s="1019"/>
      <c r="G1826" s="1019"/>
      <c r="H1826" s="1019"/>
      <c r="I1826" s="1019"/>
      <c r="J1826" s="1019"/>
      <c r="K1826" s="1019"/>
      <c r="L1826" s="1140"/>
    </row>
    <row r="1827" spans="1:12" x14ac:dyDescent="0.35">
      <c r="A1827" s="1019"/>
      <c r="B1827" s="1019"/>
      <c r="C1827" s="1019"/>
      <c r="D1827" s="1019"/>
      <c r="E1827" s="1019"/>
      <c r="F1827" s="1019"/>
      <c r="G1827" s="1019"/>
      <c r="H1827" s="1019"/>
      <c r="I1827" s="1019"/>
      <c r="J1827" s="1019"/>
      <c r="K1827" s="1019"/>
      <c r="L1827" s="1140"/>
    </row>
    <row r="1828" spans="1:12" x14ac:dyDescent="0.35">
      <c r="A1828" s="1019"/>
      <c r="B1828" s="1019"/>
      <c r="C1828" s="1019"/>
      <c r="D1828" s="1019"/>
      <c r="E1828" s="1019"/>
      <c r="F1828" s="1019"/>
      <c r="G1828" s="1019"/>
      <c r="H1828" s="1019"/>
      <c r="I1828" s="1019"/>
      <c r="J1828" s="1019"/>
      <c r="K1828" s="1019"/>
      <c r="L1828" s="1140"/>
    </row>
    <row r="1829" spans="1:12" x14ac:dyDescent="0.35">
      <c r="A1829" s="1019"/>
      <c r="B1829" s="1019"/>
      <c r="C1829" s="1019"/>
      <c r="D1829" s="1019"/>
      <c r="E1829" s="1019"/>
      <c r="F1829" s="1019"/>
      <c r="G1829" s="1019"/>
      <c r="H1829" s="1019"/>
      <c r="I1829" s="1019"/>
      <c r="J1829" s="1019"/>
      <c r="K1829" s="1019"/>
      <c r="L1829" s="1140"/>
    </row>
    <row r="1830" spans="1:12" x14ac:dyDescent="0.35">
      <c r="A1830" s="1019"/>
      <c r="B1830" s="1019"/>
      <c r="C1830" s="1019"/>
      <c r="D1830" s="1019"/>
      <c r="E1830" s="1019"/>
      <c r="F1830" s="1019"/>
      <c r="G1830" s="1019"/>
      <c r="H1830" s="1019"/>
      <c r="I1830" s="1019"/>
      <c r="J1830" s="1019"/>
      <c r="K1830" s="1019"/>
      <c r="L1830" s="1140"/>
    </row>
    <row r="1831" spans="1:12" x14ac:dyDescent="0.35">
      <c r="A1831" s="1019"/>
      <c r="B1831" s="1019"/>
      <c r="C1831" s="1019"/>
      <c r="D1831" s="1019"/>
      <c r="E1831" s="1019"/>
      <c r="F1831" s="1019"/>
      <c r="G1831" s="1019"/>
      <c r="H1831" s="1019"/>
      <c r="I1831" s="1019"/>
      <c r="J1831" s="1019"/>
      <c r="K1831" s="1019"/>
      <c r="L1831" s="1140"/>
    </row>
    <row r="1832" spans="1:12" x14ac:dyDescent="0.35">
      <c r="A1832" s="1019"/>
      <c r="B1832" s="1019"/>
      <c r="C1832" s="1019"/>
      <c r="D1832" s="1019"/>
      <c r="E1832" s="1019"/>
      <c r="F1832" s="1019"/>
      <c r="G1832" s="1019"/>
      <c r="H1832" s="1019"/>
      <c r="I1832" s="1019"/>
      <c r="J1832" s="1019"/>
      <c r="K1832" s="1019"/>
      <c r="L1832" s="1140"/>
    </row>
    <row r="1833" spans="1:12" x14ac:dyDescent="0.35">
      <c r="A1833" s="1019"/>
      <c r="B1833" s="1019"/>
      <c r="C1833" s="1019"/>
      <c r="D1833" s="1019"/>
      <c r="E1833" s="1019"/>
      <c r="F1833" s="1019"/>
      <c r="G1833" s="1019"/>
      <c r="H1833" s="1019"/>
      <c r="I1833" s="1019"/>
      <c r="J1833" s="1019"/>
      <c r="K1833" s="1019"/>
      <c r="L1833" s="1140"/>
    </row>
    <row r="1834" spans="1:12" x14ac:dyDescent="0.35">
      <c r="A1834" s="1019"/>
      <c r="B1834" s="1019"/>
      <c r="C1834" s="1019"/>
      <c r="D1834" s="1019"/>
      <c r="E1834" s="1019"/>
      <c r="F1834" s="1019"/>
      <c r="G1834" s="1019"/>
      <c r="H1834" s="1019"/>
      <c r="I1834" s="1019"/>
      <c r="J1834" s="1019"/>
      <c r="K1834" s="1019"/>
      <c r="L1834" s="1140"/>
    </row>
    <row r="1835" spans="1:12" x14ac:dyDescent="0.35">
      <c r="A1835" s="1019"/>
      <c r="B1835" s="1019"/>
      <c r="C1835" s="1019"/>
      <c r="D1835" s="1019"/>
      <c r="E1835" s="1019"/>
      <c r="F1835" s="1019"/>
      <c r="G1835" s="1019"/>
      <c r="H1835" s="1019"/>
      <c r="I1835" s="1019"/>
      <c r="J1835" s="1019"/>
      <c r="K1835" s="1019"/>
      <c r="L1835" s="1140"/>
    </row>
    <row r="1836" spans="1:12" x14ac:dyDescent="0.35">
      <c r="A1836" s="1019"/>
      <c r="B1836" s="1019"/>
      <c r="C1836" s="1019"/>
      <c r="D1836" s="1019"/>
      <c r="E1836" s="1019"/>
      <c r="F1836" s="1019"/>
      <c r="G1836" s="1019"/>
      <c r="H1836" s="1019"/>
      <c r="I1836" s="1019"/>
      <c r="J1836" s="1019"/>
      <c r="K1836" s="1019"/>
      <c r="L1836" s="1140"/>
    </row>
    <row r="1837" spans="1:12" x14ac:dyDescent="0.35">
      <c r="A1837" s="1019"/>
      <c r="B1837" s="1019"/>
      <c r="C1837" s="1019"/>
      <c r="D1837" s="1019"/>
      <c r="E1837" s="1019"/>
      <c r="F1837" s="1019"/>
      <c r="G1837" s="1019"/>
      <c r="H1837" s="1019"/>
      <c r="I1837" s="1019"/>
      <c r="J1837" s="1019"/>
      <c r="K1837" s="1019"/>
      <c r="L1837" s="1140"/>
    </row>
    <row r="1838" spans="1:12" x14ac:dyDescent="0.35">
      <c r="A1838" s="1019"/>
      <c r="B1838" s="1019"/>
      <c r="C1838" s="1019"/>
      <c r="D1838" s="1019"/>
      <c r="E1838" s="1019"/>
      <c r="F1838" s="1019"/>
      <c r="G1838" s="1019"/>
      <c r="H1838" s="1019"/>
      <c r="I1838" s="1019"/>
      <c r="J1838" s="1019"/>
      <c r="K1838" s="1019"/>
      <c r="L1838" s="1140"/>
    </row>
    <row r="1839" spans="1:12" x14ac:dyDescent="0.35">
      <c r="A1839" s="1019"/>
      <c r="B1839" s="1019"/>
      <c r="C1839" s="1019"/>
      <c r="D1839" s="1019"/>
      <c r="E1839" s="1019"/>
      <c r="F1839" s="1019"/>
      <c r="G1839" s="1019"/>
      <c r="H1839" s="1019"/>
      <c r="I1839" s="1019"/>
      <c r="J1839" s="1019"/>
      <c r="K1839" s="1019"/>
      <c r="L1839" s="1140"/>
    </row>
    <row r="1840" spans="1:12" x14ac:dyDescent="0.35">
      <c r="A1840" s="1019"/>
      <c r="B1840" s="1019"/>
      <c r="C1840" s="1019"/>
      <c r="D1840" s="1019"/>
      <c r="E1840" s="1019"/>
      <c r="F1840" s="1019"/>
      <c r="G1840" s="1019"/>
      <c r="H1840" s="1019"/>
      <c r="I1840" s="1019"/>
      <c r="J1840" s="1019"/>
      <c r="K1840" s="1019"/>
      <c r="L1840" s="1140"/>
    </row>
    <row r="1841" spans="1:12" x14ac:dyDescent="0.35">
      <c r="A1841" s="1019"/>
      <c r="B1841" s="1019"/>
      <c r="C1841" s="1019"/>
      <c r="D1841" s="1019"/>
      <c r="E1841" s="1019"/>
      <c r="F1841" s="1019"/>
      <c r="G1841" s="1019"/>
      <c r="H1841" s="1019"/>
      <c r="I1841" s="1019"/>
      <c r="J1841" s="1019"/>
      <c r="K1841" s="1019"/>
      <c r="L1841" s="1140"/>
    </row>
    <row r="1842" spans="1:12" x14ac:dyDescent="0.35">
      <c r="A1842" s="1019"/>
      <c r="B1842" s="1019"/>
      <c r="C1842" s="1019"/>
      <c r="D1842" s="1019"/>
      <c r="E1842" s="1019"/>
      <c r="F1842" s="1019"/>
      <c r="G1842" s="1019"/>
      <c r="H1842" s="1019"/>
      <c r="I1842" s="1019"/>
      <c r="J1842" s="1019"/>
      <c r="K1842" s="1019"/>
      <c r="L1842" s="1140"/>
    </row>
    <row r="1843" spans="1:12" x14ac:dyDescent="0.35">
      <c r="A1843" s="1019"/>
      <c r="B1843" s="1019"/>
      <c r="C1843" s="1019"/>
      <c r="D1843" s="1019"/>
      <c r="E1843" s="1019"/>
      <c r="F1843" s="1019"/>
      <c r="G1843" s="1019"/>
      <c r="H1843" s="1019"/>
      <c r="I1843" s="1019"/>
      <c r="J1843" s="1019"/>
      <c r="K1843" s="1019"/>
      <c r="L1843" s="1140"/>
    </row>
    <row r="1844" spans="1:12" x14ac:dyDescent="0.35">
      <c r="A1844" s="1019"/>
      <c r="B1844" s="1019"/>
      <c r="C1844" s="1019"/>
      <c r="D1844" s="1019"/>
      <c r="E1844" s="1019"/>
      <c r="F1844" s="1019"/>
      <c r="G1844" s="1019"/>
      <c r="H1844" s="1019"/>
      <c r="I1844" s="1019"/>
      <c r="J1844" s="1019"/>
      <c r="K1844" s="1019"/>
      <c r="L1844" s="1140"/>
    </row>
    <row r="1845" spans="1:12" x14ac:dyDescent="0.35">
      <c r="A1845" s="1019"/>
      <c r="B1845" s="1019"/>
      <c r="C1845" s="1019"/>
      <c r="D1845" s="1019"/>
      <c r="E1845" s="1019"/>
      <c r="F1845" s="1019"/>
      <c r="G1845" s="1019"/>
      <c r="H1845" s="1019"/>
      <c r="I1845" s="1019"/>
      <c r="J1845" s="1019"/>
      <c r="K1845" s="1019"/>
      <c r="L1845" s="1140"/>
    </row>
    <row r="1846" spans="1:12" x14ac:dyDescent="0.35">
      <c r="A1846" s="1019"/>
      <c r="B1846" s="1019"/>
      <c r="C1846" s="1019"/>
      <c r="D1846" s="1019"/>
      <c r="E1846" s="1019"/>
      <c r="F1846" s="1019"/>
      <c r="G1846" s="1019"/>
      <c r="H1846" s="1019"/>
      <c r="I1846" s="1019"/>
      <c r="J1846" s="1019"/>
      <c r="K1846" s="1019"/>
      <c r="L1846" s="1140"/>
    </row>
    <row r="1847" spans="1:12" x14ac:dyDescent="0.35">
      <c r="A1847" s="1019"/>
      <c r="B1847" s="1019"/>
      <c r="C1847" s="1019"/>
      <c r="D1847" s="1019"/>
      <c r="E1847" s="1019"/>
      <c r="F1847" s="1019"/>
      <c r="G1847" s="1019"/>
      <c r="H1847" s="1019"/>
      <c r="I1847" s="1019"/>
      <c r="J1847" s="1019"/>
      <c r="K1847" s="1019"/>
      <c r="L1847" s="1140"/>
    </row>
    <row r="1848" spans="1:12" x14ac:dyDescent="0.35">
      <c r="A1848" s="1019"/>
      <c r="B1848" s="1019"/>
      <c r="C1848" s="1019"/>
      <c r="D1848" s="1019"/>
      <c r="E1848" s="1019"/>
      <c r="F1848" s="1019"/>
      <c r="G1848" s="1019"/>
      <c r="H1848" s="1019"/>
      <c r="I1848" s="1019"/>
      <c r="J1848" s="1019"/>
      <c r="K1848" s="1019"/>
      <c r="L1848" s="1140"/>
    </row>
    <row r="1849" spans="1:12" x14ac:dyDescent="0.35">
      <c r="A1849" s="1019"/>
      <c r="B1849" s="1019"/>
      <c r="C1849" s="1019"/>
      <c r="D1849" s="1019"/>
      <c r="E1849" s="1019"/>
      <c r="F1849" s="1019"/>
      <c r="G1849" s="1019"/>
      <c r="H1849" s="1019"/>
      <c r="I1849" s="1019"/>
      <c r="J1849" s="1019"/>
      <c r="K1849" s="1019"/>
      <c r="L1849" s="1140"/>
    </row>
    <row r="1850" spans="1:12" x14ac:dyDescent="0.35">
      <c r="A1850" s="1019"/>
      <c r="B1850" s="1019"/>
      <c r="C1850" s="1019"/>
      <c r="D1850" s="1019"/>
      <c r="E1850" s="1019"/>
      <c r="F1850" s="1019"/>
      <c r="G1850" s="1019"/>
      <c r="H1850" s="1019"/>
      <c r="I1850" s="1019"/>
      <c r="J1850" s="1019"/>
      <c r="K1850" s="1019"/>
      <c r="L1850" s="1140"/>
    </row>
    <row r="1851" spans="1:12" x14ac:dyDescent="0.35">
      <c r="A1851" s="1019"/>
      <c r="B1851" s="1019"/>
      <c r="C1851" s="1019"/>
      <c r="D1851" s="1019"/>
      <c r="E1851" s="1019"/>
      <c r="F1851" s="1019"/>
      <c r="G1851" s="1019"/>
      <c r="H1851" s="1019"/>
      <c r="I1851" s="1019"/>
      <c r="J1851" s="1019"/>
      <c r="K1851" s="1019"/>
      <c r="L1851" s="1140"/>
    </row>
    <row r="1852" spans="1:12" x14ac:dyDescent="0.35">
      <c r="A1852" s="1019"/>
      <c r="B1852" s="1019"/>
      <c r="C1852" s="1019"/>
      <c r="D1852" s="1019"/>
      <c r="E1852" s="1019"/>
      <c r="F1852" s="1019"/>
      <c r="G1852" s="1019"/>
      <c r="H1852" s="1019"/>
      <c r="I1852" s="1019"/>
      <c r="J1852" s="1019"/>
      <c r="K1852" s="1019"/>
      <c r="L1852" s="1140"/>
    </row>
    <row r="1853" spans="1:12" x14ac:dyDescent="0.35">
      <c r="A1853" s="1019"/>
      <c r="B1853" s="1019"/>
      <c r="C1853" s="1019"/>
      <c r="D1853" s="1019"/>
      <c r="E1853" s="1019"/>
      <c r="F1853" s="1019"/>
      <c r="G1853" s="1019"/>
      <c r="H1853" s="1019"/>
      <c r="I1853" s="1019"/>
      <c r="J1853" s="1019"/>
      <c r="K1853" s="1019"/>
      <c r="L1853" s="1140"/>
    </row>
    <row r="1854" spans="1:12" x14ac:dyDescent="0.35">
      <c r="A1854" s="1019"/>
      <c r="B1854" s="1019"/>
      <c r="C1854" s="1019"/>
      <c r="D1854" s="1019"/>
      <c r="E1854" s="1019"/>
      <c r="F1854" s="1019"/>
      <c r="G1854" s="1019"/>
      <c r="H1854" s="1019"/>
      <c r="I1854" s="1019"/>
      <c r="J1854" s="1019"/>
      <c r="K1854" s="1019"/>
      <c r="L1854" s="1140"/>
    </row>
    <row r="1855" spans="1:12" x14ac:dyDescent="0.35">
      <c r="A1855" s="1019"/>
      <c r="B1855" s="1019"/>
      <c r="C1855" s="1019"/>
      <c r="D1855" s="1019"/>
      <c r="E1855" s="1019"/>
      <c r="F1855" s="1019"/>
      <c r="G1855" s="1019"/>
      <c r="H1855" s="1019"/>
      <c r="I1855" s="1019"/>
      <c r="J1855" s="1019"/>
      <c r="K1855" s="1019"/>
      <c r="L1855" s="1140"/>
    </row>
    <row r="1856" spans="1:12" x14ac:dyDescent="0.35">
      <c r="A1856" s="1019"/>
      <c r="B1856" s="1019"/>
      <c r="C1856" s="1019"/>
      <c r="D1856" s="1019"/>
      <c r="E1856" s="1019"/>
      <c r="F1856" s="1019"/>
      <c r="G1856" s="1019"/>
      <c r="H1856" s="1019"/>
      <c r="I1856" s="1019"/>
      <c r="J1856" s="1019"/>
      <c r="K1856" s="1019"/>
      <c r="L1856" s="1140"/>
    </row>
    <row r="1857" spans="1:12" x14ac:dyDescent="0.35">
      <c r="A1857" s="1019"/>
      <c r="B1857" s="1019"/>
      <c r="C1857" s="1019"/>
      <c r="D1857" s="1019"/>
      <c r="E1857" s="1019"/>
      <c r="F1857" s="1019"/>
      <c r="G1857" s="1019"/>
      <c r="H1857" s="1019"/>
      <c r="I1857" s="1019"/>
      <c r="J1857" s="1019"/>
      <c r="K1857" s="1019"/>
      <c r="L1857" s="1140"/>
    </row>
    <row r="1858" spans="1:12" x14ac:dyDescent="0.35">
      <c r="A1858" s="1019"/>
      <c r="B1858" s="1019"/>
      <c r="C1858" s="1019"/>
      <c r="D1858" s="1019"/>
      <c r="E1858" s="1019"/>
      <c r="F1858" s="1019"/>
      <c r="G1858" s="1019"/>
      <c r="H1858" s="1019"/>
      <c r="I1858" s="1019"/>
      <c r="J1858" s="1019"/>
      <c r="K1858" s="1019"/>
      <c r="L1858" s="1140"/>
    </row>
    <row r="1859" spans="1:12" x14ac:dyDescent="0.35">
      <c r="A1859" s="1019"/>
      <c r="B1859" s="1019"/>
      <c r="C1859" s="1019"/>
      <c r="D1859" s="1019"/>
      <c r="E1859" s="1019"/>
      <c r="F1859" s="1019"/>
      <c r="G1859" s="1019"/>
      <c r="H1859" s="1019"/>
      <c r="I1859" s="1019"/>
      <c r="J1859" s="1019"/>
      <c r="K1859" s="1019"/>
      <c r="L1859" s="1140"/>
    </row>
    <row r="1860" spans="1:12" x14ac:dyDescent="0.35">
      <c r="A1860" s="1019"/>
      <c r="B1860" s="1019"/>
      <c r="C1860" s="1019"/>
      <c r="D1860" s="1019"/>
      <c r="E1860" s="1019"/>
      <c r="F1860" s="1019"/>
      <c r="G1860" s="1019"/>
      <c r="H1860" s="1019"/>
      <c r="I1860" s="1019"/>
      <c r="J1860" s="1019"/>
      <c r="K1860" s="1019"/>
      <c r="L1860" s="1140"/>
    </row>
    <row r="1861" spans="1:12" x14ac:dyDescent="0.35">
      <c r="A1861" s="1019"/>
      <c r="B1861" s="1019"/>
      <c r="C1861" s="1019"/>
      <c r="D1861" s="1019"/>
      <c r="E1861" s="1019"/>
      <c r="F1861" s="1019"/>
      <c r="G1861" s="1019"/>
      <c r="H1861" s="1019"/>
      <c r="I1861" s="1019"/>
      <c r="J1861" s="1019"/>
      <c r="K1861" s="1019"/>
      <c r="L1861" s="1140"/>
    </row>
    <row r="1862" spans="1:12" x14ac:dyDescent="0.35">
      <c r="A1862" s="1019"/>
      <c r="B1862" s="1019"/>
      <c r="C1862" s="1019"/>
      <c r="D1862" s="1019"/>
      <c r="E1862" s="1019"/>
      <c r="F1862" s="1019"/>
      <c r="G1862" s="1019"/>
      <c r="H1862" s="1019"/>
      <c r="I1862" s="1019"/>
      <c r="J1862" s="1019"/>
      <c r="K1862" s="1019"/>
      <c r="L1862" s="1140"/>
    </row>
    <row r="1863" spans="1:12" x14ac:dyDescent="0.35">
      <c r="A1863" s="1019"/>
      <c r="B1863" s="1019"/>
      <c r="C1863" s="1019"/>
      <c r="D1863" s="1019"/>
      <c r="E1863" s="1019"/>
      <c r="F1863" s="1019"/>
      <c r="G1863" s="1019"/>
      <c r="H1863" s="1019"/>
      <c r="I1863" s="1019"/>
      <c r="J1863" s="1019"/>
      <c r="K1863" s="1019"/>
      <c r="L1863" s="1140"/>
    </row>
    <row r="1864" spans="1:12" x14ac:dyDescent="0.35">
      <c r="A1864" s="1019"/>
      <c r="B1864" s="1019"/>
      <c r="C1864" s="1019"/>
      <c r="D1864" s="1019"/>
      <c r="E1864" s="1019"/>
      <c r="F1864" s="1019"/>
      <c r="G1864" s="1019"/>
      <c r="H1864" s="1019"/>
      <c r="I1864" s="1019"/>
      <c r="J1864" s="1019"/>
      <c r="K1864" s="1019"/>
      <c r="L1864" s="1140"/>
    </row>
    <row r="1865" spans="1:12" x14ac:dyDescent="0.35">
      <c r="A1865" s="1019"/>
      <c r="B1865" s="1019"/>
      <c r="C1865" s="1019"/>
      <c r="D1865" s="1019"/>
      <c r="E1865" s="1019"/>
      <c r="F1865" s="1019"/>
      <c r="G1865" s="1019"/>
      <c r="H1865" s="1019"/>
      <c r="I1865" s="1019"/>
      <c r="J1865" s="1019"/>
      <c r="K1865" s="1019"/>
      <c r="L1865" s="1140"/>
    </row>
    <row r="1866" spans="1:12" x14ac:dyDescent="0.35">
      <c r="A1866" s="1019"/>
      <c r="B1866" s="1019"/>
      <c r="C1866" s="1019"/>
      <c r="D1866" s="1019"/>
      <c r="E1866" s="1019"/>
      <c r="F1866" s="1019"/>
      <c r="G1866" s="1019"/>
      <c r="H1866" s="1019"/>
      <c r="I1866" s="1019"/>
      <c r="J1866" s="1019"/>
      <c r="K1866" s="1019"/>
      <c r="L1866" s="1140"/>
    </row>
    <row r="1867" spans="1:12" x14ac:dyDescent="0.35">
      <c r="A1867" s="1019"/>
      <c r="B1867" s="1019"/>
      <c r="C1867" s="1019"/>
      <c r="D1867" s="1019"/>
      <c r="E1867" s="1019"/>
      <c r="F1867" s="1019"/>
      <c r="G1867" s="1019"/>
      <c r="H1867" s="1019"/>
      <c r="I1867" s="1019"/>
      <c r="J1867" s="1019"/>
      <c r="K1867" s="1019"/>
      <c r="L1867" s="1140"/>
    </row>
    <row r="1868" spans="1:12" x14ac:dyDescent="0.35">
      <c r="A1868" s="1019"/>
      <c r="B1868" s="1019"/>
      <c r="C1868" s="1019"/>
      <c r="D1868" s="1019"/>
      <c r="E1868" s="1019"/>
      <c r="F1868" s="1019"/>
      <c r="G1868" s="1019"/>
      <c r="H1868" s="1019"/>
      <c r="I1868" s="1019"/>
      <c r="J1868" s="1019"/>
      <c r="K1868" s="1019"/>
      <c r="L1868" s="1140"/>
    </row>
    <row r="1869" spans="1:12" x14ac:dyDescent="0.35">
      <c r="A1869" s="1019"/>
      <c r="B1869" s="1019"/>
      <c r="C1869" s="1019"/>
      <c r="D1869" s="1019"/>
      <c r="E1869" s="1019"/>
      <c r="F1869" s="1019"/>
      <c r="G1869" s="1019"/>
      <c r="H1869" s="1019"/>
      <c r="I1869" s="1019"/>
      <c r="J1869" s="1019"/>
      <c r="K1869" s="1019"/>
      <c r="L1869" s="1140"/>
    </row>
    <row r="1870" spans="1:12" x14ac:dyDescent="0.35">
      <c r="A1870" s="1019"/>
      <c r="B1870" s="1019"/>
      <c r="C1870" s="1019"/>
      <c r="D1870" s="1019"/>
      <c r="E1870" s="1019"/>
      <c r="F1870" s="1019"/>
      <c r="G1870" s="1019"/>
      <c r="H1870" s="1019"/>
      <c r="I1870" s="1019"/>
      <c r="J1870" s="1019"/>
      <c r="K1870" s="1019"/>
      <c r="L1870" s="1140"/>
    </row>
    <row r="1871" spans="1:12" x14ac:dyDescent="0.35">
      <c r="A1871" s="1019"/>
      <c r="B1871" s="1019"/>
      <c r="C1871" s="1019"/>
      <c r="D1871" s="1019"/>
      <c r="E1871" s="1019"/>
      <c r="F1871" s="1019"/>
      <c r="G1871" s="1019"/>
      <c r="H1871" s="1019"/>
      <c r="I1871" s="1019"/>
      <c r="J1871" s="1019"/>
      <c r="K1871" s="1019"/>
      <c r="L1871" s="1140"/>
    </row>
    <row r="1872" spans="1:12" x14ac:dyDescent="0.35">
      <c r="A1872" s="1019"/>
      <c r="B1872" s="1019"/>
      <c r="C1872" s="1019"/>
      <c r="D1872" s="1019"/>
      <c r="E1872" s="1019"/>
      <c r="F1872" s="1019"/>
      <c r="G1872" s="1019"/>
      <c r="H1872" s="1019"/>
      <c r="I1872" s="1019"/>
      <c r="J1872" s="1019"/>
      <c r="K1872" s="1019"/>
      <c r="L1872" s="1140"/>
    </row>
    <row r="1873" spans="1:12" x14ac:dyDescent="0.35">
      <c r="A1873" s="1019"/>
      <c r="B1873" s="1019"/>
      <c r="C1873" s="1019"/>
      <c r="D1873" s="1019"/>
      <c r="E1873" s="1019"/>
      <c r="F1873" s="1019"/>
      <c r="G1873" s="1019"/>
      <c r="H1873" s="1019"/>
      <c r="I1873" s="1019"/>
      <c r="J1873" s="1019"/>
      <c r="K1873" s="1019"/>
      <c r="L1873" s="1140"/>
    </row>
    <row r="1874" spans="1:12" x14ac:dyDescent="0.35">
      <c r="A1874" s="1019"/>
      <c r="B1874" s="1019"/>
      <c r="C1874" s="1019"/>
      <c r="D1874" s="1019"/>
      <c r="E1874" s="1019"/>
      <c r="F1874" s="1019"/>
      <c r="G1874" s="1019"/>
      <c r="H1874" s="1019"/>
      <c r="I1874" s="1019"/>
      <c r="J1874" s="1019"/>
      <c r="K1874" s="1019"/>
      <c r="L1874" s="1140"/>
    </row>
    <row r="1875" spans="1:12" x14ac:dyDescent="0.35">
      <c r="A1875" s="1019"/>
      <c r="B1875" s="1019"/>
      <c r="C1875" s="1019"/>
      <c r="D1875" s="1019"/>
      <c r="E1875" s="1019"/>
      <c r="F1875" s="1019"/>
      <c r="G1875" s="1019"/>
      <c r="H1875" s="1019"/>
      <c r="I1875" s="1019"/>
      <c r="J1875" s="1019"/>
      <c r="K1875" s="1019"/>
      <c r="L1875" s="1140"/>
    </row>
    <row r="1876" spans="1:12" x14ac:dyDescent="0.35">
      <c r="A1876" s="1019"/>
      <c r="B1876" s="1019"/>
      <c r="C1876" s="1019"/>
      <c r="D1876" s="1019"/>
      <c r="E1876" s="1019"/>
      <c r="F1876" s="1019"/>
      <c r="G1876" s="1019"/>
      <c r="H1876" s="1019"/>
      <c r="I1876" s="1019"/>
      <c r="J1876" s="1019"/>
      <c r="K1876" s="1019"/>
      <c r="L1876" s="1140"/>
    </row>
    <row r="1877" spans="1:12" x14ac:dyDescent="0.35">
      <c r="A1877" s="1019"/>
      <c r="B1877" s="1019"/>
      <c r="C1877" s="1019"/>
      <c r="D1877" s="1019"/>
      <c r="E1877" s="1019"/>
      <c r="F1877" s="1019"/>
      <c r="G1877" s="1019"/>
      <c r="H1877" s="1019"/>
      <c r="I1877" s="1019"/>
      <c r="J1877" s="1019"/>
      <c r="K1877" s="1019"/>
      <c r="L1877" s="1140"/>
    </row>
    <row r="1878" spans="1:12" x14ac:dyDescent="0.35">
      <c r="A1878" s="1019"/>
      <c r="B1878" s="1019"/>
      <c r="C1878" s="1019"/>
      <c r="D1878" s="1019"/>
      <c r="E1878" s="1019"/>
      <c r="F1878" s="1019"/>
      <c r="G1878" s="1019"/>
      <c r="H1878" s="1019"/>
      <c r="I1878" s="1019"/>
      <c r="J1878" s="1019"/>
      <c r="K1878" s="1019"/>
      <c r="L1878" s="1140"/>
    </row>
    <row r="1879" spans="1:12" x14ac:dyDescent="0.35">
      <c r="A1879" s="1019"/>
      <c r="B1879" s="1019"/>
      <c r="C1879" s="1019"/>
      <c r="D1879" s="1019"/>
      <c r="E1879" s="1019"/>
      <c r="F1879" s="1019"/>
      <c r="G1879" s="1019"/>
      <c r="H1879" s="1019"/>
      <c r="I1879" s="1019"/>
      <c r="J1879" s="1019"/>
      <c r="K1879" s="1019"/>
      <c r="L1879" s="1140"/>
    </row>
    <row r="1880" spans="1:12" x14ac:dyDescent="0.35">
      <c r="A1880" s="1019"/>
      <c r="B1880" s="1019"/>
      <c r="C1880" s="1019"/>
      <c r="D1880" s="1019"/>
      <c r="E1880" s="1019"/>
      <c r="F1880" s="1019"/>
      <c r="G1880" s="1019"/>
      <c r="H1880" s="1019"/>
      <c r="I1880" s="1019"/>
      <c r="J1880" s="1019"/>
      <c r="K1880" s="1019"/>
      <c r="L1880" s="1140"/>
    </row>
    <row r="1881" spans="1:12" x14ac:dyDescent="0.35">
      <c r="A1881" s="1019"/>
      <c r="B1881" s="1019"/>
      <c r="C1881" s="1019"/>
      <c r="D1881" s="1019"/>
      <c r="E1881" s="1019"/>
      <c r="F1881" s="1019"/>
      <c r="G1881" s="1019"/>
      <c r="H1881" s="1019"/>
      <c r="I1881" s="1019"/>
      <c r="J1881" s="1019"/>
      <c r="K1881" s="1019"/>
      <c r="L1881" s="1140"/>
    </row>
    <row r="1882" spans="1:12" x14ac:dyDescent="0.35">
      <c r="A1882" s="1019"/>
      <c r="B1882" s="1019"/>
      <c r="C1882" s="1019"/>
      <c r="D1882" s="1019"/>
      <c r="E1882" s="1019"/>
      <c r="F1882" s="1019"/>
      <c r="G1882" s="1019"/>
      <c r="H1882" s="1019"/>
      <c r="I1882" s="1019"/>
      <c r="J1882" s="1019"/>
      <c r="K1882" s="1019"/>
      <c r="L1882" s="1140"/>
    </row>
    <row r="1883" spans="1:12" x14ac:dyDescent="0.35">
      <c r="A1883" s="1019"/>
      <c r="B1883" s="1019"/>
      <c r="C1883" s="1019"/>
      <c r="D1883" s="1019"/>
      <c r="E1883" s="1019"/>
      <c r="F1883" s="1019"/>
      <c r="G1883" s="1019"/>
      <c r="H1883" s="1019"/>
      <c r="I1883" s="1019"/>
      <c r="J1883" s="1019"/>
      <c r="K1883" s="1019"/>
      <c r="L1883" s="1140"/>
    </row>
    <row r="1884" spans="1:12" x14ac:dyDescent="0.35">
      <c r="A1884" s="1019"/>
      <c r="B1884" s="1019"/>
      <c r="C1884" s="1019"/>
      <c r="D1884" s="1019"/>
      <c r="E1884" s="1019"/>
      <c r="F1884" s="1019"/>
      <c r="G1884" s="1019"/>
      <c r="H1884" s="1019"/>
      <c r="I1884" s="1019"/>
      <c r="J1884" s="1019"/>
      <c r="K1884" s="1019"/>
      <c r="L1884" s="1140"/>
    </row>
    <row r="1885" spans="1:12" x14ac:dyDescent="0.35">
      <c r="A1885" s="1019"/>
      <c r="B1885" s="1019"/>
      <c r="C1885" s="1019"/>
      <c r="D1885" s="1019"/>
      <c r="E1885" s="1019"/>
      <c r="F1885" s="1019"/>
      <c r="G1885" s="1019"/>
      <c r="H1885" s="1019"/>
      <c r="I1885" s="1019"/>
      <c r="J1885" s="1019"/>
      <c r="K1885" s="1019"/>
      <c r="L1885" s="1140"/>
    </row>
    <row r="1886" spans="1:12" x14ac:dyDescent="0.35">
      <c r="A1886" s="1019"/>
      <c r="B1886" s="1019"/>
      <c r="C1886" s="1019"/>
      <c r="D1886" s="1019"/>
      <c r="E1886" s="1019"/>
      <c r="F1886" s="1019"/>
      <c r="G1886" s="1019"/>
      <c r="H1886" s="1019"/>
      <c r="I1886" s="1019"/>
      <c r="J1886" s="1019"/>
      <c r="K1886" s="1019"/>
      <c r="L1886" s="1140"/>
    </row>
    <row r="1887" spans="1:12" x14ac:dyDescent="0.35">
      <c r="A1887" s="1019"/>
      <c r="B1887" s="1019"/>
      <c r="C1887" s="1019"/>
      <c r="D1887" s="1019"/>
      <c r="E1887" s="1019"/>
      <c r="F1887" s="1019"/>
      <c r="G1887" s="1019"/>
      <c r="H1887" s="1019"/>
      <c r="I1887" s="1019"/>
      <c r="J1887" s="1019"/>
      <c r="K1887" s="1019"/>
      <c r="L1887" s="1140"/>
    </row>
    <row r="1888" spans="1:12" x14ac:dyDescent="0.35">
      <c r="A1888" s="1019"/>
      <c r="B1888" s="1019"/>
      <c r="C1888" s="1019"/>
      <c r="D1888" s="1019"/>
      <c r="E1888" s="1019"/>
      <c r="F1888" s="1019"/>
      <c r="G1888" s="1019"/>
      <c r="H1888" s="1019"/>
      <c r="I1888" s="1019"/>
      <c r="J1888" s="1019"/>
      <c r="K1888" s="1019"/>
      <c r="L1888" s="1140"/>
    </row>
    <row r="1889" spans="1:12" x14ac:dyDescent="0.35">
      <c r="A1889" s="1019"/>
      <c r="B1889" s="1019"/>
      <c r="C1889" s="1019"/>
      <c r="D1889" s="1019"/>
      <c r="E1889" s="1019"/>
      <c r="F1889" s="1019"/>
      <c r="G1889" s="1019"/>
      <c r="H1889" s="1019"/>
      <c r="I1889" s="1019"/>
      <c r="J1889" s="1019"/>
      <c r="K1889" s="1019"/>
      <c r="L1889" s="1140"/>
    </row>
    <row r="1890" spans="1:12" x14ac:dyDescent="0.35">
      <c r="A1890" s="1019"/>
      <c r="B1890" s="1019"/>
      <c r="C1890" s="1019"/>
      <c r="D1890" s="1019"/>
      <c r="E1890" s="1019"/>
      <c r="F1890" s="1019"/>
      <c r="G1890" s="1019"/>
      <c r="H1890" s="1019"/>
      <c r="I1890" s="1019"/>
      <c r="J1890" s="1019"/>
      <c r="K1890" s="1019"/>
      <c r="L1890" s="1140"/>
    </row>
    <row r="1891" spans="1:12" x14ac:dyDescent="0.35">
      <c r="A1891" s="1019"/>
      <c r="B1891" s="1019"/>
      <c r="C1891" s="1019"/>
      <c r="D1891" s="1019"/>
      <c r="E1891" s="1019"/>
      <c r="F1891" s="1019"/>
      <c r="G1891" s="1019"/>
      <c r="H1891" s="1019"/>
      <c r="I1891" s="1019"/>
      <c r="J1891" s="1019"/>
      <c r="K1891" s="1019"/>
      <c r="L1891" s="1140"/>
    </row>
    <row r="1892" spans="1:12" x14ac:dyDescent="0.35">
      <c r="A1892" s="1019"/>
      <c r="B1892" s="1019"/>
      <c r="C1892" s="1019"/>
      <c r="D1892" s="1019"/>
      <c r="E1892" s="1019"/>
      <c r="F1892" s="1019"/>
      <c r="G1892" s="1019"/>
      <c r="H1892" s="1019"/>
      <c r="I1892" s="1019"/>
      <c r="J1892" s="1019"/>
      <c r="K1892" s="1019"/>
      <c r="L1892" s="1140"/>
    </row>
    <row r="1893" spans="1:12" x14ac:dyDescent="0.35">
      <c r="A1893" s="1019"/>
      <c r="B1893" s="1019"/>
      <c r="C1893" s="1019"/>
      <c r="D1893" s="1019"/>
      <c r="E1893" s="1019"/>
      <c r="F1893" s="1019"/>
      <c r="G1893" s="1019"/>
      <c r="H1893" s="1019"/>
      <c r="I1893" s="1019"/>
      <c r="J1893" s="1019"/>
      <c r="K1893" s="1019"/>
      <c r="L1893" s="1140"/>
    </row>
    <row r="1894" spans="1:12" x14ac:dyDescent="0.35">
      <c r="A1894" s="1019"/>
      <c r="B1894" s="1019"/>
      <c r="C1894" s="1019"/>
      <c r="D1894" s="1019"/>
      <c r="E1894" s="1019"/>
      <c r="F1894" s="1019"/>
      <c r="G1894" s="1019"/>
      <c r="H1894" s="1019"/>
      <c r="I1894" s="1019"/>
      <c r="J1894" s="1019"/>
      <c r="K1894" s="1019"/>
      <c r="L1894" s="1140"/>
    </row>
    <row r="1895" spans="1:12" x14ac:dyDescent="0.35">
      <c r="A1895" s="1019"/>
      <c r="B1895" s="1019"/>
      <c r="C1895" s="1019"/>
      <c r="D1895" s="1019"/>
      <c r="E1895" s="1019"/>
      <c r="F1895" s="1019"/>
      <c r="G1895" s="1019"/>
      <c r="H1895" s="1019"/>
      <c r="I1895" s="1019"/>
      <c r="J1895" s="1019"/>
      <c r="K1895" s="1019"/>
      <c r="L1895" s="1140"/>
    </row>
    <row r="1896" spans="1:12" x14ac:dyDescent="0.35">
      <c r="A1896" s="1019"/>
      <c r="B1896" s="1019"/>
      <c r="C1896" s="1019"/>
      <c r="D1896" s="1019"/>
      <c r="E1896" s="1019"/>
      <c r="F1896" s="1019"/>
      <c r="G1896" s="1019"/>
      <c r="H1896" s="1019"/>
      <c r="I1896" s="1019"/>
      <c r="J1896" s="1019"/>
      <c r="K1896" s="1019"/>
      <c r="L1896" s="1140"/>
    </row>
    <row r="1897" spans="1:12" x14ac:dyDescent="0.35">
      <c r="A1897" s="1019"/>
      <c r="B1897" s="1019"/>
      <c r="C1897" s="1019"/>
      <c r="D1897" s="1019"/>
      <c r="E1897" s="1019"/>
      <c r="F1897" s="1019"/>
      <c r="G1897" s="1019"/>
      <c r="H1897" s="1019"/>
      <c r="I1897" s="1019"/>
      <c r="J1897" s="1019"/>
      <c r="K1897" s="1019"/>
      <c r="L1897" s="1140"/>
    </row>
    <row r="1898" spans="1:12" x14ac:dyDescent="0.35">
      <c r="A1898" s="1019"/>
      <c r="B1898" s="1019"/>
      <c r="C1898" s="1019"/>
      <c r="D1898" s="1019"/>
      <c r="E1898" s="1019"/>
      <c r="F1898" s="1019"/>
      <c r="G1898" s="1019"/>
      <c r="H1898" s="1019"/>
      <c r="I1898" s="1019"/>
      <c r="J1898" s="1019"/>
      <c r="K1898" s="1019"/>
      <c r="L1898" s="1140"/>
    </row>
    <row r="1899" spans="1:12" x14ac:dyDescent="0.35">
      <c r="A1899" s="1019"/>
      <c r="B1899" s="1019"/>
      <c r="C1899" s="1019"/>
      <c r="D1899" s="1019"/>
      <c r="E1899" s="1019"/>
      <c r="F1899" s="1019"/>
      <c r="G1899" s="1019"/>
      <c r="H1899" s="1019"/>
      <c r="I1899" s="1019"/>
      <c r="J1899" s="1019"/>
      <c r="K1899" s="1019"/>
      <c r="L1899" s="1140"/>
    </row>
    <row r="1900" spans="1:12" x14ac:dyDescent="0.35">
      <c r="A1900" s="1019"/>
      <c r="B1900" s="1019"/>
      <c r="C1900" s="1019"/>
      <c r="D1900" s="1019"/>
      <c r="E1900" s="1019"/>
      <c r="F1900" s="1019"/>
      <c r="G1900" s="1019"/>
      <c r="H1900" s="1019"/>
      <c r="I1900" s="1019"/>
      <c r="J1900" s="1019"/>
      <c r="K1900" s="1019"/>
      <c r="L1900" s="1140"/>
    </row>
    <row r="1901" spans="1:12" x14ac:dyDescent="0.35">
      <c r="A1901" s="1019"/>
      <c r="B1901" s="1019"/>
      <c r="C1901" s="1019"/>
      <c r="D1901" s="1019"/>
      <c r="E1901" s="1019"/>
      <c r="F1901" s="1019"/>
      <c r="G1901" s="1019"/>
      <c r="H1901" s="1019"/>
      <c r="I1901" s="1019"/>
      <c r="J1901" s="1019"/>
      <c r="K1901" s="1019"/>
      <c r="L1901" s="1140"/>
    </row>
    <row r="1902" spans="1:12" x14ac:dyDescent="0.35">
      <c r="A1902" s="1019"/>
      <c r="B1902" s="1019"/>
      <c r="C1902" s="1019"/>
      <c r="D1902" s="1019"/>
      <c r="E1902" s="1019"/>
      <c r="F1902" s="1019"/>
      <c r="G1902" s="1019"/>
      <c r="H1902" s="1019"/>
      <c r="I1902" s="1019"/>
      <c r="J1902" s="1019"/>
      <c r="K1902" s="1019"/>
      <c r="L1902" s="1140"/>
    </row>
    <row r="1903" spans="1:12" x14ac:dyDescent="0.35">
      <c r="A1903" s="1019"/>
      <c r="B1903" s="1019"/>
      <c r="C1903" s="1019"/>
      <c r="D1903" s="1019"/>
      <c r="E1903" s="1019"/>
      <c r="F1903" s="1019"/>
      <c r="G1903" s="1019"/>
      <c r="H1903" s="1019"/>
      <c r="I1903" s="1019"/>
      <c r="J1903" s="1019"/>
      <c r="K1903" s="1019"/>
      <c r="L1903" s="1140"/>
    </row>
    <row r="1904" spans="1:12" x14ac:dyDescent="0.35">
      <c r="A1904" s="1019"/>
      <c r="B1904" s="1019"/>
      <c r="C1904" s="1019"/>
      <c r="D1904" s="1019"/>
      <c r="E1904" s="1019"/>
      <c r="F1904" s="1019"/>
      <c r="G1904" s="1019"/>
      <c r="H1904" s="1019"/>
      <c r="I1904" s="1019"/>
      <c r="J1904" s="1019"/>
      <c r="K1904" s="1019"/>
      <c r="L1904" s="1140"/>
    </row>
    <row r="1905" spans="1:12" x14ac:dyDescent="0.35">
      <c r="A1905" s="1019"/>
      <c r="B1905" s="1019"/>
      <c r="C1905" s="1019"/>
      <c r="D1905" s="1019"/>
      <c r="E1905" s="1019"/>
      <c r="F1905" s="1019"/>
      <c r="G1905" s="1019"/>
      <c r="H1905" s="1019"/>
      <c r="I1905" s="1019"/>
      <c r="J1905" s="1019"/>
      <c r="K1905" s="1019"/>
      <c r="L1905" s="1140"/>
    </row>
    <row r="1906" spans="1:12" x14ac:dyDescent="0.35">
      <c r="A1906" s="1019"/>
      <c r="B1906" s="1019"/>
      <c r="C1906" s="1019"/>
      <c r="D1906" s="1019"/>
      <c r="E1906" s="1019"/>
      <c r="F1906" s="1019"/>
      <c r="G1906" s="1019"/>
      <c r="H1906" s="1019"/>
      <c r="I1906" s="1019"/>
      <c r="J1906" s="1019"/>
      <c r="K1906" s="1019"/>
      <c r="L1906" s="1140"/>
    </row>
    <row r="1907" spans="1:12" x14ac:dyDescent="0.35">
      <c r="A1907" s="1019"/>
      <c r="B1907" s="1019"/>
      <c r="C1907" s="1019"/>
      <c r="D1907" s="1019"/>
      <c r="E1907" s="1019"/>
      <c r="F1907" s="1019"/>
      <c r="G1907" s="1019"/>
      <c r="H1907" s="1019"/>
      <c r="I1907" s="1019"/>
      <c r="J1907" s="1019"/>
      <c r="K1907" s="1019"/>
      <c r="L1907" s="1140"/>
    </row>
    <row r="1908" spans="1:12" x14ac:dyDescent="0.35">
      <c r="A1908" s="1019"/>
      <c r="B1908" s="1019"/>
      <c r="C1908" s="1019"/>
      <c r="D1908" s="1019"/>
      <c r="E1908" s="1019"/>
      <c r="F1908" s="1019"/>
      <c r="G1908" s="1019"/>
      <c r="H1908" s="1019"/>
      <c r="I1908" s="1019"/>
      <c r="J1908" s="1019"/>
      <c r="K1908" s="1019"/>
      <c r="L1908" s="1140"/>
    </row>
    <row r="1909" spans="1:12" x14ac:dyDescent="0.35">
      <c r="A1909" s="1019"/>
      <c r="B1909" s="1019"/>
      <c r="C1909" s="1019"/>
      <c r="D1909" s="1019"/>
      <c r="E1909" s="1019"/>
      <c r="F1909" s="1019"/>
      <c r="G1909" s="1019"/>
      <c r="H1909" s="1019"/>
      <c r="I1909" s="1019"/>
      <c r="J1909" s="1019"/>
      <c r="K1909" s="1019"/>
      <c r="L1909" s="1140"/>
    </row>
    <row r="1910" spans="1:12" x14ac:dyDescent="0.35">
      <c r="A1910" s="1019"/>
      <c r="B1910" s="1019"/>
      <c r="C1910" s="1019"/>
      <c r="D1910" s="1019"/>
      <c r="E1910" s="1019"/>
      <c r="F1910" s="1019"/>
      <c r="G1910" s="1019"/>
      <c r="H1910" s="1019"/>
      <c r="I1910" s="1019"/>
      <c r="J1910" s="1019"/>
      <c r="K1910" s="1019"/>
      <c r="L1910" s="1140"/>
    </row>
    <row r="1911" spans="1:12" x14ac:dyDescent="0.35">
      <c r="A1911" s="1019"/>
      <c r="B1911" s="1019"/>
      <c r="C1911" s="1019"/>
      <c r="D1911" s="1019"/>
      <c r="E1911" s="1019"/>
      <c r="F1911" s="1019"/>
      <c r="G1911" s="1019"/>
      <c r="H1911" s="1019"/>
      <c r="I1911" s="1019"/>
      <c r="J1911" s="1019"/>
      <c r="K1911" s="1019"/>
      <c r="L1911" s="1140"/>
    </row>
    <row r="1912" spans="1:12" x14ac:dyDescent="0.35">
      <c r="A1912" s="1019"/>
      <c r="B1912" s="1019"/>
      <c r="C1912" s="1019"/>
      <c r="D1912" s="1019"/>
      <c r="E1912" s="1019"/>
      <c r="F1912" s="1019"/>
      <c r="G1912" s="1019"/>
      <c r="H1912" s="1019"/>
      <c r="I1912" s="1019"/>
      <c r="J1912" s="1019"/>
      <c r="K1912" s="1019"/>
      <c r="L1912" s="1140"/>
    </row>
    <row r="1913" spans="1:12" x14ac:dyDescent="0.35">
      <c r="A1913" s="1019"/>
      <c r="B1913" s="1019"/>
      <c r="C1913" s="1019"/>
      <c r="D1913" s="1019"/>
      <c r="E1913" s="1019"/>
      <c r="F1913" s="1019"/>
      <c r="G1913" s="1019"/>
      <c r="H1913" s="1019"/>
      <c r="I1913" s="1019"/>
      <c r="J1913" s="1019"/>
      <c r="K1913" s="1019"/>
      <c r="L1913" s="1140"/>
    </row>
    <row r="1914" spans="1:12" x14ac:dyDescent="0.35">
      <c r="A1914" s="1019"/>
      <c r="B1914" s="1019"/>
      <c r="C1914" s="1019"/>
      <c r="D1914" s="1019"/>
      <c r="E1914" s="1019"/>
      <c r="F1914" s="1019"/>
      <c r="G1914" s="1019"/>
      <c r="H1914" s="1019"/>
      <c r="I1914" s="1019"/>
      <c r="J1914" s="1019"/>
      <c r="K1914" s="1019"/>
      <c r="L1914" s="1140"/>
    </row>
    <row r="1915" spans="1:12" x14ac:dyDescent="0.35">
      <c r="A1915" s="1019"/>
      <c r="B1915" s="1019"/>
      <c r="C1915" s="1019"/>
      <c r="D1915" s="1019"/>
      <c r="E1915" s="1019"/>
      <c r="F1915" s="1019"/>
      <c r="G1915" s="1019"/>
      <c r="H1915" s="1019"/>
      <c r="I1915" s="1019"/>
      <c r="J1915" s="1019"/>
      <c r="K1915" s="1019"/>
      <c r="L1915" s="1140"/>
    </row>
    <row r="1916" spans="1:12" x14ac:dyDescent="0.35">
      <c r="A1916" s="1019"/>
      <c r="B1916" s="1019"/>
      <c r="C1916" s="1019"/>
      <c r="D1916" s="1019"/>
      <c r="E1916" s="1019"/>
      <c r="F1916" s="1019"/>
      <c r="G1916" s="1019"/>
      <c r="H1916" s="1019"/>
      <c r="I1916" s="1019"/>
      <c r="J1916" s="1019"/>
      <c r="K1916" s="1019"/>
      <c r="L1916" s="1140"/>
    </row>
    <row r="1917" spans="1:12" x14ac:dyDescent="0.35">
      <c r="A1917" s="1019"/>
      <c r="B1917" s="1019"/>
      <c r="C1917" s="1019"/>
      <c r="D1917" s="1019"/>
      <c r="E1917" s="1019"/>
      <c r="F1917" s="1019"/>
      <c r="G1917" s="1019"/>
      <c r="H1917" s="1019"/>
      <c r="I1917" s="1019"/>
      <c r="J1917" s="1019"/>
      <c r="K1917" s="1019"/>
      <c r="L1917" s="1140"/>
    </row>
    <row r="1918" spans="1:12" x14ac:dyDescent="0.35">
      <c r="A1918" s="1019"/>
      <c r="B1918" s="1019"/>
      <c r="C1918" s="1019"/>
      <c r="D1918" s="1019"/>
      <c r="E1918" s="1019"/>
      <c r="F1918" s="1019"/>
      <c r="G1918" s="1019"/>
      <c r="H1918" s="1019"/>
      <c r="I1918" s="1019"/>
      <c r="J1918" s="1019"/>
      <c r="K1918" s="1019"/>
      <c r="L1918" s="1140"/>
    </row>
    <row r="1919" spans="1:12" x14ac:dyDescent="0.35">
      <c r="A1919" s="1019"/>
      <c r="B1919" s="1019"/>
      <c r="C1919" s="1019"/>
      <c r="D1919" s="1019"/>
      <c r="E1919" s="1019"/>
      <c r="F1919" s="1019"/>
      <c r="G1919" s="1019"/>
      <c r="H1919" s="1019"/>
      <c r="I1919" s="1019"/>
      <c r="J1919" s="1019"/>
      <c r="K1919" s="1019"/>
      <c r="L1919" s="1140"/>
    </row>
    <row r="1920" spans="1:12" x14ac:dyDescent="0.35">
      <c r="A1920" s="1019"/>
      <c r="B1920" s="1019"/>
      <c r="C1920" s="1019"/>
      <c r="D1920" s="1019"/>
      <c r="E1920" s="1019"/>
      <c r="F1920" s="1019"/>
      <c r="G1920" s="1019"/>
      <c r="H1920" s="1019"/>
      <c r="I1920" s="1019"/>
      <c r="J1920" s="1019"/>
      <c r="K1920" s="1019"/>
      <c r="L1920" s="1140"/>
    </row>
    <row r="1921" spans="1:12" x14ac:dyDescent="0.35">
      <c r="A1921" s="1019"/>
      <c r="B1921" s="1019"/>
      <c r="C1921" s="1019"/>
      <c r="D1921" s="1019"/>
      <c r="E1921" s="1019"/>
      <c r="F1921" s="1019"/>
      <c r="G1921" s="1019"/>
      <c r="H1921" s="1019"/>
      <c r="I1921" s="1019"/>
      <c r="J1921" s="1019"/>
      <c r="K1921" s="1019"/>
      <c r="L1921" s="1140"/>
    </row>
    <row r="1922" spans="1:12" x14ac:dyDescent="0.35">
      <c r="A1922" s="1019"/>
      <c r="B1922" s="1019"/>
      <c r="C1922" s="1019"/>
      <c r="D1922" s="1019"/>
      <c r="E1922" s="1019"/>
      <c r="F1922" s="1019"/>
      <c r="G1922" s="1019"/>
      <c r="H1922" s="1019"/>
      <c r="I1922" s="1019"/>
      <c r="J1922" s="1019"/>
      <c r="K1922" s="1019"/>
      <c r="L1922" s="1140"/>
    </row>
    <row r="1923" spans="1:12" x14ac:dyDescent="0.35">
      <c r="A1923" s="1019"/>
      <c r="B1923" s="1019"/>
      <c r="C1923" s="1019"/>
      <c r="D1923" s="1019"/>
      <c r="E1923" s="1019"/>
      <c r="F1923" s="1019"/>
      <c r="G1923" s="1019"/>
      <c r="H1923" s="1019"/>
      <c r="I1923" s="1019"/>
      <c r="J1923" s="1019"/>
      <c r="K1923" s="1019"/>
      <c r="L1923" s="1140"/>
    </row>
    <row r="1924" spans="1:12" x14ac:dyDescent="0.35">
      <c r="A1924" s="1019"/>
      <c r="B1924" s="1019"/>
      <c r="C1924" s="1019"/>
      <c r="D1924" s="1019"/>
      <c r="E1924" s="1019"/>
      <c r="F1924" s="1019"/>
      <c r="G1924" s="1019"/>
      <c r="H1924" s="1019"/>
      <c r="I1924" s="1019"/>
      <c r="J1924" s="1019"/>
      <c r="K1924" s="1019"/>
      <c r="L1924" s="1140"/>
    </row>
    <row r="1925" spans="1:12" x14ac:dyDescent="0.35">
      <c r="A1925" s="1019"/>
      <c r="B1925" s="1019"/>
      <c r="C1925" s="1019"/>
      <c r="D1925" s="1019"/>
      <c r="E1925" s="1019"/>
      <c r="F1925" s="1019"/>
      <c r="G1925" s="1019"/>
      <c r="H1925" s="1019"/>
      <c r="I1925" s="1019"/>
      <c r="J1925" s="1019"/>
      <c r="K1925" s="1019"/>
      <c r="L1925" s="1140"/>
    </row>
    <row r="1926" spans="1:12" x14ac:dyDescent="0.35">
      <c r="A1926" s="1019"/>
      <c r="B1926" s="1019"/>
      <c r="C1926" s="1019"/>
      <c r="D1926" s="1019"/>
      <c r="E1926" s="1019"/>
      <c r="F1926" s="1019"/>
      <c r="G1926" s="1019"/>
      <c r="H1926" s="1019"/>
      <c r="I1926" s="1019"/>
      <c r="J1926" s="1019"/>
      <c r="K1926" s="1019"/>
      <c r="L1926" s="1140"/>
    </row>
    <row r="1927" spans="1:12" x14ac:dyDescent="0.35">
      <c r="A1927" s="1019"/>
      <c r="B1927" s="1019"/>
      <c r="C1927" s="1019"/>
      <c r="D1927" s="1019"/>
      <c r="E1927" s="1019"/>
      <c r="F1927" s="1019"/>
      <c r="G1927" s="1019"/>
      <c r="H1927" s="1019"/>
      <c r="I1927" s="1019"/>
      <c r="J1927" s="1019"/>
      <c r="K1927" s="1019"/>
      <c r="L1927" s="1140"/>
    </row>
    <row r="1928" spans="1:12" x14ac:dyDescent="0.35">
      <c r="A1928" s="1019"/>
      <c r="B1928" s="1019"/>
      <c r="C1928" s="1019"/>
      <c r="D1928" s="1019"/>
      <c r="E1928" s="1019"/>
      <c r="F1928" s="1019"/>
      <c r="G1928" s="1019"/>
      <c r="H1928" s="1019"/>
      <c r="I1928" s="1019"/>
      <c r="J1928" s="1019"/>
      <c r="K1928" s="1019"/>
      <c r="L1928" s="1140"/>
    </row>
    <row r="1929" spans="1:12" x14ac:dyDescent="0.35">
      <c r="A1929" s="1019"/>
      <c r="B1929" s="1019"/>
      <c r="C1929" s="1019"/>
      <c r="D1929" s="1019"/>
      <c r="E1929" s="1019"/>
      <c r="F1929" s="1019"/>
      <c r="G1929" s="1019"/>
      <c r="H1929" s="1019"/>
      <c r="I1929" s="1019"/>
      <c r="J1929" s="1019"/>
      <c r="K1929" s="1019"/>
      <c r="L1929" s="1140"/>
    </row>
    <row r="1930" spans="1:12" x14ac:dyDescent="0.35">
      <c r="A1930" s="1019"/>
      <c r="B1930" s="1019"/>
      <c r="C1930" s="1019"/>
      <c r="D1930" s="1019"/>
      <c r="E1930" s="1019"/>
      <c r="F1930" s="1019"/>
      <c r="G1930" s="1019"/>
      <c r="H1930" s="1019"/>
      <c r="I1930" s="1019"/>
      <c r="J1930" s="1019"/>
      <c r="K1930" s="1019"/>
      <c r="L1930" s="1140"/>
    </row>
    <row r="1931" spans="1:12" x14ac:dyDescent="0.35">
      <c r="A1931" s="1019"/>
      <c r="B1931" s="1019"/>
      <c r="C1931" s="1019"/>
      <c r="D1931" s="1019"/>
      <c r="E1931" s="1019"/>
      <c r="F1931" s="1019"/>
      <c r="G1931" s="1019"/>
      <c r="H1931" s="1019"/>
      <c r="I1931" s="1019"/>
      <c r="J1931" s="1019"/>
      <c r="K1931" s="1019"/>
      <c r="L1931" s="1140"/>
    </row>
    <row r="1932" spans="1:12" x14ac:dyDescent="0.35">
      <c r="A1932" s="1019"/>
      <c r="B1932" s="1019"/>
      <c r="C1932" s="1019"/>
      <c r="D1932" s="1019"/>
      <c r="E1932" s="1019"/>
      <c r="F1932" s="1019"/>
      <c r="G1932" s="1019"/>
      <c r="H1932" s="1019"/>
      <c r="I1932" s="1019"/>
      <c r="J1932" s="1019"/>
      <c r="K1932" s="1019"/>
      <c r="L1932" s="1140"/>
    </row>
    <row r="1933" spans="1:12" x14ac:dyDescent="0.35">
      <c r="A1933" s="1019"/>
      <c r="B1933" s="1019"/>
      <c r="C1933" s="1019"/>
      <c r="D1933" s="1019"/>
      <c r="E1933" s="1019"/>
      <c r="F1933" s="1019"/>
      <c r="G1933" s="1019"/>
      <c r="H1933" s="1019"/>
      <c r="I1933" s="1019"/>
      <c r="J1933" s="1019"/>
      <c r="K1933" s="1019"/>
      <c r="L1933" s="1140"/>
    </row>
    <row r="1934" spans="1:12" x14ac:dyDescent="0.35">
      <c r="A1934" s="1019"/>
      <c r="B1934" s="1019"/>
      <c r="C1934" s="1019"/>
      <c r="D1934" s="1019"/>
      <c r="E1934" s="1019"/>
      <c r="F1934" s="1019"/>
      <c r="G1934" s="1019"/>
      <c r="H1934" s="1019"/>
      <c r="I1934" s="1019"/>
      <c r="J1934" s="1019"/>
      <c r="K1934" s="1019"/>
      <c r="L1934" s="1140"/>
    </row>
    <row r="1935" spans="1:12" x14ac:dyDescent="0.35">
      <c r="A1935" s="1019"/>
      <c r="B1935" s="1019"/>
      <c r="C1935" s="1019"/>
      <c r="D1935" s="1019"/>
      <c r="E1935" s="1019"/>
      <c r="F1935" s="1019"/>
      <c r="G1935" s="1019"/>
      <c r="H1935" s="1019"/>
      <c r="I1935" s="1019"/>
      <c r="J1935" s="1019"/>
      <c r="K1935" s="1019"/>
      <c r="L1935" s="1140"/>
    </row>
    <row r="1936" spans="1:12" x14ac:dyDescent="0.35">
      <c r="A1936" s="1019"/>
      <c r="B1936" s="1019"/>
      <c r="C1936" s="1019"/>
      <c r="D1936" s="1019"/>
      <c r="E1936" s="1019"/>
      <c r="F1936" s="1019"/>
      <c r="G1936" s="1019"/>
      <c r="H1936" s="1019"/>
      <c r="I1936" s="1019"/>
      <c r="J1936" s="1019"/>
      <c r="K1936" s="1019"/>
      <c r="L1936" s="1140"/>
    </row>
    <row r="1937" spans="1:12" x14ac:dyDescent="0.35">
      <c r="A1937" s="1019"/>
      <c r="B1937" s="1019"/>
      <c r="C1937" s="1019"/>
      <c r="D1937" s="1019"/>
      <c r="E1937" s="1019"/>
      <c r="F1937" s="1019"/>
      <c r="G1937" s="1019"/>
      <c r="H1937" s="1019"/>
      <c r="I1937" s="1019"/>
      <c r="J1937" s="1019"/>
      <c r="K1937" s="1019"/>
      <c r="L1937" s="1140"/>
    </row>
    <row r="1938" spans="1:12" x14ac:dyDescent="0.35">
      <c r="A1938" s="1019"/>
      <c r="B1938" s="1019"/>
      <c r="C1938" s="1019"/>
      <c r="D1938" s="1019"/>
      <c r="E1938" s="1019"/>
      <c r="F1938" s="1019"/>
      <c r="G1938" s="1019"/>
      <c r="H1938" s="1019"/>
      <c r="I1938" s="1019"/>
      <c r="J1938" s="1019"/>
      <c r="K1938" s="1019"/>
      <c r="L1938" s="1140"/>
    </row>
    <row r="1939" spans="1:12" x14ac:dyDescent="0.35">
      <c r="A1939" s="1019"/>
      <c r="B1939" s="1019"/>
      <c r="C1939" s="1019"/>
      <c r="D1939" s="1019"/>
      <c r="E1939" s="1019"/>
      <c r="F1939" s="1019"/>
      <c r="G1939" s="1019"/>
      <c r="H1939" s="1019"/>
      <c r="I1939" s="1019"/>
      <c r="J1939" s="1019"/>
      <c r="K1939" s="1019"/>
      <c r="L1939" s="1140"/>
    </row>
    <row r="1940" spans="1:12" x14ac:dyDescent="0.35">
      <c r="A1940" s="1019"/>
      <c r="B1940" s="1019"/>
      <c r="C1940" s="1019"/>
      <c r="D1940" s="1019"/>
      <c r="E1940" s="1019"/>
      <c r="F1940" s="1019"/>
      <c r="G1940" s="1019"/>
      <c r="H1940" s="1019"/>
      <c r="I1940" s="1019"/>
      <c r="J1940" s="1019"/>
      <c r="K1940" s="1019"/>
      <c r="L1940" s="1140"/>
    </row>
    <row r="1941" spans="1:12" x14ac:dyDescent="0.35">
      <c r="A1941" s="1019"/>
      <c r="B1941" s="1019"/>
      <c r="C1941" s="1019"/>
      <c r="D1941" s="1019"/>
      <c r="E1941" s="1019"/>
      <c r="F1941" s="1019"/>
      <c r="G1941" s="1019"/>
      <c r="H1941" s="1019"/>
      <c r="I1941" s="1019"/>
      <c r="J1941" s="1019"/>
      <c r="K1941" s="1019"/>
      <c r="L1941" s="1140"/>
    </row>
    <row r="1942" spans="1:12" x14ac:dyDescent="0.35">
      <c r="A1942" s="1019"/>
      <c r="B1942" s="1019"/>
      <c r="C1942" s="1019"/>
      <c r="D1942" s="1019"/>
      <c r="E1942" s="1019"/>
      <c r="F1942" s="1019"/>
      <c r="G1942" s="1019"/>
      <c r="H1942" s="1019"/>
      <c r="I1942" s="1019"/>
      <c r="J1942" s="1019"/>
      <c r="K1942" s="1019"/>
      <c r="L1942" s="1140"/>
    </row>
    <row r="1943" spans="1:12" x14ac:dyDescent="0.35">
      <c r="A1943" s="1019"/>
      <c r="B1943" s="1019"/>
      <c r="C1943" s="1019"/>
      <c r="D1943" s="1019"/>
      <c r="E1943" s="1019"/>
      <c r="F1943" s="1019"/>
      <c r="G1943" s="1019"/>
      <c r="H1943" s="1019"/>
      <c r="I1943" s="1019"/>
      <c r="J1943" s="1019"/>
      <c r="K1943" s="1019"/>
      <c r="L1943" s="1140"/>
    </row>
    <row r="1944" spans="1:12" x14ac:dyDescent="0.35">
      <c r="A1944" s="1019"/>
      <c r="B1944" s="1019"/>
      <c r="C1944" s="1019"/>
      <c r="D1944" s="1019"/>
      <c r="E1944" s="1019"/>
      <c r="F1944" s="1019"/>
      <c r="G1944" s="1019"/>
      <c r="H1944" s="1019"/>
      <c r="I1944" s="1019"/>
      <c r="J1944" s="1019"/>
      <c r="K1944" s="1019"/>
      <c r="L1944" s="1140"/>
    </row>
    <row r="1945" spans="1:12" x14ac:dyDescent="0.35">
      <c r="A1945" s="1019"/>
      <c r="B1945" s="1019"/>
      <c r="C1945" s="1019"/>
      <c r="D1945" s="1019"/>
      <c r="E1945" s="1019"/>
      <c r="F1945" s="1019"/>
      <c r="G1945" s="1019"/>
      <c r="H1945" s="1019"/>
      <c r="I1945" s="1019"/>
      <c r="J1945" s="1019"/>
      <c r="K1945" s="1019"/>
      <c r="L1945" s="1140"/>
    </row>
    <row r="1946" spans="1:12" x14ac:dyDescent="0.35">
      <c r="A1946" s="1019"/>
      <c r="B1946" s="1019"/>
      <c r="C1946" s="1019"/>
      <c r="D1946" s="1019"/>
      <c r="E1946" s="1019"/>
      <c r="F1946" s="1019"/>
      <c r="G1946" s="1019"/>
      <c r="H1946" s="1019"/>
      <c r="I1946" s="1019"/>
      <c r="J1946" s="1019"/>
      <c r="K1946" s="1019"/>
      <c r="L1946" s="1140"/>
    </row>
    <row r="1947" spans="1:12" x14ac:dyDescent="0.35">
      <c r="A1947" s="1019"/>
      <c r="B1947" s="1019"/>
      <c r="C1947" s="1019"/>
      <c r="D1947" s="1019"/>
      <c r="E1947" s="1019"/>
      <c r="F1947" s="1019"/>
      <c r="G1947" s="1019"/>
      <c r="H1947" s="1019"/>
      <c r="I1947" s="1019"/>
      <c r="J1947" s="1019"/>
      <c r="K1947" s="1019"/>
      <c r="L1947" s="1140"/>
    </row>
    <row r="1948" spans="1:12" x14ac:dyDescent="0.35">
      <c r="A1948" s="1019"/>
      <c r="B1948" s="1019"/>
      <c r="C1948" s="1019"/>
      <c r="D1948" s="1019"/>
      <c r="E1948" s="1019"/>
      <c r="F1948" s="1019"/>
      <c r="G1948" s="1019"/>
      <c r="H1948" s="1019"/>
      <c r="I1948" s="1019"/>
      <c r="J1948" s="1019"/>
      <c r="K1948" s="1019"/>
      <c r="L1948" s="1140"/>
    </row>
    <row r="1949" spans="1:12" x14ac:dyDescent="0.35">
      <c r="A1949" s="1019"/>
      <c r="B1949" s="1019"/>
      <c r="C1949" s="1019"/>
      <c r="D1949" s="1019"/>
      <c r="E1949" s="1019"/>
      <c r="F1949" s="1019"/>
      <c r="G1949" s="1019"/>
      <c r="H1949" s="1019"/>
      <c r="I1949" s="1019"/>
      <c r="J1949" s="1019"/>
      <c r="K1949" s="1019"/>
      <c r="L1949" s="1140"/>
    </row>
    <row r="1950" spans="1:12" x14ac:dyDescent="0.35">
      <c r="A1950" s="1019"/>
      <c r="B1950" s="1019"/>
      <c r="C1950" s="1019"/>
      <c r="D1950" s="1019"/>
      <c r="E1950" s="1019"/>
      <c r="F1950" s="1019"/>
      <c r="G1950" s="1019"/>
      <c r="H1950" s="1019"/>
      <c r="I1950" s="1019"/>
      <c r="J1950" s="1019"/>
      <c r="K1950" s="1019"/>
      <c r="L1950" s="1140"/>
    </row>
    <row r="1951" spans="1:12" x14ac:dyDescent="0.35">
      <c r="A1951" s="1019"/>
      <c r="B1951" s="1019"/>
      <c r="C1951" s="1019"/>
      <c r="D1951" s="1019"/>
      <c r="E1951" s="1019"/>
      <c r="F1951" s="1019"/>
      <c r="G1951" s="1019"/>
      <c r="H1951" s="1019"/>
      <c r="I1951" s="1019"/>
      <c r="J1951" s="1019"/>
      <c r="K1951" s="1019"/>
      <c r="L1951" s="1140"/>
    </row>
    <row r="1952" spans="1:12" x14ac:dyDescent="0.35">
      <c r="A1952" s="1019"/>
      <c r="B1952" s="1019"/>
      <c r="C1952" s="1019"/>
      <c r="D1952" s="1019"/>
      <c r="E1952" s="1019"/>
      <c r="F1952" s="1019"/>
      <c r="G1952" s="1019"/>
      <c r="H1952" s="1019"/>
      <c r="I1952" s="1019"/>
      <c r="J1952" s="1019"/>
      <c r="K1952" s="1019"/>
      <c r="L1952" s="1140"/>
    </row>
    <row r="1953" spans="1:12" x14ac:dyDescent="0.35">
      <c r="A1953" s="1019"/>
      <c r="B1953" s="1019"/>
      <c r="C1953" s="1019"/>
      <c r="D1953" s="1019"/>
      <c r="E1953" s="1019"/>
      <c r="F1953" s="1019"/>
      <c r="G1953" s="1019"/>
      <c r="H1953" s="1019"/>
      <c r="I1953" s="1019"/>
      <c r="J1953" s="1019"/>
      <c r="K1953" s="1019"/>
      <c r="L1953" s="1140"/>
    </row>
    <row r="1954" spans="1:12" x14ac:dyDescent="0.35">
      <c r="A1954" s="1019"/>
      <c r="B1954" s="1019"/>
      <c r="C1954" s="1019"/>
      <c r="D1954" s="1019"/>
      <c r="E1954" s="1019"/>
      <c r="F1954" s="1019"/>
      <c r="G1954" s="1019"/>
      <c r="H1954" s="1019"/>
      <c r="I1954" s="1019"/>
      <c r="J1954" s="1019"/>
      <c r="K1954" s="1019"/>
      <c r="L1954" s="1140"/>
    </row>
    <row r="1955" spans="1:12" x14ac:dyDescent="0.35">
      <c r="A1955" s="1019"/>
      <c r="B1955" s="1019"/>
      <c r="C1955" s="1019"/>
      <c r="D1955" s="1019"/>
      <c r="E1955" s="1019"/>
      <c r="F1955" s="1019"/>
      <c r="G1955" s="1019"/>
      <c r="H1955" s="1019"/>
      <c r="I1955" s="1019"/>
      <c r="J1955" s="1019"/>
      <c r="K1955" s="1019"/>
      <c r="L1955" s="1140"/>
    </row>
    <row r="1956" spans="1:12" x14ac:dyDescent="0.35">
      <c r="A1956" s="1019"/>
      <c r="B1956" s="1019"/>
      <c r="C1956" s="1019"/>
      <c r="D1956" s="1019"/>
      <c r="E1956" s="1019"/>
      <c r="F1956" s="1019"/>
      <c r="G1956" s="1019"/>
      <c r="H1956" s="1019"/>
      <c r="I1956" s="1019"/>
      <c r="J1956" s="1019"/>
      <c r="K1956" s="1019"/>
      <c r="L1956" s="1140"/>
    </row>
    <row r="1957" spans="1:12" x14ac:dyDescent="0.35">
      <c r="A1957" s="1019"/>
      <c r="B1957" s="1019"/>
      <c r="C1957" s="1019"/>
      <c r="D1957" s="1019"/>
      <c r="E1957" s="1019"/>
      <c r="F1957" s="1019"/>
      <c r="G1957" s="1019"/>
      <c r="H1957" s="1019"/>
      <c r="I1957" s="1019"/>
      <c r="J1957" s="1019"/>
      <c r="K1957" s="1019"/>
      <c r="L1957" s="1140"/>
    </row>
    <row r="1958" spans="1:12" x14ac:dyDescent="0.35">
      <c r="A1958" s="1019"/>
      <c r="B1958" s="1019"/>
      <c r="C1958" s="1019"/>
      <c r="D1958" s="1019"/>
      <c r="E1958" s="1019"/>
      <c r="F1958" s="1019"/>
      <c r="G1958" s="1019"/>
      <c r="H1958" s="1019"/>
      <c r="I1958" s="1019"/>
      <c r="J1958" s="1019"/>
      <c r="K1958" s="1019"/>
      <c r="L1958" s="1140"/>
    </row>
    <row r="1959" spans="1:12" x14ac:dyDescent="0.35">
      <c r="A1959" s="1019"/>
      <c r="B1959" s="1019"/>
      <c r="C1959" s="1019"/>
      <c r="D1959" s="1019"/>
      <c r="E1959" s="1019"/>
      <c r="F1959" s="1019"/>
      <c r="G1959" s="1019"/>
      <c r="H1959" s="1019"/>
      <c r="I1959" s="1019"/>
      <c r="J1959" s="1019"/>
      <c r="K1959" s="1019"/>
      <c r="L1959" s="1140"/>
    </row>
    <row r="1960" spans="1:12" x14ac:dyDescent="0.35">
      <c r="A1960" s="1019"/>
      <c r="B1960" s="1019"/>
      <c r="C1960" s="1019"/>
      <c r="D1960" s="1019"/>
      <c r="E1960" s="1019"/>
      <c r="F1960" s="1019"/>
      <c r="G1960" s="1019"/>
      <c r="H1960" s="1019"/>
      <c r="I1960" s="1019"/>
      <c r="J1960" s="1019"/>
      <c r="K1960" s="1019"/>
      <c r="L1960" s="1140"/>
    </row>
    <row r="1961" spans="1:12" x14ac:dyDescent="0.35">
      <c r="A1961" s="1019"/>
      <c r="B1961" s="1019"/>
      <c r="C1961" s="1019"/>
      <c r="D1961" s="1019"/>
      <c r="E1961" s="1019"/>
      <c r="F1961" s="1019"/>
      <c r="G1961" s="1019"/>
      <c r="H1961" s="1019"/>
      <c r="I1961" s="1019"/>
      <c r="J1961" s="1019"/>
      <c r="K1961" s="1019"/>
      <c r="L1961" s="1140"/>
    </row>
    <row r="1962" spans="1:12" x14ac:dyDescent="0.35">
      <c r="A1962" s="1019"/>
      <c r="B1962" s="1019"/>
      <c r="C1962" s="1019"/>
      <c r="D1962" s="1019"/>
      <c r="E1962" s="1019"/>
      <c r="F1962" s="1019"/>
      <c r="G1962" s="1019"/>
      <c r="H1962" s="1019"/>
      <c r="I1962" s="1019"/>
      <c r="J1962" s="1019"/>
      <c r="K1962" s="1019"/>
      <c r="L1962" s="1140"/>
    </row>
    <row r="1963" spans="1:12" x14ac:dyDescent="0.35">
      <c r="A1963" s="1019"/>
      <c r="B1963" s="1019"/>
      <c r="C1963" s="1019"/>
      <c r="D1963" s="1019"/>
      <c r="E1963" s="1019"/>
      <c r="F1963" s="1019"/>
      <c r="G1963" s="1019"/>
      <c r="H1963" s="1019"/>
      <c r="I1963" s="1019"/>
      <c r="J1963" s="1019"/>
      <c r="K1963" s="1019"/>
      <c r="L1963" s="1140"/>
    </row>
    <row r="1964" spans="1:12" x14ac:dyDescent="0.35">
      <c r="A1964" s="1019"/>
      <c r="B1964" s="1019"/>
      <c r="C1964" s="1019"/>
      <c r="D1964" s="1019"/>
      <c r="E1964" s="1019"/>
      <c r="F1964" s="1019"/>
      <c r="G1964" s="1019"/>
      <c r="H1964" s="1019"/>
      <c r="I1964" s="1019"/>
      <c r="J1964" s="1019"/>
      <c r="K1964" s="1019"/>
      <c r="L1964" s="1140"/>
    </row>
    <row r="1965" spans="1:12" x14ac:dyDescent="0.35">
      <c r="A1965" s="1019"/>
      <c r="B1965" s="1019"/>
      <c r="C1965" s="1019"/>
      <c r="D1965" s="1019"/>
      <c r="E1965" s="1019"/>
      <c r="F1965" s="1019"/>
      <c r="G1965" s="1019"/>
      <c r="H1965" s="1019"/>
      <c r="I1965" s="1019"/>
      <c r="J1965" s="1019"/>
      <c r="K1965" s="1019"/>
      <c r="L1965" s="1140"/>
    </row>
    <row r="1966" spans="1:12" x14ac:dyDescent="0.35">
      <c r="A1966" s="1019"/>
      <c r="B1966" s="1019"/>
      <c r="C1966" s="1019"/>
      <c r="D1966" s="1019"/>
      <c r="E1966" s="1019"/>
      <c r="F1966" s="1019"/>
      <c r="G1966" s="1019"/>
      <c r="H1966" s="1019"/>
      <c r="I1966" s="1019"/>
      <c r="J1966" s="1019"/>
      <c r="K1966" s="1019"/>
      <c r="L1966" s="1140"/>
    </row>
    <row r="1967" spans="1:12" x14ac:dyDescent="0.35">
      <c r="A1967" s="1019"/>
      <c r="B1967" s="1019"/>
      <c r="C1967" s="1019"/>
      <c r="D1967" s="1019"/>
      <c r="E1967" s="1019"/>
      <c r="F1967" s="1019"/>
      <c r="G1967" s="1019"/>
      <c r="H1967" s="1019"/>
      <c r="I1967" s="1019"/>
      <c r="J1967" s="1019"/>
      <c r="K1967" s="1019"/>
      <c r="L1967" s="1140"/>
    </row>
    <row r="1968" spans="1:12" x14ac:dyDescent="0.35">
      <c r="A1968" s="1019"/>
      <c r="B1968" s="1019"/>
      <c r="C1968" s="1019"/>
      <c r="D1968" s="1019"/>
      <c r="E1968" s="1019"/>
      <c r="F1968" s="1019"/>
      <c r="G1968" s="1019"/>
      <c r="H1968" s="1019"/>
      <c r="I1968" s="1019"/>
      <c r="J1968" s="1019"/>
      <c r="K1968" s="1019"/>
      <c r="L1968" s="1140"/>
    </row>
    <row r="1969" spans="1:12" x14ac:dyDescent="0.35">
      <c r="A1969" s="1019"/>
      <c r="B1969" s="1019"/>
      <c r="C1969" s="1019"/>
      <c r="D1969" s="1019"/>
      <c r="E1969" s="1019"/>
      <c r="F1969" s="1019"/>
      <c r="G1969" s="1019"/>
      <c r="H1969" s="1019"/>
      <c r="I1969" s="1019"/>
      <c r="J1969" s="1019"/>
      <c r="K1969" s="1019"/>
      <c r="L1969" s="1140"/>
    </row>
    <row r="1970" spans="1:12" x14ac:dyDescent="0.35">
      <c r="A1970" s="1019"/>
      <c r="B1970" s="1019"/>
      <c r="C1970" s="1019"/>
      <c r="D1970" s="1019"/>
      <c r="E1970" s="1019"/>
      <c r="F1970" s="1019"/>
      <c r="G1970" s="1019"/>
      <c r="H1970" s="1019"/>
      <c r="I1970" s="1019"/>
      <c r="J1970" s="1019"/>
      <c r="K1970" s="1019"/>
      <c r="L1970" s="1140"/>
    </row>
    <row r="1971" spans="1:12" x14ac:dyDescent="0.35">
      <c r="A1971" s="1019"/>
      <c r="B1971" s="1019"/>
      <c r="C1971" s="1019"/>
      <c r="D1971" s="1019"/>
      <c r="E1971" s="1019"/>
      <c r="F1971" s="1019"/>
      <c r="G1971" s="1019"/>
      <c r="H1971" s="1019"/>
      <c r="I1971" s="1019"/>
      <c r="J1971" s="1019"/>
      <c r="K1971" s="1019"/>
      <c r="L1971" s="1140"/>
    </row>
    <row r="1972" spans="1:12" x14ac:dyDescent="0.35">
      <c r="A1972" s="1019"/>
      <c r="B1972" s="1019"/>
      <c r="C1972" s="1019"/>
      <c r="D1972" s="1019"/>
      <c r="E1972" s="1019"/>
      <c r="F1972" s="1019"/>
      <c r="G1972" s="1019"/>
      <c r="H1972" s="1019"/>
      <c r="I1972" s="1019"/>
      <c r="J1972" s="1019"/>
      <c r="K1972" s="1019"/>
      <c r="L1972" s="1140"/>
    </row>
    <row r="1973" spans="1:12" x14ac:dyDescent="0.35">
      <c r="A1973" s="1019"/>
      <c r="B1973" s="1019"/>
      <c r="C1973" s="1019"/>
      <c r="D1973" s="1019"/>
      <c r="E1973" s="1019"/>
      <c r="F1973" s="1019"/>
      <c r="G1973" s="1019"/>
      <c r="H1973" s="1019"/>
      <c r="I1973" s="1019"/>
      <c r="J1973" s="1019"/>
      <c r="K1973" s="1019"/>
      <c r="L1973" s="1140"/>
    </row>
    <row r="1974" spans="1:12" x14ac:dyDescent="0.35">
      <c r="A1974" s="1019"/>
      <c r="B1974" s="1019"/>
      <c r="C1974" s="1019"/>
      <c r="D1974" s="1019"/>
      <c r="E1974" s="1019"/>
      <c r="F1974" s="1019"/>
      <c r="G1974" s="1019"/>
      <c r="H1974" s="1019"/>
      <c r="I1974" s="1019"/>
      <c r="J1974" s="1019"/>
      <c r="K1974" s="1019"/>
      <c r="L1974" s="1140"/>
    </row>
    <row r="1975" spans="1:12" x14ac:dyDescent="0.35">
      <c r="A1975" s="1019"/>
      <c r="B1975" s="1019"/>
      <c r="C1975" s="1019"/>
      <c r="D1975" s="1019"/>
      <c r="E1975" s="1019"/>
      <c r="F1975" s="1019"/>
      <c r="G1975" s="1019"/>
      <c r="H1975" s="1019"/>
      <c r="I1975" s="1019"/>
      <c r="J1975" s="1019"/>
      <c r="K1975" s="1019"/>
      <c r="L1975" s="1140"/>
    </row>
    <row r="1976" spans="1:12" x14ac:dyDescent="0.35">
      <c r="A1976" s="1019"/>
      <c r="B1976" s="1019"/>
      <c r="C1976" s="1019"/>
      <c r="D1976" s="1019"/>
      <c r="E1976" s="1019"/>
      <c r="F1976" s="1019"/>
      <c r="G1976" s="1019"/>
      <c r="H1976" s="1019"/>
      <c r="I1976" s="1019"/>
      <c r="J1976" s="1019"/>
      <c r="K1976" s="1019"/>
      <c r="L1976" s="1140"/>
    </row>
    <row r="1977" spans="1:12" x14ac:dyDescent="0.35">
      <c r="A1977" s="1019"/>
      <c r="B1977" s="1019"/>
      <c r="C1977" s="1019"/>
      <c r="D1977" s="1019"/>
      <c r="E1977" s="1019"/>
      <c r="F1977" s="1019"/>
      <c r="G1977" s="1019"/>
      <c r="H1977" s="1019"/>
      <c r="I1977" s="1019"/>
      <c r="J1977" s="1019"/>
      <c r="K1977" s="1019"/>
      <c r="L1977" s="1140"/>
    </row>
    <row r="1978" spans="1:12" x14ac:dyDescent="0.35">
      <c r="A1978" s="1019"/>
      <c r="B1978" s="1019"/>
      <c r="C1978" s="1019"/>
      <c r="D1978" s="1019"/>
      <c r="E1978" s="1019"/>
      <c r="F1978" s="1019"/>
      <c r="G1978" s="1019"/>
      <c r="H1978" s="1019"/>
      <c r="I1978" s="1019"/>
      <c r="J1978" s="1019"/>
      <c r="K1978" s="1019"/>
      <c r="L1978" s="1140"/>
    </row>
    <row r="1979" spans="1:12" x14ac:dyDescent="0.35">
      <c r="A1979" s="1019"/>
      <c r="B1979" s="1019"/>
      <c r="C1979" s="1019"/>
      <c r="D1979" s="1019"/>
      <c r="E1979" s="1019"/>
      <c r="F1979" s="1019"/>
      <c r="G1979" s="1019"/>
      <c r="H1979" s="1019"/>
      <c r="I1979" s="1019"/>
      <c r="J1979" s="1019"/>
      <c r="K1979" s="1019"/>
      <c r="L1979" s="1140"/>
    </row>
    <row r="1980" spans="1:12" x14ac:dyDescent="0.35">
      <c r="A1980" s="1019"/>
      <c r="B1980" s="1019"/>
      <c r="C1980" s="1019"/>
      <c r="D1980" s="1019"/>
      <c r="E1980" s="1019"/>
      <c r="F1980" s="1019"/>
      <c r="G1980" s="1019"/>
      <c r="H1980" s="1019"/>
      <c r="I1980" s="1019"/>
      <c r="J1980" s="1019"/>
      <c r="K1980" s="1019"/>
      <c r="L1980" s="1140"/>
    </row>
    <row r="1981" spans="1:12" x14ac:dyDescent="0.35">
      <c r="A1981" s="1019"/>
      <c r="B1981" s="1019"/>
      <c r="C1981" s="1019"/>
      <c r="D1981" s="1019"/>
      <c r="E1981" s="1019"/>
      <c r="F1981" s="1019"/>
      <c r="G1981" s="1019"/>
      <c r="H1981" s="1019"/>
      <c r="I1981" s="1019"/>
      <c r="J1981" s="1019"/>
      <c r="K1981" s="1019"/>
      <c r="L1981" s="1140"/>
    </row>
    <row r="1982" spans="1:12" x14ac:dyDescent="0.35">
      <c r="A1982" s="1019"/>
      <c r="B1982" s="1019"/>
      <c r="C1982" s="1019"/>
      <c r="D1982" s="1019"/>
      <c r="E1982" s="1019"/>
      <c r="F1982" s="1019"/>
      <c r="G1982" s="1019"/>
      <c r="H1982" s="1019"/>
      <c r="I1982" s="1019"/>
      <c r="J1982" s="1019"/>
      <c r="K1982" s="1019"/>
      <c r="L1982" s="1140"/>
    </row>
    <row r="1983" spans="1:12" x14ac:dyDescent="0.35">
      <c r="A1983" s="1019"/>
      <c r="B1983" s="1019"/>
      <c r="C1983" s="1019"/>
      <c r="D1983" s="1019"/>
      <c r="E1983" s="1019"/>
      <c r="F1983" s="1019"/>
      <c r="G1983" s="1019"/>
      <c r="H1983" s="1019"/>
      <c r="I1983" s="1019"/>
      <c r="J1983" s="1019"/>
      <c r="K1983" s="1019"/>
      <c r="L1983" s="1140"/>
    </row>
    <row r="1984" spans="1:12" x14ac:dyDescent="0.35">
      <c r="A1984" s="1019"/>
      <c r="B1984" s="1019"/>
      <c r="C1984" s="1019"/>
      <c r="D1984" s="1019"/>
      <c r="E1984" s="1019"/>
      <c r="F1984" s="1019"/>
      <c r="G1984" s="1019"/>
      <c r="H1984" s="1019"/>
      <c r="I1984" s="1019"/>
      <c r="J1984" s="1019"/>
      <c r="K1984" s="1019"/>
      <c r="L1984" s="1140"/>
    </row>
    <row r="1985" spans="1:12" x14ac:dyDescent="0.35">
      <c r="A1985" s="1019"/>
      <c r="B1985" s="1019"/>
      <c r="C1985" s="1019"/>
      <c r="D1985" s="1019"/>
      <c r="E1985" s="1019"/>
      <c r="F1985" s="1019"/>
      <c r="G1985" s="1019"/>
      <c r="H1985" s="1019"/>
      <c r="I1985" s="1019"/>
      <c r="J1985" s="1019"/>
      <c r="K1985" s="1019"/>
      <c r="L1985" s="1140"/>
    </row>
    <row r="1986" spans="1:12" x14ac:dyDescent="0.35">
      <c r="A1986" s="1019"/>
      <c r="B1986" s="1019"/>
      <c r="C1986" s="1019"/>
      <c r="D1986" s="1019"/>
      <c r="E1986" s="1019"/>
      <c r="F1986" s="1019"/>
      <c r="G1986" s="1019"/>
      <c r="H1986" s="1019"/>
      <c r="I1986" s="1019"/>
      <c r="J1986" s="1019"/>
      <c r="K1986" s="1019"/>
      <c r="L1986" s="1140"/>
    </row>
    <row r="1987" spans="1:12" x14ac:dyDescent="0.35">
      <c r="A1987" s="1019"/>
      <c r="B1987" s="1019"/>
      <c r="C1987" s="1019"/>
      <c r="D1987" s="1019"/>
      <c r="E1987" s="1019"/>
      <c r="F1987" s="1019"/>
      <c r="G1987" s="1019"/>
      <c r="H1987" s="1019"/>
      <c r="I1987" s="1019"/>
      <c r="J1987" s="1019"/>
      <c r="K1987" s="1019"/>
      <c r="L1987" s="1140"/>
    </row>
    <row r="1988" spans="1:12" x14ac:dyDescent="0.35">
      <c r="A1988" s="1019"/>
      <c r="B1988" s="1019"/>
      <c r="C1988" s="1019"/>
      <c r="D1988" s="1019"/>
      <c r="E1988" s="1019"/>
      <c r="F1988" s="1019"/>
      <c r="G1988" s="1019"/>
      <c r="H1988" s="1019"/>
      <c r="I1988" s="1019"/>
      <c r="J1988" s="1019"/>
      <c r="K1988" s="1019"/>
      <c r="L1988" s="1140"/>
    </row>
    <row r="1989" spans="1:12" x14ac:dyDescent="0.35">
      <c r="A1989" s="1019"/>
      <c r="B1989" s="1019"/>
      <c r="C1989" s="1019"/>
      <c r="D1989" s="1019"/>
      <c r="E1989" s="1019"/>
      <c r="F1989" s="1019"/>
      <c r="G1989" s="1019"/>
      <c r="H1989" s="1019"/>
      <c r="I1989" s="1019"/>
      <c r="J1989" s="1019"/>
      <c r="K1989" s="1019"/>
      <c r="L1989" s="1140"/>
    </row>
    <row r="1990" spans="1:12" x14ac:dyDescent="0.35">
      <c r="A1990" s="1019"/>
      <c r="B1990" s="1019"/>
      <c r="C1990" s="1019"/>
      <c r="D1990" s="1019"/>
      <c r="E1990" s="1019"/>
      <c r="F1990" s="1019"/>
      <c r="G1990" s="1019"/>
      <c r="H1990" s="1019"/>
      <c r="I1990" s="1019"/>
      <c r="J1990" s="1019"/>
      <c r="K1990" s="1019"/>
      <c r="L1990" s="1140"/>
    </row>
    <row r="1991" spans="1:12" x14ac:dyDescent="0.35">
      <c r="A1991" s="1019"/>
      <c r="B1991" s="1019"/>
      <c r="C1991" s="1019"/>
      <c r="D1991" s="1019"/>
      <c r="E1991" s="1019"/>
      <c r="F1991" s="1019"/>
      <c r="G1991" s="1019"/>
      <c r="H1991" s="1019"/>
      <c r="I1991" s="1019"/>
      <c r="J1991" s="1019"/>
      <c r="K1991" s="1019"/>
      <c r="L1991" s="1140"/>
    </row>
    <row r="1992" spans="1:12" x14ac:dyDescent="0.35">
      <c r="A1992" s="1019"/>
      <c r="B1992" s="1019"/>
      <c r="C1992" s="1019"/>
      <c r="D1992" s="1019"/>
      <c r="E1992" s="1019"/>
      <c r="F1992" s="1019"/>
      <c r="G1992" s="1019"/>
      <c r="H1992" s="1019"/>
      <c r="I1992" s="1019"/>
      <c r="J1992" s="1019"/>
      <c r="K1992" s="1019"/>
      <c r="L1992" s="1140"/>
    </row>
    <row r="1993" spans="1:12" x14ac:dyDescent="0.35">
      <c r="A1993" s="1019"/>
      <c r="B1993" s="1019"/>
      <c r="C1993" s="1019"/>
      <c r="D1993" s="1019"/>
      <c r="E1993" s="1019"/>
      <c r="F1993" s="1019"/>
      <c r="G1993" s="1019"/>
      <c r="H1993" s="1019"/>
      <c r="I1993" s="1019"/>
      <c r="J1993" s="1019"/>
      <c r="K1993" s="1019"/>
      <c r="L1993" s="1140"/>
    </row>
    <row r="1994" spans="1:12" x14ac:dyDescent="0.35">
      <c r="A1994" s="1019"/>
      <c r="B1994" s="1019"/>
      <c r="C1994" s="1019"/>
      <c r="D1994" s="1019"/>
      <c r="E1994" s="1019"/>
      <c r="F1994" s="1019"/>
      <c r="G1994" s="1019"/>
      <c r="H1994" s="1019"/>
      <c r="I1994" s="1019"/>
      <c r="J1994" s="1019"/>
      <c r="K1994" s="1019"/>
      <c r="L1994" s="1140"/>
    </row>
    <row r="1995" spans="1:12" x14ac:dyDescent="0.35">
      <c r="A1995" s="1019"/>
      <c r="B1995" s="1019"/>
      <c r="C1995" s="1019"/>
      <c r="D1995" s="1019"/>
      <c r="E1995" s="1019"/>
      <c r="F1995" s="1019"/>
      <c r="G1995" s="1019"/>
      <c r="H1995" s="1019"/>
      <c r="I1995" s="1019"/>
      <c r="J1995" s="1019"/>
      <c r="K1995" s="1019"/>
      <c r="L1995" s="1140"/>
    </row>
    <row r="1996" spans="1:12" x14ac:dyDescent="0.35">
      <c r="A1996" s="1019"/>
      <c r="B1996" s="1019"/>
      <c r="C1996" s="1019"/>
      <c r="D1996" s="1019"/>
      <c r="E1996" s="1019"/>
      <c r="F1996" s="1019"/>
      <c r="G1996" s="1019"/>
      <c r="H1996" s="1019"/>
      <c r="I1996" s="1019"/>
      <c r="J1996" s="1019"/>
      <c r="K1996" s="1019"/>
      <c r="L1996" s="1140"/>
    </row>
    <row r="1997" spans="1:12" x14ac:dyDescent="0.35">
      <c r="A1997" s="1019"/>
      <c r="B1997" s="1019"/>
      <c r="C1997" s="1019"/>
      <c r="D1997" s="1019"/>
      <c r="E1997" s="1019"/>
      <c r="F1997" s="1019"/>
      <c r="G1997" s="1019"/>
      <c r="H1997" s="1019"/>
      <c r="I1997" s="1019"/>
      <c r="J1997" s="1019"/>
      <c r="K1997" s="1019"/>
      <c r="L1997" s="1140"/>
    </row>
    <row r="1998" spans="1:12" x14ac:dyDescent="0.35">
      <c r="A1998" s="1019"/>
      <c r="B1998" s="1019"/>
      <c r="C1998" s="1019"/>
      <c r="D1998" s="1019"/>
      <c r="E1998" s="1019"/>
      <c r="F1998" s="1019"/>
      <c r="G1998" s="1019"/>
      <c r="H1998" s="1019"/>
      <c r="I1998" s="1019"/>
      <c r="J1998" s="1019"/>
      <c r="K1998" s="1019"/>
      <c r="L1998" s="1140"/>
    </row>
    <row r="1999" spans="1:12" x14ac:dyDescent="0.35">
      <c r="A1999" s="1019"/>
      <c r="B1999" s="1019"/>
      <c r="C1999" s="1019"/>
      <c r="D1999" s="1019"/>
      <c r="E1999" s="1019"/>
      <c r="F1999" s="1019"/>
      <c r="G1999" s="1019"/>
      <c r="H1999" s="1019"/>
      <c r="I1999" s="1019"/>
      <c r="J1999" s="1019"/>
      <c r="K1999" s="1019"/>
      <c r="L1999" s="1140"/>
    </row>
    <row r="2000" spans="1:12" x14ac:dyDescent="0.35">
      <c r="A2000" s="1019"/>
      <c r="B2000" s="1019"/>
      <c r="C2000" s="1019"/>
      <c r="D2000" s="1019"/>
      <c r="E2000" s="1019"/>
      <c r="F2000" s="1019"/>
      <c r="G2000" s="1019"/>
      <c r="H2000" s="1019"/>
      <c r="I2000" s="1019"/>
      <c r="J2000" s="1019"/>
      <c r="K2000" s="1019"/>
      <c r="L2000" s="1140"/>
    </row>
    <row r="2001" spans="1:12" x14ac:dyDescent="0.35">
      <c r="A2001" s="1019"/>
      <c r="B2001" s="1019"/>
      <c r="C2001" s="1019"/>
      <c r="D2001" s="1019"/>
      <c r="E2001" s="1019"/>
      <c r="F2001" s="1019"/>
      <c r="G2001" s="1019"/>
      <c r="H2001" s="1019"/>
      <c r="I2001" s="1019"/>
      <c r="J2001" s="1019"/>
      <c r="K2001" s="1019"/>
      <c r="L2001" s="1140"/>
    </row>
    <row r="2002" spans="1:12" x14ac:dyDescent="0.35">
      <c r="A2002" s="1019"/>
      <c r="B2002" s="1019"/>
      <c r="C2002" s="1019"/>
      <c r="D2002" s="1019"/>
      <c r="E2002" s="1019"/>
      <c r="F2002" s="1019"/>
      <c r="G2002" s="1019"/>
      <c r="H2002" s="1019"/>
      <c r="I2002" s="1019"/>
      <c r="J2002" s="1019"/>
      <c r="K2002" s="1019"/>
      <c r="L2002" s="1140"/>
    </row>
    <row r="2003" spans="1:12" x14ac:dyDescent="0.35">
      <c r="A2003" s="1019"/>
      <c r="B2003" s="1019"/>
      <c r="C2003" s="1019"/>
      <c r="D2003" s="1019"/>
      <c r="E2003" s="1019"/>
      <c r="F2003" s="1019"/>
      <c r="G2003" s="1019"/>
      <c r="H2003" s="1019"/>
      <c r="I2003" s="1019"/>
      <c r="J2003" s="1019"/>
      <c r="K2003" s="1019"/>
      <c r="L2003" s="1140"/>
    </row>
    <row r="2004" spans="1:12" x14ac:dyDescent="0.35">
      <c r="A2004" s="1019"/>
      <c r="B2004" s="1019"/>
      <c r="C2004" s="1019"/>
      <c r="D2004" s="1019"/>
      <c r="E2004" s="1019"/>
      <c r="F2004" s="1019"/>
      <c r="G2004" s="1019"/>
      <c r="H2004" s="1019"/>
      <c r="I2004" s="1019"/>
      <c r="J2004" s="1019"/>
      <c r="K2004" s="1019"/>
      <c r="L2004" s="1140"/>
    </row>
    <row r="2005" spans="1:12" x14ac:dyDescent="0.35">
      <c r="A2005" s="1019"/>
      <c r="B2005" s="1019"/>
      <c r="C2005" s="1019"/>
      <c r="D2005" s="1019"/>
      <c r="E2005" s="1019"/>
      <c r="F2005" s="1019"/>
      <c r="G2005" s="1019"/>
      <c r="H2005" s="1019"/>
      <c r="I2005" s="1019"/>
      <c r="J2005" s="1019"/>
      <c r="K2005" s="1019"/>
      <c r="L2005" s="1140"/>
    </row>
    <row r="2006" spans="1:12" x14ac:dyDescent="0.35">
      <c r="A2006" s="1019"/>
      <c r="B2006" s="1019"/>
      <c r="C2006" s="1019"/>
      <c r="D2006" s="1019"/>
      <c r="E2006" s="1019"/>
      <c r="F2006" s="1019"/>
      <c r="G2006" s="1019"/>
      <c r="H2006" s="1019"/>
      <c r="I2006" s="1019"/>
      <c r="J2006" s="1019"/>
      <c r="K2006" s="1019"/>
      <c r="L2006" s="1140"/>
    </row>
    <row r="2007" spans="1:12" x14ac:dyDescent="0.35">
      <c r="A2007" s="1019"/>
      <c r="B2007" s="1019"/>
      <c r="C2007" s="1019"/>
      <c r="D2007" s="1019"/>
      <c r="E2007" s="1019"/>
      <c r="F2007" s="1019"/>
      <c r="G2007" s="1019"/>
      <c r="H2007" s="1019"/>
      <c r="I2007" s="1019"/>
      <c r="J2007" s="1019"/>
      <c r="K2007" s="1019"/>
      <c r="L2007" s="1140"/>
    </row>
    <row r="2008" spans="1:12" x14ac:dyDescent="0.35">
      <c r="A2008" s="1019"/>
      <c r="B2008" s="1019"/>
      <c r="C2008" s="1019"/>
      <c r="D2008" s="1019"/>
      <c r="E2008" s="1019"/>
      <c r="F2008" s="1019"/>
      <c r="G2008" s="1019"/>
      <c r="H2008" s="1019"/>
      <c r="I2008" s="1019"/>
      <c r="J2008" s="1019"/>
      <c r="K2008" s="1019"/>
      <c r="L2008" s="1140"/>
    </row>
    <row r="2009" spans="1:12" x14ac:dyDescent="0.35">
      <c r="A2009" s="1019"/>
      <c r="B2009" s="1019"/>
      <c r="C2009" s="1019"/>
      <c r="D2009" s="1019"/>
      <c r="E2009" s="1019"/>
      <c r="F2009" s="1019"/>
      <c r="G2009" s="1019"/>
      <c r="H2009" s="1019"/>
      <c r="I2009" s="1019"/>
      <c r="J2009" s="1019"/>
      <c r="K2009" s="1019"/>
      <c r="L2009" s="1140"/>
    </row>
    <row r="2010" spans="1:12" x14ac:dyDescent="0.35">
      <c r="A2010" s="1019"/>
      <c r="B2010" s="1019"/>
      <c r="C2010" s="1019"/>
      <c r="D2010" s="1019"/>
      <c r="E2010" s="1019"/>
      <c r="F2010" s="1019"/>
      <c r="G2010" s="1019"/>
      <c r="H2010" s="1019"/>
      <c r="I2010" s="1019"/>
      <c r="J2010" s="1019"/>
      <c r="K2010" s="1019"/>
      <c r="L2010" s="1140"/>
    </row>
    <row r="2011" spans="1:12" x14ac:dyDescent="0.35">
      <c r="A2011" s="1019"/>
      <c r="B2011" s="1019"/>
      <c r="C2011" s="1019"/>
      <c r="D2011" s="1019"/>
      <c r="E2011" s="1019"/>
      <c r="F2011" s="1019"/>
      <c r="G2011" s="1019"/>
      <c r="H2011" s="1019"/>
      <c r="I2011" s="1019"/>
      <c r="J2011" s="1019"/>
      <c r="K2011" s="1019"/>
      <c r="L2011" s="1140"/>
    </row>
    <row r="2012" spans="1:12" x14ac:dyDescent="0.35">
      <c r="A2012" s="1019"/>
      <c r="B2012" s="1019"/>
      <c r="C2012" s="1019"/>
      <c r="D2012" s="1019"/>
      <c r="E2012" s="1019"/>
      <c r="F2012" s="1019"/>
      <c r="G2012" s="1019"/>
      <c r="H2012" s="1019"/>
      <c r="I2012" s="1019"/>
      <c r="J2012" s="1019"/>
      <c r="K2012" s="1019"/>
      <c r="L2012" s="1140"/>
    </row>
    <row r="2013" spans="1:12" x14ac:dyDescent="0.35">
      <c r="A2013" s="1019"/>
      <c r="B2013" s="1019"/>
      <c r="C2013" s="1019"/>
      <c r="D2013" s="1019"/>
      <c r="E2013" s="1019"/>
      <c r="F2013" s="1019"/>
      <c r="G2013" s="1019"/>
      <c r="H2013" s="1019"/>
      <c r="I2013" s="1019"/>
      <c r="J2013" s="1019"/>
      <c r="K2013" s="1019"/>
      <c r="L2013" s="1140"/>
    </row>
    <row r="2014" spans="1:12" x14ac:dyDescent="0.35">
      <c r="A2014" s="1019"/>
      <c r="B2014" s="1019"/>
      <c r="C2014" s="1019"/>
      <c r="D2014" s="1019"/>
      <c r="E2014" s="1019"/>
      <c r="F2014" s="1019"/>
      <c r="G2014" s="1019"/>
      <c r="H2014" s="1019"/>
      <c r="I2014" s="1019"/>
      <c r="J2014" s="1019"/>
      <c r="K2014" s="1019"/>
      <c r="L2014" s="1140"/>
    </row>
    <row r="2015" spans="1:12" x14ac:dyDescent="0.35">
      <c r="A2015" s="1019"/>
      <c r="B2015" s="1019"/>
      <c r="C2015" s="1019"/>
      <c r="D2015" s="1019"/>
      <c r="E2015" s="1019"/>
      <c r="F2015" s="1019"/>
      <c r="G2015" s="1019"/>
      <c r="H2015" s="1019"/>
      <c r="I2015" s="1019"/>
      <c r="J2015" s="1019"/>
      <c r="K2015" s="1019"/>
      <c r="L2015" s="1140"/>
    </row>
    <row r="2016" spans="1:12" x14ac:dyDescent="0.35">
      <c r="A2016" s="1019"/>
      <c r="B2016" s="1019"/>
      <c r="C2016" s="1019"/>
      <c r="D2016" s="1019"/>
      <c r="E2016" s="1019"/>
      <c r="F2016" s="1019"/>
      <c r="G2016" s="1019"/>
      <c r="H2016" s="1019"/>
      <c r="I2016" s="1019"/>
      <c r="J2016" s="1019"/>
      <c r="K2016" s="1019"/>
      <c r="L2016" s="1140"/>
    </row>
    <row r="2017" spans="1:12" x14ac:dyDescent="0.35">
      <c r="A2017" s="1019"/>
      <c r="B2017" s="1019"/>
      <c r="C2017" s="1019"/>
      <c r="D2017" s="1019"/>
      <c r="E2017" s="1019"/>
      <c r="F2017" s="1019"/>
      <c r="G2017" s="1019"/>
      <c r="H2017" s="1019"/>
      <c r="I2017" s="1019"/>
      <c r="J2017" s="1019"/>
      <c r="K2017" s="1019"/>
      <c r="L2017" s="1140"/>
    </row>
    <row r="2018" spans="1:12" x14ac:dyDescent="0.35">
      <c r="A2018" s="1019"/>
      <c r="B2018" s="1019"/>
      <c r="C2018" s="1019"/>
      <c r="D2018" s="1019"/>
      <c r="E2018" s="1019"/>
      <c r="F2018" s="1019"/>
      <c r="G2018" s="1019"/>
      <c r="H2018" s="1019"/>
      <c r="I2018" s="1019"/>
      <c r="J2018" s="1019"/>
      <c r="K2018" s="1019"/>
      <c r="L2018" s="1140"/>
    </row>
    <row r="2019" spans="1:12" x14ac:dyDescent="0.35">
      <c r="A2019" s="1019"/>
      <c r="B2019" s="1019"/>
      <c r="C2019" s="1019"/>
      <c r="D2019" s="1019"/>
      <c r="E2019" s="1019"/>
      <c r="F2019" s="1019"/>
      <c r="G2019" s="1019"/>
      <c r="H2019" s="1019"/>
      <c r="I2019" s="1019"/>
      <c r="J2019" s="1019"/>
      <c r="K2019" s="1019"/>
      <c r="L2019" s="1140"/>
    </row>
    <row r="2020" spans="1:12" x14ac:dyDescent="0.35">
      <c r="A2020" s="1019"/>
      <c r="B2020" s="1019"/>
      <c r="C2020" s="1019"/>
      <c r="D2020" s="1019"/>
      <c r="E2020" s="1019"/>
      <c r="F2020" s="1019"/>
      <c r="G2020" s="1019"/>
      <c r="H2020" s="1019"/>
      <c r="I2020" s="1019"/>
      <c r="J2020" s="1019"/>
      <c r="K2020" s="1019"/>
      <c r="L2020" s="1140"/>
    </row>
    <row r="2021" spans="1:12" x14ac:dyDescent="0.35">
      <c r="A2021" s="1019"/>
      <c r="B2021" s="1019"/>
      <c r="C2021" s="1019"/>
      <c r="D2021" s="1019"/>
      <c r="E2021" s="1019"/>
      <c r="F2021" s="1019"/>
      <c r="G2021" s="1019"/>
      <c r="H2021" s="1019"/>
      <c r="I2021" s="1019"/>
      <c r="J2021" s="1019"/>
      <c r="K2021" s="1019"/>
      <c r="L2021" s="1140"/>
    </row>
    <row r="2022" spans="1:12" x14ac:dyDescent="0.35">
      <c r="A2022" s="1019"/>
      <c r="B2022" s="1019"/>
      <c r="C2022" s="1019"/>
      <c r="D2022" s="1019"/>
      <c r="E2022" s="1019"/>
      <c r="F2022" s="1019"/>
      <c r="G2022" s="1019"/>
      <c r="H2022" s="1019"/>
      <c r="I2022" s="1019"/>
      <c r="J2022" s="1019"/>
      <c r="K2022" s="1019"/>
      <c r="L2022" s="1140"/>
    </row>
    <row r="2023" spans="1:12" x14ac:dyDescent="0.35">
      <c r="A2023" s="1019"/>
      <c r="B2023" s="1019"/>
      <c r="C2023" s="1019"/>
      <c r="D2023" s="1019"/>
      <c r="E2023" s="1019"/>
      <c r="F2023" s="1019"/>
      <c r="G2023" s="1019"/>
      <c r="H2023" s="1019"/>
      <c r="I2023" s="1019"/>
      <c r="J2023" s="1019"/>
      <c r="K2023" s="1019"/>
      <c r="L2023" s="1140"/>
    </row>
    <row r="2024" spans="1:12" x14ac:dyDescent="0.35">
      <c r="A2024" s="1019"/>
      <c r="B2024" s="1019"/>
      <c r="C2024" s="1019"/>
      <c r="D2024" s="1019"/>
      <c r="E2024" s="1019"/>
      <c r="F2024" s="1019"/>
      <c r="G2024" s="1019"/>
      <c r="H2024" s="1019"/>
      <c r="I2024" s="1019"/>
      <c r="J2024" s="1019"/>
      <c r="K2024" s="1019"/>
      <c r="L2024" s="1140"/>
    </row>
    <row r="2025" spans="1:12" x14ac:dyDescent="0.35">
      <c r="A2025" s="1019"/>
      <c r="B2025" s="1019"/>
      <c r="C2025" s="1019"/>
      <c r="D2025" s="1019"/>
      <c r="E2025" s="1019"/>
      <c r="F2025" s="1019"/>
      <c r="G2025" s="1019"/>
      <c r="H2025" s="1019"/>
      <c r="I2025" s="1019"/>
      <c r="J2025" s="1019"/>
      <c r="K2025" s="1019"/>
      <c r="L2025" s="1140"/>
    </row>
    <row r="2026" spans="1:12" x14ac:dyDescent="0.35">
      <c r="A2026" s="1019"/>
      <c r="B2026" s="1019"/>
      <c r="C2026" s="1019"/>
      <c r="D2026" s="1019"/>
      <c r="E2026" s="1019"/>
      <c r="F2026" s="1019"/>
      <c r="G2026" s="1019"/>
      <c r="H2026" s="1019"/>
      <c r="I2026" s="1019"/>
      <c r="J2026" s="1019"/>
      <c r="K2026" s="1019"/>
      <c r="L2026" s="1140"/>
    </row>
    <row r="2027" spans="1:12" x14ac:dyDescent="0.35">
      <c r="A2027" s="1019"/>
      <c r="B2027" s="1019"/>
      <c r="C2027" s="1019"/>
      <c r="D2027" s="1019"/>
      <c r="E2027" s="1019"/>
      <c r="F2027" s="1019"/>
      <c r="G2027" s="1019"/>
      <c r="H2027" s="1019"/>
      <c r="I2027" s="1019"/>
      <c r="J2027" s="1019"/>
      <c r="K2027" s="1019"/>
      <c r="L2027" s="1140"/>
    </row>
    <row r="2028" spans="1:12" x14ac:dyDescent="0.35">
      <c r="A2028" s="1019"/>
      <c r="B2028" s="1019"/>
      <c r="C2028" s="1019"/>
      <c r="D2028" s="1019"/>
      <c r="E2028" s="1019"/>
      <c r="F2028" s="1019"/>
      <c r="G2028" s="1019"/>
      <c r="H2028" s="1019"/>
      <c r="I2028" s="1019"/>
      <c r="J2028" s="1019"/>
      <c r="K2028" s="1019"/>
      <c r="L2028" s="1140"/>
    </row>
    <row r="2029" spans="1:12" x14ac:dyDescent="0.35">
      <c r="A2029" s="1019"/>
      <c r="B2029" s="1019"/>
      <c r="C2029" s="1019"/>
      <c r="D2029" s="1019"/>
      <c r="E2029" s="1019"/>
      <c r="F2029" s="1019"/>
      <c r="G2029" s="1019"/>
      <c r="H2029" s="1019"/>
      <c r="I2029" s="1019"/>
      <c r="J2029" s="1019"/>
      <c r="K2029" s="1019"/>
      <c r="L2029" s="1140"/>
    </row>
    <row r="2030" spans="1:12" x14ac:dyDescent="0.35">
      <c r="A2030" s="1019"/>
      <c r="B2030" s="1019"/>
      <c r="C2030" s="1019"/>
      <c r="D2030" s="1019"/>
      <c r="E2030" s="1019"/>
      <c r="F2030" s="1019"/>
      <c r="G2030" s="1019"/>
      <c r="H2030" s="1019"/>
      <c r="I2030" s="1019"/>
      <c r="J2030" s="1019"/>
      <c r="K2030" s="1019"/>
      <c r="L2030" s="1140"/>
    </row>
    <row r="2031" spans="1:12" x14ac:dyDescent="0.35">
      <c r="A2031" s="1019"/>
      <c r="B2031" s="1019"/>
      <c r="C2031" s="1019"/>
      <c r="D2031" s="1019"/>
      <c r="E2031" s="1019"/>
      <c r="F2031" s="1019"/>
      <c r="G2031" s="1019"/>
      <c r="H2031" s="1019"/>
      <c r="I2031" s="1019"/>
      <c r="J2031" s="1019"/>
      <c r="K2031" s="1019"/>
      <c r="L2031" s="1140"/>
    </row>
    <row r="2032" spans="1:12" x14ac:dyDescent="0.35">
      <c r="A2032" s="1019"/>
      <c r="B2032" s="1019"/>
      <c r="C2032" s="1019"/>
      <c r="D2032" s="1019"/>
      <c r="E2032" s="1019"/>
      <c r="F2032" s="1019"/>
      <c r="G2032" s="1019"/>
      <c r="H2032" s="1019"/>
      <c r="I2032" s="1019"/>
      <c r="J2032" s="1019"/>
      <c r="K2032" s="1019"/>
      <c r="L2032" s="1140"/>
    </row>
    <row r="2033" spans="1:12" x14ac:dyDescent="0.35">
      <c r="A2033" s="1019"/>
      <c r="B2033" s="1019"/>
      <c r="C2033" s="1019"/>
      <c r="D2033" s="1019"/>
      <c r="E2033" s="1019"/>
      <c r="F2033" s="1019"/>
      <c r="G2033" s="1019"/>
      <c r="H2033" s="1019"/>
      <c r="I2033" s="1019"/>
      <c r="J2033" s="1019"/>
      <c r="K2033" s="1019"/>
      <c r="L2033" s="1140"/>
    </row>
    <row r="2034" spans="1:12" x14ac:dyDescent="0.35">
      <c r="A2034" s="1019"/>
      <c r="B2034" s="1019"/>
      <c r="C2034" s="1019"/>
      <c r="D2034" s="1019"/>
      <c r="E2034" s="1019"/>
      <c r="F2034" s="1019"/>
      <c r="G2034" s="1019"/>
      <c r="H2034" s="1019"/>
      <c r="I2034" s="1019"/>
      <c r="J2034" s="1019"/>
      <c r="K2034" s="1019"/>
      <c r="L2034" s="1140"/>
    </row>
    <row r="2035" spans="1:12" x14ac:dyDescent="0.35">
      <c r="A2035" s="1019"/>
      <c r="B2035" s="1019"/>
      <c r="C2035" s="1019"/>
      <c r="D2035" s="1019"/>
      <c r="E2035" s="1019"/>
      <c r="F2035" s="1019"/>
      <c r="G2035" s="1019"/>
      <c r="H2035" s="1019"/>
      <c r="I2035" s="1019"/>
      <c r="J2035" s="1019"/>
      <c r="K2035" s="1019"/>
      <c r="L2035" s="1140"/>
    </row>
    <row r="2036" spans="1:12" x14ac:dyDescent="0.35">
      <c r="A2036" s="1019"/>
      <c r="B2036" s="1019"/>
      <c r="C2036" s="1019"/>
      <c r="D2036" s="1019"/>
      <c r="E2036" s="1019"/>
      <c r="F2036" s="1019"/>
      <c r="G2036" s="1019"/>
      <c r="H2036" s="1019"/>
      <c r="I2036" s="1019"/>
      <c r="J2036" s="1019"/>
      <c r="K2036" s="1019"/>
      <c r="L2036" s="1140"/>
    </row>
    <row r="2037" spans="1:12" x14ac:dyDescent="0.35">
      <c r="A2037" s="1019"/>
      <c r="B2037" s="1019"/>
      <c r="C2037" s="1019"/>
      <c r="D2037" s="1019"/>
      <c r="E2037" s="1019"/>
      <c r="F2037" s="1019"/>
      <c r="G2037" s="1019"/>
      <c r="H2037" s="1019"/>
      <c r="I2037" s="1019"/>
      <c r="J2037" s="1019"/>
      <c r="K2037" s="1019"/>
      <c r="L2037" s="1140"/>
    </row>
    <row r="2038" spans="1:12" x14ac:dyDescent="0.35">
      <c r="A2038" s="1019"/>
      <c r="B2038" s="1019"/>
      <c r="C2038" s="1019"/>
      <c r="D2038" s="1019"/>
      <c r="E2038" s="1019"/>
      <c r="F2038" s="1019"/>
      <c r="G2038" s="1019"/>
      <c r="H2038" s="1019"/>
      <c r="I2038" s="1019"/>
      <c r="J2038" s="1019"/>
      <c r="K2038" s="1019"/>
      <c r="L2038" s="1140"/>
    </row>
    <row r="2039" spans="1:12" x14ac:dyDescent="0.35">
      <c r="A2039" s="1019"/>
      <c r="B2039" s="1019"/>
      <c r="C2039" s="1019"/>
      <c r="D2039" s="1019"/>
      <c r="E2039" s="1019"/>
      <c r="F2039" s="1019"/>
      <c r="G2039" s="1019"/>
      <c r="H2039" s="1019"/>
      <c r="I2039" s="1019"/>
      <c r="J2039" s="1019"/>
      <c r="K2039" s="1019"/>
      <c r="L2039" s="1140"/>
    </row>
    <row r="2040" spans="1:12" x14ac:dyDescent="0.35">
      <c r="A2040" s="1019"/>
      <c r="B2040" s="1019"/>
      <c r="C2040" s="1019"/>
      <c r="D2040" s="1019"/>
      <c r="E2040" s="1019"/>
      <c r="F2040" s="1019"/>
      <c r="G2040" s="1019"/>
      <c r="H2040" s="1019"/>
      <c r="I2040" s="1019"/>
      <c r="J2040" s="1019"/>
      <c r="K2040" s="1019"/>
      <c r="L2040" s="1140"/>
    </row>
    <row r="2041" spans="1:12" x14ac:dyDescent="0.35">
      <c r="A2041" s="1019"/>
      <c r="B2041" s="1019"/>
      <c r="C2041" s="1019"/>
      <c r="D2041" s="1019"/>
      <c r="E2041" s="1019"/>
      <c r="F2041" s="1019"/>
      <c r="G2041" s="1019"/>
      <c r="H2041" s="1019"/>
      <c r="I2041" s="1019"/>
      <c r="J2041" s="1019"/>
      <c r="K2041" s="1019"/>
      <c r="L2041" s="1140"/>
    </row>
    <row r="2042" spans="1:12" x14ac:dyDescent="0.35">
      <c r="A2042" s="1019"/>
      <c r="B2042" s="1019"/>
      <c r="C2042" s="1019"/>
      <c r="D2042" s="1019"/>
      <c r="E2042" s="1019"/>
      <c r="F2042" s="1019"/>
      <c r="G2042" s="1019"/>
      <c r="H2042" s="1019"/>
      <c r="I2042" s="1019"/>
      <c r="J2042" s="1019"/>
      <c r="K2042" s="1019"/>
      <c r="L2042" s="1140"/>
    </row>
    <row r="2043" spans="1:12" x14ac:dyDescent="0.35">
      <c r="A2043" s="1019"/>
      <c r="B2043" s="1019"/>
      <c r="C2043" s="1019"/>
      <c r="D2043" s="1019"/>
      <c r="E2043" s="1019"/>
      <c r="F2043" s="1019"/>
      <c r="G2043" s="1019"/>
      <c r="H2043" s="1019"/>
      <c r="I2043" s="1019"/>
      <c r="J2043" s="1019"/>
      <c r="K2043" s="1019"/>
      <c r="L2043" s="1140"/>
    </row>
    <row r="2044" spans="1:12" x14ac:dyDescent="0.35">
      <c r="A2044" s="1019"/>
      <c r="B2044" s="1019"/>
      <c r="C2044" s="1019"/>
      <c r="D2044" s="1019"/>
      <c r="E2044" s="1019"/>
      <c r="F2044" s="1019"/>
      <c r="G2044" s="1019"/>
      <c r="H2044" s="1019"/>
      <c r="I2044" s="1019"/>
      <c r="J2044" s="1019"/>
      <c r="K2044" s="1019"/>
      <c r="L2044" s="1140"/>
    </row>
    <row r="2045" spans="1:12" x14ac:dyDescent="0.35">
      <c r="A2045" s="1019"/>
      <c r="B2045" s="1019"/>
      <c r="C2045" s="1019"/>
      <c r="D2045" s="1019"/>
      <c r="E2045" s="1019"/>
      <c r="F2045" s="1019"/>
      <c r="G2045" s="1019"/>
      <c r="H2045" s="1019"/>
      <c r="I2045" s="1019"/>
      <c r="J2045" s="1019"/>
      <c r="K2045" s="1019"/>
      <c r="L2045" s="1140"/>
    </row>
    <row r="2046" spans="1:12" x14ac:dyDescent="0.35">
      <c r="A2046" s="1019"/>
      <c r="B2046" s="1019"/>
      <c r="C2046" s="1019"/>
      <c r="D2046" s="1019"/>
      <c r="E2046" s="1019"/>
      <c r="F2046" s="1019"/>
      <c r="G2046" s="1019"/>
      <c r="H2046" s="1019"/>
      <c r="I2046" s="1019"/>
      <c r="J2046" s="1019"/>
      <c r="K2046" s="1019"/>
      <c r="L2046" s="1140"/>
    </row>
    <row r="2047" spans="1:12" x14ac:dyDescent="0.35">
      <c r="A2047" s="1019"/>
      <c r="B2047" s="1019"/>
      <c r="C2047" s="1019"/>
      <c r="D2047" s="1019"/>
      <c r="E2047" s="1019"/>
      <c r="F2047" s="1019"/>
      <c r="G2047" s="1019"/>
      <c r="H2047" s="1019"/>
      <c r="I2047" s="1019"/>
      <c r="J2047" s="1019"/>
      <c r="K2047" s="1019"/>
      <c r="L2047" s="1140"/>
    </row>
    <row r="2048" spans="1:12" x14ac:dyDescent="0.35">
      <c r="A2048" s="1019"/>
      <c r="B2048" s="1019"/>
      <c r="C2048" s="1019"/>
      <c r="D2048" s="1019"/>
      <c r="E2048" s="1019"/>
      <c r="F2048" s="1019"/>
      <c r="G2048" s="1019"/>
      <c r="H2048" s="1019"/>
      <c r="I2048" s="1019"/>
      <c r="J2048" s="1019"/>
      <c r="K2048" s="1019"/>
      <c r="L2048" s="1140"/>
    </row>
    <row r="2049" spans="1:12" x14ac:dyDescent="0.35">
      <c r="A2049" s="1019"/>
      <c r="B2049" s="1019"/>
      <c r="C2049" s="1019"/>
      <c r="D2049" s="1019"/>
      <c r="E2049" s="1019"/>
      <c r="F2049" s="1019"/>
      <c r="G2049" s="1019"/>
      <c r="H2049" s="1019"/>
      <c r="I2049" s="1019"/>
      <c r="J2049" s="1019"/>
      <c r="K2049" s="1019"/>
      <c r="L2049" s="1140"/>
    </row>
    <row r="2050" spans="1:12" x14ac:dyDescent="0.35">
      <c r="A2050" s="1019"/>
      <c r="B2050" s="1019"/>
      <c r="C2050" s="1019"/>
      <c r="D2050" s="1019"/>
      <c r="E2050" s="1019"/>
      <c r="F2050" s="1019"/>
      <c r="G2050" s="1019"/>
      <c r="H2050" s="1019"/>
      <c r="I2050" s="1019"/>
      <c r="J2050" s="1019"/>
      <c r="K2050" s="1019"/>
      <c r="L2050" s="1140"/>
    </row>
    <row r="2051" spans="1:12" x14ac:dyDescent="0.35">
      <c r="A2051" s="1019"/>
      <c r="B2051" s="1019"/>
      <c r="C2051" s="1019"/>
      <c r="D2051" s="1019"/>
      <c r="E2051" s="1019"/>
      <c r="F2051" s="1019"/>
      <c r="G2051" s="1019"/>
      <c r="H2051" s="1019"/>
      <c r="I2051" s="1019"/>
      <c r="J2051" s="1019"/>
      <c r="K2051" s="1019"/>
      <c r="L2051" s="1140"/>
    </row>
    <row r="2052" spans="1:12" x14ac:dyDescent="0.35">
      <c r="A2052" s="1019"/>
      <c r="B2052" s="1019"/>
      <c r="C2052" s="1019"/>
      <c r="D2052" s="1019"/>
      <c r="E2052" s="1019"/>
      <c r="F2052" s="1019"/>
      <c r="G2052" s="1019"/>
      <c r="H2052" s="1019"/>
      <c r="I2052" s="1019"/>
      <c r="J2052" s="1019"/>
      <c r="K2052" s="1019"/>
      <c r="L2052" s="1140"/>
    </row>
    <row r="2053" spans="1:12" x14ac:dyDescent="0.35">
      <c r="A2053" s="1019"/>
      <c r="B2053" s="1019"/>
      <c r="C2053" s="1019"/>
      <c r="D2053" s="1019"/>
      <c r="E2053" s="1019"/>
      <c r="F2053" s="1019"/>
      <c r="G2053" s="1019"/>
      <c r="H2053" s="1019"/>
      <c r="I2053" s="1019"/>
      <c r="J2053" s="1019"/>
      <c r="K2053" s="1019"/>
      <c r="L2053" s="1140"/>
    </row>
    <row r="2054" spans="1:12" x14ac:dyDescent="0.35">
      <c r="A2054" s="1019"/>
      <c r="B2054" s="1019"/>
      <c r="C2054" s="1019"/>
      <c r="D2054" s="1019"/>
      <c r="E2054" s="1019"/>
      <c r="F2054" s="1019"/>
      <c r="G2054" s="1019"/>
      <c r="H2054" s="1019"/>
      <c r="I2054" s="1019"/>
      <c r="J2054" s="1019"/>
      <c r="K2054" s="1019"/>
      <c r="L2054" s="1140"/>
    </row>
    <row r="2055" spans="1:12" x14ac:dyDescent="0.35">
      <c r="A2055" s="1019"/>
      <c r="B2055" s="1019"/>
      <c r="C2055" s="1019"/>
      <c r="D2055" s="1019"/>
      <c r="E2055" s="1019"/>
      <c r="F2055" s="1019"/>
      <c r="G2055" s="1019"/>
      <c r="H2055" s="1019"/>
      <c r="I2055" s="1019"/>
      <c r="J2055" s="1019"/>
      <c r="K2055" s="1019"/>
      <c r="L2055" s="1140"/>
    </row>
    <row r="2056" spans="1:12" x14ac:dyDescent="0.35">
      <c r="A2056" s="1019"/>
      <c r="B2056" s="1019"/>
      <c r="C2056" s="1019"/>
      <c r="D2056" s="1019"/>
      <c r="E2056" s="1019"/>
      <c r="F2056" s="1019"/>
      <c r="G2056" s="1019"/>
      <c r="H2056" s="1019"/>
      <c r="I2056" s="1019"/>
      <c r="J2056" s="1019"/>
      <c r="K2056" s="1019"/>
      <c r="L2056" s="1140"/>
    </row>
    <row r="2057" spans="1:12" x14ac:dyDescent="0.35">
      <c r="A2057" s="1019"/>
      <c r="B2057" s="1019"/>
      <c r="C2057" s="1019"/>
      <c r="D2057" s="1019"/>
      <c r="E2057" s="1019"/>
      <c r="F2057" s="1019"/>
      <c r="G2057" s="1019"/>
      <c r="H2057" s="1019"/>
      <c r="I2057" s="1019"/>
      <c r="J2057" s="1019"/>
      <c r="K2057" s="1019"/>
      <c r="L2057" s="1140"/>
    </row>
    <row r="2058" spans="1:12" x14ac:dyDescent="0.35">
      <c r="A2058" s="1019"/>
      <c r="B2058" s="1019"/>
      <c r="C2058" s="1019"/>
      <c r="D2058" s="1019"/>
      <c r="E2058" s="1019"/>
      <c r="F2058" s="1019"/>
      <c r="G2058" s="1019"/>
      <c r="H2058" s="1019"/>
      <c r="I2058" s="1019"/>
      <c r="J2058" s="1019"/>
      <c r="K2058" s="1019"/>
      <c r="L2058" s="1140"/>
    </row>
    <row r="2059" spans="1:12" x14ac:dyDescent="0.35">
      <c r="A2059" s="1019"/>
      <c r="B2059" s="1019"/>
      <c r="C2059" s="1019"/>
      <c r="D2059" s="1019"/>
      <c r="E2059" s="1019"/>
      <c r="F2059" s="1019"/>
      <c r="G2059" s="1019"/>
      <c r="H2059" s="1019"/>
      <c r="I2059" s="1019"/>
      <c r="J2059" s="1019"/>
      <c r="K2059" s="1019"/>
      <c r="L2059" s="1140"/>
    </row>
    <row r="2060" spans="1:12" x14ac:dyDescent="0.35">
      <c r="A2060" s="1019"/>
      <c r="B2060" s="1019"/>
      <c r="C2060" s="1019"/>
      <c r="D2060" s="1019"/>
      <c r="E2060" s="1019"/>
      <c r="F2060" s="1019"/>
      <c r="G2060" s="1019"/>
      <c r="H2060" s="1019"/>
      <c r="I2060" s="1019"/>
      <c r="J2060" s="1019"/>
      <c r="K2060" s="1019"/>
      <c r="L2060" s="1140"/>
    </row>
    <row r="2061" spans="1:12" x14ac:dyDescent="0.35">
      <c r="A2061" s="1019"/>
      <c r="B2061" s="1019"/>
      <c r="C2061" s="1019"/>
      <c r="D2061" s="1019"/>
      <c r="E2061" s="1019"/>
      <c r="F2061" s="1019"/>
      <c r="G2061" s="1019"/>
      <c r="H2061" s="1019"/>
      <c r="I2061" s="1019"/>
      <c r="J2061" s="1019"/>
      <c r="K2061" s="1019"/>
      <c r="L2061" s="1140"/>
    </row>
    <row r="2062" spans="1:12" x14ac:dyDescent="0.35">
      <c r="A2062" s="1019"/>
      <c r="B2062" s="1019"/>
      <c r="C2062" s="1019"/>
      <c r="D2062" s="1019"/>
      <c r="E2062" s="1019"/>
      <c r="F2062" s="1019"/>
      <c r="G2062" s="1019"/>
      <c r="H2062" s="1019"/>
      <c r="I2062" s="1019"/>
      <c r="J2062" s="1019"/>
      <c r="K2062" s="1019"/>
      <c r="L2062" s="1140"/>
    </row>
    <row r="2063" spans="1:12" x14ac:dyDescent="0.35">
      <c r="A2063" s="1019"/>
      <c r="B2063" s="1019"/>
      <c r="C2063" s="1019"/>
      <c r="D2063" s="1019"/>
      <c r="E2063" s="1019"/>
      <c r="F2063" s="1019"/>
      <c r="G2063" s="1019"/>
      <c r="H2063" s="1019"/>
      <c r="I2063" s="1019"/>
      <c r="J2063" s="1019"/>
      <c r="K2063" s="1019"/>
      <c r="L2063" s="1140"/>
    </row>
    <row r="2064" spans="1:12" x14ac:dyDescent="0.35">
      <c r="A2064" s="1019"/>
      <c r="B2064" s="1019"/>
      <c r="C2064" s="1019"/>
      <c r="D2064" s="1019"/>
      <c r="E2064" s="1019"/>
      <c r="F2064" s="1019"/>
      <c r="G2064" s="1019"/>
      <c r="H2064" s="1019"/>
      <c r="I2064" s="1019"/>
      <c r="J2064" s="1019"/>
      <c r="K2064" s="1019"/>
      <c r="L2064" s="1140"/>
    </row>
    <row r="2065" spans="1:12" x14ac:dyDescent="0.35">
      <c r="A2065" s="1019"/>
      <c r="B2065" s="1019"/>
      <c r="C2065" s="1019"/>
      <c r="D2065" s="1019"/>
      <c r="E2065" s="1019"/>
      <c r="F2065" s="1019"/>
      <c r="G2065" s="1019"/>
      <c r="H2065" s="1019"/>
      <c r="I2065" s="1019"/>
      <c r="J2065" s="1019"/>
      <c r="K2065" s="1019"/>
      <c r="L2065" s="1140"/>
    </row>
    <row r="2066" spans="1:12" x14ac:dyDescent="0.35">
      <c r="A2066" s="1019"/>
      <c r="B2066" s="1019"/>
      <c r="C2066" s="1019"/>
      <c r="D2066" s="1019"/>
      <c r="E2066" s="1019"/>
      <c r="F2066" s="1019"/>
      <c r="G2066" s="1019"/>
      <c r="H2066" s="1019"/>
      <c r="I2066" s="1019"/>
      <c r="J2066" s="1019"/>
      <c r="K2066" s="1019"/>
      <c r="L2066" s="1140"/>
    </row>
    <row r="2067" spans="1:12" x14ac:dyDescent="0.35">
      <c r="A2067" s="1019"/>
      <c r="B2067" s="1019"/>
      <c r="C2067" s="1019"/>
      <c r="D2067" s="1019"/>
      <c r="E2067" s="1019"/>
      <c r="F2067" s="1019"/>
      <c r="G2067" s="1019"/>
      <c r="H2067" s="1019"/>
      <c r="I2067" s="1019"/>
      <c r="J2067" s="1019"/>
      <c r="K2067" s="1019"/>
      <c r="L2067" s="1140"/>
    </row>
    <row r="2068" spans="1:12" x14ac:dyDescent="0.35">
      <c r="A2068" s="1019"/>
      <c r="B2068" s="1019"/>
      <c r="C2068" s="1019"/>
      <c r="D2068" s="1019"/>
      <c r="E2068" s="1019"/>
      <c r="F2068" s="1019"/>
      <c r="G2068" s="1019"/>
      <c r="H2068" s="1019"/>
      <c r="I2068" s="1019"/>
      <c r="J2068" s="1019"/>
      <c r="K2068" s="1019"/>
      <c r="L2068" s="1140"/>
    </row>
    <row r="2069" spans="1:12" x14ac:dyDescent="0.35">
      <c r="A2069" s="1019"/>
      <c r="B2069" s="1019"/>
      <c r="C2069" s="1019"/>
      <c r="D2069" s="1019"/>
      <c r="E2069" s="1019"/>
      <c r="F2069" s="1019"/>
      <c r="G2069" s="1019"/>
      <c r="H2069" s="1019"/>
      <c r="I2069" s="1019"/>
      <c r="J2069" s="1019"/>
      <c r="K2069" s="1019"/>
      <c r="L2069" s="1140"/>
    </row>
    <row r="2070" spans="1:12" x14ac:dyDescent="0.35">
      <c r="A2070" s="1019"/>
      <c r="B2070" s="1019"/>
      <c r="C2070" s="1019"/>
      <c r="D2070" s="1019"/>
      <c r="E2070" s="1019"/>
      <c r="F2070" s="1019"/>
      <c r="G2070" s="1019"/>
      <c r="H2070" s="1019"/>
      <c r="I2070" s="1019"/>
      <c r="J2070" s="1019"/>
      <c r="K2070" s="1019"/>
      <c r="L2070" s="1140"/>
    </row>
    <row r="2071" spans="1:12" x14ac:dyDescent="0.35">
      <c r="A2071" s="1019"/>
      <c r="B2071" s="1019"/>
      <c r="C2071" s="1019"/>
      <c r="D2071" s="1019"/>
      <c r="E2071" s="1019"/>
      <c r="F2071" s="1019"/>
      <c r="G2071" s="1019"/>
      <c r="H2071" s="1019"/>
      <c r="I2071" s="1019"/>
      <c r="J2071" s="1019"/>
      <c r="K2071" s="1019"/>
      <c r="L2071" s="1140"/>
    </row>
    <row r="2072" spans="1:12" x14ac:dyDescent="0.35">
      <c r="A2072" s="1019"/>
      <c r="B2072" s="1019"/>
      <c r="C2072" s="1019"/>
      <c r="D2072" s="1019"/>
      <c r="E2072" s="1019"/>
      <c r="F2072" s="1019"/>
      <c r="G2072" s="1019"/>
      <c r="H2072" s="1019"/>
      <c r="I2072" s="1019"/>
      <c r="J2072" s="1019"/>
      <c r="K2072" s="1019"/>
      <c r="L2072" s="1140"/>
    </row>
    <row r="2073" spans="1:12" x14ac:dyDescent="0.35">
      <c r="A2073" s="1019"/>
      <c r="B2073" s="1019"/>
      <c r="C2073" s="1019"/>
      <c r="D2073" s="1019"/>
      <c r="E2073" s="1019"/>
      <c r="F2073" s="1019"/>
      <c r="G2073" s="1019"/>
      <c r="H2073" s="1019"/>
      <c r="I2073" s="1019"/>
      <c r="J2073" s="1019"/>
      <c r="K2073" s="1019"/>
      <c r="L2073" s="1140"/>
    </row>
    <row r="2074" spans="1:12" x14ac:dyDescent="0.35">
      <c r="A2074" s="1019"/>
      <c r="B2074" s="1019"/>
      <c r="C2074" s="1019"/>
      <c r="D2074" s="1019"/>
      <c r="E2074" s="1019"/>
      <c r="F2074" s="1019"/>
      <c r="G2074" s="1019"/>
      <c r="H2074" s="1019"/>
      <c r="I2074" s="1019"/>
      <c r="J2074" s="1019"/>
      <c r="K2074" s="1019"/>
      <c r="L2074" s="1140"/>
    </row>
    <row r="2075" spans="1:12" x14ac:dyDescent="0.35">
      <c r="A2075" s="1019"/>
      <c r="B2075" s="1019"/>
      <c r="C2075" s="1019"/>
      <c r="D2075" s="1019"/>
      <c r="E2075" s="1019"/>
      <c r="F2075" s="1019"/>
      <c r="G2075" s="1019"/>
      <c r="H2075" s="1019"/>
      <c r="I2075" s="1019"/>
      <c r="J2075" s="1019"/>
      <c r="K2075" s="1019"/>
      <c r="L2075" s="1140"/>
    </row>
    <row r="2076" spans="1:12" x14ac:dyDescent="0.35">
      <c r="A2076" s="1019"/>
      <c r="B2076" s="1019"/>
      <c r="C2076" s="1019"/>
      <c r="D2076" s="1019"/>
      <c r="E2076" s="1019"/>
      <c r="F2076" s="1019"/>
      <c r="G2076" s="1019"/>
      <c r="H2076" s="1019"/>
      <c r="I2076" s="1019"/>
      <c r="J2076" s="1019"/>
      <c r="K2076" s="1019"/>
      <c r="L2076" s="1140"/>
    </row>
    <row r="2077" spans="1:12" x14ac:dyDescent="0.35">
      <c r="A2077" s="1019"/>
      <c r="B2077" s="1019"/>
      <c r="C2077" s="1019"/>
      <c r="D2077" s="1019"/>
      <c r="E2077" s="1019"/>
      <c r="F2077" s="1019"/>
      <c r="G2077" s="1019"/>
      <c r="H2077" s="1019"/>
      <c r="I2077" s="1019"/>
      <c r="J2077" s="1019"/>
      <c r="K2077" s="1019"/>
      <c r="L2077" s="1140"/>
    </row>
    <row r="2078" spans="1:12" x14ac:dyDescent="0.35">
      <c r="A2078" s="1019"/>
      <c r="B2078" s="1019"/>
      <c r="C2078" s="1019"/>
      <c r="D2078" s="1019"/>
      <c r="E2078" s="1019"/>
      <c r="F2078" s="1019"/>
      <c r="G2078" s="1019"/>
      <c r="H2078" s="1019"/>
      <c r="I2078" s="1019"/>
      <c r="J2078" s="1019"/>
      <c r="K2078" s="1019"/>
      <c r="L2078" s="1140"/>
    </row>
    <row r="2079" spans="1:12" x14ac:dyDescent="0.35">
      <c r="A2079" s="1019"/>
      <c r="B2079" s="1019"/>
      <c r="C2079" s="1019"/>
      <c r="D2079" s="1019"/>
      <c r="E2079" s="1019"/>
      <c r="F2079" s="1019"/>
      <c r="G2079" s="1019"/>
      <c r="H2079" s="1019"/>
      <c r="I2079" s="1019"/>
      <c r="J2079" s="1019"/>
      <c r="K2079" s="1019"/>
      <c r="L2079" s="1140"/>
    </row>
    <row r="2080" spans="1:12" x14ac:dyDescent="0.35">
      <c r="A2080" s="1019"/>
      <c r="B2080" s="1019"/>
      <c r="C2080" s="1019"/>
      <c r="D2080" s="1019"/>
      <c r="E2080" s="1019"/>
      <c r="F2080" s="1019"/>
      <c r="G2080" s="1019"/>
      <c r="H2080" s="1019"/>
      <c r="I2080" s="1019"/>
      <c r="J2080" s="1019"/>
      <c r="K2080" s="1019"/>
      <c r="L2080" s="1140"/>
    </row>
    <row r="2081" spans="1:12" x14ac:dyDescent="0.35">
      <c r="A2081" s="1019"/>
      <c r="B2081" s="1019"/>
      <c r="C2081" s="1019"/>
      <c r="D2081" s="1019"/>
      <c r="E2081" s="1019"/>
      <c r="F2081" s="1019"/>
      <c r="G2081" s="1019"/>
      <c r="H2081" s="1019"/>
      <c r="I2081" s="1019"/>
      <c r="J2081" s="1019"/>
      <c r="K2081" s="1019"/>
      <c r="L2081" s="1140"/>
    </row>
    <row r="2082" spans="1:12" x14ac:dyDescent="0.35">
      <c r="A2082" s="1019"/>
      <c r="B2082" s="1019"/>
      <c r="C2082" s="1019"/>
      <c r="D2082" s="1019"/>
      <c r="E2082" s="1019"/>
      <c r="F2082" s="1019"/>
      <c r="G2082" s="1019"/>
      <c r="H2082" s="1019"/>
      <c r="I2082" s="1019"/>
      <c r="J2082" s="1019"/>
      <c r="K2082" s="1019"/>
      <c r="L2082" s="1140"/>
    </row>
    <row r="2083" spans="1:12" x14ac:dyDescent="0.35">
      <c r="A2083" s="1019"/>
      <c r="B2083" s="1019"/>
      <c r="C2083" s="1019"/>
      <c r="D2083" s="1019"/>
      <c r="E2083" s="1019"/>
      <c r="F2083" s="1019"/>
      <c r="G2083" s="1019"/>
      <c r="H2083" s="1019"/>
      <c r="I2083" s="1019"/>
      <c r="J2083" s="1019"/>
      <c r="K2083" s="1019"/>
      <c r="L2083" s="1140"/>
    </row>
    <row r="2084" spans="1:12" x14ac:dyDescent="0.35">
      <c r="A2084" s="1019"/>
      <c r="B2084" s="1019"/>
      <c r="C2084" s="1019"/>
      <c r="D2084" s="1019"/>
      <c r="E2084" s="1019"/>
      <c r="F2084" s="1019"/>
      <c r="G2084" s="1019"/>
      <c r="H2084" s="1019"/>
      <c r="I2084" s="1019"/>
      <c r="J2084" s="1019"/>
      <c r="K2084" s="1019"/>
      <c r="L2084" s="1140"/>
    </row>
    <row r="2085" spans="1:12" x14ac:dyDescent="0.35">
      <c r="A2085" s="1019"/>
      <c r="B2085" s="1019"/>
      <c r="C2085" s="1019"/>
      <c r="D2085" s="1019"/>
      <c r="E2085" s="1019"/>
      <c r="F2085" s="1019"/>
      <c r="G2085" s="1019"/>
      <c r="H2085" s="1019"/>
      <c r="I2085" s="1019"/>
      <c r="J2085" s="1019"/>
      <c r="K2085" s="1019"/>
      <c r="L2085" s="1140"/>
    </row>
    <row r="2086" spans="1:12" x14ac:dyDescent="0.35">
      <c r="A2086" s="1019"/>
      <c r="B2086" s="1019"/>
      <c r="C2086" s="1019"/>
      <c r="D2086" s="1019"/>
      <c r="E2086" s="1019"/>
      <c r="F2086" s="1019"/>
      <c r="G2086" s="1019"/>
      <c r="H2086" s="1019"/>
      <c r="I2086" s="1019"/>
      <c r="J2086" s="1019"/>
      <c r="K2086" s="1019"/>
      <c r="L2086" s="1140"/>
    </row>
    <row r="2087" spans="1:12" x14ac:dyDescent="0.35">
      <c r="A2087" s="1019"/>
      <c r="B2087" s="1019"/>
      <c r="C2087" s="1019"/>
      <c r="D2087" s="1019"/>
      <c r="E2087" s="1019"/>
      <c r="F2087" s="1019"/>
      <c r="G2087" s="1019"/>
      <c r="H2087" s="1019"/>
      <c r="I2087" s="1019"/>
      <c r="J2087" s="1019"/>
      <c r="K2087" s="1019"/>
      <c r="L2087" s="1140"/>
    </row>
    <row r="2088" spans="1:12" x14ac:dyDescent="0.35">
      <c r="A2088" s="1019"/>
      <c r="B2088" s="1019"/>
      <c r="C2088" s="1019"/>
      <c r="D2088" s="1019"/>
      <c r="E2088" s="1019"/>
      <c r="F2088" s="1019"/>
      <c r="G2088" s="1019"/>
      <c r="H2088" s="1019"/>
      <c r="I2088" s="1019"/>
      <c r="J2088" s="1019"/>
      <c r="K2088" s="1019"/>
      <c r="L2088" s="1140"/>
    </row>
    <row r="2089" spans="1:12" x14ac:dyDescent="0.35">
      <c r="A2089" s="1019"/>
      <c r="B2089" s="1019"/>
      <c r="C2089" s="1019"/>
      <c r="D2089" s="1019"/>
      <c r="E2089" s="1019"/>
      <c r="F2089" s="1019"/>
      <c r="G2089" s="1019"/>
      <c r="H2089" s="1019"/>
      <c r="I2089" s="1019"/>
      <c r="J2089" s="1019"/>
      <c r="K2089" s="1019"/>
      <c r="L2089" s="1140"/>
    </row>
    <row r="2090" spans="1:12" x14ac:dyDescent="0.35">
      <c r="A2090" s="1019"/>
      <c r="B2090" s="1019"/>
      <c r="C2090" s="1019"/>
      <c r="D2090" s="1019"/>
      <c r="E2090" s="1019"/>
      <c r="F2090" s="1019"/>
      <c r="G2090" s="1019"/>
      <c r="H2090" s="1019"/>
      <c r="I2090" s="1019"/>
      <c r="J2090" s="1019"/>
      <c r="K2090" s="1019"/>
      <c r="L2090" s="1140"/>
    </row>
    <row r="2091" spans="1:12" x14ac:dyDescent="0.35">
      <c r="A2091" s="1019"/>
      <c r="B2091" s="1019"/>
      <c r="C2091" s="1019"/>
      <c r="D2091" s="1019"/>
      <c r="E2091" s="1019"/>
      <c r="F2091" s="1019"/>
      <c r="G2091" s="1019"/>
      <c r="H2091" s="1019"/>
      <c r="I2091" s="1019"/>
      <c r="J2091" s="1019"/>
      <c r="K2091" s="1019"/>
      <c r="L2091" s="1140"/>
    </row>
    <row r="2092" spans="1:12" x14ac:dyDescent="0.35">
      <c r="A2092" s="1019"/>
      <c r="B2092" s="1019"/>
      <c r="C2092" s="1019"/>
      <c r="D2092" s="1019"/>
      <c r="E2092" s="1019"/>
      <c r="F2092" s="1019"/>
      <c r="G2092" s="1019"/>
      <c r="H2092" s="1019"/>
      <c r="I2092" s="1019"/>
      <c r="J2092" s="1019"/>
      <c r="K2092" s="1019"/>
      <c r="L2092" s="1140"/>
    </row>
    <row r="2093" spans="1:12" x14ac:dyDescent="0.35">
      <c r="A2093" s="1019"/>
      <c r="B2093" s="1019"/>
      <c r="C2093" s="1019"/>
      <c r="D2093" s="1019"/>
      <c r="E2093" s="1019"/>
      <c r="F2093" s="1019"/>
      <c r="G2093" s="1019"/>
      <c r="H2093" s="1019"/>
      <c r="I2093" s="1019"/>
      <c r="J2093" s="1019"/>
      <c r="K2093" s="1019"/>
      <c r="L2093" s="1140"/>
    </row>
    <row r="2094" spans="1:12" x14ac:dyDescent="0.35">
      <c r="A2094" s="1019"/>
      <c r="B2094" s="1019"/>
      <c r="C2094" s="1019"/>
      <c r="D2094" s="1019"/>
      <c r="E2094" s="1019"/>
      <c r="F2094" s="1019"/>
      <c r="G2094" s="1019"/>
      <c r="H2094" s="1019"/>
      <c r="I2094" s="1019"/>
      <c r="J2094" s="1019"/>
      <c r="K2094" s="1019"/>
      <c r="L2094" s="1140"/>
    </row>
    <row r="2095" spans="1:12" x14ac:dyDescent="0.35">
      <c r="A2095" s="1019"/>
      <c r="B2095" s="1019"/>
      <c r="C2095" s="1019"/>
      <c r="D2095" s="1019"/>
      <c r="E2095" s="1019"/>
      <c r="F2095" s="1019"/>
      <c r="G2095" s="1019"/>
      <c r="H2095" s="1019"/>
      <c r="I2095" s="1019"/>
      <c r="J2095" s="1019"/>
      <c r="K2095" s="1019"/>
      <c r="L2095" s="1140"/>
    </row>
    <row r="2096" spans="1:12" x14ac:dyDescent="0.35">
      <c r="A2096" s="1019"/>
      <c r="B2096" s="1019"/>
      <c r="C2096" s="1019"/>
      <c r="D2096" s="1019"/>
      <c r="E2096" s="1019"/>
      <c r="F2096" s="1019"/>
      <c r="G2096" s="1019"/>
      <c r="H2096" s="1019"/>
      <c r="I2096" s="1019"/>
      <c r="J2096" s="1019"/>
      <c r="K2096" s="1019"/>
      <c r="L2096" s="1140"/>
    </row>
    <row r="2097" spans="1:12" x14ac:dyDescent="0.35">
      <c r="A2097" s="1019"/>
      <c r="B2097" s="1019"/>
      <c r="C2097" s="1019"/>
      <c r="D2097" s="1019"/>
      <c r="E2097" s="1019"/>
      <c r="F2097" s="1019"/>
      <c r="G2097" s="1019"/>
      <c r="H2097" s="1019"/>
      <c r="I2097" s="1019"/>
      <c r="J2097" s="1019"/>
      <c r="K2097" s="1019"/>
      <c r="L2097" s="1140"/>
    </row>
    <row r="2098" spans="1:12" x14ac:dyDescent="0.35">
      <c r="A2098" s="1019"/>
      <c r="B2098" s="1019"/>
      <c r="C2098" s="1019"/>
      <c r="D2098" s="1019"/>
      <c r="E2098" s="1019"/>
      <c r="F2098" s="1019"/>
      <c r="G2098" s="1019"/>
      <c r="H2098" s="1019"/>
      <c r="I2098" s="1019"/>
      <c r="J2098" s="1019"/>
      <c r="K2098" s="1019"/>
      <c r="L2098" s="1140"/>
    </row>
    <row r="2099" spans="1:12" x14ac:dyDescent="0.35">
      <c r="A2099" s="1019"/>
      <c r="B2099" s="1019"/>
      <c r="C2099" s="1019"/>
      <c r="D2099" s="1019"/>
      <c r="E2099" s="1019"/>
      <c r="F2099" s="1019"/>
      <c r="G2099" s="1019"/>
      <c r="H2099" s="1019"/>
      <c r="I2099" s="1019"/>
      <c r="J2099" s="1019"/>
      <c r="K2099" s="1019"/>
      <c r="L2099" s="1140"/>
    </row>
    <row r="2100" spans="1:12" x14ac:dyDescent="0.35">
      <c r="A2100" s="1019"/>
      <c r="B2100" s="1019"/>
      <c r="C2100" s="1019"/>
      <c r="D2100" s="1019"/>
      <c r="E2100" s="1019"/>
      <c r="F2100" s="1019"/>
      <c r="G2100" s="1019"/>
      <c r="H2100" s="1019"/>
      <c r="I2100" s="1019"/>
      <c r="J2100" s="1019"/>
      <c r="K2100" s="1019"/>
      <c r="L2100" s="1140"/>
    </row>
    <row r="2101" spans="1:12" x14ac:dyDescent="0.35">
      <c r="A2101" s="1019"/>
      <c r="B2101" s="1019"/>
      <c r="C2101" s="1019"/>
      <c r="D2101" s="1019"/>
      <c r="E2101" s="1019"/>
      <c r="F2101" s="1019"/>
      <c r="G2101" s="1019"/>
      <c r="H2101" s="1019"/>
      <c r="I2101" s="1019"/>
      <c r="J2101" s="1019"/>
      <c r="K2101" s="1019"/>
      <c r="L2101" s="1140"/>
    </row>
    <row r="2102" spans="1:12" x14ac:dyDescent="0.35">
      <c r="A2102" s="1019"/>
      <c r="B2102" s="1019"/>
      <c r="C2102" s="1019"/>
      <c r="D2102" s="1019"/>
      <c r="E2102" s="1019"/>
      <c r="F2102" s="1019"/>
      <c r="G2102" s="1019"/>
      <c r="H2102" s="1019"/>
      <c r="I2102" s="1019"/>
      <c r="J2102" s="1019"/>
      <c r="K2102" s="1019"/>
      <c r="L2102" s="1140"/>
    </row>
    <row r="2103" spans="1:12" x14ac:dyDescent="0.35">
      <c r="A2103" s="1019"/>
      <c r="B2103" s="1019"/>
      <c r="C2103" s="1019"/>
      <c r="D2103" s="1019"/>
      <c r="E2103" s="1019"/>
      <c r="F2103" s="1019"/>
      <c r="G2103" s="1019"/>
      <c r="H2103" s="1019"/>
      <c r="I2103" s="1019"/>
      <c r="J2103" s="1019"/>
      <c r="K2103" s="1019"/>
      <c r="L2103" s="1140"/>
    </row>
    <row r="2104" spans="1:12" x14ac:dyDescent="0.35">
      <c r="A2104" s="1019"/>
      <c r="B2104" s="1019"/>
      <c r="C2104" s="1019"/>
      <c r="D2104" s="1019"/>
      <c r="E2104" s="1019"/>
      <c r="F2104" s="1019"/>
      <c r="G2104" s="1019"/>
      <c r="H2104" s="1019"/>
      <c r="I2104" s="1019"/>
      <c r="J2104" s="1019"/>
      <c r="K2104" s="1019"/>
      <c r="L2104" s="1140"/>
    </row>
    <row r="2105" spans="1:12" x14ac:dyDescent="0.35">
      <c r="A2105" s="1019"/>
      <c r="B2105" s="1019"/>
      <c r="C2105" s="1019"/>
      <c r="D2105" s="1019"/>
      <c r="E2105" s="1019"/>
      <c r="F2105" s="1019"/>
      <c r="G2105" s="1019"/>
      <c r="H2105" s="1019"/>
      <c r="I2105" s="1019"/>
      <c r="J2105" s="1019"/>
      <c r="K2105" s="1019"/>
      <c r="L2105" s="1140"/>
    </row>
    <row r="2106" spans="1:12" x14ac:dyDescent="0.35">
      <c r="A2106" s="1019"/>
      <c r="B2106" s="1019"/>
      <c r="C2106" s="1019"/>
      <c r="D2106" s="1019"/>
      <c r="E2106" s="1019"/>
      <c r="F2106" s="1019"/>
      <c r="G2106" s="1019"/>
      <c r="H2106" s="1019"/>
      <c r="I2106" s="1019"/>
      <c r="J2106" s="1019"/>
      <c r="K2106" s="1019"/>
      <c r="L2106" s="1140"/>
    </row>
    <row r="2107" spans="1:12" x14ac:dyDescent="0.35">
      <c r="A2107" s="1019"/>
      <c r="B2107" s="1019"/>
      <c r="C2107" s="1019"/>
      <c r="D2107" s="1019"/>
      <c r="E2107" s="1019"/>
      <c r="F2107" s="1019"/>
      <c r="G2107" s="1019"/>
      <c r="H2107" s="1019"/>
      <c r="I2107" s="1019"/>
      <c r="J2107" s="1019"/>
      <c r="K2107" s="1019"/>
      <c r="L2107" s="1140"/>
    </row>
    <row r="2108" spans="1:12" x14ac:dyDescent="0.35">
      <c r="A2108" s="1019"/>
      <c r="B2108" s="1019"/>
      <c r="C2108" s="1019"/>
      <c r="D2108" s="1019"/>
      <c r="E2108" s="1019"/>
      <c r="F2108" s="1019"/>
      <c r="G2108" s="1019"/>
      <c r="H2108" s="1019"/>
      <c r="I2108" s="1019"/>
      <c r="J2108" s="1019"/>
      <c r="K2108" s="1019"/>
      <c r="L2108" s="1140"/>
    </row>
    <row r="2109" spans="1:12" x14ac:dyDescent="0.35">
      <c r="A2109" s="1019"/>
      <c r="B2109" s="1019"/>
      <c r="C2109" s="1019"/>
      <c r="D2109" s="1019"/>
      <c r="E2109" s="1019"/>
      <c r="F2109" s="1019"/>
      <c r="G2109" s="1019"/>
      <c r="H2109" s="1019"/>
      <c r="I2109" s="1019"/>
      <c r="J2109" s="1019"/>
      <c r="K2109" s="1019"/>
      <c r="L2109" s="1140"/>
    </row>
    <row r="2110" spans="1:12" x14ac:dyDescent="0.35">
      <c r="A2110" s="1019"/>
      <c r="B2110" s="1019"/>
      <c r="C2110" s="1019"/>
      <c r="D2110" s="1019"/>
      <c r="E2110" s="1019"/>
      <c r="F2110" s="1019"/>
      <c r="G2110" s="1019"/>
      <c r="H2110" s="1019"/>
      <c r="I2110" s="1019"/>
      <c r="J2110" s="1019"/>
      <c r="K2110" s="1019"/>
      <c r="L2110" s="1140"/>
    </row>
    <row r="2111" spans="1:12" x14ac:dyDescent="0.35">
      <c r="A2111" s="1019"/>
      <c r="B2111" s="1019"/>
      <c r="C2111" s="1019"/>
      <c r="D2111" s="1019"/>
      <c r="E2111" s="1019"/>
      <c r="F2111" s="1019"/>
      <c r="G2111" s="1019"/>
      <c r="H2111" s="1019"/>
      <c r="I2111" s="1019"/>
      <c r="J2111" s="1019"/>
      <c r="K2111" s="1019"/>
      <c r="L2111" s="1140"/>
    </row>
    <row r="2112" spans="1:12" x14ac:dyDescent="0.35">
      <c r="A2112" s="1019"/>
      <c r="B2112" s="1019"/>
      <c r="C2112" s="1019"/>
      <c r="D2112" s="1019"/>
      <c r="E2112" s="1019"/>
      <c r="F2112" s="1019"/>
      <c r="G2112" s="1019"/>
      <c r="H2112" s="1019"/>
      <c r="I2112" s="1019"/>
      <c r="J2112" s="1019"/>
      <c r="K2112" s="1019"/>
      <c r="L2112" s="1140"/>
    </row>
    <row r="2113" spans="1:12" x14ac:dyDescent="0.35">
      <c r="A2113" s="1019"/>
      <c r="B2113" s="1019"/>
      <c r="C2113" s="1019"/>
      <c r="D2113" s="1019"/>
      <c r="E2113" s="1019"/>
      <c r="F2113" s="1019"/>
      <c r="G2113" s="1019"/>
      <c r="H2113" s="1019"/>
      <c r="I2113" s="1019"/>
      <c r="J2113" s="1019"/>
      <c r="K2113" s="1019"/>
      <c r="L2113" s="1140"/>
    </row>
    <row r="2114" spans="1:12" x14ac:dyDescent="0.35">
      <c r="A2114" s="1019"/>
      <c r="B2114" s="1019"/>
      <c r="C2114" s="1019"/>
      <c r="D2114" s="1019"/>
      <c r="E2114" s="1019"/>
      <c r="F2114" s="1019"/>
      <c r="G2114" s="1019"/>
      <c r="H2114" s="1019"/>
      <c r="I2114" s="1019"/>
      <c r="J2114" s="1019"/>
      <c r="K2114" s="1019"/>
      <c r="L2114" s="1140"/>
    </row>
    <row r="2115" spans="1:12" x14ac:dyDescent="0.35">
      <c r="A2115" s="1019"/>
      <c r="B2115" s="1019"/>
      <c r="C2115" s="1019"/>
      <c r="D2115" s="1019"/>
      <c r="E2115" s="1019"/>
      <c r="F2115" s="1019"/>
      <c r="G2115" s="1019"/>
      <c r="H2115" s="1019"/>
      <c r="I2115" s="1019"/>
      <c r="J2115" s="1019"/>
      <c r="K2115" s="1019"/>
      <c r="L2115" s="1140"/>
    </row>
    <row r="2116" spans="1:12" x14ac:dyDescent="0.35">
      <c r="A2116" s="1019"/>
      <c r="B2116" s="1019"/>
      <c r="C2116" s="1019"/>
      <c r="D2116" s="1019"/>
      <c r="E2116" s="1019"/>
      <c r="F2116" s="1019"/>
      <c r="G2116" s="1019"/>
      <c r="H2116" s="1019"/>
      <c r="I2116" s="1019"/>
      <c r="J2116" s="1019"/>
      <c r="K2116" s="1019"/>
      <c r="L2116" s="1140"/>
    </row>
    <row r="2117" spans="1:12" x14ac:dyDescent="0.35">
      <c r="A2117" s="1019"/>
      <c r="B2117" s="1019"/>
      <c r="C2117" s="1019"/>
      <c r="D2117" s="1019"/>
      <c r="E2117" s="1019"/>
      <c r="F2117" s="1019"/>
      <c r="G2117" s="1019"/>
      <c r="H2117" s="1019"/>
      <c r="I2117" s="1019"/>
      <c r="J2117" s="1019"/>
      <c r="K2117" s="1019"/>
      <c r="L2117" s="1140"/>
    </row>
    <row r="2118" spans="1:12" x14ac:dyDescent="0.35">
      <c r="A2118" s="1019"/>
      <c r="B2118" s="1019"/>
      <c r="C2118" s="1019"/>
      <c r="D2118" s="1019"/>
      <c r="E2118" s="1019"/>
      <c r="F2118" s="1019"/>
      <c r="G2118" s="1019"/>
      <c r="H2118" s="1019"/>
      <c r="I2118" s="1019"/>
      <c r="J2118" s="1019"/>
      <c r="K2118" s="1019"/>
      <c r="L2118" s="1140"/>
    </row>
    <row r="2119" spans="1:12" x14ac:dyDescent="0.35">
      <c r="A2119" s="1019"/>
      <c r="B2119" s="1019"/>
      <c r="C2119" s="1019"/>
      <c r="D2119" s="1019"/>
      <c r="E2119" s="1019"/>
      <c r="F2119" s="1019"/>
      <c r="G2119" s="1019"/>
      <c r="H2119" s="1019"/>
      <c r="I2119" s="1019"/>
      <c r="J2119" s="1019"/>
      <c r="K2119" s="1019"/>
      <c r="L2119" s="1140"/>
    </row>
    <row r="2120" spans="1:12" x14ac:dyDescent="0.35">
      <c r="A2120" s="1019"/>
      <c r="B2120" s="1019"/>
      <c r="C2120" s="1019"/>
      <c r="D2120" s="1019"/>
      <c r="E2120" s="1019"/>
      <c r="F2120" s="1019"/>
      <c r="G2120" s="1019"/>
      <c r="H2120" s="1019"/>
      <c r="I2120" s="1019"/>
      <c r="J2120" s="1019"/>
      <c r="K2120" s="1019"/>
      <c r="L2120" s="1140"/>
    </row>
    <row r="2121" spans="1:12" x14ac:dyDescent="0.35">
      <c r="A2121" s="1019"/>
      <c r="B2121" s="1019"/>
      <c r="C2121" s="1019"/>
      <c r="D2121" s="1019"/>
      <c r="E2121" s="1019"/>
      <c r="F2121" s="1019"/>
      <c r="G2121" s="1019"/>
      <c r="H2121" s="1019"/>
      <c r="I2121" s="1019"/>
      <c r="J2121" s="1019"/>
      <c r="K2121" s="1019"/>
      <c r="L2121" s="1140"/>
    </row>
    <row r="2122" spans="1:12" x14ac:dyDescent="0.35">
      <c r="A2122" s="1019"/>
      <c r="B2122" s="1019"/>
      <c r="C2122" s="1019"/>
      <c r="D2122" s="1019"/>
      <c r="E2122" s="1019"/>
      <c r="F2122" s="1019"/>
      <c r="G2122" s="1019"/>
      <c r="H2122" s="1019"/>
      <c r="I2122" s="1019"/>
      <c r="J2122" s="1019"/>
      <c r="K2122" s="1019"/>
      <c r="L2122" s="1140"/>
    </row>
    <row r="2123" spans="1:12" x14ac:dyDescent="0.35">
      <c r="A2123" s="1019"/>
      <c r="B2123" s="1019"/>
      <c r="C2123" s="1019"/>
      <c r="D2123" s="1019"/>
      <c r="E2123" s="1019"/>
      <c r="F2123" s="1019"/>
      <c r="G2123" s="1019"/>
      <c r="H2123" s="1019"/>
      <c r="I2123" s="1019"/>
      <c r="J2123" s="1019"/>
      <c r="K2123" s="1019"/>
      <c r="L2123" s="1140"/>
    </row>
    <row r="2124" spans="1:12" x14ac:dyDescent="0.35">
      <c r="A2124" s="1019"/>
      <c r="B2124" s="1019"/>
      <c r="C2124" s="1019"/>
      <c r="D2124" s="1019"/>
      <c r="E2124" s="1019"/>
      <c r="F2124" s="1019"/>
      <c r="G2124" s="1019"/>
      <c r="H2124" s="1019"/>
      <c r="I2124" s="1019"/>
      <c r="J2124" s="1019"/>
      <c r="K2124" s="1019"/>
      <c r="L2124" s="1140"/>
    </row>
    <row r="2125" spans="1:12" x14ac:dyDescent="0.35">
      <c r="A2125" s="1019"/>
      <c r="B2125" s="1019"/>
      <c r="C2125" s="1019"/>
      <c r="D2125" s="1019"/>
      <c r="E2125" s="1019"/>
      <c r="F2125" s="1019"/>
      <c r="G2125" s="1019"/>
      <c r="H2125" s="1019"/>
      <c r="I2125" s="1019"/>
      <c r="J2125" s="1019"/>
      <c r="K2125" s="1019"/>
      <c r="L2125" s="1140"/>
    </row>
    <row r="2126" spans="1:12" x14ac:dyDescent="0.35">
      <c r="A2126" s="1019"/>
      <c r="B2126" s="1019"/>
      <c r="C2126" s="1019"/>
      <c r="D2126" s="1019"/>
      <c r="E2126" s="1019"/>
      <c r="F2126" s="1019"/>
      <c r="G2126" s="1019"/>
      <c r="H2126" s="1019"/>
      <c r="I2126" s="1019"/>
      <c r="J2126" s="1019"/>
      <c r="K2126" s="1019"/>
      <c r="L2126" s="1140"/>
    </row>
    <row r="2127" spans="1:12" x14ac:dyDescent="0.35">
      <c r="A2127" s="1019"/>
      <c r="B2127" s="1019"/>
      <c r="C2127" s="1019"/>
      <c r="D2127" s="1019"/>
      <c r="E2127" s="1019"/>
      <c r="F2127" s="1019"/>
      <c r="G2127" s="1019"/>
      <c r="H2127" s="1019"/>
      <c r="I2127" s="1019"/>
      <c r="J2127" s="1019"/>
      <c r="K2127" s="1019"/>
      <c r="L2127" s="1140"/>
    </row>
    <row r="2128" spans="1:12" x14ac:dyDescent="0.35">
      <c r="A2128" s="1019"/>
      <c r="B2128" s="1019"/>
      <c r="C2128" s="1019"/>
      <c r="D2128" s="1019"/>
      <c r="E2128" s="1019"/>
      <c r="F2128" s="1019"/>
      <c r="G2128" s="1019"/>
      <c r="H2128" s="1019"/>
      <c r="I2128" s="1019"/>
      <c r="J2128" s="1019"/>
      <c r="K2128" s="1019"/>
      <c r="L2128" s="1140"/>
    </row>
    <row r="2129" spans="1:12" x14ac:dyDescent="0.35">
      <c r="A2129" s="1019"/>
      <c r="B2129" s="1019"/>
      <c r="C2129" s="1019"/>
      <c r="D2129" s="1019"/>
      <c r="E2129" s="1019"/>
      <c r="F2129" s="1019"/>
      <c r="G2129" s="1019"/>
      <c r="H2129" s="1019"/>
      <c r="I2129" s="1019"/>
      <c r="J2129" s="1019"/>
      <c r="K2129" s="1019"/>
      <c r="L2129" s="1140"/>
    </row>
    <row r="2130" spans="1:12" x14ac:dyDescent="0.35">
      <c r="A2130" s="1019"/>
      <c r="B2130" s="1019"/>
      <c r="C2130" s="1019"/>
      <c r="D2130" s="1019"/>
      <c r="E2130" s="1019"/>
      <c r="F2130" s="1019"/>
      <c r="G2130" s="1019"/>
      <c r="H2130" s="1019"/>
      <c r="I2130" s="1019"/>
      <c r="J2130" s="1019"/>
      <c r="K2130" s="1019"/>
      <c r="L2130" s="1140"/>
    </row>
    <row r="2131" spans="1:12" x14ac:dyDescent="0.35">
      <c r="A2131" s="1019"/>
      <c r="B2131" s="1019"/>
      <c r="C2131" s="1019"/>
      <c r="D2131" s="1019"/>
      <c r="E2131" s="1019"/>
      <c r="F2131" s="1019"/>
      <c r="G2131" s="1019"/>
      <c r="H2131" s="1019"/>
      <c r="I2131" s="1019"/>
      <c r="J2131" s="1019"/>
      <c r="K2131" s="1019"/>
      <c r="L2131" s="1140"/>
    </row>
    <row r="2132" spans="1:12" x14ac:dyDescent="0.35">
      <c r="A2132" s="1019"/>
      <c r="B2132" s="1019"/>
      <c r="C2132" s="1019"/>
      <c r="D2132" s="1019"/>
      <c r="E2132" s="1019"/>
      <c r="F2132" s="1019"/>
      <c r="G2132" s="1019"/>
      <c r="H2132" s="1019"/>
      <c r="I2132" s="1019"/>
      <c r="J2132" s="1019"/>
      <c r="K2132" s="1019"/>
      <c r="L2132" s="1140"/>
    </row>
    <row r="2133" spans="1:12" x14ac:dyDescent="0.35">
      <c r="A2133" s="1019"/>
      <c r="B2133" s="1019"/>
      <c r="C2133" s="1019"/>
      <c r="D2133" s="1019"/>
      <c r="E2133" s="1019"/>
      <c r="F2133" s="1019"/>
      <c r="G2133" s="1019"/>
      <c r="H2133" s="1019"/>
      <c r="I2133" s="1019"/>
      <c r="J2133" s="1019"/>
      <c r="K2133" s="1019"/>
      <c r="L2133" s="1140"/>
    </row>
    <row r="2134" spans="1:12" x14ac:dyDescent="0.35">
      <c r="A2134" s="1019"/>
      <c r="B2134" s="1019"/>
      <c r="C2134" s="1019"/>
      <c r="D2134" s="1019"/>
      <c r="E2134" s="1019"/>
      <c r="F2134" s="1019"/>
      <c r="G2134" s="1019"/>
      <c r="H2134" s="1019"/>
      <c r="I2134" s="1019"/>
      <c r="J2134" s="1019"/>
      <c r="K2134" s="1019"/>
      <c r="L2134" s="1140"/>
    </row>
    <row r="2135" spans="1:12" x14ac:dyDescent="0.35">
      <c r="A2135" s="1019"/>
      <c r="B2135" s="1019"/>
      <c r="C2135" s="1019"/>
      <c r="D2135" s="1019"/>
      <c r="E2135" s="1019"/>
      <c r="F2135" s="1019"/>
      <c r="G2135" s="1019"/>
      <c r="H2135" s="1019"/>
      <c r="I2135" s="1019"/>
      <c r="J2135" s="1019"/>
      <c r="K2135" s="1019"/>
      <c r="L2135" s="1140"/>
    </row>
    <row r="2136" spans="1:12" x14ac:dyDescent="0.35">
      <c r="A2136" s="1019"/>
      <c r="B2136" s="1019"/>
      <c r="C2136" s="1019"/>
      <c r="D2136" s="1019"/>
      <c r="E2136" s="1019"/>
      <c r="F2136" s="1019"/>
      <c r="G2136" s="1019"/>
      <c r="H2136" s="1019"/>
      <c r="I2136" s="1019"/>
      <c r="J2136" s="1019"/>
      <c r="K2136" s="1019"/>
      <c r="L2136" s="1140"/>
    </row>
    <row r="2137" spans="1:12" x14ac:dyDescent="0.35">
      <c r="A2137" s="1019"/>
      <c r="B2137" s="1019"/>
      <c r="C2137" s="1019"/>
      <c r="D2137" s="1019"/>
      <c r="E2137" s="1019"/>
      <c r="F2137" s="1019"/>
      <c r="G2137" s="1019"/>
      <c r="H2137" s="1019"/>
      <c r="I2137" s="1019"/>
      <c r="J2137" s="1019"/>
      <c r="K2137" s="1019"/>
      <c r="L2137" s="1140"/>
    </row>
    <row r="2138" spans="1:12" x14ac:dyDescent="0.35">
      <c r="A2138" s="1019"/>
      <c r="B2138" s="1019"/>
      <c r="C2138" s="1019"/>
      <c r="D2138" s="1019"/>
      <c r="E2138" s="1019"/>
      <c r="F2138" s="1019"/>
      <c r="G2138" s="1019"/>
      <c r="H2138" s="1019"/>
      <c r="I2138" s="1019"/>
      <c r="J2138" s="1019"/>
      <c r="K2138" s="1019"/>
      <c r="L2138" s="1140"/>
    </row>
    <row r="2139" spans="1:12" x14ac:dyDescent="0.35">
      <c r="A2139" s="1019"/>
      <c r="B2139" s="1019"/>
      <c r="C2139" s="1019"/>
      <c r="D2139" s="1019"/>
      <c r="E2139" s="1019"/>
      <c r="F2139" s="1019"/>
      <c r="G2139" s="1019"/>
      <c r="H2139" s="1019"/>
      <c r="I2139" s="1019"/>
      <c r="J2139" s="1019"/>
      <c r="K2139" s="1019"/>
      <c r="L2139" s="1140"/>
    </row>
    <row r="2140" spans="1:12" x14ac:dyDescent="0.35">
      <c r="A2140" s="1019"/>
      <c r="B2140" s="1019"/>
      <c r="C2140" s="1019"/>
      <c r="D2140" s="1019"/>
      <c r="E2140" s="1019"/>
      <c r="F2140" s="1019"/>
      <c r="G2140" s="1019"/>
      <c r="H2140" s="1019"/>
      <c r="I2140" s="1019"/>
      <c r="J2140" s="1019"/>
      <c r="K2140" s="1019"/>
      <c r="L2140" s="1140"/>
    </row>
    <row r="2141" spans="1:12" x14ac:dyDescent="0.35">
      <c r="A2141" s="1019"/>
      <c r="B2141" s="1019"/>
      <c r="C2141" s="1019"/>
      <c r="D2141" s="1019"/>
      <c r="E2141" s="1019"/>
      <c r="F2141" s="1019"/>
      <c r="G2141" s="1019"/>
      <c r="H2141" s="1019"/>
      <c r="I2141" s="1019"/>
      <c r="J2141" s="1019"/>
      <c r="K2141" s="1019"/>
      <c r="L2141" s="1140"/>
    </row>
    <row r="2142" spans="1:12" x14ac:dyDescent="0.35">
      <c r="A2142" s="1019"/>
      <c r="B2142" s="1019"/>
      <c r="C2142" s="1019"/>
      <c r="D2142" s="1019"/>
      <c r="E2142" s="1019"/>
      <c r="F2142" s="1019"/>
      <c r="G2142" s="1019"/>
      <c r="H2142" s="1019"/>
      <c r="I2142" s="1019"/>
      <c r="J2142" s="1019"/>
      <c r="K2142" s="1019"/>
      <c r="L2142" s="1140"/>
    </row>
    <row r="2143" spans="1:12" x14ac:dyDescent="0.35">
      <c r="A2143" s="1019"/>
      <c r="B2143" s="1019"/>
      <c r="C2143" s="1019"/>
      <c r="D2143" s="1019"/>
      <c r="E2143" s="1019"/>
      <c r="F2143" s="1019"/>
      <c r="G2143" s="1019"/>
      <c r="H2143" s="1019"/>
      <c r="I2143" s="1019"/>
      <c r="J2143" s="1019"/>
      <c r="K2143" s="1019"/>
      <c r="L2143" s="1140"/>
    </row>
    <row r="2144" spans="1:12" x14ac:dyDescent="0.35">
      <c r="A2144" s="1019"/>
      <c r="B2144" s="1019"/>
      <c r="C2144" s="1019"/>
      <c r="D2144" s="1019"/>
      <c r="E2144" s="1019"/>
      <c r="F2144" s="1019"/>
      <c r="G2144" s="1019"/>
      <c r="H2144" s="1019"/>
      <c r="I2144" s="1019"/>
      <c r="J2144" s="1019"/>
      <c r="K2144" s="1019"/>
      <c r="L2144" s="1140"/>
    </row>
    <row r="2145" spans="1:12" x14ac:dyDescent="0.35">
      <c r="A2145" s="1019"/>
      <c r="B2145" s="1019"/>
      <c r="C2145" s="1019"/>
      <c r="D2145" s="1019"/>
      <c r="E2145" s="1019"/>
      <c r="F2145" s="1019"/>
      <c r="G2145" s="1019"/>
      <c r="H2145" s="1019"/>
      <c r="I2145" s="1019"/>
      <c r="J2145" s="1019"/>
      <c r="K2145" s="1019"/>
      <c r="L2145" s="1140"/>
    </row>
    <row r="2146" spans="1:12" x14ac:dyDescent="0.35">
      <c r="A2146" s="1019"/>
      <c r="B2146" s="1019"/>
      <c r="C2146" s="1019"/>
      <c r="D2146" s="1019"/>
      <c r="E2146" s="1019"/>
      <c r="F2146" s="1019"/>
      <c r="G2146" s="1019"/>
      <c r="H2146" s="1019"/>
      <c r="I2146" s="1019"/>
      <c r="J2146" s="1019"/>
      <c r="K2146" s="1019"/>
      <c r="L2146" s="1140"/>
    </row>
    <row r="2147" spans="1:12" x14ac:dyDescent="0.35">
      <c r="A2147" s="1019"/>
      <c r="B2147" s="1019"/>
      <c r="C2147" s="1019"/>
      <c r="D2147" s="1019"/>
      <c r="E2147" s="1019"/>
      <c r="F2147" s="1019"/>
      <c r="G2147" s="1019"/>
      <c r="H2147" s="1019"/>
      <c r="I2147" s="1019"/>
      <c r="J2147" s="1019"/>
      <c r="K2147" s="1019"/>
      <c r="L2147" s="1140"/>
    </row>
    <row r="2148" spans="1:12" x14ac:dyDescent="0.35">
      <c r="A2148" s="1019"/>
      <c r="B2148" s="1019"/>
      <c r="C2148" s="1019"/>
      <c r="D2148" s="1019"/>
      <c r="E2148" s="1019"/>
      <c r="F2148" s="1019"/>
      <c r="G2148" s="1019"/>
      <c r="H2148" s="1019"/>
      <c r="I2148" s="1019"/>
      <c r="J2148" s="1019"/>
      <c r="K2148" s="1019"/>
      <c r="L2148" s="1140"/>
    </row>
    <row r="2149" spans="1:12" x14ac:dyDescent="0.35">
      <c r="A2149" s="1019"/>
      <c r="B2149" s="1019"/>
      <c r="C2149" s="1019"/>
      <c r="D2149" s="1019"/>
      <c r="E2149" s="1019"/>
      <c r="F2149" s="1019"/>
      <c r="G2149" s="1019"/>
      <c r="H2149" s="1019"/>
      <c r="I2149" s="1019"/>
      <c r="J2149" s="1019"/>
      <c r="K2149" s="1019"/>
      <c r="L2149" s="1140"/>
    </row>
    <row r="2150" spans="1:12" x14ac:dyDescent="0.35">
      <c r="A2150" s="1019"/>
      <c r="B2150" s="1019"/>
      <c r="C2150" s="1019"/>
      <c r="D2150" s="1019"/>
      <c r="E2150" s="1019"/>
      <c r="F2150" s="1019"/>
      <c r="G2150" s="1019"/>
      <c r="H2150" s="1019"/>
      <c r="I2150" s="1019"/>
      <c r="J2150" s="1019"/>
      <c r="K2150" s="1019"/>
      <c r="L2150" s="1140"/>
    </row>
    <row r="2151" spans="1:12" x14ac:dyDescent="0.35">
      <c r="A2151" s="1019"/>
      <c r="B2151" s="1019"/>
      <c r="C2151" s="1019"/>
      <c r="D2151" s="1019"/>
      <c r="E2151" s="1019"/>
      <c r="F2151" s="1019"/>
      <c r="G2151" s="1019"/>
      <c r="H2151" s="1019"/>
      <c r="I2151" s="1019"/>
      <c r="J2151" s="1019"/>
      <c r="K2151" s="1019"/>
      <c r="L2151" s="1140"/>
    </row>
    <row r="2152" spans="1:12" x14ac:dyDescent="0.35">
      <c r="A2152" s="1019"/>
      <c r="B2152" s="1019"/>
      <c r="C2152" s="1019"/>
      <c r="D2152" s="1019"/>
      <c r="E2152" s="1019"/>
      <c r="F2152" s="1019"/>
      <c r="G2152" s="1019"/>
      <c r="H2152" s="1019"/>
      <c r="I2152" s="1019"/>
      <c r="J2152" s="1019"/>
      <c r="K2152" s="1019"/>
      <c r="L2152" s="1140"/>
    </row>
    <row r="2153" spans="1:12" x14ac:dyDescent="0.35">
      <c r="A2153" s="1019"/>
      <c r="B2153" s="1019"/>
      <c r="C2153" s="1019"/>
      <c r="D2153" s="1019"/>
      <c r="E2153" s="1019"/>
      <c r="F2153" s="1019"/>
      <c r="G2153" s="1019"/>
      <c r="H2153" s="1019"/>
      <c r="I2153" s="1019"/>
      <c r="J2153" s="1019"/>
      <c r="K2153" s="1019"/>
      <c r="L2153" s="1140"/>
    </row>
    <row r="2154" spans="1:12" x14ac:dyDescent="0.35">
      <c r="A2154" s="1019"/>
      <c r="B2154" s="1019"/>
      <c r="C2154" s="1019"/>
      <c r="D2154" s="1019"/>
      <c r="E2154" s="1019"/>
      <c r="F2154" s="1019"/>
      <c r="G2154" s="1019"/>
      <c r="H2154" s="1019"/>
      <c r="I2154" s="1019"/>
      <c r="J2154" s="1019"/>
      <c r="K2154" s="1019"/>
      <c r="L2154" s="1140"/>
    </row>
    <row r="2155" spans="1:12" x14ac:dyDescent="0.35">
      <c r="A2155" s="1019"/>
      <c r="B2155" s="1019"/>
      <c r="C2155" s="1019"/>
      <c r="D2155" s="1019"/>
      <c r="E2155" s="1019"/>
      <c r="F2155" s="1019"/>
      <c r="G2155" s="1019"/>
      <c r="H2155" s="1019"/>
      <c r="I2155" s="1019"/>
      <c r="J2155" s="1019"/>
      <c r="K2155" s="1019"/>
      <c r="L2155" s="1140"/>
    </row>
    <row r="2156" spans="1:12" x14ac:dyDescent="0.35">
      <c r="A2156" s="1019"/>
      <c r="B2156" s="1019"/>
      <c r="C2156" s="1019"/>
      <c r="D2156" s="1019"/>
      <c r="E2156" s="1019"/>
      <c r="F2156" s="1019"/>
      <c r="G2156" s="1019"/>
      <c r="H2156" s="1019"/>
      <c r="I2156" s="1019"/>
      <c r="J2156" s="1019"/>
      <c r="K2156" s="1019"/>
      <c r="L2156" s="1140"/>
    </row>
    <row r="2157" spans="1:12" x14ac:dyDescent="0.35">
      <c r="A2157" s="1019"/>
      <c r="B2157" s="1019"/>
      <c r="C2157" s="1019"/>
      <c r="D2157" s="1019"/>
      <c r="E2157" s="1019"/>
      <c r="F2157" s="1019"/>
      <c r="G2157" s="1019"/>
      <c r="H2157" s="1019"/>
      <c r="I2157" s="1019"/>
      <c r="J2157" s="1019"/>
      <c r="K2157" s="1019"/>
      <c r="L2157" s="1140"/>
    </row>
    <row r="2158" spans="1:12" x14ac:dyDescent="0.35">
      <c r="A2158" s="1019"/>
      <c r="B2158" s="1019"/>
      <c r="C2158" s="1019"/>
      <c r="D2158" s="1019"/>
      <c r="E2158" s="1019"/>
      <c r="F2158" s="1019"/>
      <c r="G2158" s="1019"/>
      <c r="H2158" s="1019"/>
      <c r="I2158" s="1019"/>
      <c r="J2158" s="1019"/>
      <c r="K2158" s="1019"/>
      <c r="L2158" s="1140"/>
    </row>
    <row r="2159" spans="1:12" x14ac:dyDescent="0.35">
      <c r="A2159" s="1019"/>
      <c r="B2159" s="1019"/>
      <c r="C2159" s="1019"/>
      <c r="D2159" s="1019"/>
      <c r="E2159" s="1019"/>
      <c r="F2159" s="1019"/>
      <c r="G2159" s="1019"/>
      <c r="H2159" s="1019"/>
      <c r="I2159" s="1019"/>
      <c r="J2159" s="1019"/>
      <c r="K2159" s="1019"/>
      <c r="L2159" s="1140"/>
    </row>
    <row r="2160" spans="1:12" x14ac:dyDescent="0.35">
      <c r="A2160" s="1019"/>
      <c r="B2160" s="1019"/>
      <c r="C2160" s="1019"/>
      <c r="D2160" s="1019"/>
      <c r="E2160" s="1019"/>
      <c r="F2160" s="1019"/>
      <c r="G2160" s="1019"/>
      <c r="H2160" s="1019"/>
      <c r="I2160" s="1019"/>
      <c r="J2160" s="1019"/>
      <c r="K2160" s="1019"/>
      <c r="L2160" s="1140"/>
    </row>
    <row r="2161" spans="1:12" x14ac:dyDescent="0.35">
      <c r="A2161" s="1019"/>
      <c r="B2161" s="1019"/>
      <c r="C2161" s="1019"/>
      <c r="D2161" s="1019"/>
      <c r="E2161" s="1019"/>
      <c r="F2161" s="1019"/>
      <c r="G2161" s="1019"/>
      <c r="H2161" s="1019"/>
      <c r="I2161" s="1019"/>
      <c r="J2161" s="1019"/>
      <c r="K2161" s="1019"/>
      <c r="L2161" s="1140"/>
    </row>
    <row r="2162" spans="1:12" x14ac:dyDescent="0.35">
      <c r="A2162" s="1019"/>
      <c r="B2162" s="1019"/>
      <c r="C2162" s="1019"/>
      <c r="D2162" s="1019"/>
      <c r="E2162" s="1019"/>
      <c r="F2162" s="1019"/>
      <c r="G2162" s="1019"/>
      <c r="H2162" s="1019"/>
      <c r="I2162" s="1019"/>
      <c r="J2162" s="1019"/>
      <c r="K2162" s="1019"/>
      <c r="L2162" s="1140"/>
    </row>
    <row r="2163" spans="1:12" x14ac:dyDescent="0.35">
      <c r="A2163" s="1019"/>
      <c r="B2163" s="1019"/>
      <c r="C2163" s="1019"/>
      <c r="D2163" s="1019"/>
      <c r="E2163" s="1019"/>
      <c r="F2163" s="1019"/>
      <c r="G2163" s="1019"/>
      <c r="H2163" s="1019"/>
      <c r="I2163" s="1019"/>
      <c r="J2163" s="1019"/>
      <c r="K2163" s="1019"/>
      <c r="L2163" s="1140"/>
    </row>
    <row r="2164" spans="1:12" x14ac:dyDescent="0.35">
      <c r="A2164" s="1019"/>
      <c r="B2164" s="1019"/>
      <c r="C2164" s="1019"/>
      <c r="D2164" s="1019"/>
      <c r="E2164" s="1019"/>
      <c r="F2164" s="1019"/>
      <c r="G2164" s="1019"/>
      <c r="H2164" s="1019"/>
      <c r="I2164" s="1019"/>
      <c r="J2164" s="1019"/>
      <c r="K2164" s="1019"/>
      <c r="L2164" s="1140"/>
    </row>
    <row r="2165" spans="1:12" x14ac:dyDescent="0.35">
      <c r="A2165" s="1019"/>
      <c r="B2165" s="1019"/>
      <c r="C2165" s="1019"/>
      <c r="D2165" s="1019"/>
      <c r="E2165" s="1019"/>
      <c r="F2165" s="1019"/>
      <c r="G2165" s="1019"/>
      <c r="H2165" s="1019"/>
      <c r="I2165" s="1019"/>
      <c r="J2165" s="1019"/>
      <c r="K2165" s="1019"/>
      <c r="L2165" s="1140"/>
    </row>
    <row r="2166" spans="1:12" x14ac:dyDescent="0.35">
      <c r="A2166" s="1019"/>
      <c r="B2166" s="1019"/>
      <c r="C2166" s="1019"/>
      <c r="D2166" s="1019"/>
      <c r="E2166" s="1019"/>
      <c r="F2166" s="1019"/>
      <c r="G2166" s="1019"/>
      <c r="H2166" s="1019"/>
      <c r="I2166" s="1019"/>
      <c r="J2166" s="1019"/>
      <c r="K2166" s="1019"/>
      <c r="L2166" s="1140"/>
    </row>
    <row r="2167" spans="1:12" x14ac:dyDescent="0.35">
      <c r="A2167" s="1019"/>
      <c r="B2167" s="1019"/>
      <c r="C2167" s="1019"/>
      <c r="D2167" s="1019"/>
      <c r="E2167" s="1019"/>
      <c r="F2167" s="1019"/>
      <c r="G2167" s="1019"/>
      <c r="H2167" s="1019"/>
      <c r="I2167" s="1019"/>
      <c r="J2167" s="1019"/>
      <c r="K2167" s="1019"/>
      <c r="L2167" s="1140"/>
    </row>
    <row r="2168" spans="1:12" x14ac:dyDescent="0.35">
      <c r="A2168" s="1019"/>
      <c r="B2168" s="1019"/>
      <c r="C2168" s="1019"/>
      <c r="D2168" s="1019"/>
      <c r="E2168" s="1019"/>
      <c r="F2168" s="1019"/>
      <c r="G2168" s="1019"/>
      <c r="H2168" s="1019"/>
      <c r="I2168" s="1019"/>
      <c r="J2168" s="1019"/>
      <c r="K2168" s="1019"/>
      <c r="L2168" s="1140"/>
    </row>
    <row r="2169" spans="1:12" x14ac:dyDescent="0.35">
      <c r="A2169" s="1019"/>
      <c r="B2169" s="1019"/>
      <c r="C2169" s="1019"/>
      <c r="D2169" s="1019"/>
      <c r="E2169" s="1019"/>
      <c r="F2169" s="1019"/>
      <c r="G2169" s="1019"/>
      <c r="H2169" s="1019"/>
      <c r="I2169" s="1019"/>
      <c r="J2169" s="1019"/>
      <c r="K2169" s="1019"/>
      <c r="L2169" s="1140"/>
    </row>
    <row r="2170" spans="1:12" x14ac:dyDescent="0.35">
      <c r="A2170" s="1019"/>
      <c r="B2170" s="1019"/>
      <c r="C2170" s="1019"/>
      <c r="D2170" s="1019"/>
      <c r="E2170" s="1019"/>
      <c r="F2170" s="1019"/>
      <c r="G2170" s="1019"/>
      <c r="H2170" s="1019"/>
      <c r="I2170" s="1019"/>
      <c r="J2170" s="1019"/>
      <c r="K2170" s="1019"/>
      <c r="L2170" s="1140"/>
    </row>
    <row r="2171" spans="1:12" x14ac:dyDescent="0.35">
      <c r="A2171" s="1019"/>
      <c r="B2171" s="1019"/>
      <c r="C2171" s="1019"/>
      <c r="D2171" s="1019"/>
      <c r="E2171" s="1019"/>
      <c r="F2171" s="1019"/>
      <c r="G2171" s="1019"/>
      <c r="H2171" s="1019"/>
      <c r="I2171" s="1019"/>
      <c r="J2171" s="1019"/>
      <c r="K2171" s="1019"/>
      <c r="L2171" s="1140"/>
    </row>
    <row r="2172" spans="1:12" x14ac:dyDescent="0.35">
      <c r="A2172" s="1019"/>
      <c r="B2172" s="1019"/>
      <c r="C2172" s="1019"/>
      <c r="D2172" s="1019"/>
      <c r="E2172" s="1019"/>
      <c r="F2172" s="1019"/>
      <c r="G2172" s="1019"/>
      <c r="H2172" s="1019"/>
      <c r="I2172" s="1019"/>
      <c r="J2172" s="1019"/>
      <c r="K2172" s="1019"/>
      <c r="L2172" s="1140"/>
    </row>
    <row r="2173" spans="1:12" x14ac:dyDescent="0.35">
      <c r="A2173" s="1019"/>
      <c r="B2173" s="1019"/>
      <c r="C2173" s="1019"/>
      <c r="D2173" s="1019"/>
      <c r="E2173" s="1019"/>
      <c r="F2173" s="1019"/>
      <c r="G2173" s="1019"/>
      <c r="H2173" s="1019"/>
      <c r="I2173" s="1019"/>
      <c r="J2173" s="1019"/>
      <c r="K2173" s="1019"/>
      <c r="L2173" s="1140"/>
    </row>
    <row r="2174" spans="1:12" x14ac:dyDescent="0.35">
      <c r="A2174" s="1019"/>
      <c r="B2174" s="1019"/>
      <c r="C2174" s="1019"/>
      <c r="D2174" s="1019"/>
      <c r="E2174" s="1019"/>
      <c r="F2174" s="1019"/>
      <c r="G2174" s="1019"/>
      <c r="H2174" s="1019"/>
      <c r="I2174" s="1019"/>
      <c r="J2174" s="1019"/>
      <c r="K2174" s="1019"/>
      <c r="L2174" s="1140"/>
    </row>
    <row r="2175" spans="1:12" x14ac:dyDescent="0.35">
      <c r="A2175" s="1019"/>
      <c r="B2175" s="1019"/>
      <c r="C2175" s="1019"/>
      <c r="D2175" s="1019"/>
      <c r="E2175" s="1019"/>
      <c r="F2175" s="1019"/>
      <c r="G2175" s="1019"/>
      <c r="H2175" s="1019"/>
      <c r="I2175" s="1019"/>
      <c r="J2175" s="1019"/>
      <c r="K2175" s="1019"/>
      <c r="L2175" s="1140"/>
    </row>
    <row r="2176" spans="1:12" x14ac:dyDescent="0.35">
      <c r="A2176" s="1019"/>
      <c r="B2176" s="1019"/>
      <c r="C2176" s="1019"/>
      <c r="D2176" s="1019"/>
      <c r="E2176" s="1019"/>
      <c r="F2176" s="1019"/>
      <c r="G2176" s="1019"/>
      <c r="H2176" s="1019"/>
      <c r="I2176" s="1019"/>
      <c r="J2176" s="1019"/>
      <c r="K2176" s="1019"/>
      <c r="L2176" s="1140"/>
    </row>
    <row r="2177" spans="1:12" x14ac:dyDescent="0.35">
      <c r="A2177" s="1019"/>
      <c r="B2177" s="1019"/>
      <c r="C2177" s="1019"/>
      <c r="D2177" s="1019"/>
      <c r="E2177" s="1019"/>
      <c r="F2177" s="1019"/>
      <c r="G2177" s="1019"/>
      <c r="H2177" s="1019"/>
      <c r="I2177" s="1019"/>
      <c r="J2177" s="1019"/>
      <c r="K2177" s="1019"/>
      <c r="L2177" s="1140"/>
    </row>
    <row r="2178" spans="1:12" x14ac:dyDescent="0.35">
      <c r="A2178" s="1019"/>
      <c r="B2178" s="1019"/>
      <c r="C2178" s="1019"/>
      <c r="D2178" s="1019"/>
      <c r="E2178" s="1019"/>
      <c r="F2178" s="1019"/>
      <c r="G2178" s="1019"/>
      <c r="H2178" s="1019"/>
      <c r="I2178" s="1019"/>
      <c r="J2178" s="1019"/>
      <c r="K2178" s="1019"/>
      <c r="L2178" s="1140"/>
    </row>
    <row r="2179" spans="1:12" x14ac:dyDescent="0.35">
      <c r="A2179" s="1019"/>
      <c r="B2179" s="1019"/>
      <c r="C2179" s="1019"/>
      <c r="D2179" s="1019"/>
      <c r="E2179" s="1019"/>
      <c r="F2179" s="1019"/>
      <c r="G2179" s="1019"/>
      <c r="H2179" s="1019"/>
      <c r="I2179" s="1019"/>
      <c r="J2179" s="1019"/>
      <c r="K2179" s="1019"/>
      <c r="L2179" s="1140"/>
    </row>
    <row r="2180" spans="1:12" x14ac:dyDescent="0.35">
      <c r="A2180" s="1019"/>
      <c r="B2180" s="1019"/>
      <c r="C2180" s="1019"/>
      <c r="D2180" s="1019"/>
      <c r="E2180" s="1019"/>
      <c r="F2180" s="1019"/>
      <c r="G2180" s="1019"/>
      <c r="H2180" s="1019"/>
      <c r="I2180" s="1019"/>
      <c r="J2180" s="1019"/>
      <c r="K2180" s="1019"/>
      <c r="L2180" s="1140"/>
    </row>
    <row r="2181" spans="1:12" x14ac:dyDescent="0.35">
      <c r="A2181" s="1019"/>
      <c r="B2181" s="1019"/>
      <c r="C2181" s="1019"/>
      <c r="D2181" s="1019"/>
      <c r="E2181" s="1019"/>
      <c r="F2181" s="1019"/>
      <c r="G2181" s="1019"/>
      <c r="H2181" s="1019"/>
      <c r="I2181" s="1019"/>
      <c r="J2181" s="1019"/>
      <c r="K2181" s="1019"/>
      <c r="L2181" s="1140"/>
    </row>
    <row r="2182" spans="1:12" x14ac:dyDescent="0.35">
      <c r="A2182" s="1019"/>
      <c r="B2182" s="1019"/>
      <c r="C2182" s="1019"/>
      <c r="D2182" s="1019"/>
      <c r="E2182" s="1019"/>
      <c r="F2182" s="1019"/>
      <c r="G2182" s="1019"/>
      <c r="H2182" s="1019"/>
      <c r="I2182" s="1019"/>
      <c r="J2182" s="1019"/>
      <c r="K2182" s="1019"/>
      <c r="L2182" s="1140"/>
    </row>
    <row r="2183" spans="1:12" x14ac:dyDescent="0.35">
      <c r="A2183" s="1019"/>
      <c r="B2183" s="1019"/>
      <c r="C2183" s="1019"/>
      <c r="D2183" s="1019"/>
      <c r="E2183" s="1019"/>
      <c r="F2183" s="1019"/>
      <c r="G2183" s="1019"/>
      <c r="H2183" s="1019"/>
      <c r="I2183" s="1019"/>
      <c r="J2183" s="1019"/>
      <c r="K2183" s="1019"/>
      <c r="L2183" s="1140"/>
    </row>
    <row r="2184" spans="1:12" x14ac:dyDescent="0.35">
      <c r="A2184" s="1019"/>
      <c r="B2184" s="1019"/>
      <c r="C2184" s="1019"/>
      <c r="D2184" s="1019"/>
      <c r="E2184" s="1019"/>
      <c r="F2184" s="1019"/>
      <c r="G2184" s="1019"/>
      <c r="H2184" s="1019"/>
      <c r="I2184" s="1019"/>
      <c r="J2184" s="1019"/>
      <c r="K2184" s="1019"/>
      <c r="L2184" s="1140"/>
    </row>
    <row r="2185" spans="1:12" x14ac:dyDescent="0.35">
      <c r="A2185" s="1019"/>
      <c r="B2185" s="1019"/>
      <c r="C2185" s="1019"/>
      <c r="D2185" s="1019"/>
      <c r="E2185" s="1019"/>
      <c r="F2185" s="1019"/>
      <c r="G2185" s="1019"/>
      <c r="H2185" s="1019"/>
      <c r="I2185" s="1019"/>
      <c r="J2185" s="1019"/>
      <c r="K2185" s="1019"/>
      <c r="L2185" s="1140"/>
    </row>
    <row r="2186" spans="1:12" x14ac:dyDescent="0.35">
      <c r="A2186" s="1019"/>
      <c r="B2186" s="1019"/>
      <c r="C2186" s="1019"/>
      <c r="D2186" s="1019"/>
      <c r="E2186" s="1019"/>
      <c r="F2186" s="1019"/>
      <c r="G2186" s="1019"/>
      <c r="H2186" s="1019"/>
      <c r="I2186" s="1019"/>
      <c r="J2186" s="1019"/>
      <c r="K2186" s="1019"/>
      <c r="L2186" s="1140"/>
    </row>
    <row r="2187" spans="1:12" x14ac:dyDescent="0.35">
      <c r="A2187" s="1019"/>
      <c r="B2187" s="1019"/>
      <c r="C2187" s="1019"/>
      <c r="D2187" s="1019"/>
      <c r="E2187" s="1019"/>
      <c r="F2187" s="1019"/>
      <c r="G2187" s="1019"/>
      <c r="H2187" s="1019"/>
      <c r="I2187" s="1019"/>
      <c r="J2187" s="1019"/>
      <c r="K2187" s="1019"/>
      <c r="L2187" s="1140"/>
    </row>
    <row r="2188" spans="1:12" x14ac:dyDescent="0.35">
      <c r="A2188" s="1019"/>
      <c r="B2188" s="1019"/>
      <c r="C2188" s="1019"/>
      <c r="D2188" s="1019"/>
      <c r="E2188" s="1019"/>
      <c r="F2188" s="1019"/>
      <c r="G2188" s="1019"/>
      <c r="H2188" s="1019"/>
      <c r="I2188" s="1019"/>
      <c r="J2188" s="1019"/>
      <c r="K2188" s="1019"/>
      <c r="L2188" s="1140"/>
    </row>
    <row r="2189" spans="1:12" x14ac:dyDescent="0.35">
      <c r="A2189" s="1019"/>
      <c r="B2189" s="1019"/>
      <c r="C2189" s="1019"/>
      <c r="D2189" s="1019"/>
      <c r="E2189" s="1019"/>
      <c r="F2189" s="1019"/>
      <c r="G2189" s="1019"/>
      <c r="H2189" s="1019"/>
      <c r="I2189" s="1019"/>
      <c r="J2189" s="1019"/>
      <c r="K2189" s="1019"/>
      <c r="L2189" s="1140"/>
    </row>
    <row r="2190" spans="1:12" x14ac:dyDescent="0.35">
      <c r="A2190" s="1019"/>
      <c r="B2190" s="1019"/>
      <c r="C2190" s="1019"/>
      <c r="D2190" s="1019"/>
      <c r="E2190" s="1019"/>
      <c r="F2190" s="1019"/>
      <c r="G2190" s="1019"/>
      <c r="H2190" s="1019"/>
      <c r="I2190" s="1019"/>
      <c r="J2190" s="1019"/>
      <c r="K2190" s="1019"/>
      <c r="L2190" s="1140"/>
    </row>
    <row r="2191" spans="1:12" x14ac:dyDescent="0.35">
      <c r="A2191" s="1019"/>
      <c r="B2191" s="1019"/>
      <c r="C2191" s="1019"/>
      <c r="D2191" s="1019"/>
      <c r="E2191" s="1019"/>
      <c r="F2191" s="1019"/>
      <c r="G2191" s="1019"/>
      <c r="H2191" s="1019"/>
      <c r="I2191" s="1019"/>
      <c r="J2191" s="1019"/>
      <c r="K2191" s="1019"/>
      <c r="L2191" s="1140"/>
    </row>
    <row r="2192" spans="1:12" x14ac:dyDescent="0.35">
      <c r="A2192" s="1019"/>
      <c r="B2192" s="1019"/>
      <c r="C2192" s="1019"/>
      <c r="D2192" s="1019"/>
      <c r="E2192" s="1019"/>
      <c r="F2192" s="1019"/>
      <c r="G2192" s="1019"/>
      <c r="H2192" s="1019"/>
      <c r="I2192" s="1019"/>
      <c r="J2192" s="1019"/>
      <c r="K2192" s="1019"/>
      <c r="L2192" s="1140"/>
    </row>
    <row r="2193" spans="1:12" x14ac:dyDescent="0.35">
      <c r="A2193" s="1019"/>
      <c r="B2193" s="1019"/>
      <c r="C2193" s="1019"/>
      <c r="D2193" s="1019"/>
      <c r="E2193" s="1019"/>
      <c r="F2193" s="1019"/>
      <c r="G2193" s="1019"/>
      <c r="H2193" s="1019"/>
      <c r="I2193" s="1019"/>
      <c r="J2193" s="1019"/>
      <c r="K2193" s="1019"/>
      <c r="L2193" s="1140"/>
    </row>
    <row r="2194" spans="1:12" x14ac:dyDescent="0.35">
      <c r="A2194" s="1019"/>
      <c r="B2194" s="1019"/>
      <c r="C2194" s="1019"/>
      <c r="D2194" s="1019"/>
      <c r="E2194" s="1019"/>
      <c r="F2194" s="1019"/>
      <c r="G2194" s="1019"/>
      <c r="H2194" s="1019"/>
      <c r="I2194" s="1019"/>
      <c r="J2194" s="1019"/>
      <c r="K2194" s="1019"/>
      <c r="L2194" s="1140"/>
    </row>
    <row r="2195" spans="1:12" x14ac:dyDescent="0.35">
      <c r="A2195" s="1019"/>
      <c r="B2195" s="1019"/>
      <c r="C2195" s="1019"/>
      <c r="D2195" s="1019"/>
      <c r="E2195" s="1019"/>
      <c r="F2195" s="1019"/>
      <c r="G2195" s="1019"/>
      <c r="H2195" s="1019"/>
      <c r="I2195" s="1019"/>
      <c r="J2195" s="1019"/>
      <c r="K2195" s="1019"/>
      <c r="L2195" s="1140"/>
    </row>
    <row r="2196" spans="1:12" x14ac:dyDescent="0.35">
      <c r="A2196" s="1019"/>
      <c r="B2196" s="1019"/>
      <c r="C2196" s="1019"/>
      <c r="D2196" s="1019"/>
      <c r="E2196" s="1019"/>
      <c r="F2196" s="1019"/>
      <c r="G2196" s="1019"/>
      <c r="H2196" s="1019"/>
      <c r="I2196" s="1019"/>
      <c r="J2196" s="1019"/>
      <c r="K2196" s="1019"/>
      <c r="L2196" s="1140"/>
    </row>
    <row r="2197" spans="1:12" x14ac:dyDescent="0.35">
      <c r="A2197" s="1019"/>
      <c r="B2197" s="1019"/>
      <c r="C2197" s="1019"/>
      <c r="D2197" s="1019"/>
      <c r="E2197" s="1019"/>
      <c r="F2197" s="1019"/>
      <c r="G2197" s="1019"/>
      <c r="H2197" s="1019"/>
      <c r="I2197" s="1019"/>
      <c r="J2197" s="1019"/>
      <c r="K2197" s="1019"/>
      <c r="L2197" s="1140"/>
    </row>
    <row r="2198" spans="1:12" x14ac:dyDescent="0.35">
      <c r="A2198" s="1019"/>
      <c r="B2198" s="1019"/>
      <c r="C2198" s="1019"/>
      <c r="D2198" s="1019"/>
      <c r="E2198" s="1019"/>
      <c r="F2198" s="1019"/>
      <c r="G2198" s="1019"/>
      <c r="H2198" s="1019"/>
      <c r="I2198" s="1019"/>
      <c r="J2198" s="1019"/>
      <c r="K2198" s="1019"/>
      <c r="L2198" s="1140"/>
    </row>
    <row r="2199" spans="1:12" x14ac:dyDescent="0.35">
      <c r="A2199" s="1019"/>
      <c r="B2199" s="1019"/>
      <c r="C2199" s="1019"/>
      <c r="D2199" s="1019"/>
      <c r="E2199" s="1019"/>
      <c r="F2199" s="1019"/>
      <c r="G2199" s="1019"/>
      <c r="H2199" s="1019"/>
      <c r="I2199" s="1019"/>
      <c r="J2199" s="1019"/>
      <c r="K2199" s="1019"/>
      <c r="L2199" s="1140"/>
    </row>
    <row r="2200" spans="1:12" x14ac:dyDescent="0.35">
      <c r="A2200" s="1019"/>
      <c r="B2200" s="1019"/>
      <c r="C2200" s="1019"/>
      <c r="D2200" s="1019"/>
      <c r="E2200" s="1019"/>
      <c r="F2200" s="1019"/>
      <c r="G2200" s="1019"/>
      <c r="H2200" s="1019"/>
      <c r="I2200" s="1019"/>
      <c r="J2200" s="1019"/>
      <c r="K2200" s="1019"/>
      <c r="L2200" s="1140"/>
    </row>
    <row r="2201" spans="1:12" x14ac:dyDescent="0.35">
      <c r="A2201" s="1019"/>
      <c r="B2201" s="1019"/>
      <c r="C2201" s="1019"/>
      <c r="D2201" s="1019"/>
      <c r="E2201" s="1019"/>
      <c r="F2201" s="1019"/>
      <c r="G2201" s="1019"/>
      <c r="H2201" s="1019"/>
      <c r="I2201" s="1019"/>
      <c r="J2201" s="1019"/>
      <c r="K2201" s="1019"/>
      <c r="L2201" s="1140"/>
    </row>
    <row r="2202" spans="1:12" x14ac:dyDescent="0.35">
      <c r="A2202" s="1019"/>
      <c r="B2202" s="1019"/>
      <c r="C2202" s="1019"/>
      <c r="D2202" s="1019"/>
      <c r="E2202" s="1019"/>
      <c r="F2202" s="1019"/>
      <c r="G2202" s="1019"/>
      <c r="H2202" s="1019"/>
      <c r="I2202" s="1019"/>
      <c r="J2202" s="1019"/>
      <c r="K2202" s="1019"/>
      <c r="L2202" s="1140"/>
    </row>
    <row r="2203" spans="1:12" x14ac:dyDescent="0.35">
      <c r="A2203" s="1019"/>
      <c r="B2203" s="1019"/>
      <c r="C2203" s="1019"/>
      <c r="D2203" s="1019"/>
      <c r="E2203" s="1019"/>
      <c r="F2203" s="1019"/>
      <c r="G2203" s="1019"/>
      <c r="H2203" s="1019"/>
      <c r="I2203" s="1019"/>
      <c r="J2203" s="1019"/>
      <c r="K2203" s="1019"/>
      <c r="L2203" s="1140"/>
    </row>
    <row r="2204" spans="1:12" x14ac:dyDescent="0.35">
      <c r="A2204" s="1019"/>
      <c r="B2204" s="1019"/>
      <c r="C2204" s="1019"/>
      <c r="D2204" s="1019"/>
      <c r="E2204" s="1019"/>
      <c r="F2204" s="1019"/>
      <c r="G2204" s="1019"/>
      <c r="H2204" s="1019"/>
      <c r="I2204" s="1019"/>
      <c r="J2204" s="1019"/>
      <c r="K2204" s="1019"/>
      <c r="L2204" s="1140"/>
    </row>
    <row r="2205" spans="1:12" x14ac:dyDescent="0.35">
      <c r="A2205" s="1019"/>
      <c r="B2205" s="1019"/>
      <c r="C2205" s="1019"/>
      <c r="D2205" s="1019"/>
      <c r="E2205" s="1019"/>
      <c r="F2205" s="1019"/>
      <c r="G2205" s="1019"/>
      <c r="H2205" s="1019"/>
      <c r="I2205" s="1019"/>
      <c r="J2205" s="1019"/>
      <c r="K2205" s="1019"/>
      <c r="L2205" s="1140"/>
    </row>
    <row r="2206" spans="1:12" x14ac:dyDescent="0.35">
      <c r="A2206" s="1019"/>
      <c r="B2206" s="1019"/>
      <c r="C2206" s="1019"/>
      <c r="D2206" s="1019"/>
      <c r="E2206" s="1019"/>
      <c r="F2206" s="1019"/>
      <c r="G2206" s="1019"/>
      <c r="H2206" s="1019"/>
      <c r="I2206" s="1019"/>
      <c r="J2206" s="1019"/>
      <c r="K2206" s="1019"/>
      <c r="L2206" s="1140"/>
    </row>
    <row r="2207" spans="1:12" x14ac:dyDescent="0.35">
      <c r="A2207" s="1019"/>
      <c r="B2207" s="1019"/>
      <c r="C2207" s="1019"/>
      <c r="D2207" s="1019"/>
      <c r="E2207" s="1019"/>
      <c r="F2207" s="1019"/>
      <c r="G2207" s="1019"/>
      <c r="H2207" s="1019"/>
      <c r="I2207" s="1019"/>
      <c r="J2207" s="1019"/>
      <c r="K2207" s="1019"/>
      <c r="L2207" s="1140"/>
    </row>
    <row r="2208" spans="1:12" x14ac:dyDescent="0.35">
      <c r="A2208" s="1019"/>
      <c r="B2208" s="1019"/>
      <c r="C2208" s="1019"/>
      <c r="D2208" s="1019"/>
      <c r="E2208" s="1019"/>
      <c r="F2208" s="1019"/>
      <c r="G2208" s="1019"/>
      <c r="H2208" s="1019"/>
      <c r="I2208" s="1019"/>
      <c r="J2208" s="1019"/>
      <c r="K2208" s="1019"/>
      <c r="L2208" s="1140"/>
    </row>
    <row r="2209" spans="1:12" x14ac:dyDescent="0.35">
      <c r="A2209" s="1019"/>
      <c r="B2209" s="1019"/>
      <c r="C2209" s="1019"/>
      <c r="D2209" s="1019"/>
      <c r="E2209" s="1019"/>
      <c r="F2209" s="1019"/>
      <c r="G2209" s="1019"/>
      <c r="H2209" s="1019"/>
      <c r="I2209" s="1019"/>
      <c r="J2209" s="1019"/>
      <c r="K2209" s="1019"/>
      <c r="L2209" s="1140"/>
    </row>
    <row r="2210" spans="1:12" x14ac:dyDescent="0.35">
      <c r="A2210" s="1019"/>
      <c r="B2210" s="1019"/>
      <c r="C2210" s="1019"/>
      <c r="D2210" s="1019"/>
      <c r="E2210" s="1019"/>
      <c r="F2210" s="1019"/>
      <c r="G2210" s="1019"/>
      <c r="H2210" s="1019"/>
      <c r="I2210" s="1019"/>
      <c r="J2210" s="1019"/>
      <c r="K2210" s="1019"/>
      <c r="L2210" s="1140"/>
    </row>
    <row r="2211" spans="1:12" x14ac:dyDescent="0.35">
      <c r="A2211" s="1019"/>
      <c r="B2211" s="1019"/>
      <c r="C2211" s="1019"/>
      <c r="D2211" s="1019"/>
      <c r="E2211" s="1019"/>
      <c r="F2211" s="1019"/>
      <c r="G2211" s="1019"/>
      <c r="H2211" s="1019"/>
      <c r="I2211" s="1019"/>
      <c r="J2211" s="1019"/>
      <c r="K2211" s="1019"/>
      <c r="L2211" s="1140"/>
    </row>
    <row r="2212" spans="1:12" x14ac:dyDescent="0.35">
      <c r="A2212" s="1019"/>
      <c r="B2212" s="1019"/>
      <c r="C2212" s="1019"/>
      <c r="D2212" s="1019"/>
      <c r="E2212" s="1019"/>
      <c r="F2212" s="1019"/>
      <c r="G2212" s="1019"/>
      <c r="H2212" s="1019"/>
      <c r="I2212" s="1019"/>
      <c r="J2212" s="1019"/>
      <c r="K2212" s="1019"/>
      <c r="L2212" s="1140"/>
    </row>
    <row r="2213" spans="1:12" x14ac:dyDescent="0.35">
      <c r="A2213" s="1019"/>
      <c r="B2213" s="1019"/>
      <c r="C2213" s="1019"/>
      <c r="D2213" s="1019"/>
      <c r="E2213" s="1019"/>
      <c r="F2213" s="1019"/>
      <c r="G2213" s="1019"/>
      <c r="H2213" s="1019"/>
      <c r="I2213" s="1019"/>
      <c r="J2213" s="1019"/>
      <c r="K2213" s="1019"/>
      <c r="L2213" s="1140"/>
    </row>
    <row r="2214" spans="1:12" x14ac:dyDescent="0.35">
      <c r="A2214" s="1019"/>
      <c r="B2214" s="1019"/>
      <c r="C2214" s="1019"/>
      <c r="D2214" s="1019"/>
      <c r="E2214" s="1019"/>
      <c r="F2214" s="1019"/>
      <c r="G2214" s="1019"/>
      <c r="H2214" s="1019"/>
      <c r="I2214" s="1019"/>
      <c r="J2214" s="1019"/>
      <c r="K2214" s="1019"/>
      <c r="L2214" s="1140"/>
    </row>
    <row r="2215" spans="1:12" x14ac:dyDescent="0.35">
      <c r="A2215" s="1019"/>
      <c r="B2215" s="1019"/>
      <c r="C2215" s="1019"/>
      <c r="D2215" s="1019"/>
      <c r="E2215" s="1019"/>
      <c r="F2215" s="1019"/>
      <c r="G2215" s="1019"/>
      <c r="H2215" s="1019"/>
      <c r="I2215" s="1019"/>
      <c r="J2215" s="1019"/>
      <c r="K2215" s="1019"/>
      <c r="L2215" s="1140"/>
    </row>
    <row r="2216" spans="1:12" x14ac:dyDescent="0.35">
      <c r="A2216" s="1019"/>
      <c r="B2216" s="1019"/>
      <c r="C2216" s="1019"/>
      <c r="D2216" s="1019"/>
      <c r="E2216" s="1019"/>
      <c r="F2216" s="1019"/>
      <c r="G2216" s="1019"/>
      <c r="H2216" s="1019"/>
      <c r="I2216" s="1019"/>
      <c r="J2216" s="1019"/>
      <c r="K2216" s="1019"/>
      <c r="L2216" s="1140"/>
    </row>
    <row r="2217" spans="1:12" x14ac:dyDescent="0.35">
      <c r="A2217" s="1019"/>
      <c r="B2217" s="1019"/>
      <c r="C2217" s="1019"/>
      <c r="D2217" s="1019"/>
      <c r="E2217" s="1019"/>
      <c r="F2217" s="1019"/>
      <c r="G2217" s="1019"/>
      <c r="H2217" s="1019"/>
      <c r="I2217" s="1019"/>
      <c r="J2217" s="1019"/>
      <c r="K2217" s="1019"/>
      <c r="L2217" s="1140"/>
    </row>
    <row r="2218" spans="1:12" x14ac:dyDescent="0.35">
      <c r="A2218" s="1019"/>
      <c r="B2218" s="1019"/>
      <c r="C2218" s="1019"/>
      <c r="D2218" s="1019"/>
      <c r="E2218" s="1019"/>
      <c r="F2218" s="1019"/>
      <c r="G2218" s="1019"/>
      <c r="H2218" s="1019"/>
      <c r="I2218" s="1019"/>
      <c r="J2218" s="1019"/>
      <c r="K2218" s="1019"/>
      <c r="L2218" s="1140"/>
    </row>
    <row r="2219" spans="1:12" x14ac:dyDescent="0.35">
      <c r="A2219" s="1019"/>
      <c r="B2219" s="1019"/>
      <c r="C2219" s="1019"/>
      <c r="D2219" s="1019"/>
      <c r="E2219" s="1019"/>
      <c r="F2219" s="1019"/>
      <c r="G2219" s="1019"/>
      <c r="H2219" s="1019"/>
      <c r="I2219" s="1019"/>
      <c r="J2219" s="1019"/>
      <c r="K2219" s="1019"/>
      <c r="L2219" s="1140"/>
    </row>
    <row r="2220" spans="1:12" x14ac:dyDescent="0.35">
      <c r="A2220" s="1019"/>
      <c r="B2220" s="1019"/>
      <c r="C2220" s="1019"/>
      <c r="D2220" s="1019"/>
      <c r="E2220" s="1019"/>
      <c r="F2220" s="1019"/>
      <c r="G2220" s="1019"/>
      <c r="H2220" s="1019"/>
      <c r="I2220" s="1019"/>
      <c r="J2220" s="1019"/>
      <c r="K2220" s="1019"/>
      <c r="L2220" s="1140"/>
    </row>
    <row r="2221" spans="1:12" x14ac:dyDescent="0.35">
      <c r="A2221" s="1019"/>
      <c r="B2221" s="1019"/>
      <c r="C2221" s="1019"/>
      <c r="D2221" s="1019"/>
      <c r="E2221" s="1019"/>
      <c r="F2221" s="1019"/>
      <c r="G2221" s="1019"/>
      <c r="H2221" s="1019"/>
      <c r="I2221" s="1019"/>
      <c r="J2221" s="1019"/>
      <c r="K2221" s="1019"/>
      <c r="L2221" s="1140"/>
    </row>
    <row r="2222" spans="1:12" x14ac:dyDescent="0.35">
      <c r="A2222" s="1019"/>
      <c r="B2222" s="1019"/>
      <c r="C2222" s="1019"/>
      <c r="D2222" s="1019"/>
      <c r="E2222" s="1019"/>
      <c r="F2222" s="1019"/>
      <c r="G2222" s="1019"/>
      <c r="H2222" s="1019"/>
      <c r="I2222" s="1019"/>
      <c r="J2222" s="1019"/>
      <c r="K2222" s="1019"/>
      <c r="L2222" s="1140"/>
    </row>
    <row r="2223" spans="1:12" x14ac:dyDescent="0.35">
      <c r="A2223" s="1019"/>
      <c r="B2223" s="1019"/>
      <c r="C2223" s="1019"/>
      <c r="D2223" s="1019"/>
      <c r="E2223" s="1019"/>
      <c r="F2223" s="1019"/>
      <c r="G2223" s="1019"/>
      <c r="H2223" s="1019"/>
      <c r="I2223" s="1019"/>
      <c r="J2223" s="1019"/>
      <c r="K2223" s="1019"/>
      <c r="L2223" s="1140"/>
    </row>
    <row r="2224" spans="1:12" x14ac:dyDescent="0.35">
      <c r="A2224" s="1019"/>
      <c r="B2224" s="1019"/>
      <c r="C2224" s="1019"/>
      <c r="D2224" s="1019"/>
      <c r="E2224" s="1019"/>
      <c r="F2224" s="1019"/>
      <c r="G2224" s="1019"/>
      <c r="H2224" s="1019"/>
      <c r="I2224" s="1019"/>
      <c r="J2224" s="1019"/>
      <c r="K2224" s="1019"/>
      <c r="L2224" s="1140"/>
    </row>
    <row r="2225" spans="1:12" x14ac:dyDescent="0.35">
      <c r="A2225" s="1019"/>
      <c r="B2225" s="1019"/>
      <c r="C2225" s="1019"/>
      <c r="D2225" s="1019"/>
      <c r="E2225" s="1019"/>
      <c r="F2225" s="1019"/>
      <c r="G2225" s="1019"/>
      <c r="H2225" s="1019"/>
      <c r="I2225" s="1019"/>
      <c r="J2225" s="1019"/>
      <c r="K2225" s="1019"/>
      <c r="L2225" s="1140"/>
    </row>
    <row r="2226" spans="1:12" x14ac:dyDescent="0.35">
      <c r="A2226" s="1019"/>
      <c r="B2226" s="1019"/>
      <c r="C2226" s="1019"/>
      <c r="D2226" s="1019"/>
      <c r="E2226" s="1019"/>
      <c r="F2226" s="1019"/>
      <c r="G2226" s="1019"/>
      <c r="H2226" s="1019"/>
      <c r="I2226" s="1019"/>
      <c r="J2226" s="1019"/>
      <c r="K2226" s="1019"/>
      <c r="L2226" s="1140"/>
    </row>
    <row r="2227" spans="1:12" x14ac:dyDescent="0.35">
      <c r="A2227" s="1019"/>
      <c r="B2227" s="1019"/>
      <c r="C2227" s="1019"/>
      <c r="D2227" s="1019"/>
      <c r="E2227" s="1019"/>
      <c r="F2227" s="1019"/>
      <c r="G2227" s="1019"/>
      <c r="H2227" s="1019"/>
      <c r="I2227" s="1019"/>
      <c r="J2227" s="1019"/>
      <c r="K2227" s="1019"/>
      <c r="L2227" s="1140"/>
    </row>
    <row r="2228" spans="1:12" x14ac:dyDescent="0.35">
      <c r="A2228" s="1019"/>
      <c r="B2228" s="1019"/>
      <c r="C2228" s="1019"/>
      <c r="D2228" s="1019"/>
      <c r="E2228" s="1019"/>
      <c r="F2228" s="1019"/>
      <c r="G2228" s="1019"/>
      <c r="H2228" s="1019"/>
      <c r="I2228" s="1019"/>
      <c r="J2228" s="1019"/>
      <c r="K2228" s="1019"/>
      <c r="L2228" s="1140"/>
    </row>
    <row r="2229" spans="1:12" x14ac:dyDescent="0.35">
      <c r="A2229" s="1019"/>
      <c r="B2229" s="1019"/>
      <c r="C2229" s="1019"/>
      <c r="D2229" s="1019"/>
      <c r="E2229" s="1019"/>
      <c r="F2229" s="1019"/>
      <c r="G2229" s="1019"/>
      <c r="H2229" s="1019"/>
      <c r="I2229" s="1019"/>
      <c r="J2229" s="1019"/>
      <c r="K2229" s="1019"/>
      <c r="L2229" s="1140"/>
    </row>
    <row r="2230" spans="1:12" x14ac:dyDescent="0.35">
      <c r="A2230" s="1019"/>
      <c r="B2230" s="1019"/>
      <c r="C2230" s="1019"/>
      <c r="D2230" s="1019"/>
      <c r="E2230" s="1019"/>
      <c r="F2230" s="1019"/>
      <c r="G2230" s="1019"/>
      <c r="H2230" s="1019"/>
      <c r="I2230" s="1019"/>
      <c r="J2230" s="1019"/>
      <c r="K2230" s="1019"/>
      <c r="L2230" s="1140"/>
    </row>
    <row r="2231" spans="1:12" x14ac:dyDescent="0.35">
      <c r="A2231" s="1019"/>
      <c r="B2231" s="1019"/>
      <c r="C2231" s="1019"/>
      <c r="D2231" s="1019"/>
      <c r="E2231" s="1019"/>
      <c r="F2231" s="1019"/>
      <c r="G2231" s="1019"/>
      <c r="H2231" s="1019"/>
      <c r="I2231" s="1019"/>
      <c r="J2231" s="1019"/>
      <c r="K2231" s="1019"/>
      <c r="L2231" s="1140"/>
    </row>
    <row r="2232" spans="1:12" x14ac:dyDescent="0.35">
      <c r="A2232" s="1019"/>
      <c r="B2232" s="1019"/>
      <c r="C2232" s="1019"/>
      <c r="D2232" s="1019"/>
      <c r="E2232" s="1019"/>
      <c r="F2232" s="1019"/>
      <c r="G2232" s="1019"/>
      <c r="H2232" s="1019"/>
      <c r="I2232" s="1019"/>
      <c r="J2232" s="1019"/>
      <c r="K2232" s="1019"/>
      <c r="L2232" s="1140"/>
    </row>
    <row r="2233" spans="1:12" x14ac:dyDescent="0.35">
      <c r="A2233" s="1019"/>
      <c r="B2233" s="1019"/>
      <c r="C2233" s="1019"/>
      <c r="D2233" s="1019"/>
      <c r="E2233" s="1019"/>
      <c r="F2233" s="1019"/>
      <c r="G2233" s="1019"/>
      <c r="H2233" s="1019"/>
      <c r="I2233" s="1019"/>
      <c r="J2233" s="1019"/>
      <c r="K2233" s="1019"/>
      <c r="L2233" s="1140"/>
    </row>
    <row r="2234" spans="1:12" x14ac:dyDescent="0.35">
      <c r="A2234" s="1019"/>
      <c r="B2234" s="1019"/>
      <c r="C2234" s="1019"/>
      <c r="D2234" s="1019"/>
      <c r="E2234" s="1019"/>
      <c r="F2234" s="1019"/>
      <c r="G2234" s="1019"/>
      <c r="H2234" s="1019"/>
      <c r="I2234" s="1019"/>
      <c r="J2234" s="1019"/>
      <c r="K2234" s="1019"/>
      <c r="L2234" s="1140"/>
    </row>
    <row r="2235" spans="1:12" x14ac:dyDescent="0.35">
      <c r="A2235" s="1019"/>
      <c r="B2235" s="1019"/>
      <c r="C2235" s="1019"/>
      <c r="D2235" s="1019"/>
      <c r="E2235" s="1019"/>
      <c r="F2235" s="1019"/>
      <c r="G2235" s="1019"/>
      <c r="H2235" s="1019"/>
      <c r="I2235" s="1019"/>
      <c r="J2235" s="1019"/>
      <c r="K2235" s="1019"/>
      <c r="L2235" s="1140"/>
    </row>
    <row r="2236" spans="1:12" x14ac:dyDescent="0.35">
      <c r="A2236" s="1019"/>
      <c r="B2236" s="1019"/>
      <c r="C2236" s="1019"/>
      <c r="D2236" s="1019"/>
      <c r="E2236" s="1019"/>
      <c r="F2236" s="1019"/>
      <c r="G2236" s="1019"/>
      <c r="H2236" s="1019"/>
      <c r="I2236" s="1019"/>
      <c r="J2236" s="1019"/>
      <c r="K2236" s="1019"/>
      <c r="L2236" s="1140"/>
    </row>
    <row r="2237" spans="1:12" x14ac:dyDescent="0.35">
      <c r="A2237" s="1019"/>
      <c r="B2237" s="1019"/>
      <c r="C2237" s="1019"/>
      <c r="D2237" s="1019"/>
      <c r="E2237" s="1019"/>
      <c r="F2237" s="1019"/>
      <c r="G2237" s="1019"/>
      <c r="H2237" s="1019"/>
      <c r="I2237" s="1019"/>
      <c r="J2237" s="1019"/>
      <c r="K2237" s="1019"/>
      <c r="L2237" s="1140"/>
    </row>
    <row r="2238" spans="1:12" x14ac:dyDescent="0.35">
      <c r="A2238" s="1019"/>
      <c r="B2238" s="1019"/>
      <c r="C2238" s="1019"/>
      <c r="D2238" s="1019"/>
      <c r="E2238" s="1019"/>
      <c r="F2238" s="1019"/>
      <c r="G2238" s="1019"/>
      <c r="H2238" s="1019"/>
      <c r="I2238" s="1019"/>
      <c r="J2238" s="1019"/>
      <c r="K2238" s="1019"/>
      <c r="L2238" s="1140"/>
    </row>
    <row r="2239" spans="1:12" x14ac:dyDescent="0.35">
      <c r="A2239" s="1019"/>
      <c r="B2239" s="1019"/>
      <c r="C2239" s="1019"/>
      <c r="D2239" s="1019"/>
      <c r="E2239" s="1019"/>
      <c r="F2239" s="1019"/>
      <c r="G2239" s="1019"/>
      <c r="H2239" s="1019"/>
      <c r="I2239" s="1019"/>
      <c r="J2239" s="1019"/>
      <c r="K2239" s="1019"/>
      <c r="L2239" s="1140"/>
    </row>
    <row r="2240" spans="1:12" x14ac:dyDescent="0.35">
      <c r="A2240" s="1019"/>
      <c r="B2240" s="1019"/>
      <c r="C2240" s="1019"/>
      <c r="D2240" s="1019"/>
      <c r="E2240" s="1019"/>
      <c r="F2240" s="1019"/>
      <c r="G2240" s="1019"/>
      <c r="H2240" s="1019"/>
      <c r="I2240" s="1019"/>
      <c r="J2240" s="1019"/>
      <c r="K2240" s="1019"/>
      <c r="L2240" s="1140"/>
    </row>
    <row r="2241" spans="1:12" x14ac:dyDescent="0.35">
      <c r="A2241" s="1019"/>
      <c r="B2241" s="1019"/>
      <c r="C2241" s="1019"/>
      <c r="D2241" s="1019"/>
      <c r="E2241" s="1019"/>
      <c r="F2241" s="1019"/>
      <c r="G2241" s="1019"/>
      <c r="H2241" s="1019"/>
      <c r="I2241" s="1019"/>
      <c r="J2241" s="1019"/>
      <c r="K2241" s="1019"/>
      <c r="L2241" s="1140"/>
    </row>
    <row r="2242" spans="1:12" x14ac:dyDescent="0.35">
      <c r="A2242" s="1019"/>
      <c r="B2242" s="1019"/>
      <c r="C2242" s="1019"/>
      <c r="D2242" s="1019"/>
      <c r="E2242" s="1019"/>
      <c r="F2242" s="1019"/>
      <c r="G2242" s="1019"/>
      <c r="H2242" s="1019"/>
      <c r="I2242" s="1019"/>
      <c r="J2242" s="1019"/>
      <c r="K2242" s="1019"/>
      <c r="L2242" s="1140"/>
    </row>
    <row r="2243" spans="1:12" x14ac:dyDescent="0.35">
      <c r="A2243" s="1019"/>
      <c r="B2243" s="1019"/>
      <c r="C2243" s="1019"/>
      <c r="D2243" s="1019"/>
      <c r="E2243" s="1019"/>
      <c r="F2243" s="1019"/>
      <c r="G2243" s="1019"/>
      <c r="H2243" s="1019"/>
      <c r="I2243" s="1019"/>
      <c r="J2243" s="1019"/>
      <c r="K2243" s="1019"/>
      <c r="L2243" s="1140"/>
    </row>
    <row r="2244" spans="1:12" x14ac:dyDescent="0.35">
      <c r="A2244" s="1019"/>
      <c r="B2244" s="1019"/>
      <c r="C2244" s="1019"/>
      <c r="D2244" s="1019"/>
      <c r="E2244" s="1019"/>
      <c r="F2244" s="1019"/>
      <c r="G2244" s="1019"/>
      <c r="H2244" s="1019"/>
      <c r="I2244" s="1019"/>
      <c r="J2244" s="1019"/>
      <c r="K2244" s="1019"/>
      <c r="L2244" s="1140"/>
    </row>
    <row r="2245" spans="1:12" x14ac:dyDescent="0.35">
      <c r="A2245" s="1019"/>
      <c r="B2245" s="1019"/>
      <c r="C2245" s="1019"/>
      <c r="D2245" s="1019"/>
      <c r="E2245" s="1019"/>
      <c r="F2245" s="1019"/>
      <c r="G2245" s="1019"/>
      <c r="H2245" s="1019"/>
      <c r="I2245" s="1019"/>
      <c r="J2245" s="1019"/>
      <c r="K2245" s="1019"/>
      <c r="L2245" s="1140"/>
    </row>
    <row r="2246" spans="1:12" x14ac:dyDescent="0.35">
      <c r="A2246" s="1019"/>
      <c r="B2246" s="1019"/>
      <c r="C2246" s="1019"/>
      <c r="D2246" s="1019"/>
      <c r="E2246" s="1019"/>
      <c r="F2246" s="1019"/>
      <c r="G2246" s="1019"/>
      <c r="H2246" s="1019"/>
      <c r="I2246" s="1019"/>
      <c r="J2246" s="1019"/>
      <c r="K2246" s="1019"/>
      <c r="L2246" s="1140"/>
    </row>
    <row r="2247" spans="1:12" x14ac:dyDescent="0.35">
      <c r="A2247" s="1019"/>
      <c r="B2247" s="1019"/>
      <c r="C2247" s="1019"/>
      <c r="D2247" s="1019"/>
      <c r="E2247" s="1019"/>
      <c r="F2247" s="1019"/>
      <c r="G2247" s="1019"/>
      <c r="H2247" s="1019"/>
      <c r="I2247" s="1019"/>
      <c r="J2247" s="1019"/>
      <c r="K2247" s="1019"/>
      <c r="L2247" s="1140"/>
    </row>
    <row r="2248" spans="1:12" x14ac:dyDescent="0.35">
      <c r="A2248" s="1019"/>
      <c r="B2248" s="1019"/>
      <c r="C2248" s="1019"/>
      <c r="D2248" s="1019"/>
      <c r="E2248" s="1019"/>
      <c r="F2248" s="1019"/>
      <c r="G2248" s="1019"/>
      <c r="H2248" s="1019"/>
      <c r="I2248" s="1019"/>
      <c r="J2248" s="1019"/>
      <c r="K2248" s="1019"/>
      <c r="L2248" s="1140"/>
    </row>
    <row r="2249" spans="1:12" x14ac:dyDescent="0.35">
      <c r="A2249" s="1019"/>
      <c r="B2249" s="1019"/>
      <c r="C2249" s="1019"/>
      <c r="D2249" s="1019"/>
      <c r="E2249" s="1019"/>
      <c r="F2249" s="1019"/>
      <c r="G2249" s="1019"/>
      <c r="H2249" s="1019"/>
      <c r="I2249" s="1019"/>
      <c r="J2249" s="1019"/>
      <c r="K2249" s="1019"/>
      <c r="L2249" s="1140"/>
    </row>
    <row r="2250" spans="1:12" x14ac:dyDescent="0.35">
      <c r="A2250" s="1019"/>
      <c r="B2250" s="1019"/>
      <c r="C2250" s="1019"/>
      <c r="D2250" s="1019"/>
      <c r="E2250" s="1019"/>
      <c r="F2250" s="1019"/>
      <c r="G2250" s="1019"/>
      <c r="H2250" s="1019"/>
      <c r="I2250" s="1019"/>
      <c r="J2250" s="1019"/>
      <c r="K2250" s="1019"/>
      <c r="L2250" s="1140"/>
    </row>
    <row r="2251" spans="1:12" x14ac:dyDescent="0.35">
      <c r="A2251" s="1019"/>
      <c r="B2251" s="1019"/>
      <c r="C2251" s="1019"/>
      <c r="D2251" s="1019"/>
      <c r="E2251" s="1019"/>
      <c r="F2251" s="1019"/>
      <c r="G2251" s="1019"/>
      <c r="H2251" s="1019"/>
      <c r="I2251" s="1019"/>
      <c r="J2251" s="1019"/>
      <c r="K2251" s="1019"/>
      <c r="L2251" s="1140"/>
    </row>
    <row r="2252" spans="1:12" x14ac:dyDescent="0.35">
      <c r="A2252" s="1019"/>
      <c r="B2252" s="1019"/>
      <c r="C2252" s="1019"/>
      <c r="D2252" s="1019"/>
      <c r="E2252" s="1019"/>
      <c r="F2252" s="1019"/>
      <c r="G2252" s="1019"/>
      <c r="H2252" s="1019"/>
      <c r="I2252" s="1019"/>
      <c r="J2252" s="1019"/>
      <c r="K2252" s="1019"/>
      <c r="L2252" s="1140"/>
    </row>
    <row r="2253" spans="1:12" x14ac:dyDescent="0.35">
      <c r="A2253" s="1019"/>
      <c r="B2253" s="1019"/>
      <c r="C2253" s="1019"/>
      <c r="D2253" s="1019"/>
      <c r="E2253" s="1019"/>
      <c r="F2253" s="1019"/>
      <c r="G2253" s="1019"/>
      <c r="H2253" s="1019"/>
      <c r="I2253" s="1019"/>
      <c r="J2253" s="1019"/>
      <c r="K2253" s="1019"/>
      <c r="L2253" s="1140"/>
    </row>
    <row r="2254" spans="1:12" x14ac:dyDescent="0.35">
      <c r="A2254" s="1019"/>
      <c r="B2254" s="1019"/>
      <c r="C2254" s="1019"/>
      <c r="D2254" s="1019"/>
      <c r="E2254" s="1019"/>
      <c r="F2254" s="1019"/>
      <c r="G2254" s="1019"/>
      <c r="H2254" s="1019"/>
      <c r="I2254" s="1019"/>
      <c r="J2254" s="1019"/>
      <c r="K2254" s="1019"/>
      <c r="L2254" s="1140"/>
    </row>
    <row r="2255" spans="1:12" x14ac:dyDescent="0.35">
      <c r="A2255" s="1019"/>
      <c r="B2255" s="1019"/>
      <c r="C2255" s="1019"/>
      <c r="D2255" s="1019"/>
      <c r="E2255" s="1019"/>
      <c r="F2255" s="1019"/>
      <c r="G2255" s="1019"/>
      <c r="H2255" s="1019"/>
      <c r="I2255" s="1019"/>
      <c r="J2255" s="1019"/>
      <c r="K2255" s="1019"/>
      <c r="L2255" s="1140"/>
    </row>
    <row r="2256" spans="1:12" x14ac:dyDescent="0.35">
      <c r="A2256" s="1019"/>
      <c r="B2256" s="1019"/>
      <c r="C2256" s="1019"/>
      <c r="D2256" s="1019"/>
      <c r="E2256" s="1019"/>
      <c r="F2256" s="1019"/>
      <c r="G2256" s="1019"/>
      <c r="H2256" s="1019"/>
      <c r="I2256" s="1019"/>
      <c r="J2256" s="1019"/>
      <c r="K2256" s="1019"/>
      <c r="L2256" s="1140"/>
    </row>
    <row r="2257" spans="1:12" x14ac:dyDescent="0.35">
      <c r="A2257" s="1019"/>
      <c r="B2257" s="1019"/>
      <c r="C2257" s="1019"/>
      <c r="D2257" s="1019"/>
      <c r="E2257" s="1019"/>
      <c r="F2257" s="1019"/>
      <c r="G2257" s="1019"/>
      <c r="H2257" s="1019"/>
      <c r="I2257" s="1019"/>
      <c r="J2257" s="1019"/>
      <c r="K2257" s="1019"/>
      <c r="L2257" s="1140"/>
    </row>
    <row r="2258" spans="1:12" x14ac:dyDescent="0.35">
      <c r="A2258" s="1019"/>
      <c r="B2258" s="1019"/>
      <c r="C2258" s="1019"/>
      <c r="D2258" s="1019"/>
      <c r="E2258" s="1019"/>
      <c r="F2258" s="1019"/>
      <c r="G2258" s="1019"/>
      <c r="H2258" s="1019"/>
      <c r="I2258" s="1019"/>
      <c r="J2258" s="1019"/>
      <c r="K2258" s="1019"/>
      <c r="L2258" s="1140"/>
    </row>
    <row r="2259" spans="1:12" x14ac:dyDescent="0.35">
      <c r="A2259" s="1019"/>
      <c r="B2259" s="1019"/>
      <c r="C2259" s="1019"/>
      <c r="D2259" s="1019"/>
      <c r="E2259" s="1019"/>
      <c r="F2259" s="1019"/>
      <c r="G2259" s="1019"/>
      <c r="H2259" s="1019"/>
      <c r="I2259" s="1019"/>
      <c r="J2259" s="1019"/>
      <c r="K2259" s="1019"/>
      <c r="L2259" s="1140"/>
    </row>
    <row r="2260" spans="1:12" x14ac:dyDescent="0.35">
      <c r="A2260" s="1019"/>
      <c r="B2260" s="1019"/>
      <c r="C2260" s="1019"/>
      <c r="D2260" s="1019"/>
      <c r="E2260" s="1019"/>
      <c r="F2260" s="1019"/>
      <c r="G2260" s="1019"/>
      <c r="H2260" s="1019"/>
      <c r="I2260" s="1019"/>
      <c r="J2260" s="1019"/>
      <c r="K2260" s="1019"/>
      <c r="L2260" s="1140"/>
    </row>
    <row r="2261" spans="1:12" x14ac:dyDescent="0.35">
      <c r="A2261" s="1019"/>
      <c r="B2261" s="1019"/>
      <c r="C2261" s="1019"/>
      <c r="D2261" s="1019"/>
      <c r="E2261" s="1019"/>
      <c r="F2261" s="1019"/>
      <c r="G2261" s="1019"/>
      <c r="H2261" s="1019"/>
      <c r="I2261" s="1019"/>
      <c r="J2261" s="1019"/>
      <c r="K2261" s="1019"/>
      <c r="L2261" s="1140"/>
    </row>
    <row r="2262" spans="1:12" x14ac:dyDescent="0.35">
      <c r="A2262" s="1019"/>
      <c r="B2262" s="1019"/>
      <c r="C2262" s="1019"/>
      <c r="D2262" s="1019"/>
      <c r="E2262" s="1019"/>
      <c r="F2262" s="1019"/>
      <c r="G2262" s="1019"/>
      <c r="H2262" s="1019"/>
      <c r="I2262" s="1019"/>
      <c r="J2262" s="1019"/>
      <c r="K2262" s="1019"/>
      <c r="L2262" s="1140"/>
    </row>
    <row r="2263" spans="1:12" x14ac:dyDescent="0.35">
      <c r="A2263" s="1019"/>
      <c r="B2263" s="1019"/>
      <c r="C2263" s="1019"/>
      <c r="D2263" s="1019"/>
      <c r="E2263" s="1019"/>
      <c r="F2263" s="1019"/>
      <c r="G2263" s="1019"/>
      <c r="H2263" s="1019"/>
      <c r="I2263" s="1019"/>
      <c r="J2263" s="1019"/>
      <c r="K2263" s="1019"/>
      <c r="L2263" s="1140"/>
    </row>
    <row r="2264" spans="1:12" x14ac:dyDescent="0.35">
      <c r="A2264" s="1019"/>
      <c r="B2264" s="1019"/>
      <c r="C2264" s="1019"/>
      <c r="D2264" s="1019"/>
      <c r="E2264" s="1019"/>
      <c r="F2264" s="1019"/>
      <c r="G2264" s="1019"/>
      <c r="H2264" s="1019"/>
      <c r="I2264" s="1019"/>
      <c r="J2264" s="1019"/>
      <c r="K2264" s="1019"/>
      <c r="L2264" s="1140"/>
    </row>
    <row r="2265" spans="1:12" x14ac:dyDescent="0.35">
      <c r="A2265" s="1019"/>
      <c r="B2265" s="1019"/>
      <c r="C2265" s="1019"/>
      <c r="D2265" s="1019"/>
      <c r="E2265" s="1019"/>
      <c r="F2265" s="1019"/>
      <c r="G2265" s="1019"/>
      <c r="H2265" s="1019"/>
      <c r="I2265" s="1019"/>
      <c r="J2265" s="1019"/>
      <c r="K2265" s="1019"/>
      <c r="L2265" s="1140"/>
    </row>
    <row r="2266" spans="1:12" x14ac:dyDescent="0.35">
      <c r="A2266" s="1019"/>
      <c r="B2266" s="1019"/>
      <c r="C2266" s="1019"/>
      <c r="D2266" s="1019"/>
      <c r="E2266" s="1019"/>
      <c r="F2266" s="1019"/>
      <c r="G2266" s="1019"/>
      <c r="H2266" s="1019"/>
      <c r="I2266" s="1019"/>
      <c r="J2266" s="1019"/>
      <c r="K2266" s="1019"/>
      <c r="L2266" s="1140"/>
    </row>
    <row r="2267" spans="1:12" x14ac:dyDescent="0.35">
      <c r="A2267" s="1019"/>
      <c r="B2267" s="1019"/>
      <c r="C2267" s="1019"/>
      <c r="D2267" s="1019"/>
      <c r="E2267" s="1019"/>
      <c r="F2267" s="1019"/>
      <c r="G2267" s="1019"/>
      <c r="H2267" s="1019"/>
      <c r="I2267" s="1019"/>
      <c r="J2267" s="1019"/>
      <c r="K2267" s="1019"/>
      <c r="L2267" s="1140"/>
    </row>
    <row r="2268" spans="1:12" x14ac:dyDescent="0.35">
      <c r="A2268" s="1019"/>
      <c r="B2268" s="1019"/>
      <c r="C2268" s="1019"/>
      <c r="D2268" s="1019"/>
      <c r="E2268" s="1019"/>
      <c r="F2268" s="1019"/>
      <c r="G2268" s="1019"/>
      <c r="H2268" s="1019"/>
      <c r="I2268" s="1019"/>
      <c r="J2268" s="1019"/>
      <c r="K2268" s="1019"/>
      <c r="L2268" s="1140"/>
    </row>
    <row r="2269" spans="1:12" x14ac:dyDescent="0.35">
      <c r="A2269" s="1019"/>
      <c r="B2269" s="1019"/>
      <c r="C2269" s="1019"/>
      <c r="D2269" s="1019"/>
      <c r="E2269" s="1019"/>
      <c r="F2269" s="1019"/>
      <c r="G2269" s="1019"/>
      <c r="H2269" s="1019"/>
      <c r="I2269" s="1019"/>
      <c r="J2269" s="1019"/>
      <c r="K2269" s="1019"/>
      <c r="L2269" s="1140"/>
    </row>
    <row r="2270" spans="1:12" x14ac:dyDescent="0.35">
      <c r="A2270" s="1019"/>
      <c r="B2270" s="1019"/>
      <c r="C2270" s="1019"/>
      <c r="D2270" s="1019"/>
      <c r="E2270" s="1019"/>
      <c r="F2270" s="1019"/>
      <c r="G2270" s="1019"/>
      <c r="H2270" s="1019"/>
      <c r="I2270" s="1019"/>
      <c r="J2270" s="1019"/>
      <c r="K2270" s="1019"/>
      <c r="L2270" s="1140"/>
    </row>
    <row r="2271" spans="1:12" x14ac:dyDescent="0.35">
      <c r="A2271" s="1019"/>
      <c r="B2271" s="1019"/>
      <c r="C2271" s="1019"/>
      <c r="D2271" s="1019"/>
      <c r="E2271" s="1019"/>
      <c r="F2271" s="1019"/>
      <c r="G2271" s="1019"/>
      <c r="H2271" s="1019"/>
      <c r="I2271" s="1019"/>
      <c r="J2271" s="1019"/>
      <c r="K2271" s="1019"/>
      <c r="L2271" s="1140"/>
    </row>
    <row r="2272" spans="1:12" x14ac:dyDescent="0.35">
      <c r="A2272" s="1019"/>
      <c r="B2272" s="1019"/>
      <c r="C2272" s="1019"/>
      <c r="D2272" s="1019"/>
      <c r="E2272" s="1019"/>
      <c r="F2272" s="1019"/>
      <c r="G2272" s="1019"/>
      <c r="H2272" s="1019"/>
      <c r="I2272" s="1019"/>
      <c r="J2272" s="1019"/>
      <c r="K2272" s="1019"/>
      <c r="L2272" s="1140"/>
    </row>
    <row r="2273" spans="1:12" x14ac:dyDescent="0.35">
      <c r="A2273" s="1019"/>
      <c r="B2273" s="1019"/>
      <c r="C2273" s="1019"/>
      <c r="D2273" s="1019"/>
      <c r="E2273" s="1019"/>
      <c r="F2273" s="1019"/>
      <c r="G2273" s="1019"/>
      <c r="H2273" s="1019"/>
      <c r="I2273" s="1019"/>
      <c r="J2273" s="1019"/>
      <c r="K2273" s="1019"/>
      <c r="L2273" s="1140"/>
    </row>
    <row r="2274" spans="1:12" x14ac:dyDescent="0.35">
      <c r="A2274" s="1019"/>
      <c r="B2274" s="1019"/>
      <c r="C2274" s="1019"/>
      <c r="D2274" s="1019"/>
      <c r="E2274" s="1019"/>
      <c r="F2274" s="1019"/>
      <c r="G2274" s="1019"/>
      <c r="H2274" s="1019"/>
      <c r="I2274" s="1019"/>
      <c r="J2274" s="1019"/>
      <c r="K2274" s="1019"/>
      <c r="L2274" s="1140"/>
    </row>
    <row r="2275" spans="1:12" x14ac:dyDescent="0.35">
      <c r="A2275" s="1019"/>
      <c r="B2275" s="1019"/>
      <c r="C2275" s="1019"/>
      <c r="D2275" s="1019"/>
      <c r="E2275" s="1019"/>
      <c r="F2275" s="1019"/>
      <c r="G2275" s="1019"/>
      <c r="H2275" s="1019"/>
      <c r="I2275" s="1019"/>
      <c r="J2275" s="1019"/>
      <c r="K2275" s="1019"/>
      <c r="L2275" s="1140"/>
    </row>
    <row r="2276" spans="1:12" x14ac:dyDescent="0.35">
      <c r="A2276" s="1019"/>
      <c r="B2276" s="1019"/>
      <c r="C2276" s="1019"/>
      <c r="D2276" s="1019"/>
      <c r="E2276" s="1019"/>
      <c r="F2276" s="1019"/>
      <c r="G2276" s="1019"/>
      <c r="H2276" s="1019"/>
      <c r="I2276" s="1019"/>
      <c r="J2276" s="1019"/>
      <c r="K2276" s="1019"/>
      <c r="L2276" s="1140"/>
    </row>
    <row r="2277" spans="1:12" x14ac:dyDescent="0.35">
      <c r="A2277" s="1019"/>
      <c r="B2277" s="1019"/>
      <c r="C2277" s="1019"/>
      <c r="D2277" s="1019"/>
      <c r="E2277" s="1019"/>
      <c r="F2277" s="1019"/>
      <c r="G2277" s="1019"/>
      <c r="H2277" s="1019"/>
      <c r="I2277" s="1019"/>
      <c r="J2277" s="1019"/>
      <c r="K2277" s="1019"/>
      <c r="L2277" s="1140"/>
    </row>
    <row r="2278" spans="1:12" x14ac:dyDescent="0.35">
      <c r="A2278" s="1019"/>
      <c r="B2278" s="1019"/>
      <c r="C2278" s="1019"/>
      <c r="D2278" s="1019"/>
      <c r="E2278" s="1019"/>
      <c r="F2278" s="1019"/>
      <c r="G2278" s="1019"/>
      <c r="H2278" s="1019"/>
      <c r="I2278" s="1019"/>
      <c r="J2278" s="1019"/>
      <c r="K2278" s="1019"/>
      <c r="L2278" s="1140"/>
    </row>
    <row r="2279" spans="1:12" x14ac:dyDescent="0.35">
      <c r="A2279" s="1019"/>
      <c r="B2279" s="1019"/>
      <c r="C2279" s="1019"/>
      <c r="D2279" s="1019"/>
      <c r="E2279" s="1019"/>
      <c r="F2279" s="1019"/>
      <c r="G2279" s="1019"/>
      <c r="H2279" s="1019"/>
      <c r="I2279" s="1019"/>
      <c r="J2279" s="1019"/>
      <c r="K2279" s="1019"/>
      <c r="L2279" s="1140"/>
    </row>
    <row r="2280" spans="1:12" x14ac:dyDescent="0.35">
      <c r="A2280" s="1019"/>
      <c r="B2280" s="1019"/>
      <c r="C2280" s="1019"/>
      <c r="D2280" s="1019"/>
      <c r="E2280" s="1019"/>
      <c r="F2280" s="1019"/>
      <c r="G2280" s="1019"/>
      <c r="H2280" s="1019"/>
      <c r="I2280" s="1019"/>
      <c r="J2280" s="1019"/>
      <c r="K2280" s="1019"/>
      <c r="L2280" s="1140"/>
    </row>
    <row r="2281" spans="1:12" x14ac:dyDescent="0.35">
      <c r="A2281" s="1019"/>
      <c r="B2281" s="1019"/>
      <c r="C2281" s="1019"/>
      <c r="D2281" s="1019"/>
      <c r="E2281" s="1019"/>
      <c r="F2281" s="1019"/>
      <c r="G2281" s="1019"/>
      <c r="H2281" s="1019"/>
      <c r="I2281" s="1019"/>
      <c r="J2281" s="1019"/>
      <c r="K2281" s="1019"/>
      <c r="L2281" s="1140"/>
    </row>
    <row r="2282" spans="1:12" x14ac:dyDescent="0.35">
      <c r="A2282" s="1019"/>
      <c r="B2282" s="1019"/>
      <c r="C2282" s="1019"/>
      <c r="D2282" s="1019"/>
      <c r="E2282" s="1019"/>
      <c r="F2282" s="1019"/>
      <c r="G2282" s="1019"/>
      <c r="H2282" s="1019"/>
      <c r="I2282" s="1019"/>
      <c r="J2282" s="1019"/>
      <c r="K2282" s="1019"/>
      <c r="L2282" s="1140"/>
    </row>
    <row r="2283" spans="1:12" x14ac:dyDescent="0.35">
      <c r="A2283" s="1019"/>
      <c r="B2283" s="1019"/>
      <c r="C2283" s="1019"/>
      <c r="D2283" s="1019"/>
      <c r="E2283" s="1019"/>
      <c r="F2283" s="1019"/>
      <c r="G2283" s="1019"/>
      <c r="H2283" s="1019"/>
      <c r="I2283" s="1019"/>
      <c r="J2283" s="1019"/>
      <c r="K2283" s="1019"/>
      <c r="L2283" s="1140"/>
    </row>
    <row r="2284" spans="1:12" x14ac:dyDescent="0.35">
      <c r="A2284" s="1019"/>
      <c r="B2284" s="1019"/>
      <c r="C2284" s="1019"/>
      <c r="D2284" s="1019"/>
      <c r="E2284" s="1019"/>
      <c r="F2284" s="1019"/>
      <c r="G2284" s="1019"/>
      <c r="H2284" s="1019"/>
      <c r="I2284" s="1019"/>
      <c r="J2284" s="1019"/>
      <c r="K2284" s="1019"/>
      <c r="L2284" s="1140"/>
    </row>
    <row r="2285" spans="1:12" x14ac:dyDescent="0.35">
      <c r="A2285" s="1019"/>
      <c r="B2285" s="1019"/>
      <c r="C2285" s="1019"/>
      <c r="D2285" s="1019"/>
      <c r="E2285" s="1019"/>
      <c r="F2285" s="1019"/>
      <c r="G2285" s="1019"/>
      <c r="H2285" s="1019"/>
      <c r="I2285" s="1019"/>
      <c r="J2285" s="1019"/>
      <c r="K2285" s="1019"/>
      <c r="L2285" s="1140"/>
    </row>
    <row r="2286" spans="1:12" x14ac:dyDescent="0.35">
      <c r="A2286" s="1019"/>
      <c r="B2286" s="1019"/>
      <c r="C2286" s="1019"/>
      <c r="D2286" s="1019"/>
      <c r="E2286" s="1019"/>
      <c r="F2286" s="1019"/>
      <c r="G2286" s="1019"/>
      <c r="H2286" s="1019"/>
      <c r="I2286" s="1019"/>
      <c r="J2286" s="1019"/>
      <c r="K2286" s="1019"/>
      <c r="L2286" s="1140"/>
    </row>
    <row r="2287" spans="1:12" x14ac:dyDescent="0.35">
      <c r="A2287" s="1019"/>
      <c r="B2287" s="1019"/>
      <c r="C2287" s="1019"/>
      <c r="D2287" s="1019"/>
      <c r="E2287" s="1019"/>
      <c r="F2287" s="1019"/>
      <c r="G2287" s="1019"/>
      <c r="H2287" s="1019"/>
      <c r="I2287" s="1019"/>
      <c r="J2287" s="1019"/>
      <c r="K2287" s="1019"/>
      <c r="L2287" s="1140"/>
    </row>
    <row r="2288" spans="1:12" x14ac:dyDescent="0.35">
      <c r="A2288" s="1019"/>
      <c r="B2288" s="1019"/>
      <c r="C2288" s="1019"/>
      <c r="D2288" s="1019"/>
      <c r="E2288" s="1019"/>
      <c r="F2288" s="1019"/>
      <c r="G2288" s="1019"/>
      <c r="H2288" s="1019"/>
      <c r="I2288" s="1019"/>
      <c r="J2288" s="1019"/>
      <c r="K2288" s="1019"/>
      <c r="L2288" s="1140"/>
    </row>
    <row r="2289" spans="1:12" x14ac:dyDescent="0.35">
      <c r="A2289" s="1019"/>
      <c r="B2289" s="1019"/>
      <c r="C2289" s="1019"/>
      <c r="D2289" s="1019"/>
      <c r="E2289" s="1019"/>
      <c r="F2289" s="1019"/>
      <c r="G2289" s="1019"/>
      <c r="H2289" s="1019"/>
      <c r="I2289" s="1019"/>
      <c r="J2289" s="1019"/>
      <c r="K2289" s="1019"/>
      <c r="L2289" s="1140"/>
    </row>
    <row r="2290" spans="1:12" x14ac:dyDescent="0.35">
      <c r="A2290" s="1019"/>
      <c r="B2290" s="1019"/>
      <c r="C2290" s="1019"/>
      <c r="D2290" s="1019"/>
      <c r="E2290" s="1019"/>
      <c r="F2290" s="1019"/>
      <c r="G2290" s="1019"/>
      <c r="H2290" s="1019"/>
      <c r="I2290" s="1019"/>
      <c r="J2290" s="1019"/>
      <c r="K2290" s="1019"/>
      <c r="L2290" s="1140"/>
    </row>
    <row r="2291" spans="1:12" x14ac:dyDescent="0.35">
      <c r="A2291" s="1019"/>
      <c r="B2291" s="1019"/>
      <c r="C2291" s="1019"/>
      <c r="D2291" s="1019"/>
      <c r="E2291" s="1019"/>
      <c r="F2291" s="1019"/>
      <c r="G2291" s="1019"/>
      <c r="H2291" s="1019"/>
      <c r="I2291" s="1019"/>
      <c r="J2291" s="1019"/>
      <c r="K2291" s="1019"/>
      <c r="L2291" s="1140"/>
    </row>
    <row r="2292" spans="1:12" x14ac:dyDescent="0.35">
      <c r="A2292" s="1019"/>
      <c r="B2292" s="1019"/>
      <c r="C2292" s="1019"/>
      <c r="D2292" s="1019"/>
      <c r="E2292" s="1019"/>
      <c r="F2292" s="1019"/>
      <c r="G2292" s="1019"/>
      <c r="H2292" s="1019"/>
      <c r="I2292" s="1019"/>
      <c r="J2292" s="1019"/>
      <c r="K2292" s="1019"/>
      <c r="L2292" s="1140"/>
    </row>
    <row r="2293" spans="1:12" x14ac:dyDescent="0.35">
      <c r="A2293" s="1019"/>
      <c r="B2293" s="1019"/>
      <c r="C2293" s="1019"/>
      <c r="D2293" s="1019"/>
      <c r="E2293" s="1019"/>
      <c r="F2293" s="1019"/>
      <c r="G2293" s="1019"/>
      <c r="H2293" s="1019"/>
      <c r="I2293" s="1019"/>
      <c r="J2293" s="1019"/>
      <c r="K2293" s="1019"/>
      <c r="L2293" s="1140"/>
    </row>
    <row r="2294" spans="1:12" x14ac:dyDescent="0.35">
      <c r="A2294" s="1019"/>
      <c r="B2294" s="1019"/>
      <c r="C2294" s="1019"/>
      <c r="D2294" s="1019"/>
      <c r="E2294" s="1019"/>
      <c r="F2294" s="1019"/>
      <c r="G2294" s="1019"/>
      <c r="H2294" s="1019"/>
      <c r="I2294" s="1019"/>
      <c r="J2294" s="1019"/>
      <c r="K2294" s="1019"/>
      <c r="L2294" s="1140"/>
    </row>
    <row r="2295" spans="1:12" x14ac:dyDescent="0.35">
      <c r="A2295" s="1019"/>
      <c r="B2295" s="1019"/>
      <c r="C2295" s="1019"/>
      <c r="D2295" s="1019"/>
      <c r="E2295" s="1019"/>
      <c r="F2295" s="1019"/>
      <c r="G2295" s="1019"/>
      <c r="H2295" s="1019"/>
      <c r="I2295" s="1019"/>
      <c r="J2295" s="1019"/>
      <c r="K2295" s="1019"/>
      <c r="L2295" s="1140"/>
    </row>
    <row r="2296" spans="1:12" x14ac:dyDescent="0.35">
      <c r="A2296" s="1019"/>
      <c r="B2296" s="1019"/>
      <c r="C2296" s="1019"/>
      <c r="D2296" s="1019"/>
      <c r="E2296" s="1019"/>
      <c r="F2296" s="1019"/>
      <c r="G2296" s="1019"/>
      <c r="H2296" s="1019"/>
      <c r="I2296" s="1019"/>
      <c r="J2296" s="1019"/>
      <c r="K2296" s="1019"/>
      <c r="L2296" s="1140"/>
    </row>
    <row r="2297" spans="1:12" x14ac:dyDescent="0.35">
      <c r="A2297" s="1019"/>
      <c r="B2297" s="1019"/>
      <c r="C2297" s="1019"/>
      <c r="D2297" s="1019"/>
      <c r="E2297" s="1019"/>
      <c r="F2297" s="1019"/>
      <c r="G2297" s="1019"/>
      <c r="H2297" s="1019"/>
      <c r="I2297" s="1019"/>
      <c r="J2297" s="1019"/>
      <c r="K2297" s="1019"/>
      <c r="L2297" s="1140"/>
    </row>
    <row r="2298" spans="1:12" x14ac:dyDescent="0.35">
      <c r="A2298" s="1019"/>
      <c r="B2298" s="1019"/>
      <c r="C2298" s="1019"/>
      <c r="D2298" s="1019"/>
      <c r="E2298" s="1019"/>
      <c r="F2298" s="1019"/>
      <c r="G2298" s="1019"/>
      <c r="H2298" s="1019"/>
      <c r="I2298" s="1019"/>
      <c r="J2298" s="1019"/>
      <c r="K2298" s="1019"/>
      <c r="L2298" s="1140"/>
    </row>
    <row r="2299" spans="1:12" x14ac:dyDescent="0.35">
      <c r="A2299" s="1019"/>
      <c r="B2299" s="1019"/>
      <c r="C2299" s="1019"/>
      <c r="D2299" s="1019"/>
      <c r="E2299" s="1019"/>
      <c r="F2299" s="1019"/>
      <c r="G2299" s="1019"/>
      <c r="H2299" s="1019"/>
      <c r="I2299" s="1019"/>
      <c r="J2299" s="1019"/>
      <c r="K2299" s="1019"/>
      <c r="L2299" s="1140"/>
    </row>
    <row r="2300" spans="1:12" x14ac:dyDescent="0.35">
      <c r="A2300" s="1019"/>
      <c r="B2300" s="1019"/>
      <c r="C2300" s="1019"/>
      <c r="D2300" s="1019"/>
      <c r="E2300" s="1019"/>
      <c r="F2300" s="1019"/>
      <c r="G2300" s="1019"/>
      <c r="H2300" s="1019"/>
      <c r="I2300" s="1019"/>
      <c r="J2300" s="1019"/>
      <c r="K2300" s="1019"/>
      <c r="L2300" s="1140"/>
    </row>
    <row r="2301" spans="1:12" x14ac:dyDescent="0.35">
      <c r="A2301" s="1019"/>
      <c r="B2301" s="1019"/>
      <c r="C2301" s="1019"/>
      <c r="D2301" s="1019"/>
      <c r="E2301" s="1019"/>
      <c r="F2301" s="1019"/>
      <c r="G2301" s="1019"/>
      <c r="H2301" s="1019"/>
      <c r="I2301" s="1019"/>
      <c r="J2301" s="1019"/>
      <c r="K2301" s="1019"/>
      <c r="L2301" s="1140"/>
    </row>
    <row r="2302" spans="1:12" x14ac:dyDescent="0.35">
      <c r="A2302" s="1019"/>
      <c r="B2302" s="1019"/>
      <c r="C2302" s="1019"/>
      <c r="D2302" s="1019"/>
      <c r="E2302" s="1019"/>
      <c r="F2302" s="1019"/>
      <c r="G2302" s="1019"/>
      <c r="H2302" s="1019"/>
      <c r="I2302" s="1019"/>
      <c r="J2302" s="1019"/>
      <c r="K2302" s="1019"/>
      <c r="L2302" s="1140"/>
    </row>
    <row r="2303" spans="1:12" x14ac:dyDescent="0.35">
      <c r="A2303" s="1019"/>
      <c r="B2303" s="1019"/>
      <c r="C2303" s="1019"/>
      <c r="D2303" s="1019"/>
      <c r="E2303" s="1019"/>
      <c r="F2303" s="1019"/>
      <c r="G2303" s="1019"/>
      <c r="H2303" s="1019"/>
      <c r="I2303" s="1019"/>
      <c r="J2303" s="1019"/>
      <c r="K2303" s="1019"/>
      <c r="L2303" s="1140"/>
    </row>
    <row r="2304" spans="1:12" x14ac:dyDescent="0.35">
      <c r="A2304" s="1019"/>
      <c r="B2304" s="1019"/>
      <c r="C2304" s="1019"/>
      <c r="D2304" s="1019"/>
      <c r="E2304" s="1019"/>
      <c r="F2304" s="1019"/>
      <c r="G2304" s="1019"/>
      <c r="H2304" s="1019"/>
      <c r="I2304" s="1019"/>
      <c r="J2304" s="1019"/>
      <c r="K2304" s="1019"/>
      <c r="L2304" s="1140"/>
    </row>
    <row r="2305" spans="1:12" x14ac:dyDescent="0.35">
      <c r="A2305" s="1019"/>
      <c r="B2305" s="1019"/>
      <c r="C2305" s="1019"/>
      <c r="D2305" s="1019"/>
      <c r="E2305" s="1019"/>
      <c r="F2305" s="1019"/>
      <c r="G2305" s="1019"/>
      <c r="H2305" s="1019"/>
      <c r="I2305" s="1019"/>
      <c r="J2305" s="1019"/>
      <c r="K2305" s="1019"/>
      <c r="L2305" s="1140"/>
    </row>
    <row r="2306" spans="1:12" x14ac:dyDescent="0.35">
      <c r="A2306" s="1019"/>
      <c r="B2306" s="1019"/>
      <c r="C2306" s="1019"/>
      <c r="D2306" s="1019"/>
      <c r="E2306" s="1019"/>
      <c r="F2306" s="1019"/>
      <c r="G2306" s="1019"/>
      <c r="H2306" s="1019"/>
      <c r="I2306" s="1019"/>
      <c r="J2306" s="1019"/>
      <c r="K2306" s="1019"/>
      <c r="L2306" s="1140"/>
    </row>
    <row r="2307" spans="1:12" x14ac:dyDescent="0.35">
      <c r="A2307" s="1019"/>
      <c r="B2307" s="1019"/>
      <c r="C2307" s="1019"/>
      <c r="D2307" s="1019"/>
      <c r="E2307" s="1019"/>
      <c r="F2307" s="1019"/>
      <c r="G2307" s="1019"/>
      <c r="H2307" s="1019"/>
      <c r="I2307" s="1019"/>
      <c r="J2307" s="1019"/>
      <c r="K2307" s="1019"/>
      <c r="L2307" s="1140"/>
    </row>
    <row r="2308" spans="1:12" x14ac:dyDescent="0.35">
      <c r="A2308" s="1019"/>
      <c r="B2308" s="1019"/>
      <c r="C2308" s="1019"/>
      <c r="D2308" s="1019"/>
      <c r="E2308" s="1019"/>
      <c r="F2308" s="1019"/>
      <c r="G2308" s="1019"/>
      <c r="H2308" s="1019"/>
      <c r="I2308" s="1019"/>
      <c r="J2308" s="1019"/>
      <c r="K2308" s="1019"/>
      <c r="L2308" s="1140"/>
    </row>
    <row r="2309" spans="1:12" x14ac:dyDescent="0.35">
      <c r="A2309" s="1019"/>
      <c r="B2309" s="1019"/>
      <c r="C2309" s="1019"/>
      <c r="D2309" s="1019"/>
      <c r="E2309" s="1019"/>
      <c r="F2309" s="1019"/>
      <c r="G2309" s="1019"/>
      <c r="H2309" s="1019"/>
      <c r="I2309" s="1019"/>
      <c r="J2309" s="1019"/>
      <c r="K2309" s="1019"/>
      <c r="L2309" s="1140"/>
    </row>
    <row r="2310" spans="1:12" x14ac:dyDescent="0.35">
      <c r="A2310" s="1019"/>
      <c r="B2310" s="1019"/>
      <c r="C2310" s="1019"/>
      <c r="D2310" s="1019"/>
      <c r="E2310" s="1019"/>
      <c r="F2310" s="1019"/>
      <c r="G2310" s="1019"/>
      <c r="H2310" s="1019"/>
      <c r="I2310" s="1019"/>
      <c r="J2310" s="1019"/>
      <c r="K2310" s="1019"/>
      <c r="L2310" s="1140"/>
    </row>
    <row r="2311" spans="1:12" x14ac:dyDescent="0.35">
      <c r="A2311" s="1019"/>
      <c r="B2311" s="1019"/>
      <c r="C2311" s="1019"/>
      <c r="D2311" s="1019"/>
      <c r="E2311" s="1019"/>
      <c r="F2311" s="1019"/>
      <c r="G2311" s="1019"/>
      <c r="H2311" s="1019"/>
      <c r="I2311" s="1019"/>
      <c r="J2311" s="1019"/>
      <c r="K2311" s="1019"/>
      <c r="L2311" s="1140"/>
    </row>
    <row r="2312" spans="1:12" x14ac:dyDescent="0.35">
      <c r="A2312" s="1019"/>
      <c r="B2312" s="1019"/>
      <c r="C2312" s="1019"/>
      <c r="D2312" s="1019"/>
      <c r="E2312" s="1019"/>
      <c r="F2312" s="1019"/>
      <c r="G2312" s="1019"/>
      <c r="H2312" s="1019"/>
      <c r="I2312" s="1019"/>
      <c r="J2312" s="1019"/>
      <c r="K2312" s="1019"/>
      <c r="L2312" s="1140"/>
    </row>
    <row r="2313" spans="1:12" x14ac:dyDescent="0.35">
      <c r="A2313" s="1019"/>
      <c r="B2313" s="1019"/>
      <c r="C2313" s="1019"/>
      <c r="D2313" s="1019"/>
      <c r="E2313" s="1019"/>
      <c r="F2313" s="1019"/>
      <c r="G2313" s="1019"/>
      <c r="H2313" s="1019"/>
      <c r="I2313" s="1019"/>
      <c r="J2313" s="1019"/>
      <c r="K2313" s="1019"/>
      <c r="L2313" s="1140"/>
    </row>
    <row r="2314" spans="1:12" x14ac:dyDescent="0.35">
      <c r="A2314" s="1019"/>
      <c r="B2314" s="1019"/>
      <c r="C2314" s="1019"/>
      <c r="D2314" s="1019"/>
      <c r="E2314" s="1019"/>
      <c r="F2314" s="1019"/>
      <c r="G2314" s="1019"/>
      <c r="H2314" s="1019"/>
      <c r="I2314" s="1019"/>
      <c r="J2314" s="1019"/>
      <c r="K2314" s="1019"/>
      <c r="L2314" s="1140"/>
    </row>
    <row r="2315" spans="1:12" x14ac:dyDescent="0.35">
      <c r="A2315" s="1019"/>
      <c r="B2315" s="1019"/>
      <c r="C2315" s="1019"/>
      <c r="D2315" s="1019"/>
      <c r="E2315" s="1019"/>
      <c r="F2315" s="1019"/>
      <c r="G2315" s="1019"/>
      <c r="H2315" s="1019"/>
      <c r="I2315" s="1019"/>
      <c r="J2315" s="1019"/>
      <c r="K2315" s="1019"/>
      <c r="L2315" s="1140"/>
    </row>
    <row r="2316" spans="1:12" x14ac:dyDescent="0.35">
      <c r="A2316" s="1019"/>
      <c r="B2316" s="1019"/>
      <c r="C2316" s="1019"/>
      <c r="D2316" s="1019"/>
      <c r="E2316" s="1019"/>
      <c r="F2316" s="1019"/>
      <c r="G2316" s="1019"/>
      <c r="H2316" s="1019"/>
      <c r="I2316" s="1019"/>
      <c r="J2316" s="1019"/>
      <c r="K2316" s="1019"/>
      <c r="L2316" s="1140"/>
    </row>
    <row r="2317" spans="1:12" x14ac:dyDescent="0.35">
      <c r="A2317" s="1019"/>
      <c r="B2317" s="1019"/>
      <c r="C2317" s="1019"/>
      <c r="D2317" s="1019"/>
      <c r="E2317" s="1019"/>
      <c r="F2317" s="1019"/>
      <c r="G2317" s="1019"/>
      <c r="H2317" s="1019"/>
      <c r="I2317" s="1019"/>
      <c r="J2317" s="1019"/>
      <c r="K2317" s="1019"/>
      <c r="L2317" s="1140"/>
    </row>
    <row r="2318" spans="1:12" x14ac:dyDescent="0.35">
      <c r="A2318" s="1019"/>
      <c r="B2318" s="1019"/>
      <c r="C2318" s="1019"/>
      <c r="D2318" s="1019"/>
      <c r="E2318" s="1019"/>
      <c r="F2318" s="1019"/>
      <c r="G2318" s="1019"/>
      <c r="H2318" s="1019"/>
      <c r="I2318" s="1019"/>
      <c r="J2318" s="1019"/>
      <c r="K2318" s="1019"/>
      <c r="L2318" s="1140"/>
    </row>
    <row r="2319" spans="1:12" x14ac:dyDescent="0.35">
      <c r="A2319" s="1019"/>
      <c r="B2319" s="1019"/>
      <c r="C2319" s="1019"/>
      <c r="D2319" s="1019"/>
      <c r="E2319" s="1019"/>
      <c r="F2319" s="1019"/>
      <c r="G2319" s="1019"/>
      <c r="H2319" s="1019"/>
      <c r="I2319" s="1019"/>
      <c r="J2319" s="1019"/>
      <c r="K2319" s="1019"/>
      <c r="L2319" s="1140"/>
    </row>
    <row r="2320" spans="1:12" x14ac:dyDescent="0.35">
      <c r="A2320" s="1019"/>
      <c r="B2320" s="1019"/>
      <c r="C2320" s="1019"/>
      <c r="D2320" s="1019"/>
      <c r="E2320" s="1019"/>
      <c r="F2320" s="1019"/>
      <c r="G2320" s="1019"/>
      <c r="H2320" s="1019"/>
      <c r="I2320" s="1019"/>
      <c r="J2320" s="1019"/>
      <c r="K2320" s="1019"/>
      <c r="L2320" s="1140"/>
    </row>
    <row r="2321" spans="1:12" x14ac:dyDescent="0.35">
      <c r="A2321" s="1019"/>
      <c r="B2321" s="1019"/>
      <c r="C2321" s="1019"/>
      <c r="D2321" s="1019"/>
      <c r="E2321" s="1019"/>
      <c r="F2321" s="1019"/>
      <c r="G2321" s="1019"/>
      <c r="H2321" s="1019"/>
      <c r="I2321" s="1019"/>
      <c r="J2321" s="1019"/>
      <c r="K2321" s="1019"/>
      <c r="L2321" s="1140"/>
    </row>
    <row r="2322" spans="1:12" x14ac:dyDescent="0.35">
      <c r="A2322" s="1019"/>
      <c r="B2322" s="1019"/>
      <c r="C2322" s="1019"/>
      <c r="D2322" s="1019"/>
      <c r="E2322" s="1019"/>
      <c r="F2322" s="1019"/>
      <c r="G2322" s="1019"/>
      <c r="H2322" s="1019"/>
      <c r="I2322" s="1019"/>
      <c r="J2322" s="1019"/>
      <c r="K2322" s="1019"/>
      <c r="L2322" s="1140"/>
    </row>
    <row r="2323" spans="1:12" x14ac:dyDescent="0.35">
      <c r="A2323" s="1019"/>
      <c r="B2323" s="1019"/>
      <c r="C2323" s="1019"/>
      <c r="D2323" s="1019"/>
      <c r="E2323" s="1019"/>
      <c r="F2323" s="1019"/>
      <c r="G2323" s="1019"/>
      <c r="H2323" s="1019"/>
      <c r="I2323" s="1019"/>
      <c r="J2323" s="1019"/>
      <c r="K2323" s="1019"/>
      <c r="L2323" s="1140"/>
    </row>
    <row r="2324" spans="1:12" x14ac:dyDescent="0.35">
      <c r="A2324" s="1019"/>
      <c r="B2324" s="1019"/>
      <c r="C2324" s="1019"/>
      <c r="D2324" s="1019"/>
      <c r="E2324" s="1019"/>
      <c r="F2324" s="1019"/>
      <c r="G2324" s="1019"/>
      <c r="H2324" s="1019"/>
      <c r="I2324" s="1019"/>
      <c r="J2324" s="1019"/>
      <c r="K2324" s="1019"/>
      <c r="L2324" s="1140"/>
    </row>
    <row r="2325" spans="1:12" x14ac:dyDescent="0.35">
      <c r="A2325" s="1019"/>
      <c r="B2325" s="1019"/>
      <c r="C2325" s="1019"/>
      <c r="D2325" s="1019"/>
      <c r="E2325" s="1019"/>
      <c r="F2325" s="1019"/>
      <c r="G2325" s="1019"/>
      <c r="H2325" s="1019"/>
      <c r="I2325" s="1019"/>
      <c r="J2325" s="1019"/>
      <c r="K2325" s="1019"/>
      <c r="L2325" s="1140"/>
    </row>
    <row r="2326" spans="1:12" x14ac:dyDescent="0.35">
      <c r="A2326" s="1019"/>
      <c r="B2326" s="1019"/>
      <c r="C2326" s="1019"/>
      <c r="D2326" s="1019"/>
      <c r="E2326" s="1019"/>
      <c r="F2326" s="1019"/>
      <c r="G2326" s="1019"/>
      <c r="H2326" s="1019"/>
      <c r="I2326" s="1019"/>
      <c r="J2326" s="1019"/>
      <c r="K2326" s="1019"/>
      <c r="L2326" s="1140"/>
    </row>
    <row r="2327" spans="1:12" x14ac:dyDescent="0.35">
      <c r="A2327" s="1019"/>
      <c r="B2327" s="1019"/>
      <c r="C2327" s="1019"/>
      <c r="D2327" s="1019"/>
      <c r="E2327" s="1019"/>
      <c r="F2327" s="1019"/>
      <c r="G2327" s="1019"/>
      <c r="H2327" s="1019"/>
      <c r="I2327" s="1019"/>
      <c r="J2327" s="1019"/>
      <c r="K2327" s="1019"/>
      <c r="L2327" s="1140"/>
    </row>
    <row r="2328" spans="1:12" x14ac:dyDescent="0.35">
      <c r="A2328" s="1019"/>
      <c r="B2328" s="1019"/>
      <c r="C2328" s="1019"/>
      <c r="D2328" s="1019"/>
      <c r="E2328" s="1019"/>
      <c r="F2328" s="1019"/>
      <c r="G2328" s="1019"/>
      <c r="H2328" s="1019"/>
      <c r="I2328" s="1019"/>
      <c r="J2328" s="1019"/>
      <c r="K2328" s="1019"/>
      <c r="L2328" s="1140"/>
    </row>
    <row r="2329" spans="1:12" x14ac:dyDescent="0.35">
      <c r="A2329" s="1019"/>
      <c r="B2329" s="1019"/>
      <c r="C2329" s="1019"/>
      <c r="D2329" s="1019"/>
      <c r="E2329" s="1019"/>
      <c r="F2329" s="1019"/>
      <c r="G2329" s="1019"/>
      <c r="H2329" s="1019"/>
      <c r="I2329" s="1019"/>
      <c r="J2329" s="1019"/>
      <c r="K2329" s="1019"/>
      <c r="L2329" s="1140"/>
    </row>
    <row r="2330" spans="1:12" x14ac:dyDescent="0.35">
      <c r="A2330" s="1019"/>
      <c r="B2330" s="1019"/>
      <c r="C2330" s="1019"/>
      <c r="D2330" s="1019"/>
      <c r="E2330" s="1019"/>
      <c r="F2330" s="1019"/>
      <c r="G2330" s="1019"/>
      <c r="H2330" s="1019"/>
      <c r="I2330" s="1019"/>
      <c r="J2330" s="1019"/>
      <c r="K2330" s="1019"/>
      <c r="L2330" s="1140"/>
    </row>
    <row r="2331" spans="1:12" x14ac:dyDescent="0.35">
      <c r="A2331" s="1019"/>
      <c r="B2331" s="1019"/>
      <c r="C2331" s="1019"/>
      <c r="D2331" s="1019"/>
      <c r="E2331" s="1019"/>
      <c r="F2331" s="1019"/>
      <c r="G2331" s="1019"/>
      <c r="H2331" s="1019"/>
      <c r="I2331" s="1019"/>
      <c r="J2331" s="1019"/>
      <c r="K2331" s="1019"/>
      <c r="L2331" s="1140"/>
    </row>
    <row r="2332" spans="1:12" x14ac:dyDescent="0.35">
      <c r="A2332" s="1019"/>
      <c r="B2332" s="1019"/>
      <c r="C2332" s="1019"/>
      <c r="D2332" s="1019"/>
      <c r="E2332" s="1019"/>
      <c r="F2332" s="1019"/>
      <c r="G2332" s="1019"/>
      <c r="H2332" s="1019"/>
      <c r="I2332" s="1019"/>
      <c r="J2332" s="1019"/>
      <c r="K2332" s="1019"/>
      <c r="L2332" s="1140"/>
    </row>
    <row r="2333" spans="1:12" x14ac:dyDescent="0.35">
      <c r="A2333" s="1019"/>
      <c r="B2333" s="1019"/>
      <c r="C2333" s="1019"/>
      <c r="D2333" s="1019"/>
      <c r="E2333" s="1019"/>
      <c r="F2333" s="1019"/>
      <c r="G2333" s="1019"/>
      <c r="H2333" s="1019"/>
      <c r="I2333" s="1019"/>
      <c r="J2333" s="1019"/>
      <c r="K2333" s="1019"/>
      <c r="L2333" s="1140"/>
    </row>
    <row r="2334" spans="1:12" x14ac:dyDescent="0.35">
      <c r="A2334" s="1019"/>
      <c r="B2334" s="1019"/>
      <c r="C2334" s="1019"/>
      <c r="D2334" s="1019"/>
      <c r="E2334" s="1019"/>
      <c r="F2334" s="1019"/>
      <c r="G2334" s="1019"/>
      <c r="H2334" s="1019"/>
      <c r="I2334" s="1019"/>
      <c r="J2334" s="1019"/>
      <c r="K2334" s="1019"/>
      <c r="L2334" s="1140"/>
    </row>
    <row r="2335" spans="1:12" x14ac:dyDescent="0.35">
      <c r="A2335" s="1019"/>
      <c r="B2335" s="1019"/>
      <c r="C2335" s="1019"/>
      <c r="D2335" s="1019"/>
      <c r="E2335" s="1019"/>
      <c r="F2335" s="1019"/>
      <c r="G2335" s="1019"/>
      <c r="H2335" s="1019"/>
      <c r="I2335" s="1019"/>
      <c r="J2335" s="1019"/>
      <c r="K2335" s="1019"/>
      <c r="L2335" s="1140"/>
    </row>
    <row r="2336" spans="1:12" x14ac:dyDescent="0.35">
      <c r="A2336" s="1019"/>
      <c r="B2336" s="1019"/>
      <c r="C2336" s="1019"/>
      <c r="D2336" s="1019"/>
      <c r="E2336" s="1019"/>
      <c r="F2336" s="1019"/>
      <c r="G2336" s="1019"/>
      <c r="H2336" s="1019"/>
      <c r="I2336" s="1019"/>
      <c r="J2336" s="1019"/>
      <c r="K2336" s="1019"/>
      <c r="L2336" s="1140"/>
    </row>
    <row r="2337" spans="1:12" x14ac:dyDescent="0.35">
      <c r="A2337" s="1019"/>
      <c r="B2337" s="1019"/>
      <c r="C2337" s="1019"/>
      <c r="D2337" s="1019"/>
      <c r="E2337" s="1019"/>
      <c r="F2337" s="1019"/>
      <c r="G2337" s="1019"/>
      <c r="H2337" s="1019"/>
      <c r="I2337" s="1019"/>
      <c r="J2337" s="1019"/>
      <c r="K2337" s="1019"/>
      <c r="L2337" s="1140"/>
    </row>
    <row r="2338" spans="1:12" x14ac:dyDescent="0.35">
      <c r="A2338" s="1019"/>
      <c r="B2338" s="1019"/>
      <c r="C2338" s="1019"/>
      <c r="D2338" s="1019"/>
      <c r="E2338" s="1019"/>
      <c r="F2338" s="1019"/>
      <c r="G2338" s="1019"/>
      <c r="H2338" s="1019"/>
      <c r="I2338" s="1019"/>
      <c r="J2338" s="1019"/>
      <c r="K2338" s="1019"/>
      <c r="L2338" s="1140"/>
    </row>
    <row r="2339" spans="1:12" x14ac:dyDescent="0.35">
      <c r="A2339" s="1019"/>
      <c r="B2339" s="1019"/>
      <c r="C2339" s="1019"/>
      <c r="D2339" s="1019"/>
      <c r="E2339" s="1019"/>
      <c r="F2339" s="1019"/>
      <c r="G2339" s="1019"/>
      <c r="H2339" s="1019"/>
      <c r="I2339" s="1019"/>
      <c r="J2339" s="1019"/>
      <c r="K2339" s="1019"/>
      <c r="L2339" s="1140"/>
    </row>
    <row r="2340" spans="1:12" x14ac:dyDescent="0.35">
      <c r="A2340" s="1019"/>
      <c r="B2340" s="1019"/>
      <c r="C2340" s="1019"/>
      <c r="D2340" s="1019"/>
      <c r="E2340" s="1019"/>
      <c r="F2340" s="1019"/>
      <c r="G2340" s="1019"/>
      <c r="H2340" s="1019"/>
      <c r="I2340" s="1019"/>
      <c r="J2340" s="1019"/>
      <c r="K2340" s="1019"/>
      <c r="L2340" s="1140"/>
    </row>
    <row r="2341" spans="1:12" x14ac:dyDescent="0.35">
      <c r="A2341" s="1019"/>
      <c r="B2341" s="1019"/>
      <c r="C2341" s="1019"/>
      <c r="D2341" s="1019"/>
      <c r="E2341" s="1019"/>
      <c r="F2341" s="1019"/>
      <c r="G2341" s="1019"/>
      <c r="H2341" s="1019"/>
      <c r="I2341" s="1019"/>
      <c r="J2341" s="1019"/>
      <c r="K2341" s="1019"/>
      <c r="L2341" s="1140"/>
    </row>
    <row r="2342" spans="1:12" x14ac:dyDescent="0.35">
      <c r="A2342" s="1019"/>
      <c r="B2342" s="1019"/>
      <c r="C2342" s="1019"/>
      <c r="D2342" s="1019"/>
      <c r="E2342" s="1019"/>
      <c r="F2342" s="1019"/>
      <c r="G2342" s="1019"/>
      <c r="H2342" s="1019"/>
      <c r="I2342" s="1019"/>
      <c r="J2342" s="1019"/>
      <c r="K2342" s="1019"/>
      <c r="L2342" s="1140"/>
    </row>
    <row r="2343" spans="1:12" x14ac:dyDescent="0.35">
      <c r="A2343" s="1019"/>
      <c r="B2343" s="1019"/>
      <c r="C2343" s="1019"/>
      <c r="D2343" s="1019"/>
      <c r="E2343" s="1019"/>
      <c r="F2343" s="1019"/>
      <c r="G2343" s="1019"/>
      <c r="H2343" s="1019"/>
      <c r="I2343" s="1019"/>
      <c r="J2343" s="1019"/>
      <c r="K2343" s="1019"/>
      <c r="L2343" s="1140"/>
    </row>
    <row r="2344" spans="1:12" x14ac:dyDescent="0.35">
      <c r="A2344" s="1019"/>
      <c r="B2344" s="1019"/>
      <c r="C2344" s="1019"/>
      <c r="D2344" s="1019"/>
      <c r="E2344" s="1019"/>
      <c r="F2344" s="1019"/>
      <c r="G2344" s="1019"/>
      <c r="H2344" s="1019"/>
      <c r="I2344" s="1019"/>
      <c r="J2344" s="1019"/>
      <c r="K2344" s="1019"/>
      <c r="L2344" s="1140"/>
    </row>
    <row r="2345" spans="1:12" x14ac:dyDescent="0.35">
      <c r="A2345" s="1019"/>
      <c r="B2345" s="1019"/>
      <c r="C2345" s="1019"/>
      <c r="D2345" s="1019"/>
      <c r="E2345" s="1019"/>
      <c r="F2345" s="1019"/>
      <c r="G2345" s="1019"/>
      <c r="H2345" s="1019"/>
      <c r="I2345" s="1019"/>
      <c r="J2345" s="1019"/>
      <c r="K2345" s="1019"/>
      <c r="L2345" s="1140"/>
    </row>
    <row r="2346" spans="1:12" x14ac:dyDescent="0.35">
      <c r="A2346" s="1019"/>
      <c r="B2346" s="1019"/>
      <c r="C2346" s="1019"/>
      <c r="D2346" s="1019"/>
      <c r="E2346" s="1019"/>
      <c r="F2346" s="1019"/>
      <c r="G2346" s="1019"/>
      <c r="H2346" s="1019"/>
      <c r="I2346" s="1019"/>
      <c r="J2346" s="1019"/>
      <c r="K2346" s="1019"/>
      <c r="L2346" s="1140"/>
    </row>
    <row r="2347" spans="1:12" x14ac:dyDescent="0.35">
      <c r="A2347" s="1019"/>
      <c r="B2347" s="1019"/>
      <c r="C2347" s="1019"/>
      <c r="D2347" s="1019"/>
      <c r="E2347" s="1019"/>
      <c r="F2347" s="1019"/>
      <c r="G2347" s="1019"/>
      <c r="H2347" s="1019"/>
      <c r="I2347" s="1019"/>
      <c r="J2347" s="1019"/>
      <c r="K2347" s="1019"/>
      <c r="L2347" s="1140"/>
    </row>
    <row r="2348" spans="1:12" x14ac:dyDescent="0.35">
      <c r="A2348" s="1019"/>
      <c r="B2348" s="1019"/>
      <c r="C2348" s="1019"/>
      <c r="D2348" s="1019"/>
      <c r="E2348" s="1019"/>
      <c r="F2348" s="1019"/>
      <c r="G2348" s="1019"/>
      <c r="H2348" s="1019"/>
      <c r="I2348" s="1019"/>
      <c r="J2348" s="1019"/>
      <c r="K2348" s="1019"/>
      <c r="L2348" s="1140"/>
    </row>
    <row r="2349" spans="1:12" x14ac:dyDescent="0.35">
      <c r="A2349" s="1019"/>
      <c r="B2349" s="1019"/>
      <c r="C2349" s="1019"/>
      <c r="D2349" s="1019"/>
      <c r="E2349" s="1019"/>
      <c r="F2349" s="1019"/>
      <c r="G2349" s="1019"/>
      <c r="H2349" s="1019"/>
      <c r="I2349" s="1019"/>
      <c r="J2349" s="1019"/>
      <c r="K2349" s="1019"/>
      <c r="L2349" s="1140"/>
    </row>
    <row r="2350" spans="1:12" x14ac:dyDescent="0.35">
      <c r="A2350" s="1019"/>
      <c r="B2350" s="1019"/>
      <c r="C2350" s="1019"/>
      <c r="D2350" s="1019"/>
      <c r="E2350" s="1019"/>
      <c r="F2350" s="1019"/>
      <c r="G2350" s="1019"/>
      <c r="H2350" s="1019"/>
      <c r="I2350" s="1019"/>
      <c r="J2350" s="1019"/>
      <c r="K2350" s="1019"/>
      <c r="L2350" s="1140"/>
    </row>
    <row r="2351" spans="1:12" x14ac:dyDescent="0.35">
      <c r="A2351" s="1019"/>
      <c r="B2351" s="1019"/>
      <c r="C2351" s="1019"/>
      <c r="D2351" s="1019"/>
      <c r="E2351" s="1019"/>
      <c r="F2351" s="1019"/>
      <c r="G2351" s="1019"/>
      <c r="H2351" s="1019"/>
      <c r="I2351" s="1019"/>
      <c r="J2351" s="1019"/>
      <c r="K2351" s="1019"/>
      <c r="L2351" s="1140"/>
    </row>
    <row r="2352" spans="1:12" x14ac:dyDescent="0.35">
      <c r="A2352" s="1019"/>
      <c r="B2352" s="1019"/>
      <c r="C2352" s="1019"/>
      <c r="D2352" s="1019"/>
      <c r="E2352" s="1019"/>
      <c r="F2352" s="1019"/>
      <c r="G2352" s="1019"/>
      <c r="H2352" s="1019"/>
      <c r="I2352" s="1019"/>
      <c r="J2352" s="1019"/>
      <c r="K2352" s="1019"/>
      <c r="L2352" s="1140"/>
    </row>
    <row r="2353" spans="1:12" x14ac:dyDescent="0.35">
      <c r="A2353" s="1019"/>
      <c r="B2353" s="1019"/>
      <c r="C2353" s="1019"/>
      <c r="D2353" s="1019"/>
      <c r="E2353" s="1019"/>
      <c r="F2353" s="1019"/>
      <c r="G2353" s="1019"/>
      <c r="H2353" s="1019"/>
      <c r="I2353" s="1019"/>
      <c r="J2353" s="1019"/>
      <c r="K2353" s="1019"/>
      <c r="L2353" s="1140"/>
    </row>
    <row r="2354" spans="1:12" x14ac:dyDescent="0.35">
      <c r="A2354" s="1019"/>
      <c r="B2354" s="1019"/>
      <c r="C2354" s="1019"/>
      <c r="D2354" s="1019"/>
      <c r="E2354" s="1019"/>
      <c r="F2354" s="1019"/>
      <c r="G2354" s="1019"/>
      <c r="H2354" s="1019"/>
      <c r="I2354" s="1019"/>
      <c r="J2354" s="1019"/>
      <c r="K2354" s="1019"/>
      <c r="L2354" s="1140"/>
    </row>
    <row r="2355" spans="1:12" x14ac:dyDescent="0.35">
      <c r="A2355" s="1019"/>
      <c r="B2355" s="1019"/>
      <c r="C2355" s="1019"/>
      <c r="D2355" s="1019"/>
      <c r="E2355" s="1019"/>
      <c r="F2355" s="1019"/>
      <c r="G2355" s="1019"/>
      <c r="H2355" s="1019"/>
      <c r="I2355" s="1019"/>
      <c r="J2355" s="1019"/>
      <c r="K2355" s="1019"/>
      <c r="L2355" s="1140"/>
    </row>
    <row r="2356" spans="1:12" x14ac:dyDescent="0.35">
      <c r="A2356" s="1019"/>
      <c r="B2356" s="1019"/>
      <c r="C2356" s="1019"/>
      <c r="D2356" s="1019"/>
      <c r="E2356" s="1019"/>
      <c r="F2356" s="1019"/>
      <c r="G2356" s="1019"/>
      <c r="H2356" s="1019"/>
      <c r="I2356" s="1019"/>
      <c r="J2356" s="1019"/>
      <c r="K2356" s="1019"/>
      <c r="L2356" s="1140"/>
    </row>
    <row r="2357" spans="1:12" x14ac:dyDescent="0.35">
      <c r="A2357" s="1019"/>
      <c r="B2357" s="1019"/>
      <c r="C2357" s="1019"/>
      <c r="D2357" s="1019"/>
      <c r="E2357" s="1019"/>
      <c r="F2357" s="1019"/>
      <c r="G2357" s="1019"/>
      <c r="H2357" s="1019"/>
      <c r="I2357" s="1019"/>
      <c r="J2357" s="1019"/>
      <c r="K2357" s="1019"/>
      <c r="L2357" s="1140"/>
    </row>
    <row r="2358" spans="1:12" x14ac:dyDescent="0.35">
      <c r="A2358" s="1019"/>
      <c r="B2358" s="1019"/>
      <c r="C2358" s="1019"/>
      <c r="D2358" s="1019"/>
      <c r="E2358" s="1019"/>
      <c r="F2358" s="1019"/>
      <c r="G2358" s="1019"/>
      <c r="H2358" s="1019"/>
      <c r="I2358" s="1019"/>
      <c r="J2358" s="1019"/>
      <c r="K2358" s="1019"/>
      <c r="L2358" s="1140"/>
    </row>
    <row r="2359" spans="1:12" x14ac:dyDescent="0.35">
      <c r="A2359" s="1019"/>
      <c r="B2359" s="1019"/>
      <c r="C2359" s="1019"/>
      <c r="D2359" s="1019"/>
      <c r="E2359" s="1019"/>
      <c r="F2359" s="1019"/>
      <c r="G2359" s="1019"/>
      <c r="H2359" s="1019"/>
      <c r="I2359" s="1019"/>
      <c r="J2359" s="1019"/>
      <c r="K2359" s="1019"/>
      <c r="L2359" s="1140"/>
    </row>
    <row r="2360" spans="1:12" x14ac:dyDescent="0.35">
      <c r="A2360" s="1019"/>
      <c r="B2360" s="1019"/>
      <c r="C2360" s="1019"/>
      <c r="D2360" s="1019"/>
      <c r="E2360" s="1019"/>
      <c r="F2360" s="1019"/>
      <c r="G2360" s="1019"/>
      <c r="H2360" s="1019"/>
      <c r="I2360" s="1019"/>
      <c r="J2360" s="1019"/>
      <c r="K2360" s="1019"/>
      <c r="L2360" s="1140"/>
    </row>
    <row r="2361" spans="1:12" x14ac:dyDescent="0.35">
      <c r="A2361" s="1019"/>
      <c r="B2361" s="1019"/>
      <c r="C2361" s="1019"/>
      <c r="D2361" s="1019"/>
      <c r="E2361" s="1019"/>
      <c r="F2361" s="1019"/>
      <c r="G2361" s="1019"/>
      <c r="H2361" s="1019"/>
      <c r="I2361" s="1019"/>
      <c r="J2361" s="1019"/>
      <c r="K2361" s="1019"/>
      <c r="L2361" s="1140"/>
    </row>
    <row r="2362" spans="1:12" x14ac:dyDescent="0.35">
      <c r="A2362" s="1019"/>
      <c r="B2362" s="1019"/>
      <c r="C2362" s="1019"/>
      <c r="D2362" s="1019"/>
      <c r="E2362" s="1019"/>
      <c r="F2362" s="1019"/>
      <c r="G2362" s="1019"/>
      <c r="H2362" s="1019"/>
      <c r="I2362" s="1019"/>
      <c r="J2362" s="1019"/>
      <c r="K2362" s="1019"/>
      <c r="L2362" s="1140"/>
    </row>
    <row r="2363" spans="1:12" x14ac:dyDescent="0.35">
      <c r="A2363" s="1019"/>
      <c r="B2363" s="1019"/>
      <c r="C2363" s="1019"/>
      <c r="D2363" s="1019"/>
      <c r="E2363" s="1019"/>
      <c r="F2363" s="1019"/>
      <c r="G2363" s="1019"/>
      <c r="H2363" s="1019"/>
      <c r="I2363" s="1019"/>
      <c r="J2363" s="1019"/>
      <c r="K2363" s="1019"/>
      <c r="L2363" s="1140"/>
    </row>
    <row r="2364" spans="1:12" x14ac:dyDescent="0.35">
      <c r="A2364" s="1019"/>
      <c r="B2364" s="1019"/>
      <c r="C2364" s="1019"/>
      <c r="D2364" s="1019"/>
      <c r="E2364" s="1019"/>
      <c r="F2364" s="1019"/>
      <c r="G2364" s="1019"/>
      <c r="H2364" s="1019"/>
      <c r="I2364" s="1019"/>
      <c r="J2364" s="1019"/>
      <c r="K2364" s="1019"/>
      <c r="L2364" s="1140"/>
    </row>
    <row r="2365" spans="1:12" x14ac:dyDescent="0.35">
      <c r="A2365" s="1019"/>
      <c r="B2365" s="1019"/>
      <c r="C2365" s="1019"/>
      <c r="D2365" s="1019"/>
      <c r="E2365" s="1019"/>
      <c r="F2365" s="1019"/>
      <c r="G2365" s="1019"/>
      <c r="H2365" s="1019"/>
      <c r="I2365" s="1019"/>
      <c r="J2365" s="1019"/>
      <c r="K2365" s="1019"/>
      <c r="L2365" s="1140"/>
    </row>
    <row r="2366" spans="1:12" x14ac:dyDescent="0.35">
      <c r="A2366" s="1019"/>
      <c r="B2366" s="1019"/>
      <c r="C2366" s="1019"/>
      <c r="D2366" s="1019"/>
      <c r="E2366" s="1019"/>
      <c r="F2366" s="1019"/>
      <c r="G2366" s="1019"/>
      <c r="H2366" s="1019"/>
      <c r="I2366" s="1019"/>
      <c r="J2366" s="1019"/>
      <c r="K2366" s="1019"/>
      <c r="L2366" s="1140"/>
    </row>
    <row r="2367" spans="1:12" x14ac:dyDescent="0.35">
      <c r="A2367" s="1019"/>
      <c r="B2367" s="1019"/>
      <c r="C2367" s="1019"/>
      <c r="D2367" s="1019"/>
      <c r="E2367" s="1019"/>
      <c r="F2367" s="1019"/>
      <c r="G2367" s="1019"/>
      <c r="H2367" s="1019"/>
      <c r="I2367" s="1019"/>
      <c r="J2367" s="1019"/>
      <c r="K2367" s="1019"/>
      <c r="L2367" s="1140"/>
    </row>
    <row r="2368" spans="1:12" x14ac:dyDescent="0.35">
      <c r="A2368" s="1019"/>
      <c r="B2368" s="1019"/>
      <c r="C2368" s="1019"/>
      <c r="D2368" s="1019"/>
      <c r="E2368" s="1019"/>
      <c r="F2368" s="1019"/>
      <c r="G2368" s="1019"/>
      <c r="H2368" s="1019"/>
      <c r="I2368" s="1019"/>
      <c r="J2368" s="1019"/>
      <c r="K2368" s="1019"/>
      <c r="L2368" s="1140"/>
    </row>
    <row r="2369" spans="1:12" x14ac:dyDescent="0.35">
      <c r="A2369" s="1019"/>
      <c r="B2369" s="1019"/>
      <c r="C2369" s="1019"/>
      <c r="D2369" s="1019"/>
      <c r="E2369" s="1019"/>
      <c r="F2369" s="1019"/>
      <c r="G2369" s="1019"/>
      <c r="H2369" s="1019"/>
      <c r="I2369" s="1019"/>
      <c r="J2369" s="1019"/>
      <c r="K2369" s="1019"/>
      <c r="L2369" s="1140"/>
    </row>
    <row r="2370" spans="1:12" x14ac:dyDescent="0.35">
      <c r="A2370" s="1019"/>
      <c r="B2370" s="1019"/>
      <c r="C2370" s="1019"/>
      <c r="D2370" s="1019"/>
      <c r="E2370" s="1019"/>
      <c r="F2370" s="1019"/>
      <c r="G2370" s="1019"/>
      <c r="H2370" s="1019"/>
      <c r="I2370" s="1019"/>
      <c r="J2370" s="1019"/>
      <c r="K2370" s="1019"/>
      <c r="L2370" s="1140"/>
    </row>
    <row r="2371" spans="1:12" x14ac:dyDescent="0.35">
      <c r="A2371" s="1019"/>
      <c r="B2371" s="1019"/>
      <c r="C2371" s="1019"/>
      <c r="D2371" s="1019"/>
      <c r="E2371" s="1019"/>
      <c r="F2371" s="1019"/>
      <c r="G2371" s="1019"/>
      <c r="H2371" s="1019"/>
      <c r="I2371" s="1019"/>
      <c r="J2371" s="1019"/>
      <c r="K2371" s="1019"/>
      <c r="L2371" s="1140"/>
    </row>
    <row r="2372" spans="1:12" x14ac:dyDescent="0.35">
      <c r="A2372" s="1019"/>
      <c r="B2372" s="1019"/>
      <c r="C2372" s="1019"/>
      <c r="D2372" s="1019"/>
      <c r="E2372" s="1019"/>
      <c r="F2372" s="1019"/>
      <c r="G2372" s="1019"/>
      <c r="H2372" s="1019"/>
      <c r="I2372" s="1019"/>
      <c r="J2372" s="1019"/>
      <c r="K2372" s="1019"/>
      <c r="L2372" s="1140"/>
    </row>
    <row r="2373" spans="1:12" x14ac:dyDescent="0.35">
      <c r="A2373" s="1019"/>
      <c r="B2373" s="1019"/>
      <c r="C2373" s="1019"/>
      <c r="D2373" s="1019"/>
      <c r="E2373" s="1019"/>
      <c r="F2373" s="1019"/>
      <c r="G2373" s="1019"/>
      <c r="H2373" s="1019"/>
      <c r="I2373" s="1019"/>
      <c r="J2373" s="1019"/>
      <c r="K2373" s="1019"/>
      <c r="L2373" s="1140"/>
    </row>
    <row r="2374" spans="1:12" x14ac:dyDescent="0.35">
      <c r="A2374" s="1019"/>
      <c r="B2374" s="1019"/>
      <c r="C2374" s="1019"/>
      <c r="D2374" s="1019"/>
      <c r="E2374" s="1019"/>
      <c r="F2374" s="1019"/>
      <c r="G2374" s="1019"/>
      <c r="H2374" s="1019"/>
      <c r="I2374" s="1019"/>
      <c r="J2374" s="1019"/>
      <c r="K2374" s="1019"/>
      <c r="L2374" s="1140"/>
    </row>
    <row r="2375" spans="1:12" x14ac:dyDescent="0.35">
      <c r="A2375" s="1019"/>
      <c r="B2375" s="1019"/>
      <c r="C2375" s="1019"/>
      <c r="D2375" s="1019"/>
      <c r="E2375" s="1019"/>
      <c r="F2375" s="1019"/>
      <c r="G2375" s="1019"/>
      <c r="H2375" s="1019"/>
      <c r="I2375" s="1019"/>
      <c r="J2375" s="1019"/>
      <c r="K2375" s="1019"/>
      <c r="L2375" s="1140"/>
    </row>
    <row r="2376" spans="1:12" x14ac:dyDescent="0.35">
      <c r="A2376" s="1019"/>
      <c r="B2376" s="1019"/>
      <c r="C2376" s="1019"/>
      <c r="D2376" s="1019"/>
      <c r="E2376" s="1019"/>
      <c r="F2376" s="1019"/>
      <c r="G2376" s="1019"/>
      <c r="H2376" s="1019"/>
      <c r="I2376" s="1019"/>
      <c r="J2376" s="1019"/>
      <c r="K2376" s="1019"/>
      <c r="L2376" s="1140"/>
    </row>
    <row r="2377" spans="1:12" x14ac:dyDescent="0.35">
      <c r="A2377" s="1019"/>
      <c r="B2377" s="1019"/>
      <c r="C2377" s="1019"/>
      <c r="D2377" s="1019"/>
      <c r="E2377" s="1019"/>
      <c r="F2377" s="1019"/>
      <c r="G2377" s="1019"/>
      <c r="H2377" s="1019"/>
      <c r="I2377" s="1019"/>
      <c r="J2377" s="1019"/>
      <c r="K2377" s="1019"/>
      <c r="L2377" s="1140"/>
    </row>
    <row r="2378" spans="1:12" x14ac:dyDescent="0.35">
      <c r="A2378" s="1019"/>
      <c r="B2378" s="1019"/>
      <c r="C2378" s="1019"/>
      <c r="D2378" s="1019"/>
      <c r="E2378" s="1019"/>
      <c r="F2378" s="1019"/>
      <c r="G2378" s="1019"/>
      <c r="H2378" s="1019"/>
      <c r="I2378" s="1019"/>
      <c r="J2378" s="1019"/>
      <c r="K2378" s="1019"/>
      <c r="L2378" s="1140"/>
    </row>
    <row r="2379" spans="1:12" x14ac:dyDescent="0.35">
      <c r="A2379" s="1019"/>
      <c r="B2379" s="1019"/>
      <c r="C2379" s="1019"/>
      <c r="D2379" s="1019"/>
      <c r="E2379" s="1019"/>
      <c r="F2379" s="1019"/>
      <c r="G2379" s="1019"/>
      <c r="H2379" s="1019"/>
      <c r="I2379" s="1019"/>
      <c r="J2379" s="1019"/>
      <c r="K2379" s="1019"/>
      <c r="L2379" s="1140"/>
    </row>
    <row r="2380" spans="1:12" x14ac:dyDescent="0.35">
      <c r="A2380" s="1019"/>
      <c r="B2380" s="1019"/>
      <c r="C2380" s="1019"/>
      <c r="D2380" s="1019"/>
      <c r="E2380" s="1019"/>
      <c r="F2380" s="1019"/>
      <c r="G2380" s="1019"/>
      <c r="H2380" s="1019"/>
      <c r="I2380" s="1019"/>
      <c r="J2380" s="1019"/>
      <c r="K2380" s="1019"/>
      <c r="L2380" s="1140"/>
    </row>
    <row r="2381" spans="1:12" x14ac:dyDescent="0.35">
      <c r="A2381" s="1019"/>
      <c r="B2381" s="1019"/>
      <c r="C2381" s="1019"/>
      <c r="D2381" s="1019"/>
      <c r="E2381" s="1019"/>
      <c r="F2381" s="1019"/>
      <c r="G2381" s="1019"/>
      <c r="H2381" s="1019"/>
      <c r="I2381" s="1019"/>
      <c r="J2381" s="1019"/>
      <c r="K2381" s="1019"/>
      <c r="L2381" s="1140"/>
    </row>
    <row r="2382" spans="1:12" x14ac:dyDescent="0.35">
      <c r="A2382" s="1019"/>
      <c r="B2382" s="1019"/>
      <c r="C2382" s="1019"/>
      <c r="D2382" s="1019"/>
      <c r="E2382" s="1019"/>
      <c r="F2382" s="1019"/>
      <c r="G2382" s="1019"/>
      <c r="H2382" s="1019"/>
      <c r="I2382" s="1019"/>
      <c r="J2382" s="1019"/>
      <c r="K2382" s="1019"/>
      <c r="L2382" s="1140"/>
    </row>
    <row r="2383" spans="1:12" x14ac:dyDescent="0.35">
      <c r="A2383" s="1019"/>
      <c r="B2383" s="1019"/>
      <c r="C2383" s="1019"/>
      <c r="D2383" s="1019"/>
      <c r="E2383" s="1019"/>
      <c r="F2383" s="1019"/>
      <c r="G2383" s="1019"/>
      <c r="H2383" s="1019"/>
      <c r="I2383" s="1019"/>
      <c r="J2383" s="1019"/>
      <c r="K2383" s="1019"/>
      <c r="L2383" s="1140"/>
    </row>
    <row r="2384" spans="1:12" x14ac:dyDescent="0.35">
      <c r="A2384" s="1019"/>
      <c r="B2384" s="1019"/>
      <c r="C2384" s="1019"/>
      <c r="D2384" s="1019"/>
      <c r="E2384" s="1019"/>
      <c r="F2384" s="1019"/>
      <c r="G2384" s="1019"/>
      <c r="H2384" s="1019"/>
      <c r="I2384" s="1019"/>
      <c r="J2384" s="1019"/>
      <c r="K2384" s="1019"/>
      <c r="L2384" s="1140"/>
    </row>
    <row r="2385" spans="1:12" x14ac:dyDescent="0.35">
      <c r="A2385" s="1019"/>
      <c r="B2385" s="1019"/>
      <c r="C2385" s="1019"/>
      <c r="D2385" s="1019"/>
      <c r="E2385" s="1019"/>
      <c r="F2385" s="1019"/>
      <c r="G2385" s="1019"/>
      <c r="H2385" s="1019"/>
      <c r="I2385" s="1019"/>
      <c r="J2385" s="1019"/>
      <c r="K2385" s="1019"/>
      <c r="L2385" s="1140"/>
    </row>
    <row r="2386" spans="1:12" x14ac:dyDescent="0.35">
      <c r="A2386" s="1019"/>
      <c r="B2386" s="1019"/>
      <c r="C2386" s="1019"/>
      <c r="D2386" s="1019"/>
      <c r="E2386" s="1019"/>
      <c r="F2386" s="1019"/>
      <c r="G2386" s="1019"/>
      <c r="H2386" s="1019"/>
      <c r="I2386" s="1019"/>
      <c r="J2386" s="1019"/>
      <c r="K2386" s="1019"/>
      <c r="L2386" s="1140"/>
    </row>
    <row r="2387" spans="1:12" x14ac:dyDescent="0.35">
      <c r="A2387" s="1019"/>
      <c r="B2387" s="1019"/>
      <c r="C2387" s="1019"/>
      <c r="D2387" s="1019"/>
      <c r="E2387" s="1019"/>
      <c r="F2387" s="1019"/>
      <c r="G2387" s="1019"/>
      <c r="H2387" s="1019"/>
      <c r="I2387" s="1019"/>
      <c r="J2387" s="1019"/>
      <c r="K2387" s="1019"/>
      <c r="L2387" s="1140"/>
    </row>
    <row r="2388" spans="1:12" x14ac:dyDescent="0.35">
      <c r="A2388" s="1019"/>
      <c r="B2388" s="1019"/>
      <c r="C2388" s="1019"/>
      <c r="D2388" s="1019"/>
      <c r="E2388" s="1019"/>
      <c r="F2388" s="1019"/>
      <c r="G2388" s="1019"/>
      <c r="H2388" s="1019"/>
      <c r="I2388" s="1019"/>
      <c r="J2388" s="1019"/>
      <c r="K2388" s="1019"/>
      <c r="L2388" s="1140"/>
    </row>
    <row r="2389" spans="1:12" x14ac:dyDescent="0.35">
      <c r="A2389" s="1019"/>
      <c r="B2389" s="1019"/>
      <c r="C2389" s="1019"/>
      <c r="D2389" s="1019"/>
      <c r="E2389" s="1019"/>
      <c r="F2389" s="1019"/>
      <c r="G2389" s="1019"/>
      <c r="H2389" s="1019"/>
      <c r="I2389" s="1019"/>
      <c r="J2389" s="1019"/>
      <c r="K2389" s="1019"/>
      <c r="L2389" s="1140"/>
    </row>
    <row r="2390" spans="1:12" x14ac:dyDescent="0.35">
      <c r="A2390" s="1019"/>
      <c r="B2390" s="1019"/>
      <c r="C2390" s="1019"/>
      <c r="D2390" s="1019"/>
      <c r="E2390" s="1019"/>
      <c r="F2390" s="1019"/>
      <c r="G2390" s="1019"/>
      <c r="H2390" s="1019"/>
      <c r="I2390" s="1019"/>
      <c r="J2390" s="1019"/>
      <c r="K2390" s="1019"/>
      <c r="L2390" s="1140"/>
    </row>
    <row r="2391" spans="1:12" x14ac:dyDescent="0.35">
      <c r="A2391" s="1019"/>
      <c r="B2391" s="1019"/>
      <c r="C2391" s="1019"/>
      <c r="D2391" s="1019"/>
      <c r="E2391" s="1019"/>
      <c r="F2391" s="1019"/>
      <c r="G2391" s="1019"/>
      <c r="H2391" s="1019"/>
      <c r="I2391" s="1019"/>
      <c r="J2391" s="1019"/>
      <c r="K2391" s="1019"/>
      <c r="L2391" s="1140"/>
    </row>
    <row r="2392" spans="1:12" x14ac:dyDescent="0.35">
      <c r="A2392" s="1019"/>
      <c r="B2392" s="1019"/>
      <c r="C2392" s="1019"/>
      <c r="D2392" s="1019"/>
      <c r="E2392" s="1019"/>
      <c r="F2392" s="1019"/>
      <c r="G2392" s="1019"/>
      <c r="H2392" s="1019"/>
      <c r="I2392" s="1019"/>
      <c r="J2392" s="1019"/>
      <c r="K2392" s="1019"/>
      <c r="L2392" s="1140"/>
    </row>
    <row r="2393" spans="1:12" x14ac:dyDescent="0.35">
      <c r="A2393" s="1019"/>
      <c r="B2393" s="1019"/>
      <c r="C2393" s="1019"/>
      <c r="D2393" s="1019"/>
      <c r="E2393" s="1019"/>
      <c r="F2393" s="1019"/>
      <c r="G2393" s="1019"/>
      <c r="H2393" s="1019"/>
      <c r="I2393" s="1019"/>
      <c r="J2393" s="1019"/>
      <c r="K2393" s="1019"/>
      <c r="L2393" s="1140"/>
    </row>
    <row r="2394" spans="1:12" x14ac:dyDescent="0.35">
      <c r="A2394" s="1019"/>
      <c r="B2394" s="1019"/>
      <c r="C2394" s="1019"/>
      <c r="D2394" s="1019"/>
      <c r="E2394" s="1019"/>
      <c r="F2394" s="1019"/>
      <c r="G2394" s="1019"/>
      <c r="H2394" s="1019"/>
      <c r="I2394" s="1019"/>
      <c r="J2394" s="1019"/>
      <c r="K2394" s="1019"/>
      <c r="L2394" s="1140"/>
    </row>
    <row r="2395" spans="1:12" x14ac:dyDescent="0.35">
      <c r="A2395" s="1019"/>
      <c r="B2395" s="1019"/>
      <c r="C2395" s="1019"/>
      <c r="D2395" s="1019"/>
      <c r="E2395" s="1019"/>
      <c r="F2395" s="1019"/>
      <c r="G2395" s="1019"/>
      <c r="H2395" s="1019"/>
      <c r="I2395" s="1019"/>
      <c r="J2395" s="1019"/>
      <c r="K2395" s="1019"/>
      <c r="L2395" s="1140"/>
    </row>
    <row r="2396" spans="1:12" x14ac:dyDescent="0.35">
      <c r="A2396" s="1019"/>
      <c r="B2396" s="1019"/>
      <c r="C2396" s="1019"/>
      <c r="D2396" s="1019"/>
      <c r="E2396" s="1019"/>
      <c r="F2396" s="1019"/>
      <c r="G2396" s="1019"/>
      <c r="H2396" s="1019"/>
      <c r="I2396" s="1019"/>
      <c r="J2396" s="1019"/>
      <c r="K2396" s="1019"/>
      <c r="L2396" s="1140"/>
    </row>
    <row r="2397" spans="1:12" x14ac:dyDescent="0.35">
      <c r="A2397" s="1019"/>
      <c r="B2397" s="1019"/>
      <c r="C2397" s="1019"/>
      <c r="D2397" s="1019"/>
      <c r="E2397" s="1019"/>
      <c r="F2397" s="1019"/>
      <c r="G2397" s="1019"/>
      <c r="H2397" s="1019"/>
      <c r="I2397" s="1019"/>
      <c r="J2397" s="1019"/>
      <c r="K2397" s="1019"/>
      <c r="L2397" s="1140"/>
    </row>
    <row r="2398" spans="1:12" x14ac:dyDescent="0.35">
      <c r="A2398" s="1019"/>
      <c r="B2398" s="1019"/>
      <c r="C2398" s="1019"/>
      <c r="D2398" s="1019"/>
      <c r="E2398" s="1019"/>
      <c r="F2398" s="1019"/>
      <c r="G2398" s="1019"/>
      <c r="H2398" s="1019"/>
      <c r="I2398" s="1019"/>
      <c r="J2398" s="1019"/>
      <c r="K2398" s="1019"/>
      <c r="L2398" s="1140"/>
    </row>
    <row r="2399" spans="1:12" x14ac:dyDescent="0.35">
      <c r="A2399" s="1019"/>
      <c r="B2399" s="1019"/>
      <c r="C2399" s="1019"/>
      <c r="D2399" s="1019"/>
      <c r="E2399" s="1019"/>
      <c r="F2399" s="1019"/>
      <c r="G2399" s="1019"/>
      <c r="H2399" s="1019"/>
      <c r="I2399" s="1019"/>
      <c r="J2399" s="1019"/>
      <c r="K2399" s="1019"/>
      <c r="L2399" s="1140"/>
    </row>
    <row r="2400" spans="1:12" x14ac:dyDescent="0.35">
      <c r="A2400" s="1019"/>
      <c r="B2400" s="1019"/>
      <c r="C2400" s="1019"/>
      <c r="D2400" s="1019"/>
      <c r="E2400" s="1019"/>
      <c r="F2400" s="1019"/>
      <c r="G2400" s="1019"/>
      <c r="H2400" s="1019"/>
      <c r="I2400" s="1019"/>
      <c r="J2400" s="1019"/>
      <c r="K2400" s="1019"/>
      <c r="L2400" s="1140"/>
    </row>
    <row r="2401" spans="1:12" x14ac:dyDescent="0.35">
      <c r="A2401" s="1019"/>
      <c r="B2401" s="1019"/>
      <c r="C2401" s="1019"/>
      <c r="D2401" s="1019"/>
      <c r="E2401" s="1019"/>
      <c r="F2401" s="1019"/>
      <c r="G2401" s="1019"/>
      <c r="H2401" s="1019"/>
      <c r="I2401" s="1019"/>
      <c r="J2401" s="1019"/>
      <c r="K2401" s="1019"/>
      <c r="L2401" s="1140"/>
    </row>
    <row r="2402" spans="1:12" x14ac:dyDescent="0.35">
      <c r="A2402" s="1019"/>
      <c r="B2402" s="1019"/>
      <c r="C2402" s="1019"/>
      <c r="D2402" s="1019"/>
      <c r="E2402" s="1019"/>
      <c r="F2402" s="1019"/>
      <c r="G2402" s="1019"/>
      <c r="H2402" s="1019"/>
      <c r="I2402" s="1019"/>
      <c r="J2402" s="1019"/>
      <c r="K2402" s="1019"/>
      <c r="L2402" s="1140"/>
    </row>
    <row r="2403" spans="1:12" x14ac:dyDescent="0.35">
      <c r="A2403" s="1019"/>
      <c r="B2403" s="1019"/>
      <c r="C2403" s="1019"/>
      <c r="D2403" s="1019"/>
      <c r="E2403" s="1019"/>
      <c r="F2403" s="1019"/>
      <c r="G2403" s="1019"/>
      <c r="H2403" s="1019"/>
      <c r="I2403" s="1019"/>
      <c r="J2403" s="1019"/>
      <c r="K2403" s="1019"/>
      <c r="L2403" s="1140"/>
    </row>
    <row r="2404" spans="1:12" x14ac:dyDescent="0.35">
      <c r="A2404" s="1019"/>
      <c r="B2404" s="1019"/>
      <c r="C2404" s="1019"/>
      <c r="D2404" s="1019"/>
      <c r="E2404" s="1019"/>
      <c r="F2404" s="1019"/>
      <c r="G2404" s="1019"/>
      <c r="H2404" s="1019"/>
      <c r="I2404" s="1019"/>
      <c r="J2404" s="1019"/>
      <c r="K2404" s="1019"/>
      <c r="L2404" s="1140"/>
    </row>
    <row r="2405" spans="1:12" x14ac:dyDescent="0.35">
      <c r="A2405" s="1019"/>
      <c r="B2405" s="1019"/>
      <c r="C2405" s="1019"/>
      <c r="D2405" s="1019"/>
      <c r="E2405" s="1019"/>
      <c r="F2405" s="1019"/>
      <c r="G2405" s="1019"/>
      <c r="H2405" s="1019"/>
      <c r="I2405" s="1019"/>
      <c r="J2405" s="1019"/>
      <c r="K2405" s="1019"/>
      <c r="L2405" s="1140"/>
    </row>
    <row r="2406" spans="1:12" x14ac:dyDescent="0.35">
      <c r="A2406" s="1019"/>
      <c r="B2406" s="1019"/>
      <c r="C2406" s="1019"/>
      <c r="D2406" s="1019"/>
      <c r="E2406" s="1019"/>
      <c r="F2406" s="1019"/>
      <c r="G2406" s="1019"/>
      <c r="H2406" s="1019"/>
      <c r="I2406" s="1019"/>
      <c r="J2406" s="1019"/>
      <c r="K2406" s="1019"/>
      <c r="L2406" s="1140"/>
    </row>
    <row r="2407" spans="1:12" x14ac:dyDescent="0.35">
      <c r="A2407" s="1019"/>
      <c r="B2407" s="1019"/>
      <c r="C2407" s="1019"/>
      <c r="D2407" s="1019"/>
      <c r="E2407" s="1019"/>
      <c r="F2407" s="1019"/>
      <c r="G2407" s="1019"/>
      <c r="H2407" s="1019"/>
      <c r="I2407" s="1019"/>
      <c r="J2407" s="1019"/>
      <c r="K2407" s="1019"/>
      <c r="L2407" s="1140"/>
    </row>
    <row r="2408" spans="1:12" x14ac:dyDescent="0.35">
      <c r="A2408" s="1019"/>
      <c r="B2408" s="1019"/>
      <c r="C2408" s="1019"/>
      <c r="D2408" s="1019"/>
      <c r="E2408" s="1019"/>
      <c r="F2408" s="1019"/>
      <c r="G2408" s="1019"/>
      <c r="H2408" s="1019"/>
      <c r="I2408" s="1019"/>
      <c r="J2408" s="1019"/>
      <c r="K2408" s="1019"/>
      <c r="L2408" s="1140"/>
    </row>
    <row r="2409" spans="1:12" x14ac:dyDescent="0.35">
      <c r="A2409" s="1019"/>
      <c r="B2409" s="1019"/>
      <c r="C2409" s="1019"/>
      <c r="D2409" s="1019"/>
      <c r="E2409" s="1019"/>
      <c r="F2409" s="1019"/>
      <c r="G2409" s="1019"/>
      <c r="H2409" s="1019"/>
      <c r="I2409" s="1019"/>
      <c r="J2409" s="1019"/>
      <c r="K2409" s="1019"/>
      <c r="L2409" s="1140"/>
    </row>
    <row r="2410" spans="1:12" x14ac:dyDescent="0.35">
      <c r="A2410" s="1019"/>
      <c r="B2410" s="1019"/>
      <c r="C2410" s="1019"/>
      <c r="D2410" s="1019"/>
      <c r="E2410" s="1019"/>
      <c r="F2410" s="1019"/>
      <c r="G2410" s="1019"/>
      <c r="H2410" s="1019"/>
      <c r="I2410" s="1019"/>
      <c r="J2410" s="1019"/>
      <c r="K2410" s="1019"/>
      <c r="L2410" s="1140"/>
    </row>
    <row r="2411" spans="1:12" x14ac:dyDescent="0.35">
      <c r="A2411" s="1019"/>
      <c r="B2411" s="1019"/>
      <c r="C2411" s="1019"/>
      <c r="D2411" s="1019"/>
      <c r="E2411" s="1019"/>
      <c r="F2411" s="1019"/>
      <c r="G2411" s="1019"/>
      <c r="H2411" s="1019"/>
      <c r="I2411" s="1019"/>
      <c r="J2411" s="1019"/>
      <c r="K2411" s="1019"/>
      <c r="L2411" s="1140"/>
    </row>
    <row r="2412" spans="1:12" x14ac:dyDescent="0.35">
      <c r="A2412" s="1019"/>
      <c r="B2412" s="1019"/>
      <c r="C2412" s="1019"/>
      <c r="D2412" s="1019"/>
      <c r="E2412" s="1019"/>
      <c r="F2412" s="1019"/>
      <c r="G2412" s="1019"/>
      <c r="H2412" s="1019"/>
      <c r="I2412" s="1019"/>
      <c r="J2412" s="1019"/>
      <c r="K2412" s="1019"/>
      <c r="L2412" s="1140"/>
    </row>
    <row r="2413" spans="1:12" x14ac:dyDescent="0.35">
      <c r="A2413" s="1019"/>
      <c r="B2413" s="1019"/>
      <c r="C2413" s="1019"/>
      <c r="D2413" s="1019"/>
      <c r="E2413" s="1019"/>
      <c r="F2413" s="1019"/>
      <c r="G2413" s="1019"/>
      <c r="H2413" s="1019"/>
      <c r="I2413" s="1019"/>
      <c r="J2413" s="1019"/>
      <c r="K2413" s="1019"/>
      <c r="L2413" s="1140"/>
    </row>
    <row r="2414" spans="1:12" x14ac:dyDescent="0.35">
      <c r="A2414" s="1019"/>
      <c r="B2414" s="1019"/>
      <c r="C2414" s="1019"/>
      <c r="D2414" s="1019"/>
      <c r="E2414" s="1019"/>
      <c r="F2414" s="1019"/>
      <c r="G2414" s="1019"/>
      <c r="H2414" s="1019"/>
      <c r="I2414" s="1019"/>
      <c r="J2414" s="1019"/>
      <c r="K2414" s="1019"/>
      <c r="L2414" s="1140"/>
    </row>
    <row r="2415" spans="1:12" x14ac:dyDescent="0.35">
      <c r="A2415" s="1019"/>
      <c r="B2415" s="1019"/>
      <c r="C2415" s="1019"/>
      <c r="D2415" s="1019"/>
      <c r="E2415" s="1019"/>
      <c r="F2415" s="1019"/>
      <c r="G2415" s="1019"/>
      <c r="H2415" s="1019"/>
      <c r="I2415" s="1019"/>
      <c r="J2415" s="1019"/>
      <c r="K2415" s="1019"/>
      <c r="L2415" s="1140"/>
    </row>
    <row r="2416" spans="1:12" x14ac:dyDescent="0.35">
      <c r="A2416" s="1019"/>
      <c r="B2416" s="1019"/>
      <c r="C2416" s="1019"/>
      <c r="D2416" s="1019"/>
      <c r="E2416" s="1019"/>
      <c r="F2416" s="1019"/>
      <c r="G2416" s="1019"/>
      <c r="H2416" s="1019"/>
      <c r="I2416" s="1019"/>
      <c r="J2416" s="1019"/>
      <c r="K2416" s="1019"/>
      <c r="L2416" s="1140"/>
    </row>
    <row r="2417" spans="1:12" x14ac:dyDescent="0.35">
      <c r="A2417" s="1019"/>
      <c r="B2417" s="1019"/>
      <c r="C2417" s="1019"/>
      <c r="D2417" s="1019"/>
      <c r="E2417" s="1019"/>
      <c r="F2417" s="1019"/>
      <c r="G2417" s="1019"/>
      <c r="H2417" s="1019"/>
      <c r="I2417" s="1019"/>
      <c r="J2417" s="1019"/>
      <c r="K2417" s="1019"/>
      <c r="L2417" s="1140"/>
    </row>
    <row r="2418" spans="1:12" x14ac:dyDescent="0.35">
      <c r="A2418" s="1019"/>
      <c r="B2418" s="1019"/>
      <c r="C2418" s="1019"/>
      <c r="D2418" s="1019"/>
      <c r="E2418" s="1019"/>
      <c r="F2418" s="1019"/>
      <c r="G2418" s="1019"/>
      <c r="H2418" s="1019"/>
      <c r="I2418" s="1019"/>
      <c r="J2418" s="1019"/>
      <c r="K2418" s="1019"/>
      <c r="L2418" s="1140"/>
    </row>
    <row r="2419" spans="1:12" x14ac:dyDescent="0.35">
      <c r="A2419" s="1019"/>
      <c r="B2419" s="1019"/>
      <c r="C2419" s="1019"/>
      <c r="D2419" s="1019"/>
      <c r="E2419" s="1019"/>
      <c r="F2419" s="1019"/>
      <c r="G2419" s="1019"/>
      <c r="H2419" s="1019"/>
      <c r="I2419" s="1019"/>
      <c r="J2419" s="1019"/>
      <c r="K2419" s="1019"/>
      <c r="L2419" s="1140"/>
    </row>
    <row r="2420" spans="1:12" x14ac:dyDescent="0.35">
      <c r="A2420" s="1019"/>
      <c r="B2420" s="1019"/>
      <c r="C2420" s="1019"/>
      <c r="D2420" s="1019"/>
      <c r="E2420" s="1019"/>
      <c r="F2420" s="1019"/>
      <c r="G2420" s="1019"/>
      <c r="H2420" s="1019"/>
      <c r="I2420" s="1019"/>
      <c r="J2420" s="1019"/>
      <c r="K2420" s="1019"/>
      <c r="L2420" s="1140"/>
    </row>
    <row r="2421" spans="1:12" x14ac:dyDescent="0.35">
      <c r="A2421" s="1019"/>
      <c r="B2421" s="1019"/>
      <c r="C2421" s="1019"/>
      <c r="D2421" s="1019"/>
      <c r="E2421" s="1019"/>
      <c r="F2421" s="1019"/>
      <c r="G2421" s="1019"/>
      <c r="H2421" s="1019"/>
      <c r="I2421" s="1019"/>
      <c r="J2421" s="1019"/>
      <c r="K2421" s="1019"/>
      <c r="L2421" s="1140"/>
    </row>
    <row r="2422" spans="1:12" x14ac:dyDescent="0.35">
      <c r="A2422" s="1019"/>
      <c r="B2422" s="1019"/>
      <c r="C2422" s="1019"/>
      <c r="D2422" s="1019"/>
      <c r="E2422" s="1019"/>
      <c r="F2422" s="1019"/>
      <c r="G2422" s="1019"/>
      <c r="H2422" s="1019"/>
      <c r="I2422" s="1019"/>
      <c r="J2422" s="1019"/>
      <c r="K2422" s="1019"/>
      <c r="L2422" s="1140"/>
    </row>
    <row r="2423" spans="1:12" x14ac:dyDescent="0.35">
      <c r="A2423" s="1019"/>
      <c r="B2423" s="1019"/>
      <c r="C2423" s="1019"/>
      <c r="D2423" s="1019"/>
      <c r="E2423" s="1019"/>
      <c r="F2423" s="1019"/>
      <c r="G2423" s="1019"/>
      <c r="H2423" s="1019"/>
      <c r="I2423" s="1019"/>
      <c r="J2423" s="1019"/>
      <c r="K2423" s="1019"/>
      <c r="L2423" s="1140"/>
    </row>
    <row r="2424" spans="1:12" x14ac:dyDescent="0.35">
      <c r="A2424" s="1019"/>
      <c r="B2424" s="1019"/>
      <c r="C2424" s="1019"/>
      <c r="D2424" s="1019"/>
      <c r="E2424" s="1019"/>
      <c r="F2424" s="1019"/>
      <c r="G2424" s="1019"/>
      <c r="H2424" s="1019"/>
      <c r="I2424" s="1019"/>
      <c r="J2424" s="1019"/>
      <c r="K2424" s="1019"/>
      <c r="L2424" s="1140"/>
    </row>
    <row r="2425" spans="1:12" x14ac:dyDescent="0.35">
      <c r="A2425" s="1019"/>
      <c r="B2425" s="1019"/>
      <c r="C2425" s="1019"/>
      <c r="D2425" s="1019"/>
      <c r="E2425" s="1019"/>
      <c r="F2425" s="1019"/>
      <c r="G2425" s="1019"/>
      <c r="H2425" s="1019"/>
      <c r="I2425" s="1019"/>
      <c r="J2425" s="1019"/>
      <c r="K2425" s="1019"/>
      <c r="L2425" s="1140"/>
    </row>
    <row r="2426" spans="1:12" x14ac:dyDescent="0.35">
      <c r="A2426" s="1019"/>
      <c r="B2426" s="1019"/>
      <c r="C2426" s="1019"/>
      <c r="D2426" s="1019"/>
      <c r="E2426" s="1019"/>
      <c r="F2426" s="1019"/>
      <c r="G2426" s="1019"/>
      <c r="H2426" s="1019"/>
      <c r="I2426" s="1019"/>
      <c r="J2426" s="1019"/>
      <c r="K2426" s="1019"/>
      <c r="L2426" s="1140"/>
    </row>
    <row r="2427" spans="1:12" x14ac:dyDescent="0.35">
      <c r="A2427" s="1019"/>
      <c r="B2427" s="1019"/>
      <c r="C2427" s="1019"/>
      <c r="D2427" s="1019"/>
      <c r="E2427" s="1019"/>
      <c r="F2427" s="1019"/>
      <c r="G2427" s="1019"/>
      <c r="H2427" s="1019"/>
      <c r="I2427" s="1019"/>
      <c r="J2427" s="1019"/>
      <c r="K2427" s="1019"/>
      <c r="L2427" s="1140"/>
    </row>
    <row r="2428" spans="1:12" x14ac:dyDescent="0.35">
      <c r="A2428" s="1019"/>
      <c r="B2428" s="1019"/>
      <c r="C2428" s="1019"/>
      <c r="D2428" s="1019"/>
      <c r="E2428" s="1019"/>
      <c r="F2428" s="1019"/>
      <c r="G2428" s="1019"/>
      <c r="H2428" s="1019"/>
      <c r="I2428" s="1019"/>
      <c r="J2428" s="1019"/>
      <c r="K2428" s="1019"/>
      <c r="L2428" s="1140"/>
    </row>
    <row r="2429" spans="1:12" x14ac:dyDescent="0.35">
      <c r="A2429" s="1019"/>
      <c r="B2429" s="1019"/>
      <c r="C2429" s="1019"/>
      <c r="D2429" s="1019"/>
      <c r="E2429" s="1019"/>
      <c r="F2429" s="1019"/>
      <c r="G2429" s="1019"/>
      <c r="H2429" s="1019"/>
      <c r="I2429" s="1019"/>
      <c r="J2429" s="1019"/>
      <c r="K2429" s="1019"/>
      <c r="L2429" s="1140"/>
    </row>
    <row r="2430" spans="1:12" x14ac:dyDescent="0.35">
      <c r="A2430" s="1019"/>
      <c r="B2430" s="1019"/>
      <c r="C2430" s="1019"/>
      <c r="D2430" s="1019"/>
      <c r="E2430" s="1019"/>
      <c r="F2430" s="1019"/>
      <c r="G2430" s="1019"/>
      <c r="H2430" s="1019"/>
      <c r="I2430" s="1019"/>
      <c r="J2430" s="1019"/>
      <c r="K2430" s="1019"/>
      <c r="L2430" s="1140"/>
    </row>
    <row r="2431" spans="1:12" x14ac:dyDescent="0.35">
      <c r="A2431" s="1019"/>
      <c r="B2431" s="1019"/>
      <c r="C2431" s="1019"/>
      <c r="D2431" s="1019"/>
      <c r="E2431" s="1019"/>
      <c r="F2431" s="1019"/>
      <c r="G2431" s="1019"/>
      <c r="H2431" s="1019"/>
      <c r="I2431" s="1019"/>
      <c r="J2431" s="1019"/>
      <c r="K2431" s="1019"/>
      <c r="L2431" s="1140"/>
    </row>
    <row r="2432" spans="1:12" x14ac:dyDescent="0.35">
      <c r="A2432" s="1019"/>
      <c r="B2432" s="1019"/>
      <c r="C2432" s="1019"/>
      <c r="D2432" s="1019"/>
      <c r="E2432" s="1019"/>
      <c r="F2432" s="1019"/>
      <c r="G2432" s="1019"/>
      <c r="H2432" s="1019"/>
      <c r="I2432" s="1019"/>
      <c r="J2432" s="1019"/>
      <c r="K2432" s="1019"/>
      <c r="L2432" s="1140"/>
    </row>
    <row r="2433" spans="1:12" x14ac:dyDescent="0.35">
      <c r="A2433" s="1019"/>
      <c r="B2433" s="1019"/>
      <c r="C2433" s="1019"/>
      <c r="D2433" s="1019"/>
      <c r="E2433" s="1019"/>
      <c r="F2433" s="1019"/>
      <c r="G2433" s="1019"/>
      <c r="H2433" s="1019"/>
      <c r="I2433" s="1019"/>
      <c r="J2433" s="1019"/>
      <c r="K2433" s="1019"/>
      <c r="L2433" s="1140"/>
    </row>
    <row r="2434" spans="1:12" x14ac:dyDescent="0.35">
      <c r="A2434" s="1019"/>
      <c r="B2434" s="1019"/>
      <c r="C2434" s="1019"/>
      <c r="D2434" s="1019"/>
      <c r="E2434" s="1019"/>
      <c r="F2434" s="1019"/>
      <c r="G2434" s="1019"/>
      <c r="H2434" s="1019"/>
      <c r="I2434" s="1019"/>
      <c r="J2434" s="1019"/>
      <c r="K2434" s="1019"/>
      <c r="L2434" s="1140"/>
    </row>
    <row r="2435" spans="1:12" x14ac:dyDescent="0.35">
      <c r="A2435" s="1019"/>
      <c r="B2435" s="1019"/>
      <c r="C2435" s="1019"/>
      <c r="D2435" s="1019"/>
      <c r="E2435" s="1019"/>
      <c r="F2435" s="1019"/>
      <c r="G2435" s="1019"/>
      <c r="H2435" s="1019"/>
      <c r="I2435" s="1019"/>
      <c r="J2435" s="1019"/>
      <c r="K2435" s="1019"/>
      <c r="L2435" s="1140"/>
    </row>
    <row r="2436" spans="1:12" x14ac:dyDescent="0.35">
      <c r="A2436" s="1019"/>
      <c r="B2436" s="1019"/>
      <c r="C2436" s="1019"/>
      <c r="D2436" s="1019"/>
      <c r="E2436" s="1019"/>
      <c r="F2436" s="1019"/>
      <c r="G2436" s="1019"/>
      <c r="H2436" s="1019"/>
      <c r="I2436" s="1019"/>
      <c r="J2436" s="1019"/>
      <c r="K2436" s="1019"/>
      <c r="L2436" s="1140"/>
    </row>
    <row r="2437" spans="1:12" x14ac:dyDescent="0.35">
      <c r="A2437" s="1019"/>
      <c r="B2437" s="1019"/>
      <c r="C2437" s="1019"/>
      <c r="D2437" s="1019"/>
      <c r="E2437" s="1019"/>
      <c r="F2437" s="1019"/>
      <c r="G2437" s="1019"/>
      <c r="H2437" s="1019"/>
      <c r="I2437" s="1019"/>
      <c r="J2437" s="1019"/>
      <c r="K2437" s="1019"/>
      <c r="L2437" s="1140"/>
    </row>
    <row r="2438" spans="1:12" x14ac:dyDescent="0.35">
      <c r="A2438" s="1019"/>
      <c r="B2438" s="1019"/>
      <c r="C2438" s="1019"/>
      <c r="D2438" s="1019"/>
      <c r="E2438" s="1019"/>
      <c r="F2438" s="1019"/>
      <c r="G2438" s="1019"/>
      <c r="H2438" s="1019"/>
      <c r="I2438" s="1019"/>
      <c r="J2438" s="1019"/>
      <c r="K2438" s="1019"/>
      <c r="L2438" s="1140"/>
    </row>
    <row r="2439" spans="1:12" x14ac:dyDescent="0.35">
      <c r="A2439" s="1019"/>
      <c r="B2439" s="1019"/>
      <c r="C2439" s="1019"/>
      <c r="D2439" s="1019"/>
      <c r="E2439" s="1019"/>
      <c r="F2439" s="1019"/>
      <c r="G2439" s="1019"/>
      <c r="H2439" s="1019"/>
      <c r="I2439" s="1019"/>
      <c r="J2439" s="1019"/>
      <c r="K2439" s="1019"/>
      <c r="L2439" s="1140"/>
    </row>
    <row r="2440" spans="1:12" x14ac:dyDescent="0.35">
      <c r="A2440" s="1019"/>
      <c r="B2440" s="1019"/>
      <c r="C2440" s="1019"/>
      <c r="D2440" s="1019"/>
      <c r="E2440" s="1019"/>
      <c r="F2440" s="1019"/>
      <c r="G2440" s="1019"/>
      <c r="H2440" s="1019"/>
      <c r="I2440" s="1019"/>
      <c r="J2440" s="1019"/>
      <c r="K2440" s="1019"/>
      <c r="L2440" s="1140"/>
    </row>
    <row r="2441" spans="1:12" x14ac:dyDescent="0.35">
      <c r="A2441" s="1019"/>
      <c r="B2441" s="1019"/>
      <c r="C2441" s="1019"/>
      <c r="D2441" s="1019"/>
      <c r="E2441" s="1019"/>
      <c r="F2441" s="1019"/>
      <c r="G2441" s="1019"/>
      <c r="H2441" s="1019"/>
      <c r="I2441" s="1019"/>
      <c r="J2441" s="1019"/>
      <c r="K2441" s="1019"/>
      <c r="L2441" s="1140"/>
    </row>
    <row r="2442" spans="1:12" x14ac:dyDescent="0.35">
      <c r="A2442" s="1019"/>
      <c r="B2442" s="1019"/>
      <c r="C2442" s="1019"/>
      <c r="D2442" s="1019"/>
      <c r="E2442" s="1019"/>
      <c r="F2442" s="1019"/>
      <c r="G2442" s="1019"/>
      <c r="H2442" s="1019"/>
      <c r="I2442" s="1019"/>
      <c r="J2442" s="1019"/>
      <c r="K2442" s="1019"/>
      <c r="L2442" s="1140"/>
    </row>
    <row r="2443" spans="1:12" x14ac:dyDescent="0.35">
      <c r="A2443" s="1019"/>
      <c r="B2443" s="1019"/>
      <c r="C2443" s="1019"/>
      <c r="D2443" s="1019"/>
      <c r="E2443" s="1019"/>
      <c r="F2443" s="1019"/>
      <c r="G2443" s="1019"/>
      <c r="H2443" s="1019"/>
      <c r="I2443" s="1019"/>
      <c r="J2443" s="1019"/>
      <c r="K2443" s="1019"/>
      <c r="L2443" s="1140"/>
    </row>
    <row r="2444" spans="1:12" x14ac:dyDescent="0.35">
      <c r="A2444" s="1019"/>
      <c r="B2444" s="1019"/>
      <c r="C2444" s="1019"/>
      <c r="D2444" s="1019"/>
      <c r="E2444" s="1019"/>
      <c r="F2444" s="1019"/>
      <c r="G2444" s="1019"/>
      <c r="H2444" s="1019"/>
      <c r="I2444" s="1019"/>
      <c r="J2444" s="1019"/>
      <c r="K2444" s="1019"/>
      <c r="L2444" s="1140"/>
    </row>
    <row r="2445" spans="1:12" x14ac:dyDescent="0.35">
      <c r="A2445" s="1019"/>
      <c r="B2445" s="1019"/>
      <c r="C2445" s="1019"/>
      <c r="D2445" s="1019"/>
      <c r="E2445" s="1019"/>
      <c r="F2445" s="1019"/>
      <c r="G2445" s="1019"/>
      <c r="H2445" s="1019"/>
      <c r="I2445" s="1019"/>
      <c r="J2445" s="1019"/>
      <c r="K2445" s="1019"/>
      <c r="L2445" s="1140"/>
    </row>
    <row r="2446" spans="1:12" x14ac:dyDescent="0.35">
      <c r="A2446" s="1019"/>
      <c r="B2446" s="1019"/>
      <c r="C2446" s="1019"/>
      <c r="D2446" s="1019"/>
      <c r="E2446" s="1019"/>
      <c r="F2446" s="1019"/>
      <c r="G2446" s="1019"/>
      <c r="H2446" s="1019"/>
      <c r="I2446" s="1019"/>
      <c r="J2446" s="1019"/>
      <c r="K2446" s="1019"/>
      <c r="L2446" s="1140"/>
    </row>
    <row r="2447" spans="1:12" x14ac:dyDescent="0.35">
      <c r="A2447" s="1019"/>
      <c r="B2447" s="1019"/>
      <c r="C2447" s="1019"/>
      <c r="D2447" s="1019"/>
      <c r="E2447" s="1019"/>
      <c r="F2447" s="1019"/>
      <c r="G2447" s="1019"/>
      <c r="H2447" s="1019"/>
      <c r="I2447" s="1019"/>
      <c r="J2447" s="1019"/>
      <c r="K2447" s="1019"/>
      <c r="L2447" s="1140"/>
    </row>
    <row r="2448" spans="1:12" x14ac:dyDescent="0.35">
      <c r="A2448" s="1019"/>
      <c r="B2448" s="1019"/>
      <c r="C2448" s="1019"/>
      <c r="D2448" s="1019"/>
      <c r="E2448" s="1019"/>
      <c r="F2448" s="1019"/>
      <c r="G2448" s="1019"/>
      <c r="H2448" s="1019"/>
      <c r="I2448" s="1019"/>
      <c r="J2448" s="1019"/>
      <c r="K2448" s="1019"/>
      <c r="L2448" s="1140"/>
    </row>
    <row r="2449" spans="1:12" x14ac:dyDescent="0.35">
      <c r="A2449" s="1019"/>
      <c r="B2449" s="1019"/>
      <c r="C2449" s="1019"/>
      <c r="D2449" s="1019"/>
      <c r="E2449" s="1019"/>
      <c r="F2449" s="1019"/>
      <c r="G2449" s="1019"/>
      <c r="H2449" s="1019"/>
      <c r="I2449" s="1019"/>
      <c r="J2449" s="1019"/>
      <c r="K2449" s="1019"/>
      <c r="L2449" s="1140"/>
    </row>
    <row r="2450" spans="1:12" x14ac:dyDescent="0.35">
      <c r="A2450" s="1019"/>
      <c r="B2450" s="1019"/>
      <c r="C2450" s="1019"/>
      <c r="D2450" s="1019"/>
      <c r="E2450" s="1019"/>
      <c r="F2450" s="1019"/>
      <c r="G2450" s="1019"/>
      <c r="H2450" s="1019"/>
      <c r="I2450" s="1019"/>
      <c r="J2450" s="1019"/>
      <c r="K2450" s="1019"/>
      <c r="L2450" s="1140"/>
    </row>
    <row r="2451" spans="1:12" x14ac:dyDescent="0.35">
      <c r="A2451" s="1019"/>
      <c r="B2451" s="1019"/>
      <c r="C2451" s="1019"/>
      <c r="D2451" s="1019"/>
      <c r="E2451" s="1019"/>
      <c r="F2451" s="1019"/>
      <c r="G2451" s="1019"/>
      <c r="H2451" s="1019"/>
      <c r="I2451" s="1019"/>
      <c r="J2451" s="1019"/>
      <c r="K2451" s="1019"/>
      <c r="L2451" s="1140"/>
    </row>
    <row r="2452" spans="1:12" x14ac:dyDescent="0.35">
      <c r="A2452" s="1019"/>
      <c r="B2452" s="1019"/>
      <c r="C2452" s="1019"/>
      <c r="D2452" s="1019"/>
      <c r="E2452" s="1019"/>
      <c r="F2452" s="1019"/>
      <c r="G2452" s="1019"/>
      <c r="H2452" s="1019"/>
      <c r="I2452" s="1019"/>
      <c r="J2452" s="1019"/>
      <c r="K2452" s="1019"/>
      <c r="L2452" s="1140"/>
    </row>
    <row r="2453" spans="1:12" x14ac:dyDescent="0.35">
      <c r="A2453" s="1019"/>
      <c r="B2453" s="1019"/>
      <c r="C2453" s="1019"/>
      <c r="D2453" s="1019"/>
      <c r="E2453" s="1019"/>
      <c r="F2453" s="1019"/>
      <c r="G2453" s="1019"/>
      <c r="H2453" s="1019"/>
      <c r="I2453" s="1019"/>
      <c r="J2453" s="1019"/>
      <c r="K2453" s="1019"/>
      <c r="L2453" s="1140"/>
    </row>
    <row r="2454" spans="1:12" x14ac:dyDescent="0.35">
      <c r="A2454" s="1019"/>
      <c r="B2454" s="1019"/>
      <c r="C2454" s="1019"/>
      <c r="D2454" s="1019"/>
      <c r="E2454" s="1019"/>
      <c r="F2454" s="1019"/>
      <c r="G2454" s="1019"/>
      <c r="H2454" s="1019"/>
      <c r="I2454" s="1019"/>
      <c r="J2454" s="1019"/>
      <c r="K2454" s="1019"/>
      <c r="L2454" s="1140"/>
    </row>
    <row r="2455" spans="1:12" x14ac:dyDescent="0.35">
      <c r="A2455" s="1019"/>
      <c r="B2455" s="1019"/>
      <c r="C2455" s="1019"/>
      <c r="D2455" s="1019"/>
      <c r="E2455" s="1019"/>
      <c r="F2455" s="1019"/>
      <c r="G2455" s="1019"/>
      <c r="H2455" s="1019"/>
      <c r="I2455" s="1019"/>
      <c r="J2455" s="1019"/>
      <c r="K2455" s="1019"/>
      <c r="L2455" s="1140"/>
    </row>
    <row r="2456" spans="1:12" x14ac:dyDescent="0.35">
      <c r="A2456" s="1019"/>
      <c r="B2456" s="1019"/>
      <c r="C2456" s="1019"/>
      <c r="D2456" s="1019"/>
      <c r="E2456" s="1019"/>
      <c r="F2456" s="1019"/>
      <c r="G2456" s="1019"/>
      <c r="H2456" s="1019"/>
      <c r="I2456" s="1019"/>
      <c r="J2456" s="1019"/>
      <c r="K2456" s="1019"/>
      <c r="L2456" s="1140"/>
    </row>
    <row r="2457" spans="1:12" x14ac:dyDescent="0.35">
      <c r="A2457" s="1019"/>
      <c r="B2457" s="1019"/>
      <c r="C2457" s="1019"/>
      <c r="D2457" s="1019"/>
      <c r="E2457" s="1019"/>
      <c r="F2457" s="1019"/>
      <c r="G2457" s="1019"/>
      <c r="H2457" s="1019"/>
      <c r="I2457" s="1019"/>
      <c r="J2457" s="1019"/>
      <c r="K2457" s="1019"/>
      <c r="L2457" s="1140"/>
    </row>
    <row r="2458" spans="1:12" x14ac:dyDescent="0.35">
      <c r="A2458" s="1019"/>
      <c r="B2458" s="1019"/>
      <c r="C2458" s="1019"/>
      <c r="D2458" s="1019"/>
      <c r="E2458" s="1019"/>
      <c r="F2458" s="1019"/>
      <c r="G2458" s="1019"/>
      <c r="H2458" s="1019"/>
      <c r="I2458" s="1019"/>
      <c r="J2458" s="1019"/>
      <c r="K2458" s="1019"/>
      <c r="L2458" s="1140"/>
    </row>
    <row r="2459" spans="1:12" x14ac:dyDescent="0.35">
      <c r="A2459" s="1019"/>
      <c r="B2459" s="1019"/>
      <c r="C2459" s="1019"/>
      <c r="D2459" s="1019"/>
      <c r="E2459" s="1019"/>
      <c r="F2459" s="1019"/>
      <c r="G2459" s="1019"/>
      <c r="H2459" s="1019"/>
      <c r="I2459" s="1019"/>
      <c r="J2459" s="1019"/>
      <c r="K2459" s="1019"/>
      <c r="L2459" s="1140"/>
    </row>
    <row r="2460" spans="1:12" x14ac:dyDescent="0.35">
      <c r="A2460" s="1019"/>
      <c r="B2460" s="1019"/>
      <c r="C2460" s="1019"/>
      <c r="D2460" s="1019"/>
      <c r="E2460" s="1019"/>
      <c r="F2460" s="1019"/>
      <c r="G2460" s="1019"/>
      <c r="H2460" s="1019"/>
      <c r="I2460" s="1019"/>
      <c r="J2460" s="1019"/>
      <c r="K2460" s="1019"/>
      <c r="L2460" s="1140"/>
    </row>
    <row r="2461" spans="1:12" x14ac:dyDescent="0.35">
      <c r="A2461" s="1019"/>
      <c r="B2461" s="1019"/>
      <c r="C2461" s="1019"/>
      <c r="D2461" s="1019"/>
      <c r="E2461" s="1019"/>
      <c r="F2461" s="1019"/>
      <c r="G2461" s="1019"/>
      <c r="H2461" s="1019"/>
      <c r="I2461" s="1019"/>
      <c r="J2461" s="1019"/>
      <c r="K2461" s="1019"/>
      <c r="L2461" s="1140"/>
    </row>
    <row r="2462" spans="1:12" x14ac:dyDescent="0.35">
      <c r="A2462" s="1019"/>
      <c r="B2462" s="1019"/>
      <c r="C2462" s="1019"/>
      <c r="D2462" s="1019"/>
      <c r="E2462" s="1019"/>
      <c r="F2462" s="1019"/>
      <c r="G2462" s="1019"/>
      <c r="H2462" s="1019"/>
      <c r="I2462" s="1019"/>
      <c r="J2462" s="1019"/>
      <c r="K2462" s="1019"/>
      <c r="L2462" s="1140"/>
    </row>
    <row r="2463" spans="1:12" x14ac:dyDescent="0.35">
      <c r="A2463" s="1019"/>
      <c r="B2463" s="1019"/>
      <c r="C2463" s="1019"/>
      <c r="D2463" s="1019"/>
      <c r="E2463" s="1019"/>
      <c r="F2463" s="1019"/>
      <c r="G2463" s="1019"/>
      <c r="H2463" s="1019"/>
      <c r="I2463" s="1019"/>
      <c r="J2463" s="1019"/>
      <c r="K2463" s="1019"/>
      <c r="L2463" s="1140"/>
    </row>
    <row r="2464" spans="1:12" x14ac:dyDescent="0.35">
      <c r="A2464" s="1019"/>
      <c r="B2464" s="1019"/>
      <c r="C2464" s="1019"/>
      <c r="D2464" s="1019"/>
      <c r="E2464" s="1019"/>
      <c r="F2464" s="1019"/>
      <c r="G2464" s="1019"/>
      <c r="H2464" s="1019"/>
      <c r="I2464" s="1019"/>
      <c r="J2464" s="1019"/>
      <c r="K2464" s="1019"/>
      <c r="L2464" s="1140"/>
    </row>
    <row r="2465" spans="1:12" x14ac:dyDescent="0.35">
      <c r="A2465" s="1019"/>
      <c r="B2465" s="1019"/>
      <c r="C2465" s="1019"/>
      <c r="D2465" s="1019"/>
      <c r="E2465" s="1019"/>
      <c r="F2465" s="1019"/>
      <c r="G2465" s="1019"/>
      <c r="H2465" s="1019"/>
      <c r="I2465" s="1019"/>
      <c r="J2465" s="1019"/>
      <c r="K2465" s="1019"/>
      <c r="L2465" s="1140"/>
    </row>
    <row r="2466" spans="1:12" x14ac:dyDescent="0.35">
      <c r="A2466" s="1019"/>
      <c r="B2466" s="1019"/>
      <c r="C2466" s="1019"/>
      <c r="D2466" s="1019"/>
      <c r="E2466" s="1019"/>
      <c r="F2466" s="1019"/>
      <c r="G2466" s="1019"/>
      <c r="H2466" s="1019"/>
      <c r="I2466" s="1019"/>
      <c r="J2466" s="1019"/>
      <c r="K2466" s="1019"/>
      <c r="L2466" s="1140"/>
    </row>
    <row r="2467" spans="1:12" x14ac:dyDescent="0.35">
      <c r="A2467" s="1019"/>
      <c r="B2467" s="1019"/>
      <c r="C2467" s="1019"/>
      <c r="D2467" s="1019"/>
      <c r="E2467" s="1019"/>
      <c r="F2467" s="1019"/>
      <c r="G2467" s="1019"/>
      <c r="H2467" s="1019"/>
      <c r="I2467" s="1019"/>
      <c r="J2467" s="1019"/>
      <c r="K2467" s="1019"/>
      <c r="L2467" s="1140"/>
    </row>
    <row r="2468" spans="1:12" x14ac:dyDescent="0.35">
      <c r="A2468" s="1019"/>
      <c r="B2468" s="1019"/>
      <c r="C2468" s="1019"/>
      <c r="D2468" s="1019"/>
      <c r="E2468" s="1019"/>
      <c r="F2468" s="1019"/>
      <c r="G2468" s="1019"/>
      <c r="H2468" s="1019"/>
      <c r="I2468" s="1019"/>
      <c r="J2468" s="1019"/>
      <c r="K2468" s="1019"/>
      <c r="L2468" s="1140"/>
    </row>
    <row r="2469" spans="1:12" x14ac:dyDescent="0.35">
      <c r="A2469" s="1019"/>
      <c r="B2469" s="1019"/>
      <c r="C2469" s="1019"/>
      <c r="D2469" s="1019"/>
      <c r="E2469" s="1019"/>
      <c r="F2469" s="1019"/>
      <c r="G2469" s="1019"/>
      <c r="H2469" s="1019"/>
      <c r="I2469" s="1019"/>
      <c r="J2469" s="1019"/>
      <c r="K2469" s="1019"/>
      <c r="L2469" s="1140"/>
    </row>
    <row r="2470" spans="1:12" x14ac:dyDescent="0.35">
      <c r="A2470" s="1019"/>
      <c r="B2470" s="1019"/>
      <c r="C2470" s="1019"/>
      <c r="D2470" s="1019"/>
      <c r="E2470" s="1019"/>
      <c r="F2470" s="1019"/>
      <c r="G2470" s="1019"/>
      <c r="H2470" s="1019"/>
      <c r="I2470" s="1019"/>
      <c r="J2470" s="1019"/>
      <c r="K2470" s="1019"/>
      <c r="L2470" s="1140"/>
    </row>
    <row r="2471" spans="1:12" x14ac:dyDescent="0.35">
      <c r="A2471" s="1019"/>
      <c r="B2471" s="1019"/>
      <c r="C2471" s="1019"/>
      <c r="D2471" s="1019"/>
      <c r="E2471" s="1019"/>
      <c r="F2471" s="1019"/>
      <c r="G2471" s="1019"/>
      <c r="H2471" s="1019"/>
      <c r="I2471" s="1019"/>
      <c r="J2471" s="1019"/>
      <c r="K2471" s="1019"/>
      <c r="L2471" s="1140"/>
    </row>
    <row r="2472" spans="1:12" x14ac:dyDescent="0.35">
      <c r="A2472" s="1019"/>
      <c r="B2472" s="1019"/>
      <c r="C2472" s="1019"/>
      <c r="D2472" s="1019"/>
      <c r="E2472" s="1019"/>
      <c r="F2472" s="1019"/>
      <c r="G2472" s="1019"/>
      <c r="H2472" s="1019"/>
      <c r="I2472" s="1019"/>
      <c r="J2472" s="1019"/>
      <c r="K2472" s="1019"/>
      <c r="L2472" s="1140"/>
    </row>
    <row r="2473" spans="1:12" x14ac:dyDescent="0.35">
      <c r="A2473" s="1019"/>
      <c r="B2473" s="1019"/>
      <c r="C2473" s="1019"/>
      <c r="D2473" s="1019"/>
      <c r="E2473" s="1019"/>
      <c r="F2473" s="1019"/>
      <c r="G2473" s="1019"/>
      <c r="H2473" s="1019"/>
      <c r="I2473" s="1019"/>
      <c r="J2473" s="1019"/>
      <c r="K2473" s="1019"/>
      <c r="L2473" s="1140"/>
    </row>
    <row r="2474" spans="1:12" x14ac:dyDescent="0.35">
      <c r="A2474" s="1019"/>
      <c r="B2474" s="1019"/>
      <c r="C2474" s="1019"/>
      <c r="D2474" s="1019"/>
      <c r="E2474" s="1019"/>
      <c r="F2474" s="1019"/>
      <c r="G2474" s="1019"/>
      <c r="H2474" s="1019"/>
      <c r="I2474" s="1019"/>
      <c r="J2474" s="1019"/>
      <c r="K2474" s="1019"/>
      <c r="L2474" s="1140"/>
    </row>
    <row r="2475" spans="1:12" x14ac:dyDescent="0.35">
      <c r="A2475" s="1019"/>
      <c r="B2475" s="1019"/>
      <c r="C2475" s="1019"/>
      <c r="D2475" s="1019"/>
      <c r="E2475" s="1019"/>
      <c r="F2475" s="1019"/>
      <c r="G2475" s="1019"/>
      <c r="H2475" s="1019"/>
      <c r="I2475" s="1019"/>
      <c r="J2475" s="1019"/>
      <c r="K2475" s="1019"/>
      <c r="L2475" s="1140"/>
    </row>
    <row r="2476" spans="1:12" x14ac:dyDescent="0.35">
      <c r="A2476" s="1019"/>
      <c r="B2476" s="1019"/>
      <c r="C2476" s="1019"/>
      <c r="D2476" s="1019"/>
      <c r="E2476" s="1019"/>
      <c r="F2476" s="1019"/>
      <c r="G2476" s="1019"/>
      <c r="H2476" s="1019"/>
      <c r="I2476" s="1019"/>
      <c r="J2476" s="1019"/>
      <c r="K2476" s="1019"/>
      <c r="L2476" s="1140"/>
    </row>
    <row r="2477" spans="1:12" x14ac:dyDescent="0.35">
      <c r="A2477" s="1019"/>
      <c r="B2477" s="1019"/>
      <c r="C2477" s="1019"/>
      <c r="D2477" s="1019"/>
      <c r="E2477" s="1019"/>
      <c r="F2477" s="1019"/>
      <c r="G2477" s="1019"/>
      <c r="H2477" s="1019"/>
      <c r="I2477" s="1019"/>
      <c r="J2477" s="1019"/>
      <c r="K2477" s="1019"/>
      <c r="L2477" s="1140"/>
    </row>
    <row r="2478" spans="1:12" x14ac:dyDescent="0.35">
      <c r="A2478" s="1019"/>
      <c r="B2478" s="1019"/>
      <c r="C2478" s="1019"/>
      <c r="D2478" s="1019"/>
      <c r="E2478" s="1019"/>
      <c r="F2478" s="1019"/>
      <c r="G2478" s="1019"/>
      <c r="H2478" s="1019"/>
      <c r="I2478" s="1019"/>
      <c r="J2478" s="1019"/>
      <c r="K2478" s="1019"/>
      <c r="L2478" s="1140"/>
    </row>
    <row r="2479" spans="1:12" x14ac:dyDescent="0.35">
      <c r="A2479" s="1019"/>
      <c r="B2479" s="1019"/>
      <c r="C2479" s="1019"/>
      <c r="D2479" s="1019"/>
      <c r="E2479" s="1019"/>
      <c r="F2479" s="1019"/>
      <c r="G2479" s="1019"/>
      <c r="H2479" s="1019"/>
      <c r="I2479" s="1019"/>
      <c r="J2479" s="1019"/>
      <c r="K2479" s="1019"/>
      <c r="L2479" s="1140"/>
    </row>
    <row r="2480" spans="1:12" x14ac:dyDescent="0.35">
      <c r="A2480" s="1019"/>
      <c r="B2480" s="1019"/>
      <c r="C2480" s="1019"/>
      <c r="D2480" s="1019"/>
      <c r="E2480" s="1019"/>
      <c r="F2480" s="1019"/>
      <c r="G2480" s="1019"/>
      <c r="H2480" s="1019"/>
      <c r="I2480" s="1019"/>
      <c r="J2480" s="1019"/>
      <c r="K2480" s="1019"/>
      <c r="L2480" s="1140"/>
    </row>
    <row r="2481" spans="1:12" x14ac:dyDescent="0.35">
      <c r="A2481" s="1019"/>
      <c r="B2481" s="1019"/>
      <c r="C2481" s="1019"/>
      <c r="D2481" s="1019"/>
      <c r="E2481" s="1019"/>
      <c r="F2481" s="1019"/>
      <c r="G2481" s="1019"/>
      <c r="H2481" s="1019"/>
      <c r="I2481" s="1019"/>
      <c r="J2481" s="1019"/>
      <c r="K2481" s="1019"/>
      <c r="L2481" s="1140"/>
    </row>
    <row r="2482" spans="1:12" x14ac:dyDescent="0.35">
      <c r="A2482" s="1019"/>
      <c r="B2482" s="1019"/>
      <c r="C2482" s="1019"/>
      <c r="D2482" s="1019"/>
      <c r="E2482" s="1019"/>
      <c r="F2482" s="1019"/>
      <c r="G2482" s="1019"/>
      <c r="H2482" s="1019"/>
      <c r="I2482" s="1019"/>
      <c r="J2482" s="1019"/>
      <c r="K2482" s="1019"/>
      <c r="L2482" s="1140"/>
    </row>
    <row r="2483" spans="1:12" x14ac:dyDescent="0.35">
      <c r="A2483" s="1019"/>
      <c r="B2483" s="1019"/>
      <c r="C2483" s="1019"/>
      <c r="D2483" s="1019"/>
      <c r="E2483" s="1019"/>
      <c r="F2483" s="1019"/>
      <c r="G2483" s="1019"/>
      <c r="H2483" s="1019"/>
      <c r="I2483" s="1019"/>
      <c r="J2483" s="1019"/>
      <c r="K2483" s="1019"/>
      <c r="L2483" s="1140"/>
    </row>
    <row r="2484" spans="1:12" x14ac:dyDescent="0.35">
      <c r="A2484" s="1019"/>
      <c r="B2484" s="1019"/>
      <c r="C2484" s="1019"/>
      <c r="D2484" s="1019"/>
      <c r="E2484" s="1019"/>
      <c r="F2484" s="1019"/>
      <c r="G2484" s="1019"/>
      <c r="H2484" s="1019"/>
      <c r="I2484" s="1019"/>
      <c r="J2484" s="1019"/>
      <c r="K2484" s="1019"/>
      <c r="L2484" s="1140"/>
    </row>
    <row r="2485" spans="1:12" x14ac:dyDescent="0.35">
      <c r="A2485" s="1019"/>
      <c r="B2485" s="1019"/>
      <c r="C2485" s="1019"/>
      <c r="D2485" s="1019"/>
      <c r="E2485" s="1019"/>
      <c r="F2485" s="1019"/>
      <c r="G2485" s="1019"/>
      <c r="H2485" s="1019"/>
      <c r="I2485" s="1019"/>
      <c r="J2485" s="1019"/>
      <c r="K2485" s="1019"/>
      <c r="L2485" s="1140"/>
    </row>
    <row r="2486" spans="1:12" x14ac:dyDescent="0.35">
      <c r="A2486" s="1019"/>
      <c r="B2486" s="1019"/>
      <c r="C2486" s="1019"/>
      <c r="D2486" s="1019"/>
      <c r="E2486" s="1019"/>
      <c r="F2486" s="1019"/>
      <c r="G2486" s="1019"/>
      <c r="H2486" s="1019"/>
      <c r="I2486" s="1019"/>
      <c r="J2486" s="1019"/>
      <c r="K2486" s="1019"/>
      <c r="L2486" s="1140"/>
    </row>
    <row r="2487" spans="1:12" x14ac:dyDescent="0.35">
      <c r="A2487" s="1019"/>
      <c r="B2487" s="1019"/>
      <c r="C2487" s="1019"/>
      <c r="D2487" s="1019"/>
      <c r="E2487" s="1019"/>
      <c r="F2487" s="1019"/>
      <c r="G2487" s="1019"/>
      <c r="H2487" s="1019"/>
      <c r="I2487" s="1019"/>
      <c r="J2487" s="1019"/>
      <c r="K2487" s="1019"/>
      <c r="L2487" s="1140"/>
    </row>
    <row r="2488" spans="1:12" x14ac:dyDescent="0.35">
      <c r="A2488" s="1019"/>
      <c r="B2488" s="1019"/>
      <c r="C2488" s="1019"/>
      <c r="D2488" s="1019"/>
      <c r="E2488" s="1019"/>
      <c r="F2488" s="1019"/>
      <c r="G2488" s="1019"/>
      <c r="H2488" s="1019"/>
      <c r="I2488" s="1019"/>
      <c r="J2488" s="1019"/>
      <c r="K2488" s="1019"/>
      <c r="L2488" s="1140"/>
    </row>
    <row r="2489" spans="1:12" x14ac:dyDescent="0.35">
      <c r="A2489" s="1019"/>
      <c r="B2489" s="1019"/>
      <c r="C2489" s="1019"/>
      <c r="D2489" s="1019"/>
      <c r="E2489" s="1019"/>
      <c r="F2489" s="1019"/>
      <c r="G2489" s="1019"/>
      <c r="H2489" s="1019"/>
      <c r="I2489" s="1019"/>
      <c r="J2489" s="1019"/>
      <c r="K2489" s="1019"/>
      <c r="L2489" s="1140"/>
    </row>
    <row r="2490" spans="1:12" x14ac:dyDescent="0.35">
      <c r="A2490" s="1019"/>
      <c r="B2490" s="1019"/>
      <c r="C2490" s="1019"/>
      <c r="D2490" s="1019"/>
      <c r="E2490" s="1019"/>
      <c r="F2490" s="1019"/>
      <c r="G2490" s="1019"/>
      <c r="H2490" s="1019"/>
      <c r="I2490" s="1019"/>
      <c r="J2490" s="1019"/>
      <c r="K2490" s="1019"/>
      <c r="L2490" s="1140"/>
    </row>
    <row r="2491" spans="1:12" x14ac:dyDescent="0.35">
      <c r="A2491" s="1019"/>
      <c r="B2491" s="1019"/>
      <c r="C2491" s="1019"/>
      <c r="D2491" s="1019"/>
      <c r="E2491" s="1019"/>
      <c r="F2491" s="1019"/>
      <c r="G2491" s="1019"/>
      <c r="H2491" s="1019"/>
      <c r="I2491" s="1019"/>
      <c r="J2491" s="1019"/>
      <c r="K2491" s="1019"/>
      <c r="L2491" s="1140"/>
    </row>
    <row r="2492" spans="1:12" x14ac:dyDescent="0.35">
      <c r="A2492" s="1019"/>
      <c r="B2492" s="1019"/>
      <c r="C2492" s="1019"/>
      <c r="D2492" s="1019"/>
      <c r="E2492" s="1019"/>
      <c r="F2492" s="1019"/>
      <c r="G2492" s="1019"/>
      <c r="H2492" s="1019"/>
      <c r="I2492" s="1019"/>
      <c r="J2492" s="1019"/>
      <c r="K2492" s="1019"/>
      <c r="L2492" s="1140"/>
    </row>
    <row r="2493" spans="1:12" x14ac:dyDescent="0.35">
      <c r="A2493" s="1019"/>
      <c r="B2493" s="1019"/>
      <c r="C2493" s="1019"/>
      <c r="D2493" s="1019"/>
      <c r="E2493" s="1019"/>
      <c r="F2493" s="1019"/>
      <c r="G2493" s="1019"/>
      <c r="H2493" s="1019"/>
      <c r="I2493" s="1019"/>
      <c r="J2493" s="1019"/>
      <c r="K2493" s="1019"/>
      <c r="L2493" s="1140"/>
    </row>
    <row r="2494" spans="1:12" x14ac:dyDescent="0.35">
      <c r="A2494" s="1019"/>
      <c r="B2494" s="1019"/>
      <c r="C2494" s="1019"/>
      <c r="D2494" s="1019"/>
      <c r="E2494" s="1019"/>
      <c r="F2494" s="1019"/>
      <c r="G2494" s="1019"/>
      <c r="H2494" s="1019"/>
      <c r="I2494" s="1019"/>
      <c r="J2494" s="1019"/>
      <c r="K2494" s="1019"/>
      <c r="L2494" s="1140"/>
    </row>
    <row r="2495" spans="1:12" x14ac:dyDescent="0.35">
      <c r="A2495" s="1019"/>
      <c r="B2495" s="1019"/>
      <c r="C2495" s="1019"/>
      <c r="D2495" s="1019"/>
      <c r="E2495" s="1019"/>
      <c r="F2495" s="1019"/>
      <c r="G2495" s="1019"/>
      <c r="H2495" s="1019"/>
      <c r="I2495" s="1019"/>
      <c r="J2495" s="1019"/>
      <c r="K2495" s="1019"/>
      <c r="L2495" s="1140"/>
    </row>
    <row r="2496" spans="1:12" x14ac:dyDescent="0.35">
      <c r="A2496" s="1019"/>
      <c r="B2496" s="1019"/>
      <c r="C2496" s="1019"/>
      <c r="D2496" s="1019"/>
      <c r="E2496" s="1019"/>
      <c r="F2496" s="1019"/>
      <c r="G2496" s="1019"/>
      <c r="H2496" s="1019"/>
      <c r="I2496" s="1019"/>
      <c r="J2496" s="1019"/>
      <c r="K2496" s="1019"/>
      <c r="L2496" s="1140"/>
    </row>
    <row r="2497" spans="1:12" x14ac:dyDescent="0.35">
      <c r="A2497" s="1019"/>
      <c r="B2497" s="1019"/>
      <c r="C2497" s="1019"/>
      <c r="D2497" s="1019"/>
      <c r="E2497" s="1019"/>
      <c r="F2497" s="1019"/>
      <c r="G2497" s="1019"/>
      <c r="H2497" s="1019"/>
      <c r="I2497" s="1019"/>
      <c r="J2497" s="1019"/>
      <c r="K2497" s="1019"/>
      <c r="L2497" s="1140"/>
    </row>
    <row r="2498" spans="1:12" x14ac:dyDescent="0.35">
      <c r="A2498" s="1019"/>
      <c r="B2498" s="1019"/>
      <c r="C2498" s="1019"/>
      <c r="D2498" s="1019"/>
      <c r="E2498" s="1019"/>
      <c r="F2498" s="1019"/>
      <c r="G2498" s="1019"/>
      <c r="H2498" s="1019"/>
      <c r="I2498" s="1019"/>
      <c r="J2498" s="1019"/>
      <c r="K2498" s="1019"/>
      <c r="L2498" s="1140"/>
    </row>
    <row r="2499" spans="1:12" x14ac:dyDescent="0.35">
      <c r="A2499" s="1019"/>
      <c r="B2499" s="1019"/>
      <c r="C2499" s="1019"/>
      <c r="D2499" s="1019"/>
      <c r="E2499" s="1019"/>
      <c r="F2499" s="1019"/>
      <c r="G2499" s="1019"/>
      <c r="H2499" s="1019"/>
      <c r="I2499" s="1019"/>
      <c r="J2499" s="1019"/>
      <c r="K2499" s="1019"/>
      <c r="L2499" s="1140"/>
    </row>
    <row r="2500" spans="1:12" x14ac:dyDescent="0.35">
      <c r="A2500" s="1019"/>
      <c r="B2500" s="1019"/>
      <c r="C2500" s="1019"/>
      <c r="D2500" s="1019"/>
      <c r="E2500" s="1019"/>
      <c r="F2500" s="1019"/>
      <c r="G2500" s="1019"/>
      <c r="H2500" s="1019"/>
      <c r="I2500" s="1019"/>
      <c r="J2500" s="1019"/>
      <c r="K2500" s="1019"/>
      <c r="L2500" s="1140"/>
    </row>
    <row r="2501" spans="1:12" x14ac:dyDescent="0.35">
      <c r="A2501" s="1019"/>
      <c r="B2501" s="1019"/>
      <c r="C2501" s="1019"/>
      <c r="D2501" s="1019"/>
      <c r="E2501" s="1019"/>
      <c r="F2501" s="1019"/>
      <c r="G2501" s="1019"/>
      <c r="H2501" s="1019"/>
      <c r="I2501" s="1019"/>
      <c r="J2501" s="1019"/>
      <c r="K2501" s="1019"/>
      <c r="L2501" s="1140"/>
    </row>
    <row r="2502" spans="1:12" x14ac:dyDescent="0.35">
      <c r="A2502" s="1019"/>
      <c r="B2502" s="1019"/>
      <c r="C2502" s="1019"/>
      <c r="D2502" s="1019"/>
      <c r="E2502" s="1019"/>
      <c r="F2502" s="1019"/>
      <c r="G2502" s="1019"/>
      <c r="H2502" s="1019"/>
      <c r="I2502" s="1019"/>
      <c r="J2502" s="1019"/>
      <c r="K2502" s="1019"/>
      <c r="L2502" s="1140"/>
    </row>
    <row r="2503" spans="1:12" x14ac:dyDescent="0.35">
      <c r="A2503" s="1019"/>
      <c r="B2503" s="1019"/>
      <c r="C2503" s="1019"/>
      <c r="D2503" s="1019"/>
      <c r="E2503" s="1019"/>
      <c r="F2503" s="1019"/>
      <c r="G2503" s="1019"/>
      <c r="H2503" s="1019"/>
      <c r="I2503" s="1019"/>
      <c r="J2503" s="1019"/>
      <c r="K2503" s="1019"/>
      <c r="L2503" s="1140"/>
    </row>
    <row r="2504" spans="1:12" x14ac:dyDescent="0.35">
      <c r="A2504" s="1019"/>
      <c r="B2504" s="1019"/>
      <c r="C2504" s="1019"/>
      <c r="D2504" s="1019"/>
      <c r="E2504" s="1019"/>
      <c r="F2504" s="1019"/>
      <c r="G2504" s="1019"/>
      <c r="H2504" s="1019"/>
      <c r="I2504" s="1019"/>
      <c r="J2504" s="1019"/>
      <c r="K2504" s="1019"/>
      <c r="L2504" s="1140"/>
    </row>
    <row r="2505" spans="1:12" x14ac:dyDescent="0.35">
      <c r="A2505" s="1019"/>
      <c r="B2505" s="1019"/>
      <c r="C2505" s="1019"/>
      <c r="D2505" s="1019"/>
      <c r="E2505" s="1019"/>
      <c r="F2505" s="1019"/>
      <c r="G2505" s="1019"/>
      <c r="H2505" s="1019"/>
      <c r="I2505" s="1019"/>
      <c r="J2505" s="1019"/>
      <c r="K2505" s="1019"/>
      <c r="L2505" s="1140"/>
    </row>
    <row r="2506" spans="1:12" x14ac:dyDescent="0.35">
      <c r="A2506" s="1019"/>
      <c r="B2506" s="1019"/>
      <c r="C2506" s="1019"/>
      <c r="D2506" s="1019"/>
      <c r="E2506" s="1019"/>
      <c r="F2506" s="1019"/>
      <c r="G2506" s="1019"/>
      <c r="H2506" s="1019"/>
      <c r="I2506" s="1019"/>
      <c r="J2506" s="1019"/>
      <c r="K2506" s="1019"/>
      <c r="L2506" s="1140"/>
    </row>
    <row r="2507" spans="1:12" x14ac:dyDescent="0.35">
      <c r="A2507" s="1019"/>
      <c r="B2507" s="1019"/>
      <c r="C2507" s="1019"/>
      <c r="D2507" s="1019"/>
      <c r="E2507" s="1019"/>
      <c r="F2507" s="1019"/>
      <c r="G2507" s="1019"/>
      <c r="H2507" s="1019"/>
      <c r="I2507" s="1019"/>
      <c r="J2507" s="1019"/>
      <c r="K2507" s="1019"/>
      <c r="L2507" s="1140"/>
    </row>
    <row r="2508" spans="1:12" x14ac:dyDescent="0.35">
      <c r="A2508" s="1019"/>
      <c r="B2508" s="1019"/>
      <c r="C2508" s="1019"/>
      <c r="D2508" s="1019"/>
      <c r="E2508" s="1019"/>
      <c r="F2508" s="1019"/>
      <c r="G2508" s="1019"/>
      <c r="H2508" s="1019"/>
      <c r="I2508" s="1019"/>
      <c r="J2508" s="1019"/>
      <c r="K2508" s="1019"/>
      <c r="L2508" s="1140"/>
    </row>
    <row r="2509" spans="1:12" x14ac:dyDescent="0.35">
      <c r="A2509" s="1019"/>
      <c r="B2509" s="1019"/>
      <c r="C2509" s="1019"/>
      <c r="D2509" s="1019"/>
      <c r="E2509" s="1019"/>
      <c r="F2509" s="1019"/>
      <c r="G2509" s="1019"/>
      <c r="H2509" s="1019"/>
      <c r="I2509" s="1019"/>
      <c r="J2509" s="1019"/>
      <c r="K2509" s="1019"/>
      <c r="L2509" s="1140"/>
    </row>
    <row r="2510" spans="1:12" x14ac:dyDescent="0.35">
      <c r="A2510" s="1019"/>
      <c r="B2510" s="1019"/>
      <c r="C2510" s="1019"/>
      <c r="D2510" s="1019"/>
      <c r="E2510" s="1019"/>
      <c r="F2510" s="1019"/>
      <c r="G2510" s="1019"/>
      <c r="H2510" s="1019"/>
      <c r="I2510" s="1019"/>
      <c r="J2510" s="1019"/>
      <c r="K2510" s="1019"/>
      <c r="L2510" s="1140"/>
    </row>
    <row r="2511" spans="1:12" x14ac:dyDescent="0.35">
      <c r="A2511" s="1019"/>
      <c r="B2511" s="1019"/>
      <c r="C2511" s="1019"/>
      <c r="D2511" s="1019"/>
      <c r="E2511" s="1019"/>
      <c r="F2511" s="1019"/>
      <c r="G2511" s="1019"/>
      <c r="H2511" s="1019"/>
      <c r="I2511" s="1019"/>
      <c r="J2511" s="1019"/>
      <c r="K2511" s="1019"/>
      <c r="L2511" s="1140"/>
    </row>
    <row r="2512" spans="1:12" x14ac:dyDescent="0.35">
      <c r="A2512" s="1019"/>
      <c r="B2512" s="1019"/>
      <c r="C2512" s="1019"/>
      <c r="D2512" s="1019"/>
      <c r="E2512" s="1019"/>
      <c r="F2512" s="1019"/>
      <c r="G2512" s="1019"/>
      <c r="H2512" s="1019"/>
      <c r="I2512" s="1019"/>
      <c r="J2512" s="1019"/>
      <c r="K2512" s="1019"/>
      <c r="L2512" s="1140"/>
    </row>
    <row r="2513" spans="1:12" x14ac:dyDescent="0.35">
      <c r="A2513" s="1019"/>
      <c r="B2513" s="1019"/>
      <c r="C2513" s="1019"/>
      <c r="D2513" s="1019"/>
      <c r="E2513" s="1019"/>
      <c r="F2513" s="1019"/>
      <c r="G2513" s="1019"/>
      <c r="H2513" s="1019"/>
      <c r="I2513" s="1019"/>
      <c r="J2513" s="1019"/>
      <c r="K2513" s="1019"/>
      <c r="L2513" s="1140"/>
    </row>
    <row r="2514" spans="1:12" x14ac:dyDescent="0.35">
      <c r="A2514" s="1019"/>
      <c r="B2514" s="1019"/>
      <c r="C2514" s="1019"/>
      <c r="D2514" s="1019"/>
      <c r="E2514" s="1019"/>
      <c r="F2514" s="1019"/>
      <c r="G2514" s="1019"/>
      <c r="H2514" s="1019"/>
      <c r="I2514" s="1019"/>
      <c r="J2514" s="1019"/>
      <c r="K2514" s="1019"/>
      <c r="L2514" s="1140"/>
    </row>
    <row r="2515" spans="1:12" x14ac:dyDescent="0.35">
      <c r="A2515" s="1019"/>
      <c r="B2515" s="1019"/>
      <c r="C2515" s="1019"/>
      <c r="D2515" s="1019"/>
      <c r="E2515" s="1019"/>
      <c r="F2515" s="1019"/>
      <c r="G2515" s="1019"/>
      <c r="H2515" s="1019"/>
      <c r="I2515" s="1019"/>
      <c r="J2515" s="1019"/>
      <c r="K2515" s="1019"/>
      <c r="L2515" s="1140"/>
    </row>
    <row r="2516" spans="1:12" x14ac:dyDescent="0.35">
      <c r="A2516" s="1019"/>
      <c r="B2516" s="1019"/>
      <c r="C2516" s="1019"/>
      <c r="D2516" s="1019"/>
      <c r="E2516" s="1019"/>
      <c r="F2516" s="1019"/>
      <c r="G2516" s="1019"/>
      <c r="H2516" s="1019"/>
      <c r="I2516" s="1019"/>
      <c r="J2516" s="1019"/>
      <c r="K2516" s="1019"/>
      <c r="L2516" s="1140"/>
    </row>
    <row r="2517" spans="1:12" x14ac:dyDescent="0.35">
      <c r="A2517" s="1019"/>
      <c r="B2517" s="1019"/>
      <c r="C2517" s="1019"/>
      <c r="D2517" s="1019"/>
      <c r="E2517" s="1019"/>
      <c r="F2517" s="1019"/>
      <c r="G2517" s="1019"/>
      <c r="H2517" s="1019"/>
      <c r="I2517" s="1019"/>
      <c r="J2517" s="1019"/>
      <c r="K2517" s="1019"/>
      <c r="L2517" s="1140"/>
    </row>
    <row r="2518" spans="1:12" x14ac:dyDescent="0.35">
      <c r="A2518" s="1019"/>
      <c r="B2518" s="1019"/>
      <c r="C2518" s="1019"/>
      <c r="D2518" s="1019"/>
      <c r="E2518" s="1019"/>
      <c r="F2518" s="1019"/>
      <c r="G2518" s="1019"/>
      <c r="H2518" s="1019"/>
      <c r="I2518" s="1019"/>
      <c r="J2518" s="1019"/>
      <c r="K2518" s="1019"/>
      <c r="L2518" s="1140"/>
    </row>
    <row r="2519" spans="1:12" x14ac:dyDescent="0.35">
      <c r="A2519" s="1019"/>
      <c r="B2519" s="1019"/>
      <c r="C2519" s="1019"/>
      <c r="D2519" s="1019"/>
      <c r="E2519" s="1019"/>
      <c r="F2519" s="1019"/>
      <c r="G2519" s="1019"/>
      <c r="H2519" s="1019"/>
      <c r="I2519" s="1019"/>
      <c r="J2519" s="1019"/>
      <c r="K2519" s="1019"/>
      <c r="L2519" s="1140"/>
    </row>
    <row r="2520" spans="1:12" x14ac:dyDescent="0.35">
      <c r="A2520" s="1019"/>
      <c r="B2520" s="1019"/>
      <c r="C2520" s="1019"/>
      <c r="D2520" s="1019"/>
      <c r="E2520" s="1019"/>
      <c r="F2520" s="1019"/>
      <c r="G2520" s="1019"/>
      <c r="H2520" s="1019"/>
      <c r="I2520" s="1019"/>
      <c r="J2520" s="1019"/>
      <c r="K2520" s="1019"/>
      <c r="L2520" s="1140"/>
    </row>
    <row r="2521" spans="1:12" x14ac:dyDescent="0.35">
      <c r="A2521" s="1019"/>
      <c r="B2521" s="1019"/>
      <c r="C2521" s="1019"/>
      <c r="D2521" s="1019"/>
      <c r="E2521" s="1019"/>
      <c r="F2521" s="1019"/>
      <c r="G2521" s="1019"/>
      <c r="H2521" s="1019"/>
      <c r="I2521" s="1019"/>
      <c r="J2521" s="1019"/>
      <c r="K2521" s="1019"/>
      <c r="L2521" s="1140"/>
    </row>
    <row r="2522" spans="1:12" x14ac:dyDescent="0.35">
      <c r="A2522" s="1019"/>
      <c r="B2522" s="1019"/>
      <c r="C2522" s="1019"/>
      <c r="D2522" s="1019"/>
      <c r="E2522" s="1019"/>
      <c r="F2522" s="1019"/>
      <c r="G2522" s="1019"/>
      <c r="H2522" s="1019"/>
      <c r="I2522" s="1019"/>
      <c r="J2522" s="1019"/>
      <c r="K2522" s="1019"/>
      <c r="L2522" s="1140"/>
    </row>
    <row r="2523" spans="1:12" x14ac:dyDescent="0.35">
      <c r="A2523" s="1019"/>
      <c r="B2523" s="1019"/>
      <c r="C2523" s="1019"/>
      <c r="D2523" s="1019"/>
      <c r="E2523" s="1019"/>
      <c r="F2523" s="1019"/>
      <c r="G2523" s="1019"/>
      <c r="H2523" s="1019"/>
      <c r="I2523" s="1019"/>
      <c r="J2523" s="1019"/>
      <c r="K2523" s="1019"/>
      <c r="L2523" s="1140"/>
    </row>
    <row r="2524" spans="1:12" x14ac:dyDescent="0.35">
      <c r="A2524" s="1019"/>
      <c r="B2524" s="1019"/>
      <c r="C2524" s="1019"/>
      <c r="D2524" s="1019"/>
      <c r="E2524" s="1019"/>
      <c r="F2524" s="1019"/>
      <c r="G2524" s="1019"/>
      <c r="H2524" s="1019"/>
      <c r="I2524" s="1019"/>
      <c r="J2524" s="1019"/>
      <c r="K2524" s="1019"/>
      <c r="L2524" s="1140"/>
    </row>
    <row r="2525" spans="1:12" x14ac:dyDescent="0.35">
      <c r="A2525" s="1019"/>
      <c r="B2525" s="1019"/>
      <c r="C2525" s="1019"/>
      <c r="D2525" s="1019"/>
      <c r="E2525" s="1019"/>
      <c r="F2525" s="1019"/>
      <c r="G2525" s="1019"/>
      <c r="H2525" s="1019"/>
      <c r="I2525" s="1019"/>
      <c r="J2525" s="1019"/>
      <c r="K2525" s="1019"/>
      <c r="L2525" s="1140"/>
    </row>
    <row r="2526" spans="1:12" x14ac:dyDescent="0.35">
      <c r="A2526" s="1019"/>
      <c r="B2526" s="1019"/>
      <c r="C2526" s="1019"/>
      <c r="D2526" s="1019"/>
      <c r="E2526" s="1019"/>
      <c r="F2526" s="1019"/>
      <c r="G2526" s="1019"/>
      <c r="H2526" s="1019"/>
      <c r="I2526" s="1019"/>
      <c r="J2526" s="1019"/>
      <c r="K2526" s="1019"/>
      <c r="L2526" s="1140"/>
    </row>
    <row r="2527" spans="1:12" x14ac:dyDescent="0.35">
      <c r="A2527" s="1019"/>
      <c r="B2527" s="1019"/>
      <c r="C2527" s="1019"/>
      <c r="D2527" s="1019"/>
      <c r="E2527" s="1019"/>
      <c r="F2527" s="1019"/>
      <c r="G2527" s="1019"/>
      <c r="H2527" s="1019"/>
      <c r="I2527" s="1019"/>
      <c r="J2527" s="1019"/>
      <c r="K2527" s="1019"/>
      <c r="L2527" s="1140"/>
    </row>
    <row r="2528" spans="1:12" x14ac:dyDescent="0.35">
      <c r="A2528" s="1019"/>
      <c r="B2528" s="1019"/>
      <c r="C2528" s="1019"/>
      <c r="D2528" s="1019"/>
      <c r="E2528" s="1019"/>
      <c r="F2528" s="1019"/>
      <c r="G2528" s="1019"/>
      <c r="H2528" s="1019"/>
      <c r="I2528" s="1019"/>
      <c r="J2528" s="1019"/>
      <c r="K2528" s="1019"/>
      <c r="L2528" s="1140"/>
    </row>
    <row r="2529" spans="1:12" x14ac:dyDescent="0.35">
      <c r="A2529" s="1019"/>
      <c r="B2529" s="1019"/>
      <c r="C2529" s="1019"/>
      <c r="D2529" s="1019"/>
      <c r="E2529" s="1019"/>
      <c r="F2529" s="1019"/>
      <c r="G2529" s="1019"/>
      <c r="H2529" s="1019"/>
      <c r="I2529" s="1019"/>
      <c r="J2529" s="1019"/>
      <c r="K2529" s="1019"/>
      <c r="L2529" s="1140"/>
    </row>
    <row r="2530" spans="1:12" x14ac:dyDescent="0.35">
      <c r="A2530" s="1019"/>
      <c r="B2530" s="1019"/>
      <c r="C2530" s="1019"/>
      <c r="D2530" s="1019"/>
      <c r="E2530" s="1019"/>
      <c r="F2530" s="1019"/>
      <c r="G2530" s="1019"/>
      <c r="H2530" s="1019"/>
      <c r="I2530" s="1019"/>
      <c r="J2530" s="1019"/>
      <c r="K2530" s="1019"/>
      <c r="L2530" s="1140"/>
    </row>
    <row r="2531" spans="1:12" x14ac:dyDescent="0.35">
      <c r="A2531" s="1019"/>
      <c r="B2531" s="1019"/>
      <c r="C2531" s="1019"/>
      <c r="D2531" s="1019"/>
      <c r="E2531" s="1019"/>
      <c r="F2531" s="1019"/>
      <c r="G2531" s="1019"/>
      <c r="H2531" s="1019"/>
      <c r="I2531" s="1019"/>
      <c r="J2531" s="1019"/>
      <c r="K2531" s="1019"/>
      <c r="L2531" s="1140"/>
    </row>
    <row r="2532" spans="1:12" x14ac:dyDescent="0.35">
      <c r="A2532" s="1019"/>
      <c r="B2532" s="1019"/>
      <c r="C2532" s="1019"/>
      <c r="D2532" s="1019"/>
      <c r="E2532" s="1019"/>
      <c r="F2532" s="1019"/>
      <c r="G2532" s="1019"/>
      <c r="H2532" s="1019"/>
      <c r="I2532" s="1019"/>
      <c r="J2532" s="1019"/>
      <c r="K2532" s="1019"/>
      <c r="L2532" s="1140"/>
    </row>
    <row r="2533" spans="1:12" x14ac:dyDescent="0.35">
      <c r="A2533" s="1019"/>
      <c r="B2533" s="1019"/>
      <c r="C2533" s="1019"/>
      <c r="D2533" s="1019"/>
      <c r="E2533" s="1019"/>
      <c r="F2533" s="1019"/>
      <c r="G2533" s="1019"/>
      <c r="H2533" s="1019"/>
      <c r="I2533" s="1019"/>
      <c r="J2533" s="1019"/>
      <c r="K2533" s="1019"/>
      <c r="L2533" s="1140"/>
    </row>
    <row r="2534" spans="1:12" x14ac:dyDescent="0.35">
      <c r="A2534" s="1019"/>
      <c r="B2534" s="1019"/>
      <c r="C2534" s="1019"/>
      <c r="D2534" s="1019"/>
      <c r="E2534" s="1019"/>
      <c r="F2534" s="1019"/>
      <c r="G2534" s="1019"/>
      <c r="H2534" s="1019"/>
      <c r="I2534" s="1019"/>
      <c r="J2534" s="1019"/>
      <c r="K2534" s="1019"/>
      <c r="L2534" s="1140"/>
    </row>
    <row r="2535" spans="1:12" x14ac:dyDescent="0.35">
      <c r="A2535" s="1019"/>
      <c r="B2535" s="1019"/>
      <c r="C2535" s="1019"/>
      <c r="D2535" s="1019"/>
      <c r="E2535" s="1019"/>
      <c r="F2535" s="1019"/>
      <c r="G2535" s="1019"/>
      <c r="H2535" s="1019"/>
      <c r="I2535" s="1019"/>
      <c r="J2535" s="1019"/>
      <c r="K2535" s="1019"/>
      <c r="L2535" s="1140"/>
    </row>
    <row r="2536" spans="1:12" x14ac:dyDescent="0.35">
      <c r="A2536" s="1019"/>
      <c r="B2536" s="1019"/>
      <c r="C2536" s="1019"/>
      <c r="D2536" s="1019"/>
      <c r="E2536" s="1019"/>
      <c r="F2536" s="1019"/>
      <c r="G2536" s="1019"/>
      <c r="H2536" s="1019"/>
      <c r="I2536" s="1019"/>
      <c r="J2536" s="1019"/>
      <c r="K2536" s="1019"/>
      <c r="L2536" s="1140"/>
    </row>
    <row r="2537" spans="1:12" x14ac:dyDescent="0.35">
      <c r="A2537" s="1019"/>
      <c r="B2537" s="1019"/>
      <c r="C2537" s="1019"/>
      <c r="D2537" s="1019"/>
      <c r="E2537" s="1019"/>
      <c r="F2537" s="1019"/>
      <c r="G2537" s="1019"/>
      <c r="H2537" s="1019"/>
      <c r="I2537" s="1019"/>
      <c r="J2537" s="1019"/>
      <c r="K2537" s="1019"/>
      <c r="L2537" s="1140"/>
    </row>
    <row r="2538" spans="1:12" x14ac:dyDescent="0.35">
      <c r="A2538" s="1019"/>
      <c r="B2538" s="1019"/>
      <c r="C2538" s="1019"/>
      <c r="D2538" s="1019"/>
      <c r="E2538" s="1019"/>
      <c r="F2538" s="1019"/>
      <c r="G2538" s="1019"/>
      <c r="H2538" s="1019"/>
      <c r="I2538" s="1019"/>
      <c r="J2538" s="1019"/>
      <c r="K2538" s="1019"/>
      <c r="L2538" s="1140"/>
    </row>
    <row r="2539" spans="1:12" x14ac:dyDescent="0.35">
      <c r="A2539" s="1019"/>
      <c r="B2539" s="1019"/>
      <c r="C2539" s="1019"/>
      <c r="D2539" s="1019"/>
      <c r="E2539" s="1019"/>
      <c r="F2539" s="1019"/>
      <c r="G2539" s="1019"/>
      <c r="H2539" s="1019"/>
      <c r="I2539" s="1019"/>
      <c r="J2539" s="1019"/>
      <c r="K2539" s="1019"/>
      <c r="L2539" s="1140"/>
    </row>
    <row r="2540" spans="1:12" x14ac:dyDescent="0.35">
      <c r="A2540" s="1019"/>
      <c r="B2540" s="1019"/>
      <c r="C2540" s="1019"/>
      <c r="D2540" s="1019"/>
      <c r="E2540" s="1019"/>
      <c r="F2540" s="1019"/>
      <c r="G2540" s="1019"/>
      <c r="H2540" s="1019"/>
      <c r="I2540" s="1019"/>
      <c r="J2540" s="1019"/>
      <c r="K2540" s="1019"/>
      <c r="L2540" s="1140"/>
    </row>
    <row r="2541" spans="1:12" x14ac:dyDescent="0.35">
      <c r="A2541" s="1019"/>
      <c r="B2541" s="1019"/>
      <c r="C2541" s="1019"/>
      <c r="D2541" s="1019"/>
      <c r="E2541" s="1019"/>
      <c r="F2541" s="1019"/>
      <c r="G2541" s="1019"/>
      <c r="H2541" s="1019"/>
      <c r="I2541" s="1019"/>
      <c r="J2541" s="1019"/>
      <c r="K2541" s="1019"/>
      <c r="L2541" s="1140"/>
    </row>
    <row r="2542" spans="1:12" x14ac:dyDescent="0.35">
      <c r="A2542" s="1019"/>
      <c r="B2542" s="1019"/>
      <c r="C2542" s="1019"/>
      <c r="D2542" s="1019"/>
      <c r="E2542" s="1019"/>
      <c r="F2542" s="1019"/>
      <c r="G2542" s="1019"/>
      <c r="H2542" s="1019"/>
      <c r="I2542" s="1019"/>
      <c r="J2542" s="1019"/>
      <c r="K2542" s="1019"/>
      <c r="L2542" s="1140"/>
    </row>
    <row r="2543" spans="1:12" x14ac:dyDescent="0.35">
      <c r="A2543" s="1019"/>
      <c r="B2543" s="1019"/>
      <c r="C2543" s="1019"/>
      <c r="D2543" s="1019"/>
      <c r="E2543" s="1019"/>
      <c r="F2543" s="1019"/>
      <c r="G2543" s="1019"/>
      <c r="H2543" s="1019"/>
      <c r="I2543" s="1019"/>
      <c r="J2543" s="1019"/>
      <c r="K2543" s="1019"/>
      <c r="L2543" s="1140"/>
    </row>
    <row r="2544" spans="1:12" x14ac:dyDescent="0.35">
      <c r="A2544" s="1019"/>
      <c r="B2544" s="1019"/>
      <c r="C2544" s="1019"/>
      <c r="D2544" s="1019"/>
      <c r="E2544" s="1019"/>
      <c r="F2544" s="1019"/>
      <c r="G2544" s="1019"/>
      <c r="H2544" s="1019"/>
      <c r="I2544" s="1019"/>
      <c r="J2544" s="1019"/>
      <c r="K2544" s="1019"/>
      <c r="L2544" s="1140"/>
    </row>
    <row r="2545" spans="1:12" x14ac:dyDescent="0.35">
      <c r="A2545" s="1019"/>
      <c r="B2545" s="1019"/>
      <c r="C2545" s="1019"/>
      <c r="D2545" s="1019"/>
      <c r="E2545" s="1019"/>
      <c r="F2545" s="1019"/>
      <c r="G2545" s="1019"/>
      <c r="H2545" s="1019"/>
      <c r="I2545" s="1019"/>
      <c r="J2545" s="1019"/>
      <c r="K2545" s="1019"/>
      <c r="L2545" s="1140"/>
    </row>
    <row r="2546" spans="1:12" x14ac:dyDescent="0.35">
      <c r="A2546" s="1019"/>
      <c r="B2546" s="1019"/>
      <c r="C2546" s="1019"/>
      <c r="D2546" s="1019"/>
      <c r="E2546" s="1019"/>
      <c r="F2546" s="1019"/>
      <c r="G2546" s="1019"/>
      <c r="H2546" s="1019"/>
      <c r="I2546" s="1019"/>
      <c r="J2546" s="1019"/>
      <c r="K2546" s="1019"/>
      <c r="L2546" s="1140"/>
    </row>
    <row r="2547" spans="1:12" x14ac:dyDescent="0.35">
      <c r="A2547" s="1019"/>
      <c r="B2547" s="1019"/>
      <c r="C2547" s="1019"/>
      <c r="D2547" s="1019"/>
      <c r="E2547" s="1019"/>
      <c r="F2547" s="1019"/>
      <c r="G2547" s="1019"/>
      <c r="H2547" s="1019"/>
      <c r="I2547" s="1019"/>
      <c r="J2547" s="1019"/>
      <c r="K2547" s="1019"/>
      <c r="L2547" s="1140"/>
    </row>
    <row r="2548" spans="1:12" x14ac:dyDescent="0.35">
      <c r="A2548" s="1019"/>
      <c r="B2548" s="1019"/>
      <c r="C2548" s="1019"/>
      <c r="D2548" s="1019"/>
      <c r="E2548" s="1019"/>
      <c r="F2548" s="1019"/>
      <c r="G2548" s="1019"/>
      <c r="H2548" s="1019"/>
      <c r="I2548" s="1019"/>
      <c r="J2548" s="1019"/>
      <c r="K2548" s="1019"/>
      <c r="L2548" s="1140"/>
    </row>
    <row r="2549" spans="1:12" x14ac:dyDescent="0.35">
      <c r="A2549" s="1019"/>
      <c r="B2549" s="1019"/>
      <c r="C2549" s="1019"/>
      <c r="D2549" s="1019"/>
      <c r="E2549" s="1019"/>
      <c r="F2549" s="1019"/>
      <c r="G2549" s="1019"/>
      <c r="H2549" s="1019"/>
      <c r="I2549" s="1019"/>
      <c r="J2549" s="1019"/>
      <c r="K2549" s="1019"/>
      <c r="L2549" s="1140"/>
    </row>
    <row r="2550" spans="1:12" x14ac:dyDescent="0.35">
      <c r="A2550" s="1019"/>
      <c r="B2550" s="1019"/>
      <c r="C2550" s="1019"/>
      <c r="D2550" s="1019"/>
      <c r="E2550" s="1019"/>
      <c r="F2550" s="1019"/>
      <c r="G2550" s="1019"/>
      <c r="H2550" s="1019"/>
      <c r="I2550" s="1019"/>
      <c r="J2550" s="1019"/>
      <c r="K2550" s="1019"/>
      <c r="L2550" s="1140"/>
    </row>
    <row r="2551" spans="1:12" x14ac:dyDescent="0.35">
      <c r="A2551" s="1019"/>
      <c r="B2551" s="1019"/>
      <c r="C2551" s="1019"/>
      <c r="D2551" s="1019"/>
      <c r="E2551" s="1019"/>
      <c r="F2551" s="1019"/>
      <c r="G2551" s="1019"/>
      <c r="H2551" s="1019"/>
      <c r="I2551" s="1019"/>
      <c r="J2551" s="1019"/>
      <c r="K2551" s="1019"/>
      <c r="L2551" s="1140"/>
    </row>
    <row r="2552" spans="1:12" x14ac:dyDescent="0.35">
      <c r="A2552" s="1019"/>
      <c r="B2552" s="1019"/>
      <c r="C2552" s="1019"/>
      <c r="D2552" s="1019"/>
      <c r="E2552" s="1019"/>
      <c r="F2552" s="1019"/>
      <c r="G2552" s="1019"/>
      <c r="H2552" s="1019"/>
      <c r="I2552" s="1019"/>
      <c r="J2552" s="1019"/>
      <c r="K2552" s="1019"/>
      <c r="L2552" s="1140"/>
    </row>
    <row r="2553" spans="1:12" x14ac:dyDescent="0.35">
      <c r="A2553" s="1019"/>
      <c r="B2553" s="1019"/>
      <c r="C2553" s="1019"/>
      <c r="D2553" s="1019"/>
      <c r="E2553" s="1019"/>
      <c r="F2553" s="1019"/>
      <c r="G2553" s="1019"/>
      <c r="H2553" s="1019"/>
      <c r="I2553" s="1019"/>
      <c r="J2553" s="1019"/>
      <c r="K2553" s="1019"/>
      <c r="L2553" s="1140"/>
    </row>
    <row r="2554" spans="1:12" x14ac:dyDescent="0.35">
      <c r="A2554" s="1019"/>
      <c r="B2554" s="1019"/>
      <c r="C2554" s="1019"/>
      <c r="D2554" s="1019"/>
      <c r="E2554" s="1019"/>
      <c r="F2554" s="1019"/>
      <c r="G2554" s="1019"/>
      <c r="H2554" s="1019"/>
      <c r="I2554" s="1019"/>
      <c r="J2554" s="1019"/>
      <c r="K2554" s="1019"/>
      <c r="L2554" s="1140"/>
    </row>
    <row r="2555" spans="1:12" x14ac:dyDescent="0.35">
      <c r="A2555" s="1019"/>
      <c r="B2555" s="1019"/>
      <c r="C2555" s="1019"/>
      <c r="D2555" s="1019"/>
      <c r="E2555" s="1019"/>
      <c r="F2555" s="1019"/>
      <c r="G2555" s="1019"/>
      <c r="H2555" s="1019"/>
      <c r="I2555" s="1019"/>
      <c r="J2555" s="1019"/>
      <c r="K2555" s="1019"/>
      <c r="L2555" s="1140"/>
    </row>
    <row r="2556" spans="1:12" x14ac:dyDescent="0.35">
      <c r="A2556" s="1019"/>
      <c r="B2556" s="1019"/>
      <c r="C2556" s="1019"/>
      <c r="D2556" s="1019"/>
      <c r="E2556" s="1019"/>
      <c r="F2556" s="1019"/>
      <c r="G2556" s="1019"/>
      <c r="H2556" s="1019"/>
      <c r="I2556" s="1019"/>
      <c r="J2556" s="1019"/>
      <c r="K2556" s="1019"/>
      <c r="L2556" s="1140"/>
    </row>
    <row r="2557" spans="1:12" x14ac:dyDescent="0.35">
      <c r="A2557" s="1019"/>
      <c r="B2557" s="1019"/>
      <c r="C2557" s="1019"/>
      <c r="D2557" s="1019"/>
      <c r="E2557" s="1019"/>
      <c r="F2557" s="1019"/>
      <c r="G2557" s="1019"/>
      <c r="H2557" s="1019"/>
      <c r="I2557" s="1019"/>
      <c r="J2557" s="1019"/>
      <c r="K2557" s="1019"/>
      <c r="L2557" s="1140"/>
    </row>
    <row r="2558" spans="1:12" x14ac:dyDescent="0.35">
      <c r="A2558" s="1019"/>
      <c r="B2558" s="1019"/>
      <c r="C2558" s="1019"/>
      <c r="D2558" s="1019"/>
      <c r="E2558" s="1019"/>
      <c r="F2558" s="1019"/>
      <c r="G2558" s="1019"/>
      <c r="H2558" s="1019"/>
      <c r="I2558" s="1019"/>
      <c r="J2558" s="1019"/>
      <c r="K2558" s="1019"/>
      <c r="L2558" s="1140"/>
    </row>
    <row r="2559" spans="1:12" x14ac:dyDescent="0.35">
      <c r="A2559" s="1019"/>
      <c r="B2559" s="1019"/>
      <c r="C2559" s="1019"/>
      <c r="D2559" s="1019"/>
      <c r="E2559" s="1019"/>
      <c r="F2559" s="1019"/>
      <c r="G2559" s="1019"/>
      <c r="H2559" s="1019"/>
      <c r="I2559" s="1019"/>
      <c r="J2559" s="1019"/>
      <c r="K2559" s="1019"/>
      <c r="L2559" s="1140"/>
    </row>
    <row r="2560" spans="1:12" x14ac:dyDescent="0.35">
      <c r="A2560" s="1019"/>
      <c r="B2560" s="1019"/>
      <c r="C2560" s="1019"/>
      <c r="D2560" s="1019"/>
      <c r="E2560" s="1019"/>
      <c r="F2560" s="1019"/>
      <c r="G2560" s="1019"/>
      <c r="H2560" s="1019"/>
      <c r="I2560" s="1019"/>
      <c r="J2560" s="1019"/>
      <c r="K2560" s="1019"/>
      <c r="L2560" s="1140"/>
    </row>
    <row r="2561" spans="1:12" x14ac:dyDescent="0.35">
      <c r="A2561" s="1019"/>
      <c r="B2561" s="1019"/>
      <c r="C2561" s="1019"/>
      <c r="D2561" s="1019"/>
      <c r="E2561" s="1019"/>
      <c r="F2561" s="1019"/>
      <c r="G2561" s="1019"/>
      <c r="H2561" s="1019"/>
      <c r="I2561" s="1019"/>
      <c r="J2561" s="1019"/>
      <c r="K2561" s="1019"/>
      <c r="L2561" s="1140"/>
    </row>
    <row r="2562" spans="1:12" x14ac:dyDescent="0.35">
      <c r="A2562" s="1019"/>
      <c r="B2562" s="1019"/>
      <c r="C2562" s="1019"/>
      <c r="D2562" s="1019"/>
      <c r="E2562" s="1019"/>
      <c r="F2562" s="1019"/>
      <c r="G2562" s="1019"/>
      <c r="H2562" s="1019"/>
      <c r="I2562" s="1019"/>
      <c r="J2562" s="1019"/>
      <c r="K2562" s="1019"/>
      <c r="L2562" s="1140"/>
    </row>
    <row r="2563" spans="1:12" x14ac:dyDescent="0.35">
      <c r="A2563" s="1019"/>
      <c r="B2563" s="1019"/>
      <c r="C2563" s="1019"/>
      <c r="D2563" s="1019"/>
      <c r="E2563" s="1019"/>
      <c r="F2563" s="1019"/>
      <c r="G2563" s="1019"/>
      <c r="H2563" s="1019"/>
      <c r="I2563" s="1019"/>
      <c r="J2563" s="1019"/>
      <c r="K2563" s="1019"/>
      <c r="L2563" s="1140"/>
    </row>
    <row r="2564" spans="1:12" x14ac:dyDescent="0.35">
      <c r="A2564" s="1019"/>
      <c r="B2564" s="1019"/>
      <c r="C2564" s="1019"/>
      <c r="D2564" s="1019"/>
      <c r="E2564" s="1019"/>
      <c r="F2564" s="1019"/>
      <c r="G2564" s="1019"/>
      <c r="H2564" s="1019"/>
      <c r="I2564" s="1019"/>
      <c r="J2564" s="1019"/>
      <c r="K2564" s="1019"/>
      <c r="L2564" s="1140"/>
    </row>
    <row r="2565" spans="1:12" x14ac:dyDescent="0.35">
      <c r="A2565" s="1019"/>
      <c r="B2565" s="1019"/>
      <c r="C2565" s="1019"/>
      <c r="D2565" s="1019"/>
      <c r="E2565" s="1019"/>
      <c r="F2565" s="1019"/>
      <c r="G2565" s="1019"/>
      <c r="H2565" s="1019"/>
      <c r="I2565" s="1019"/>
      <c r="J2565" s="1019"/>
      <c r="K2565" s="1019"/>
      <c r="L2565" s="1140"/>
    </row>
    <row r="2566" spans="1:12" x14ac:dyDescent="0.35">
      <c r="A2566" s="1019"/>
      <c r="B2566" s="1019"/>
      <c r="C2566" s="1019"/>
      <c r="D2566" s="1019"/>
      <c r="E2566" s="1019"/>
      <c r="F2566" s="1019"/>
      <c r="G2566" s="1019"/>
      <c r="H2566" s="1019"/>
      <c r="I2566" s="1019"/>
      <c r="J2566" s="1019"/>
      <c r="K2566" s="1019"/>
      <c r="L2566" s="1140"/>
    </row>
    <row r="2567" spans="1:12" x14ac:dyDescent="0.35">
      <c r="A2567" s="1019"/>
      <c r="B2567" s="1019"/>
      <c r="C2567" s="1019"/>
      <c r="D2567" s="1019"/>
      <c r="E2567" s="1019"/>
      <c r="F2567" s="1019"/>
      <c r="G2567" s="1019"/>
      <c r="H2567" s="1019"/>
      <c r="I2567" s="1019"/>
      <c r="J2567" s="1019"/>
      <c r="K2567" s="1019"/>
      <c r="L2567" s="1140"/>
    </row>
    <row r="2568" spans="1:12" x14ac:dyDescent="0.35">
      <c r="A2568" s="1019"/>
      <c r="B2568" s="1019"/>
      <c r="C2568" s="1019"/>
      <c r="D2568" s="1019"/>
      <c r="E2568" s="1019"/>
      <c r="F2568" s="1019"/>
      <c r="G2568" s="1019"/>
      <c r="H2568" s="1019"/>
      <c r="I2568" s="1019"/>
      <c r="J2568" s="1019"/>
      <c r="K2568" s="1019"/>
      <c r="L2568" s="1140"/>
    </row>
    <row r="2569" spans="1:12" x14ac:dyDescent="0.35">
      <c r="A2569" s="1019"/>
      <c r="B2569" s="1019"/>
      <c r="C2569" s="1019"/>
      <c r="D2569" s="1019"/>
      <c r="E2569" s="1019"/>
      <c r="F2569" s="1019"/>
      <c r="G2569" s="1019"/>
      <c r="H2569" s="1019"/>
      <c r="I2569" s="1019"/>
      <c r="J2569" s="1019"/>
      <c r="K2569" s="1019"/>
      <c r="L2569" s="1140"/>
    </row>
    <row r="2570" spans="1:12" x14ac:dyDescent="0.35">
      <c r="A2570" s="1019"/>
      <c r="B2570" s="1019"/>
      <c r="C2570" s="1019"/>
      <c r="D2570" s="1019"/>
      <c r="E2570" s="1019"/>
      <c r="F2570" s="1019"/>
      <c r="G2570" s="1019"/>
      <c r="H2570" s="1019"/>
      <c r="I2570" s="1019"/>
      <c r="J2570" s="1019"/>
      <c r="K2570" s="1019"/>
      <c r="L2570" s="1140"/>
    </row>
    <row r="2571" spans="1:12" x14ac:dyDescent="0.35">
      <c r="A2571" s="1019"/>
      <c r="B2571" s="1019"/>
      <c r="C2571" s="1019"/>
      <c r="D2571" s="1019"/>
      <c r="E2571" s="1019"/>
      <c r="F2571" s="1019"/>
      <c r="G2571" s="1019"/>
      <c r="H2571" s="1019"/>
      <c r="I2571" s="1019"/>
      <c r="J2571" s="1019"/>
      <c r="K2571" s="1019"/>
      <c r="L2571" s="1140"/>
    </row>
    <row r="2572" spans="1:12" x14ac:dyDescent="0.35">
      <c r="A2572" s="1019"/>
      <c r="B2572" s="1019"/>
      <c r="C2572" s="1019"/>
      <c r="D2572" s="1019"/>
      <c r="E2572" s="1019"/>
      <c r="F2572" s="1019"/>
      <c r="G2572" s="1019"/>
      <c r="H2572" s="1019"/>
      <c r="I2572" s="1019"/>
      <c r="J2572" s="1019"/>
      <c r="K2572" s="1019"/>
      <c r="L2572" s="1140"/>
    </row>
    <row r="2576" spans="1:12" x14ac:dyDescent="0.35">
      <c r="A2576" s="1019"/>
      <c r="B2576" s="1019"/>
      <c r="C2576" s="1019"/>
      <c r="D2576" s="1019"/>
      <c r="E2576" s="1019"/>
      <c r="F2576" s="1019"/>
      <c r="G2576" s="1019"/>
      <c r="H2576" s="1019"/>
      <c r="I2576" s="1019"/>
      <c r="J2576" s="1019"/>
      <c r="K2576" s="1019"/>
      <c r="L2576" s="1019"/>
    </row>
    <row r="2577" spans="1:12" x14ac:dyDescent="0.35">
      <c r="A2577" s="1019"/>
      <c r="B2577" s="1019"/>
      <c r="C2577" s="1019"/>
      <c r="D2577" s="1019"/>
      <c r="E2577" s="1019"/>
      <c r="F2577" s="1019"/>
      <c r="G2577" s="1019"/>
      <c r="H2577" s="1019"/>
      <c r="I2577" s="1019"/>
      <c r="J2577" s="1019"/>
      <c r="K2577" s="1019"/>
      <c r="L2577" s="1019"/>
    </row>
    <row r="2578" spans="1:12" x14ac:dyDescent="0.35">
      <c r="A2578" s="1019"/>
      <c r="B2578" s="1019"/>
      <c r="C2578" s="1019"/>
      <c r="D2578" s="1019"/>
      <c r="E2578" s="1019"/>
      <c r="F2578" s="1019"/>
      <c r="G2578" s="1019"/>
      <c r="H2578" s="1019"/>
      <c r="I2578" s="1019"/>
      <c r="J2578" s="1019"/>
      <c r="K2578" s="1019"/>
      <c r="L2578" s="1019"/>
    </row>
    <row r="2579" spans="1:12" x14ac:dyDescent="0.35">
      <c r="A2579" s="1019"/>
      <c r="B2579" s="1019"/>
      <c r="C2579" s="1019"/>
      <c r="D2579" s="1019"/>
      <c r="E2579" s="1019"/>
      <c r="F2579" s="1019"/>
      <c r="G2579" s="1019"/>
      <c r="H2579" s="1019"/>
      <c r="I2579" s="1019"/>
      <c r="J2579" s="1019"/>
      <c r="K2579" s="1019"/>
      <c r="L2579" s="1019"/>
    </row>
    <row r="2580" spans="1:12" x14ac:dyDescent="0.35">
      <c r="A2580" s="1019"/>
      <c r="B2580" s="1019"/>
      <c r="C2580" s="1019"/>
      <c r="D2580" s="1019"/>
      <c r="E2580" s="1019"/>
      <c r="F2580" s="1019"/>
      <c r="G2580" s="1019"/>
      <c r="H2580" s="1019"/>
      <c r="I2580" s="1019"/>
      <c r="J2580" s="1019"/>
      <c r="K2580" s="1019"/>
      <c r="L2580" s="1019"/>
    </row>
    <row r="2581" spans="1:12" x14ac:dyDescent="0.35">
      <c r="A2581" s="1019"/>
      <c r="B2581" s="1019"/>
      <c r="C2581" s="1019"/>
      <c r="D2581" s="1019"/>
      <c r="E2581" s="1019"/>
      <c r="F2581" s="1019"/>
      <c r="G2581" s="1019"/>
      <c r="H2581" s="1019"/>
      <c r="I2581" s="1019"/>
      <c r="J2581" s="1019"/>
      <c r="K2581" s="1019"/>
      <c r="L2581" s="1019"/>
    </row>
    <row r="2582" spans="1:12" x14ac:dyDescent="0.35">
      <c r="A2582" s="1019"/>
      <c r="B2582" s="1019"/>
      <c r="C2582" s="1019"/>
      <c r="D2582" s="1019"/>
      <c r="E2582" s="1019"/>
      <c r="F2582" s="1019"/>
      <c r="G2582" s="1019"/>
      <c r="H2582" s="1019"/>
      <c r="I2582" s="1019"/>
      <c r="J2582" s="1019"/>
      <c r="K2582" s="1019"/>
      <c r="L2582" s="1019"/>
    </row>
    <row r="2583" spans="1:12" x14ac:dyDescent="0.35">
      <c r="A2583" s="1019"/>
      <c r="B2583" s="1019"/>
      <c r="C2583" s="1019"/>
      <c r="D2583" s="1019"/>
      <c r="E2583" s="1019"/>
      <c r="F2583" s="1019"/>
      <c r="G2583" s="1019"/>
      <c r="H2583" s="1019"/>
      <c r="I2583" s="1019"/>
      <c r="J2583" s="1019"/>
      <c r="K2583" s="1019"/>
      <c r="L2583" s="1019"/>
    </row>
    <row r="2584" spans="1:12" x14ac:dyDescent="0.35">
      <c r="A2584" s="1019"/>
      <c r="B2584" s="1019"/>
      <c r="C2584" s="1019"/>
      <c r="D2584" s="1019"/>
      <c r="E2584" s="1019"/>
      <c r="F2584" s="1019"/>
      <c r="G2584" s="1019"/>
      <c r="H2584" s="1019"/>
      <c r="I2584" s="1019"/>
      <c r="J2584" s="1019"/>
      <c r="K2584" s="1019"/>
      <c r="L2584" s="1019"/>
    </row>
    <row r="2585" spans="1:12" x14ac:dyDescent="0.35">
      <c r="A2585" s="1019"/>
      <c r="B2585" s="1019"/>
      <c r="C2585" s="1019"/>
      <c r="D2585" s="1019"/>
      <c r="E2585" s="1019"/>
      <c r="F2585" s="1019"/>
      <c r="G2585" s="1019"/>
      <c r="H2585" s="1019"/>
      <c r="I2585" s="1019"/>
      <c r="J2585" s="1019"/>
      <c r="K2585" s="1019"/>
      <c r="L2585" s="1019"/>
    </row>
    <row r="2586" spans="1:12" x14ac:dyDescent="0.35">
      <c r="A2586" s="1019"/>
      <c r="B2586" s="1019"/>
      <c r="C2586" s="1019"/>
      <c r="D2586" s="1019"/>
      <c r="E2586" s="1019"/>
      <c r="F2586" s="1019"/>
      <c r="G2586" s="1019"/>
      <c r="H2586" s="1019"/>
      <c r="I2586" s="1019"/>
      <c r="J2586" s="1019"/>
      <c r="K2586" s="1019"/>
      <c r="L2586" s="1019"/>
    </row>
    <row r="2587" spans="1:12" x14ac:dyDescent="0.35">
      <c r="A2587" s="1019"/>
      <c r="B2587" s="1019"/>
      <c r="C2587" s="1019"/>
      <c r="D2587" s="1019"/>
      <c r="E2587" s="1019"/>
      <c r="F2587" s="1019"/>
      <c r="G2587" s="1019"/>
      <c r="H2587" s="1019"/>
      <c r="I2587" s="1019"/>
      <c r="J2587" s="1019"/>
      <c r="K2587" s="1019"/>
      <c r="L2587" s="1019"/>
    </row>
    <row r="2588" spans="1:12" x14ac:dyDescent="0.35">
      <c r="A2588" s="1019"/>
      <c r="B2588" s="1019"/>
      <c r="C2588" s="1019"/>
      <c r="D2588" s="1019"/>
      <c r="E2588" s="1019"/>
      <c r="F2588" s="1019"/>
      <c r="G2588" s="1019"/>
      <c r="H2588" s="1019"/>
      <c r="I2588" s="1019"/>
      <c r="J2588" s="1019"/>
      <c r="K2588" s="1019"/>
      <c r="L2588" s="1019"/>
    </row>
    <row r="2589" spans="1:12" x14ac:dyDescent="0.35">
      <c r="A2589" s="1019"/>
      <c r="B2589" s="1019"/>
      <c r="C2589" s="1019"/>
      <c r="D2589" s="1019"/>
      <c r="E2589" s="1019"/>
      <c r="F2589" s="1019"/>
      <c r="G2589" s="1019"/>
      <c r="H2589" s="1019"/>
      <c r="I2589" s="1019"/>
      <c r="J2589" s="1019"/>
      <c r="K2589" s="1019"/>
      <c r="L2589" s="1019"/>
    </row>
    <row r="2590" spans="1:12" x14ac:dyDescent="0.35">
      <c r="A2590" s="1019"/>
      <c r="B2590" s="1019"/>
      <c r="C2590" s="1019"/>
      <c r="D2590" s="1019"/>
      <c r="E2590" s="1019"/>
      <c r="F2590" s="1019"/>
      <c r="G2590" s="1019"/>
      <c r="H2590" s="1019"/>
      <c r="I2590" s="1019"/>
      <c r="J2590" s="1019"/>
      <c r="K2590" s="1019"/>
      <c r="L2590" s="1019"/>
    </row>
    <row r="2591" spans="1:12" x14ac:dyDescent="0.35">
      <c r="A2591" s="1019"/>
      <c r="B2591" s="1019"/>
      <c r="C2591" s="1019"/>
      <c r="D2591" s="1019"/>
      <c r="E2591" s="1019"/>
      <c r="F2591" s="1019"/>
      <c r="G2591" s="1019"/>
      <c r="H2591" s="1019"/>
      <c r="I2591" s="1019"/>
      <c r="J2591" s="1019"/>
      <c r="K2591" s="1019"/>
      <c r="L2591" s="1019"/>
    </row>
    <row r="2592" spans="1:12" x14ac:dyDescent="0.35">
      <c r="A2592" s="1019"/>
      <c r="B2592" s="1019"/>
      <c r="C2592" s="1019"/>
      <c r="D2592" s="1019"/>
      <c r="E2592" s="1019"/>
      <c r="F2592" s="1019"/>
      <c r="G2592" s="1019"/>
      <c r="H2592" s="1019"/>
      <c r="I2592" s="1019"/>
      <c r="J2592" s="1019"/>
      <c r="K2592" s="1019"/>
      <c r="L2592" s="1019"/>
    </row>
    <row r="2593" spans="1:12" x14ac:dyDescent="0.35">
      <c r="A2593" s="1019"/>
      <c r="B2593" s="1019"/>
      <c r="C2593" s="1019"/>
      <c r="D2593" s="1019"/>
      <c r="E2593" s="1019"/>
      <c r="F2593" s="1019"/>
      <c r="G2593" s="1019"/>
      <c r="H2593" s="1019"/>
      <c r="I2593" s="1019"/>
      <c r="J2593" s="1019"/>
      <c r="K2593" s="1019"/>
      <c r="L2593" s="1019"/>
    </row>
    <row r="2594" spans="1:12" x14ac:dyDescent="0.35">
      <c r="A2594" s="1019"/>
      <c r="B2594" s="1019"/>
      <c r="C2594" s="1019"/>
      <c r="D2594" s="1019"/>
      <c r="E2594" s="1019"/>
      <c r="F2594" s="1019"/>
      <c r="G2594" s="1019"/>
      <c r="H2594" s="1019"/>
      <c r="I2594" s="1019"/>
      <c r="J2594" s="1019"/>
      <c r="K2594" s="1019"/>
      <c r="L2594" s="1019"/>
    </row>
    <row r="2595" spans="1:12" x14ac:dyDescent="0.35">
      <c r="A2595" s="1019"/>
      <c r="B2595" s="1019"/>
      <c r="C2595" s="1019"/>
      <c r="D2595" s="1019"/>
      <c r="E2595" s="1019"/>
      <c r="F2595" s="1019"/>
      <c r="G2595" s="1019"/>
      <c r="H2595" s="1019"/>
      <c r="I2595" s="1019"/>
      <c r="J2595" s="1019"/>
      <c r="K2595" s="1019"/>
      <c r="L2595" s="1019"/>
    </row>
    <row r="2596" spans="1:12" x14ac:dyDescent="0.35">
      <c r="A2596" s="1019"/>
      <c r="B2596" s="1019"/>
      <c r="C2596" s="1019"/>
      <c r="D2596" s="1019"/>
      <c r="E2596" s="1019"/>
      <c r="F2596" s="1019"/>
      <c r="G2596" s="1019"/>
      <c r="H2596" s="1019"/>
      <c r="I2596" s="1019"/>
      <c r="J2596" s="1019"/>
      <c r="K2596" s="1019"/>
      <c r="L2596" s="1019"/>
    </row>
    <row r="2597" spans="1:12" x14ac:dyDescent="0.35">
      <c r="A2597" s="1019"/>
      <c r="B2597" s="1019"/>
      <c r="C2597" s="1019"/>
      <c r="D2597" s="1019"/>
      <c r="E2597" s="1019"/>
      <c r="F2597" s="1019"/>
      <c r="G2597" s="1019"/>
      <c r="H2597" s="1019"/>
      <c r="I2597" s="1019"/>
      <c r="J2597" s="1019"/>
      <c r="K2597" s="1019"/>
      <c r="L2597" s="1019"/>
    </row>
    <row r="2598" spans="1:12" x14ac:dyDescent="0.35">
      <c r="A2598" s="1019"/>
      <c r="B2598" s="1019"/>
      <c r="C2598" s="1019"/>
      <c r="D2598" s="1019"/>
      <c r="E2598" s="1019"/>
      <c r="F2598" s="1019"/>
      <c r="G2598" s="1019"/>
      <c r="H2598" s="1019"/>
      <c r="I2598" s="1019"/>
      <c r="J2598" s="1019"/>
      <c r="K2598" s="1019"/>
      <c r="L2598" s="1019"/>
    </row>
    <row r="2599" spans="1:12" x14ac:dyDescent="0.35">
      <c r="A2599" s="1019"/>
      <c r="B2599" s="1019"/>
      <c r="C2599" s="1019"/>
      <c r="D2599" s="1019"/>
      <c r="E2599" s="1019"/>
      <c r="F2599" s="1019"/>
      <c r="G2599" s="1019"/>
      <c r="H2599" s="1019"/>
      <c r="I2599" s="1019"/>
      <c r="J2599" s="1019"/>
      <c r="K2599" s="1019"/>
      <c r="L2599" s="1019"/>
    </row>
    <row r="2600" spans="1:12" x14ac:dyDescent="0.35">
      <c r="A2600" s="1019"/>
      <c r="B2600" s="1019"/>
      <c r="C2600" s="1019"/>
      <c r="D2600" s="1019"/>
      <c r="E2600" s="1019"/>
      <c r="F2600" s="1019"/>
      <c r="G2600" s="1019"/>
      <c r="H2600" s="1019"/>
      <c r="I2600" s="1019"/>
      <c r="J2600" s="1019"/>
      <c r="K2600" s="1019"/>
      <c r="L2600" s="1019"/>
    </row>
    <row r="2601" spans="1:12" x14ac:dyDescent="0.35">
      <c r="A2601" s="1019"/>
      <c r="B2601" s="1019"/>
      <c r="C2601" s="1019"/>
      <c r="D2601" s="1019"/>
      <c r="E2601" s="1019"/>
      <c r="F2601" s="1019"/>
      <c r="G2601" s="1019"/>
      <c r="H2601" s="1019"/>
      <c r="I2601" s="1019"/>
      <c r="J2601" s="1019"/>
      <c r="K2601" s="1019"/>
      <c r="L2601" s="1019"/>
    </row>
    <row r="2602" spans="1:12" x14ac:dyDescent="0.35">
      <c r="A2602" s="1019"/>
      <c r="B2602" s="1019"/>
      <c r="C2602" s="1019"/>
      <c r="D2602" s="1019"/>
      <c r="E2602" s="1019"/>
      <c r="F2602" s="1019"/>
      <c r="G2602" s="1019"/>
      <c r="H2602" s="1019"/>
      <c r="I2602" s="1019"/>
      <c r="J2602" s="1019"/>
      <c r="K2602" s="1019"/>
      <c r="L2602" s="1019"/>
    </row>
    <row r="2603" spans="1:12" x14ac:dyDescent="0.35">
      <c r="A2603" s="1019"/>
      <c r="B2603" s="1019"/>
      <c r="C2603" s="1019"/>
      <c r="D2603" s="1019"/>
      <c r="E2603" s="1019"/>
      <c r="F2603" s="1019"/>
      <c r="G2603" s="1019"/>
      <c r="H2603" s="1019"/>
      <c r="I2603" s="1019"/>
      <c r="J2603" s="1019"/>
      <c r="K2603" s="1019"/>
      <c r="L2603" s="1019"/>
    </row>
    <row r="2604" spans="1:12" x14ac:dyDescent="0.35">
      <c r="A2604" s="1019"/>
      <c r="B2604" s="1019"/>
      <c r="C2604" s="1019"/>
      <c r="D2604" s="1019"/>
      <c r="E2604" s="1019"/>
      <c r="F2604" s="1019"/>
      <c r="G2604" s="1019"/>
      <c r="H2604" s="1019"/>
      <c r="I2604" s="1019"/>
      <c r="J2604" s="1019"/>
      <c r="K2604" s="1019"/>
      <c r="L2604" s="1019"/>
    </row>
    <row r="2605" spans="1:12" x14ac:dyDescent="0.35">
      <c r="A2605" s="1019"/>
      <c r="B2605" s="1019"/>
      <c r="C2605" s="1019"/>
      <c r="D2605" s="1019"/>
      <c r="E2605" s="1019"/>
      <c r="F2605" s="1019"/>
      <c r="G2605" s="1019"/>
      <c r="H2605" s="1019"/>
      <c r="I2605" s="1019"/>
      <c r="J2605" s="1019"/>
      <c r="K2605" s="1019"/>
      <c r="L2605" s="1019"/>
    </row>
    <row r="2606" spans="1:12" x14ac:dyDescent="0.35">
      <c r="A2606" s="1019"/>
      <c r="B2606" s="1019"/>
      <c r="C2606" s="1019"/>
      <c r="D2606" s="1019"/>
      <c r="E2606" s="1019"/>
      <c r="F2606" s="1019"/>
      <c r="G2606" s="1019"/>
      <c r="H2606" s="1019"/>
      <c r="I2606" s="1019"/>
      <c r="J2606" s="1019"/>
      <c r="K2606" s="1019"/>
      <c r="L2606" s="1019"/>
    </row>
    <row r="2607" spans="1:12" x14ac:dyDescent="0.35">
      <c r="A2607" s="1019"/>
      <c r="B2607" s="1019"/>
      <c r="C2607" s="1019"/>
      <c r="D2607" s="1019"/>
      <c r="E2607" s="1019"/>
      <c r="F2607" s="1019"/>
      <c r="G2607" s="1019"/>
      <c r="H2607" s="1019"/>
      <c r="I2607" s="1019"/>
      <c r="J2607" s="1019"/>
      <c r="K2607" s="1019"/>
      <c r="L2607" s="1019"/>
    </row>
    <row r="2608" spans="1:12" x14ac:dyDescent="0.35">
      <c r="A2608" s="1019"/>
      <c r="B2608" s="1019"/>
      <c r="C2608" s="1019"/>
      <c r="D2608" s="1019"/>
      <c r="E2608" s="1019"/>
      <c r="F2608" s="1019"/>
      <c r="G2608" s="1019"/>
      <c r="H2608" s="1019"/>
      <c r="I2608" s="1019"/>
      <c r="J2608" s="1019"/>
      <c r="K2608" s="1019"/>
      <c r="L2608" s="1019"/>
    </row>
    <row r="2609" spans="1:12" x14ac:dyDescent="0.35">
      <c r="A2609" s="1019"/>
      <c r="B2609" s="1019"/>
      <c r="C2609" s="1019"/>
      <c r="D2609" s="1019"/>
      <c r="E2609" s="1019"/>
      <c r="F2609" s="1019"/>
      <c r="G2609" s="1019"/>
      <c r="H2609" s="1019"/>
      <c r="I2609" s="1019"/>
      <c r="J2609" s="1019"/>
      <c r="K2609" s="1019"/>
      <c r="L2609" s="1019"/>
    </row>
    <row r="2610" spans="1:12" x14ac:dyDescent="0.35">
      <c r="A2610" s="1019"/>
      <c r="B2610" s="1019"/>
      <c r="C2610" s="1019"/>
      <c r="D2610" s="1019"/>
      <c r="E2610" s="1019"/>
      <c r="F2610" s="1019"/>
      <c r="G2610" s="1019"/>
      <c r="H2610" s="1019"/>
      <c r="I2610" s="1019"/>
      <c r="J2610" s="1019"/>
      <c r="K2610" s="1019"/>
      <c r="L2610" s="1019"/>
    </row>
    <row r="2611" spans="1:12" x14ac:dyDescent="0.35">
      <c r="A2611" s="1019"/>
      <c r="B2611" s="1019"/>
      <c r="C2611" s="1019"/>
      <c r="D2611" s="1019"/>
      <c r="E2611" s="1019"/>
      <c r="F2611" s="1019"/>
      <c r="G2611" s="1019"/>
      <c r="H2611" s="1019"/>
      <c r="I2611" s="1019"/>
      <c r="J2611" s="1019"/>
      <c r="K2611" s="1019"/>
      <c r="L2611" s="1019"/>
    </row>
    <row r="2612" spans="1:12" x14ac:dyDescent="0.35">
      <c r="A2612" s="1019"/>
      <c r="B2612" s="1019"/>
      <c r="C2612" s="1019"/>
      <c r="D2612" s="1019"/>
      <c r="E2612" s="1019"/>
      <c r="F2612" s="1019"/>
      <c r="G2612" s="1019"/>
      <c r="H2612" s="1019"/>
      <c r="I2612" s="1019"/>
      <c r="J2612" s="1019"/>
      <c r="K2612" s="1019"/>
      <c r="L2612" s="1019"/>
    </row>
    <row r="2613" spans="1:12" x14ac:dyDescent="0.35">
      <c r="A2613" s="1019"/>
      <c r="B2613" s="1019"/>
      <c r="C2613" s="1019"/>
      <c r="D2613" s="1019"/>
      <c r="E2613" s="1019"/>
      <c r="F2613" s="1019"/>
      <c r="G2613" s="1019"/>
      <c r="H2613" s="1019"/>
      <c r="I2613" s="1019"/>
      <c r="J2613" s="1019"/>
      <c r="K2613" s="1019"/>
      <c r="L2613" s="1019"/>
    </row>
    <row r="2614" spans="1:12" x14ac:dyDescent="0.35">
      <c r="A2614" s="1019"/>
      <c r="B2614" s="1019"/>
      <c r="C2614" s="1019"/>
      <c r="D2614" s="1019"/>
      <c r="E2614" s="1019"/>
      <c r="F2614" s="1019"/>
      <c r="G2614" s="1019"/>
      <c r="H2614" s="1019"/>
      <c r="I2614" s="1019"/>
      <c r="J2614" s="1019"/>
      <c r="K2614" s="1019"/>
      <c r="L2614" s="1019"/>
    </row>
    <row r="2615" spans="1:12" x14ac:dyDescent="0.35">
      <c r="A2615" s="1019"/>
      <c r="B2615" s="1019"/>
      <c r="C2615" s="1019"/>
      <c r="D2615" s="1019"/>
      <c r="E2615" s="1019"/>
      <c r="F2615" s="1019"/>
      <c r="G2615" s="1019"/>
      <c r="H2615" s="1019"/>
      <c r="I2615" s="1019"/>
      <c r="J2615" s="1019"/>
      <c r="K2615" s="1019"/>
      <c r="L2615" s="1019"/>
    </row>
    <row r="2616" spans="1:12" x14ac:dyDescent="0.35">
      <c r="A2616" s="1019"/>
      <c r="B2616" s="1019"/>
      <c r="C2616" s="1019"/>
      <c r="D2616" s="1019"/>
      <c r="E2616" s="1019"/>
      <c r="F2616" s="1019"/>
      <c r="G2616" s="1019"/>
      <c r="H2616" s="1019"/>
      <c r="I2616" s="1019"/>
      <c r="J2616" s="1019"/>
      <c r="K2616" s="1019"/>
      <c r="L2616" s="1019"/>
    </row>
    <row r="2617" spans="1:12" x14ac:dyDescent="0.35">
      <c r="A2617" s="1019"/>
      <c r="B2617" s="1019"/>
      <c r="C2617" s="1019"/>
      <c r="D2617" s="1019"/>
      <c r="E2617" s="1019"/>
      <c r="F2617" s="1019"/>
      <c r="G2617" s="1019"/>
      <c r="H2617" s="1019"/>
      <c r="I2617" s="1019"/>
      <c r="J2617" s="1019"/>
      <c r="K2617" s="1019"/>
      <c r="L2617" s="1019"/>
    </row>
    <row r="2618" spans="1:12" x14ac:dyDescent="0.35">
      <c r="A2618" s="1019"/>
      <c r="B2618" s="1019"/>
      <c r="C2618" s="1019"/>
      <c r="D2618" s="1019"/>
      <c r="E2618" s="1019"/>
      <c r="F2618" s="1019"/>
      <c r="G2618" s="1019"/>
      <c r="H2618" s="1019"/>
      <c r="I2618" s="1019"/>
      <c r="J2618" s="1019"/>
      <c r="K2618" s="1019"/>
      <c r="L2618" s="1019"/>
    </row>
    <row r="2619" spans="1:12" x14ac:dyDescent="0.35">
      <c r="A2619" s="1019"/>
      <c r="B2619" s="1019"/>
      <c r="C2619" s="1019"/>
      <c r="D2619" s="1019"/>
      <c r="E2619" s="1019"/>
      <c r="F2619" s="1019"/>
      <c r="G2619" s="1019"/>
      <c r="H2619" s="1019"/>
      <c r="I2619" s="1019"/>
      <c r="J2619" s="1019"/>
      <c r="K2619" s="1019"/>
      <c r="L2619" s="1019"/>
    </row>
    <row r="2620" spans="1:12" x14ac:dyDescent="0.35">
      <c r="A2620" s="1019"/>
      <c r="B2620" s="1019"/>
      <c r="C2620" s="1019"/>
      <c r="D2620" s="1019"/>
      <c r="E2620" s="1019"/>
      <c r="F2620" s="1019"/>
      <c r="G2620" s="1019"/>
      <c r="H2620" s="1019"/>
      <c r="I2620" s="1019"/>
      <c r="J2620" s="1019"/>
      <c r="K2620" s="1019"/>
      <c r="L2620" s="1019"/>
    </row>
    <row r="2621" spans="1:12" x14ac:dyDescent="0.35">
      <c r="A2621" s="1019"/>
      <c r="B2621" s="1019"/>
      <c r="C2621" s="1019"/>
      <c r="D2621" s="1019"/>
      <c r="E2621" s="1019"/>
      <c r="F2621" s="1019"/>
      <c r="G2621" s="1019"/>
      <c r="H2621" s="1019"/>
      <c r="I2621" s="1019"/>
      <c r="J2621" s="1019"/>
      <c r="K2621" s="1019"/>
      <c r="L2621" s="1019"/>
    </row>
    <row r="2622" spans="1:12" x14ac:dyDescent="0.35">
      <c r="A2622" s="1019"/>
      <c r="B2622" s="1019"/>
      <c r="C2622" s="1019"/>
      <c r="D2622" s="1019"/>
      <c r="E2622" s="1019"/>
      <c r="F2622" s="1019"/>
      <c r="G2622" s="1019"/>
      <c r="H2622" s="1019"/>
      <c r="I2622" s="1019"/>
      <c r="J2622" s="1019"/>
      <c r="K2622" s="1019"/>
      <c r="L2622" s="1019"/>
    </row>
    <row r="2623" spans="1:12" x14ac:dyDescent="0.35">
      <c r="A2623" s="1019"/>
      <c r="B2623" s="1019"/>
      <c r="C2623" s="1019"/>
      <c r="D2623" s="1019"/>
      <c r="E2623" s="1019"/>
      <c r="F2623" s="1019"/>
      <c r="G2623" s="1019"/>
      <c r="H2623" s="1019"/>
      <c r="I2623" s="1019"/>
      <c r="J2623" s="1019"/>
      <c r="K2623" s="1019"/>
      <c r="L2623" s="1019"/>
    </row>
    <row r="2624" spans="1:12" x14ac:dyDescent="0.35">
      <c r="A2624" s="1019"/>
      <c r="B2624" s="1019"/>
      <c r="C2624" s="1019"/>
      <c r="D2624" s="1019"/>
      <c r="E2624" s="1019"/>
      <c r="F2624" s="1019"/>
      <c r="G2624" s="1019"/>
      <c r="H2624" s="1019"/>
      <c r="I2624" s="1019"/>
      <c r="J2624" s="1019"/>
      <c r="K2624" s="1019"/>
      <c r="L2624" s="1019"/>
    </row>
    <row r="2625" spans="1:12" x14ac:dyDescent="0.35">
      <c r="A2625" s="1019"/>
      <c r="B2625" s="1019"/>
      <c r="C2625" s="1019"/>
      <c r="D2625" s="1019"/>
      <c r="E2625" s="1019"/>
      <c r="F2625" s="1019"/>
      <c r="G2625" s="1019"/>
      <c r="H2625" s="1019"/>
      <c r="I2625" s="1019"/>
      <c r="J2625" s="1019"/>
      <c r="K2625" s="1019"/>
      <c r="L2625" s="1019"/>
    </row>
    <row r="2626" spans="1:12" x14ac:dyDescent="0.35">
      <c r="A2626" s="1019"/>
      <c r="B2626" s="1019"/>
      <c r="C2626" s="1019"/>
      <c r="D2626" s="1019"/>
      <c r="E2626" s="1019"/>
      <c r="F2626" s="1019"/>
      <c r="G2626" s="1019"/>
      <c r="H2626" s="1019"/>
      <c r="I2626" s="1019"/>
      <c r="J2626" s="1019"/>
      <c r="K2626" s="1019"/>
      <c r="L2626" s="1019"/>
    </row>
    <row r="2627" spans="1:12" x14ac:dyDescent="0.35">
      <c r="A2627" s="1019"/>
      <c r="B2627" s="1019"/>
      <c r="C2627" s="1019"/>
      <c r="D2627" s="1019"/>
      <c r="E2627" s="1019"/>
      <c r="F2627" s="1019"/>
      <c r="G2627" s="1019"/>
      <c r="H2627" s="1019"/>
      <c r="I2627" s="1019"/>
      <c r="J2627" s="1019"/>
      <c r="K2627" s="1019"/>
      <c r="L2627" s="1019"/>
    </row>
    <row r="2628" spans="1:12" x14ac:dyDescent="0.35">
      <c r="A2628" s="1019"/>
      <c r="B2628" s="1019"/>
      <c r="C2628" s="1019"/>
      <c r="D2628" s="1019"/>
      <c r="E2628" s="1019"/>
      <c r="F2628" s="1019"/>
      <c r="G2628" s="1019"/>
      <c r="H2628" s="1019"/>
      <c r="I2628" s="1019"/>
      <c r="J2628" s="1019"/>
      <c r="K2628" s="1019"/>
      <c r="L2628" s="1019"/>
    </row>
    <row r="2629" spans="1:12" x14ac:dyDescent="0.35">
      <c r="A2629" s="1019"/>
      <c r="B2629" s="1019"/>
      <c r="C2629" s="1019"/>
      <c r="D2629" s="1019"/>
      <c r="E2629" s="1019"/>
      <c r="F2629" s="1019"/>
      <c r="G2629" s="1019"/>
      <c r="H2629" s="1019"/>
      <c r="I2629" s="1019"/>
      <c r="J2629" s="1019"/>
      <c r="K2629" s="1019"/>
      <c r="L2629" s="1019"/>
    </row>
    <row r="2630" spans="1:12" x14ac:dyDescent="0.35">
      <c r="A2630" s="1019"/>
      <c r="B2630" s="1019"/>
      <c r="C2630" s="1019"/>
      <c r="D2630" s="1019"/>
      <c r="E2630" s="1019"/>
      <c r="F2630" s="1019"/>
      <c r="G2630" s="1019"/>
      <c r="H2630" s="1019"/>
      <c r="I2630" s="1019"/>
      <c r="J2630" s="1019"/>
      <c r="K2630" s="1019"/>
      <c r="L2630" s="1019"/>
    </row>
    <row r="2631" spans="1:12" x14ac:dyDescent="0.35">
      <c r="A2631" s="1019"/>
      <c r="B2631" s="1019"/>
      <c r="C2631" s="1019"/>
      <c r="D2631" s="1019"/>
      <c r="E2631" s="1019"/>
      <c r="F2631" s="1019"/>
      <c r="G2631" s="1019"/>
      <c r="H2631" s="1019"/>
      <c r="I2631" s="1019"/>
      <c r="J2631" s="1019"/>
      <c r="K2631" s="1019"/>
      <c r="L2631" s="1019"/>
    </row>
    <row r="2632" spans="1:12" x14ac:dyDescent="0.35">
      <c r="A2632" s="1019"/>
      <c r="B2632" s="1019"/>
      <c r="C2632" s="1019"/>
      <c r="D2632" s="1019"/>
      <c r="E2632" s="1019"/>
      <c r="F2632" s="1019"/>
      <c r="G2632" s="1019"/>
      <c r="H2632" s="1019"/>
      <c r="I2632" s="1019"/>
      <c r="J2632" s="1019"/>
      <c r="K2632" s="1019"/>
      <c r="L2632" s="1019"/>
    </row>
    <row r="2633" spans="1:12" x14ac:dyDescent="0.35">
      <c r="A2633" s="1019"/>
      <c r="B2633" s="1019"/>
      <c r="C2633" s="1019"/>
      <c r="D2633" s="1019"/>
      <c r="E2633" s="1019"/>
      <c r="F2633" s="1019"/>
      <c r="G2633" s="1019"/>
      <c r="H2633" s="1019"/>
      <c r="I2633" s="1019"/>
      <c r="J2633" s="1019"/>
      <c r="K2633" s="1019"/>
      <c r="L2633" s="1019"/>
    </row>
    <row r="2634" spans="1:12" x14ac:dyDescent="0.35">
      <c r="A2634" s="1019"/>
      <c r="B2634" s="1019"/>
      <c r="C2634" s="1019"/>
      <c r="D2634" s="1019"/>
      <c r="E2634" s="1019"/>
      <c r="F2634" s="1019"/>
      <c r="G2634" s="1019"/>
      <c r="H2634" s="1019"/>
      <c r="I2634" s="1019"/>
      <c r="J2634" s="1019"/>
      <c r="K2634" s="1019"/>
      <c r="L2634" s="1019"/>
    </row>
    <row r="2635" spans="1:12" x14ac:dyDescent="0.35">
      <c r="A2635" s="1019"/>
      <c r="B2635" s="1019"/>
      <c r="C2635" s="1019"/>
      <c r="D2635" s="1019"/>
      <c r="E2635" s="1019"/>
      <c r="F2635" s="1019"/>
      <c r="G2635" s="1019"/>
      <c r="H2635" s="1019"/>
      <c r="I2635" s="1019"/>
      <c r="J2635" s="1019"/>
      <c r="K2635" s="1019"/>
      <c r="L2635" s="1019"/>
    </row>
    <row r="2636" spans="1:12" x14ac:dyDescent="0.35">
      <c r="A2636" s="1019"/>
      <c r="B2636" s="1019"/>
      <c r="C2636" s="1019"/>
      <c r="D2636" s="1019"/>
      <c r="E2636" s="1019"/>
      <c r="F2636" s="1019"/>
      <c r="G2636" s="1019"/>
      <c r="H2636" s="1019"/>
      <c r="I2636" s="1019"/>
      <c r="J2636" s="1019"/>
      <c r="K2636" s="1019"/>
      <c r="L2636" s="1019"/>
    </row>
    <row r="2637" spans="1:12" x14ac:dyDescent="0.35">
      <c r="A2637" s="1019"/>
      <c r="B2637" s="1019"/>
      <c r="C2637" s="1019"/>
      <c r="D2637" s="1019"/>
      <c r="E2637" s="1019"/>
      <c r="F2637" s="1019"/>
      <c r="G2637" s="1019"/>
      <c r="H2637" s="1019"/>
      <c r="I2637" s="1019"/>
      <c r="J2637" s="1019"/>
      <c r="K2637" s="1019"/>
      <c r="L2637" s="1019"/>
    </row>
    <row r="2638" spans="1:12" x14ac:dyDescent="0.35">
      <c r="A2638" s="1019"/>
      <c r="B2638" s="1019"/>
      <c r="C2638" s="1019"/>
      <c r="D2638" s="1019"/>
      <c r="E2638" s="1019"/>
      <c r="F2638" s="1019"/>
      <c r="G2638" s="1019"/>
      <c r="H2638" s="1019"/>
      <c r="I2638" s="1019"/>
      <c r="J2638" s="1019"/>
      <c r="K2638" s="1019"/>
      <c r="L2638" s="1019"/>
    </row>
    <row r="2639" spans="1:12" x14ac:dyDescent="0.35">
      <c r="A2639" s="1019"/>
      <c r="B2639" s="1019"/>
      <c r="C2639" s="1019"/>
      <c r="D2639" s="1019"/>
      <c r="E2639" s="1019"/>
      <c r="F2639" s="1019"/>
      <c r="G2639" s="1019"/>
      <c r="H2639" s="1019"/>
      <c r="I2639" s="1019"/>
      <c r="J2639" s="1019"/>
      <c r="K2639" s="1019"/>
      <c r="L2639" s="1019"/>
    </row>
    <row r="2640" spans="1:12" x14ac:dyDescent="0.35">
      <c r="A2640" s="1019"/>
      <c r="B2640" s="1019"/>
      <c r="C2640" s="1019"/>
      <c r="D2640" s="1019"/>
      <c r="E2640" s="1019"/>
      <c r="F2640" s="1019"/>
      <c r="G2640" s="1019"/>
      <c r="H2640" s="1019"/>
      <c r="I2640" s="1019"/>
      <c r="J2640" s="1019"/>
      <c r="K2640" s="1019"/>
      <c r="L2640" s="1019"/>
    </row>
    <row r="2641" spans="1:12" x14ac:dyDescent="0.35">
      <c r="A2641" s="1019"/>
      <c r="B2641" s="1019"/>
      <c r="C2641" s="1019"/>
      <c r="D2641" s="1019"/>
      <c r="E2641" s="1019"/>
      <c r="F2641" s="1019"/>
      <c r="G2641" s="1019"/>
      <c r="H2641" s="1019"/>
      <c r="I2641" s="1019"/>
      <c r="J2641" s="1019"/>
      <c r="K2641" s="1019"/>
      <c r="L2641" s="1019"/>
    </row>
    <row r="2642" spans="1:12" x14ac:dyDescent="0.35">
      <c r="A2642" s="1019"/>
      <c r="B2642" s="1019"/>
      <c r="C2642" s="1019"/>
      <c r="D2642" s="1019"/>
      <c r="E2642" s="1019"/>
      <c r="F2642" s="1019"/>
      <c r="G2642" s="1019"/>
      <c r="H2642" s="1019"/>
      <c r="I2642" s="1019"/>
      <c r="J2642" s="1019"/>
      <c r="K2642" s="1019"/>
      <c r="L2642" s="1019"/>
    </row>
    <row r="2643" spans="1:12" x14ac:dyDescent="0.35">
      <c r="A2643" s="1019"/>
      <c r="B2643" s="1019"/>
      <c r="C2643" s="1019"/>
      <c r="D2643" s="1019"/>
      <c r="E2643" s="1019"/>
      <c r="F2643" s="1019"/>
      <c r="G2643" s="1019"/>
      <c r="H2643" s="1019"/>
      <c r="I2643" s="1019"/>
      <c r="J2643" s="1019"/>
      <c r="K2643" s="1019"/>
      <c r="L2643" s="1019"/>
    </row>
    <row r="2644" spans="1:12" x14ac:dyDescent="0.35">
      <c r="A2644" s="1019"/>
      <c r="B2644" s="1019"/>
      <c r="C2644" s="1019"/>
      <c r="D2644" s="1019"/>
      <c r="E2644" s="1019"/>
      <c r="F2644" s="1019"/>
      <c r="G2644" s="1019"/>
      <c r="H2644" s="1019"/>
      <c r="I2644" s="1019"/>
      <c r="J2644" s="1019"/>
      <c r="K2644" s="1019"/>
      <c r="L2644" s="1019"/>
    </row>
    <row r="2645" spans="1:12" x14ac:dyDescent="0.35">
      <c r="A2645" s="1019"/>
      <c r="B2645" s="1019"/>
      <c r="C2645" s="1019"/>
      <c r="D2645" s="1019"/>
      <c r="E2645" s="1019"/>
      <c r="F2645" s="1019"/>
      <c r="G2645" s="1019"/>
      <c r="H2645" s="1019"/>
      <c r="I2645" s="1019"/>
      <c r="J2645" s="1019"/>
      <c r="K2645" s="1019"/>
      <c r="L2645" s="1019"/>
    </row>
    <row r="2646" spans="1:12" x14ac:dyDescent="0.35">
      <c r="A2646" s="1019"/>
      <c r="B2646" s="1019"/>
      <c r="C2646" s="1019"/>
      <c r="D2646" s="1019"/>
      <c r="E2646" s="1019"/>
      <c r="F2646" s="1019"/>
      <c r="G2646" s="1019"/>
      <c r="H2646" s="1019"/>
      <c r="I2646" s="1019"/>
      <c r="J2646" s="1019"/>
      <c r="K2646" s="1019"/>
      <c r="L2646" s="1019"/>
    </row>
    <row r="2647" spans="1:12" x14ac:dyDescent="0.35">
      <c r="A2647" s="1019"/>
      <c r="B2647" s="1019"/>
      <c r="C2647" s="1019"/>
      <c r="D2647" s="1019"/>
      <c r="E2647" s="1019"/>
      <c r="F2647" s="1019"/>
      <c r="G2647" s="1019"/>
      <c r="H2647" s="1019"/>
      <c r="I2647" s="1019"/>
      <c r="J2647" s="1019"/>
      <c r="K2647" s="1019"/>
      <c r="L2647" s="1019"/>
    </row>
    <row r="2648" spans="1:12" x14ac:dyDescent="0.35">
      <c r="A2648" s="1019"/>
      <c r="B2648" s="1019"/>
      <c r="C2648" s="1019"/>
      <c r="D2648" s="1019"/>
      <c r="E2648" s="1019"/>
      <c r="F2648" s="1019"/>
      <c r="G2648" s="1019"/>
      <c r="H2648" s="1019"/>
      <c r="I2648" s="1019"/>
      <c r="J2648" s="1019"/>
      <c r="K2648" s="1019"/>
      <c r="L2648" s="1019"/>
    </row>
    <row r="2649" spans="1:12" x14ac:dyDescent="0.35">
      <c r="A2649" s="1019"/>
      <c r="B2649" s="1019"/>
      <c r="C2649" s="1019"/>
      <c r="D2649" s="1019"/>
      <c r="E2649" s="1019"/>
      <c r="F2649" s="1019"/>
      <c r="G2649" s="1019"/>
      <c r="H2649" s="1019"/>
      <c r="I2649" s="1019"/>
      <c r="J2649" s="1019"/>
      <c r="K2649" s="1019"/>
      <c r="L2649" s="1019"/>
    </row>
    <row r="2650" spans="1:12" x14ac:dyDescent="0.35">
      <c r="A2650" s="1019"/>
      <c r="B2650" s="1019"/>
      <c r="C2650" s="1019"/>
      <c r="D2650" s="1019"/>
      <c r="E2650" s="1019"/>
      <c r="F2650" s="1019"/>
      <c r="G2650" s="1019"/>
      <c r="H2650" s="1019"/>
      <c r="I2650" s="1019"/>
      <c r="J2650" s="1019"/>
      <c r="K2650" s="1019"/>
      <c r="L2650" s="1019"/>
    </row>
    <row r="2651" spans="1:12" x14ac:dyDescent="0.35">
      <c r="A2651" s="1019"/>
      <c r="B2651" s="1019"/>
      <c r="C2651" s="1019"/>
      <c r="D2651" s="1019"/>
      <c r="E2651" s="1019"/>
      <c r="F2651" s="1019"/>
      <c r="G2651" s="1019"/>
      <c r="H2651" s="1019"/>
      <c r="I2651" s="1019"/>
      <c r="J2651" s="1019"/>
      <c r="K2651" s="1019"/>
      <c r="L2651" s="1019"/>
    </row>
    <row r="2652" spans="1:12" x14ac:dyDescent="0.35">
      <c r="A2652" s="1019"/>
      <c r="B2652" s="1019"/>
      <c r="C2652" s="1019"/>
      <c r="D2652" s="1019"/>
      <c r="E2652" s="1019"/>
      <c r="F2652" s="1019"/>
      <c r="G2652" s="1019"/>
      <c r="H2652" s="1019"/>
      <c r="I2652" s="1019"/>
      <c r="J2652" s="1019"/>
      <c r="K2652" s="1019"/>
      <c r="L2652" s="1019"/>
    </row>
    <row r="2653" spans="1:12" x14ac:dyDescent="0.35">
      <c r="A2653" s="1019"/>
      <c r="B2653" s="1019"/>
      <c r="C2653" s="1019"/>
      <c r="D2653" s="1019"/>
      <c r="E2653" s="1019"/>
      <c r="F2653" s="1019"/>
      <c r="G2653" s="1019"/>
      <c r="H2653" s="1019"/>
      <c r="I2653" s="1019"/>
      <c r="J2653" s="1019"/>
      <c r="K2653" s="1019"/>
      <c r="L2653" s="1019"/>
    </row>
    <row r="2654" spans="1:12" x14ac:dyDescent="0.35">
      <c r="A2654" s="1019"/>
      <c r="B2654" s="1019"/>
      <c r="C2654" s="1019"/>
      <c r="D2654" s="1019"/>
      <c r="E2654" s="1019"/>
      <c r="F2654" s="1019"/>
      <c r="G2654" s="1019"/>
      <c r="H2654" s="1019"/>
      <c r="I2654" s="1019"/>
      <c r="J2654" s="1019"/>
      <c r="K2654" s="1019"/>
      <c r="L2654" s="1019"/>
    </row>
    <row r="2655" spans="1:12" x14ac:dyDescent="0.35">
      <c r="A2655" s="1019"/>
      <c r="B2655" s="1019"/>
      <c r="C2655" s="1019"/>
      <c r="D2655" s="1019"/>
      <c r="E2655" s="1019"/>
      <c r="F2655" s="1019"/>
      <c r="G2655" s="1019"/>
      <c r="H2655" s="1019"/>
      <c r="I2655" s="1019"/>
      <c r="J2655" s="1019"/>
      <c r="K2655" s="1019"/>
      <c r="L2655" s="1019"/>
    </row>
    <row r="2656" spans="1:12" x14ac:dyDescent="0.35">
      <c r="A2656" s="1019"/>
      <c r="B2656" s="1019"/>
      <c r="C2656" s="1019"/>
      <c r="D2656" s="1019"/>
      <c r="E2656" s="1019"/>
      <c r="F2656" s="1019"/>
      <c r="G2656" s="1019"/>
      <c r="H2656" s="1019"/>
      <c r="I2656" s="1019"/>
      <c r="J2656" s="1019"/>
      <c r="K2656" s="1019"/>
      <c r="L2656" s="1019"/>
    </row>
    <row r="2657" spans="1:12" x14ac:dyDescent="0.35">
      <c r="A2657" s="1019"/>
      <c r="B2657" s="1019"/>
      <c r="C2657" s="1019"/>
      <c r="D2657" s="1019"/>
      <c r="E2657" s="1019"/>
      <c r="F2657" s="1019"/>
      <c r="G2657" s="1019"/>
      <c r="H2657" s="1019"/>
      <c r="I2657" s="1019"/>
      <c r="J2657" s="1019"/>
      <c r="K2657" s="1019"/>
      <c r="L2657" s="1019"/>
    </row>
    <row r="2658" spans="1:12" x14ac:dyDescent="0.35">
      <c r="A2658" s="1019"/>
      <c r="B2658" s="1019"/>
      <c r="C2658" s="1019"/>
      <c r="D2658" s="1019"/>
      <c r="E2658" s="1019"/>
      <c r="F2658" s="1019"/>
      <c r="G2658" s="1019"/>
      <c r="H2658" s="1019"/>
      <c r="I2658" s="1019"/>
      <c r="J2658" s="1019"/>
      <c r="K2658" s="1019"/>
      <c r="L2658" s="1019"/>
    </row>
    <row r="2659" spans="1:12" x14ac:dyDescent="0.35">
      <c r="A2659" s="1019"/>
      <c r="B2659" s="1019"/>
      <c r="C2659" s="1019"/>
      <c r="D2659" s="1019"/>
      <c r="E2659" s="1019"/>
      <c r="F2659" s="1019"/>
      <c r="G2659" s="1019"/>
      <c r="H2659" s="1019"/>
      <c r="I2659" s="1019"/>
      <c r="J2659" s="1019"/>
      <c r="K2659" s="1019"/>
      <c r="L2659" s="1019"/>
    </row>
    <row r="2660" spans="1:12" x14ac:dyDescent="0.35">
      <c r="A2660" s="1019"/>
      <c r="B2660" s="1019"/>
      <c r="C2660" s="1019"/>
      <c r="D2660" s="1019"/>
      <c r="E2660" s="1019"/>
      <c r="F2660" s="1019"/>
      <c r="G2660" s="1019"/>
      <c r="H2660" s="1019"/>
      <c r="I2660" s="1019"/>
      <c r="J2660" s="1019"/>
      <c r="K2660" s="1019"/>
      <c r="L2660" s="1019"/>
    </row>
    <row r="2661" spans="1:12" x14ac:dyDescent="0.35">
      <c r="A2661" s="1019"/>
      <c r="B2661" s="1019"/>
      <c r="C2661" s="1019"/>
      <c r="D2661" s="1019"/>
      <c r="E2661" s="1019"/>
      <c r="F2661" s="1019"/>
      <c r="G2661" s="1019"/>
      <c r="H2661" s="1019"/>
      <c r="I2661" s="1019"/>
      <c r="J2661" s="1019"/>
      <c r="K2661" s="1019"/>
      <c r="L2661" s="1019"/>
    </row>
    <row r="2662" spans="1:12" x14ac:dyDescent="0.35">
      <c r="A2662" s="1019"/>
      <c r="B2662" s="1019"/>
      <c r="C2662" s="1019"/>
      <c r="D2662" s="1019"/>
      <c r="E2662" s="1019"/>
      <c r="F2662" s="1019"/>
      <c r="G2662" s="1019"/>
      <c r="H2662" s="1019"/>
      <c r="I2662" s="1019"/>
      <c r="J2662" s="1019"/>
      <c r="K2662" s="1019"/>
      <c r="L2662" s="1019"/>
    </row>
    <row r="2663" spans="1:12" x14ac:dyDescent="0.35">
      <c r="A2663" s="1019"/>
      <c r="B2663" s="1019"/>
      <c r="C2663" s="1019"/>
      <c r="D2663" s="1019"/>
      <c r="E2663" s="1019"/>
      <c r="F2663" s="1019"/>
      <c r="G2663" s="1019"/>
      <c r="H2663" s="1019"/>
      <c r="I2663" s="1019"/>
      <c r="J2663" s="1019"/>
      <c r="K2663" s="1019"/>
      <c r="L2663" s="1019"/>
    </row>
    <row r="2664" spans="1:12" x14ac:dyDescent="0.35">
      <c r="A2664" s="1019"/>
      <c r="B2664" s="1019"/>
      <c r="C2664" s="1019"/>
      <c r="D2664" s="1019"/>
      <c r="E2664" s="1019"/>
      <c r="F2664" s="1019"/>
      <c r="G2664" s="1019"/>
      <c r="H2664" s="1019"/>
      <c r="I2664" s="1019"/>
      <c r="J2664" s="1019"/>
      <c r="K2664" s="1019"/>
      <c r="L2664" s="1019"/>
    </row>
    <row r="2665" spans="1:12" x14ac:dyDescent="0.35">
      <c r="A2665" s="1019"/>
      <c r="B2665" s="1019"/>
      <c r="C2665" s="1019"/>
      <c r="D2665" s="1019"/>
      <c r="E2665" s="1019"/>
      <c r="F2665" s="1019"/>
      <c r="G2665" s="1019"/>
      <c r="H2665" s="1019"/>
      <c r="I2665" s="1019"/>
      <c r="J2665" s="1019"/>
      <c r="K2665" s="1019"/>
      <c r="L2665" s="1019"/>
    </row>
    <row r="2666" spans="1:12" x14ac:dyDescent="0.35">
      <c r="A2666" s="1019"/>
      <c r="B2666" s="1019"/>
      <c r="C2666" s="1019"/>
      <c r="D2666" s="1019"/>
      <c r="E2666" s="1019"/>
      <c r="F2666" s="1019"/>
      <c r="G2666" s="1019"/>
      <c r="H2666" s="1019"/>
      <c r="I2666" s="1019"/>
      <c r="J2666" s="1019"/>
      <c r="K2666" s="1019"/>
      <c r="L2666" s="1019"/>
    </row>
    <row r="2667" spans="1:12" x14ac:dyDescent="0.35">
      <c r="A2667" s="1019"/>
      <c r="B2667" s="1019"/>
      <c r="C2667" s="1019"/>
      <c r="D2667" s="1019"/>
      <c r="E2667" s="1019"/>
      <c r="F2667" s="1019"/>
      <c r="G2667" s="1019"/>
      <c r="H2667" s="1019"/>
      <c r="I2667" s="1019"/>
      <c r="J2667" s="1019"/>
      <c r="K2667" s="1019"/>
      <c r="L2667" s="1019"/>
    </row>
    <row r="2668" spans="1:12" x14ac:dyDescent="0.35">
      <c r="A2668" s="1019"/>
      <c r="B2668" s="1019"/>
      <c r="C2668" s="1019"/>
      <c r="D2668" s="1019"/>
      <c r="E2668" s="1019"/>
      <c r="F2668" s="1019"/>
      <c r="G2668" s="1019"/>
      <c r="H2668" s="1019"/>
      <c r="I2668" s="1019"/>
      <c r="J2668" s="1019"/>
      <c r="K2668" s="1019"/>
      <c r="L2668" s="1019"/>
    </row>
    <row r="2669" spans="1:12" x14ac:dyDescent="0.35">
      <c r="A2669" s="1019"/>
      <c r="B2669" s="1019"/>
      <c r="C2669" s="1019"/>
      <c r="D2669" s="1019"/>
      <c r="E2669" s="1019"/>
      <c r="F2669" s="1019"/>
      <c r="G2669" s="1019"/>
      <c r="H2669" s="1019"/>
      <c r="I2669" s="1019"/>
      <c r="J2669" s="1019"/>
      <c r="K2669" s="1019"/>
      <c r="L2669" s="1019"/>
    </row>
    <row r="2670" spans="1:12" x14ac:dyDescent="0.35">
      <c r="A2670" s="1019"/>
      <c r="B2670" s="1019"/>
      <c r="C2670" s="1019"/>
      <c r="D2670" s="1019"/>
      <c r="E2670" s="1019"/>
      <c r="F2670" s="1019"/>
      <c r="G2670" s="1019"/>
      <c r="H2670" s="1019"/>
      <c r="I2670" s="1019"/>
      <c r="J2670" s="1019"/>
      <c r="K2670" s="1019"/>
      <c r="L2670" s="1019"/>
    </row>
    <row r="2671" spans="1:12" x14ac:dyDescent="0.35">
      <c r="A2671" s="1019"/>
      <c r="B2671" s="1019"/>
      <c r="C2671" s="1019"/>
      <c r="D2671" s="1019"/>
      <c r="E2671" s="1019"/>
      <c r="F2671" s="1019"/>
      <c r="G2671" s="1019"/>
      <c r="H2671" s="1019"/>
      <c r="I2671" s="1019"/>
      <c r="J2671" s="1019"/>
      <c r="K2671" s="1019"/>
      <c r="L2671" s="1019"/>
    </row>
    <row r="2672" spans="1:12" x14ac:dyDescent="0.35">
      <c r="A2672" s="1019"/>
      <c r="B2672" s="1019"/>
      <c r="C2672" s="1019"/>
      <c r="D2672" s="1019"/>
      <c r="E2672" s="1019"/>
      <c r="F2672" s="1019"/>
      <c r="G2672" s="1019"/>
      <c r="H2672" s="1019"/>
      <c r="I2672" s="1019"/>
      <c r="J2672" s="1019"/>
      <c r="K2672" s="1019"/>
      <c r="L2672" s="1019"/>
    </row>
    <row r="2673" spans="1:12" x14ac:dyDescent="0.35">
      <c r="A2673" s="1019"/>
      <c r="B2673" s="1019"/>
      <c r="C2673" s="1019"/>
      <c r="D2673" s="1019"/>
      <c r="E2673" s="1019"/>
      <c r="F2673" s="1019"/>
      <c r="G2673" s="1019"/>
      <c r="H2673" s="1019"/>
      <c r="I2673" s="1019"/>
      <c r="J2673" s="1019"/>
      <c r="K2673" s="1019"/>
      <c r="L2673" s="1019"/>
    </row>
    <row r="2674" spans="1:12" x14ac:dyDescent="0.35">
      <c r="A2674" s="1019"/>
      <c r="B2674" s="1019"/>
      <c r="C2674" s="1019"/>
      <c r="D2674" s="1019"/>
      <c r="E2674" s="1019"/>
      <c r="F2674" s="1019"/>
      <c r="G2674" s="1019"/>
      <c r="H2674" s="1019"/>
      <c r="I2674" s="1019"/>
      <c r="J2674" s="1019"/>
      <c r="K2674" s="1019"/>
      <c r="L2674" s="1019"/>
    </row>
    <row r="2675" spans="1:12" x14ac:dyDescent="0.35">
      <c r="A2675" s="1019"/>
      <c r="B2675" s="1019"/>
      <c r="C2675" s="1019"/>
      <c r="D2675" s="1019"/>
      <c r="E2675" s="1019"/>
      <c r="F2675" s="1019"/>
      <c r="G2675" s="1019"/>
      <c r="H2675" s="1019"/>
      <c r="I2675" s="1019"/>
      <c r="J2675" s="1019"/>
      <c r="K2675" s="1019"/>
      <c r="L2675" s="1019"/>
    </row>
    <row r="2676" spans="1:12" x14ac:dyDescent="0.35">
      <c r="A2676" s="1019"/>
      <c r="B2676" s="1019"/>
      <c r="C2676" s="1019"/>
      <c r="D2676" s="1019"/>
      <c r="E2676" s="1019"/>
      <c r="F2676" s="1019"/>
      <c r="G2676" s="1019"/>
      <c r="H2676" s="1019"/>
      <c r="I2676" s="1019"/>
      <c r="J2676" s="1019"/>
      <c r="K2676" s="1019"/>
      <c r="L2676" s="1019"/>
    </row>
    <row r="2677" spans="1:12" x14ac:dyDescent="0.35">
      <c r="A2677" s="1019"/>
      <c r="B2677" s="1019"/>
      <c r="C2677" s="1019"/>
      <c r="D2677" s="1019"/>
      <c r="E2677" s="1019"/>
      <c r="F2677" s="1019"/>
      <c r="G2677" s="1019"/>
      <c r="H2677" s="1019"/>
      <c r="I2677" s="1019"/>
      <c r="J2677" s="1019"/>
      <c r="K2677" s="1019"/>
      <c r="L2677" s="1019"/>
    </row>
    <row r="2678" spans="1:12" x14ac:dyDescent="0.35">
      <c r="A2678" s="1019"/>
      <c r="B2678" s="1019"/>
      <c r="C2678" s="1019"/>
      <c r="D2678" s="1019"/>
      <c r="E2678" s="1019"/>
      <c r="F2678" s="1019"/>
      <c r="G2678" s="1019"/>
      <c r="H2678" s="1019"/>
      <c r="I2678" s="1019"/>
      <c r="J2678" s="1019"/>
      <c r="K2678" s="1019"/>
      <c r="L2678" s="1019"/>
    </row>
    <row r="2679" spans="1:12" x14ac:dyDescent="0.35">
      <c r="A2679" s="1019"/>
      <c r="B2679" s="1019"/>
      <c r="C2679" s="1019"/>
      <c r="D2679" s="1019"/>
      <c r="E2679" s="1019"/>
      <c r="F2679" s="1019"/>
      <c r="G2679" s="1019"/>
      <c r="H2679" s="1019"/>
      <c r="I2679" s="1019"/>
      <c r="J2679" s="1019"/>
      <c r="K2679" s="1019"/>
      <c r="L2679" s="1019"/>
    </row>
    <row r="2680" spans="1:12" x14ac:dyDescent="0.35">
      <c r="A2680" s="1019"/>
      <c r="B2680" s="1019"/>
      <c r="C2680" s="1019"/>
      <c r="D2680" s="1019"/>
      <c r="E2680" s="1019"/>
      <c r="F2680" s="1019"/>
      <c r="G2680" s="1019"/>
      <c r="H2680" s="1019"/>
      <c r="I2680" s="1019"/>
      <c r="J2680" s="1019"/>
      <c r="K2680" s="1019"/>
      <c r="L2680" s="1019"/>
    </row>
    <row r="2681" spans="1:12" x14ac:dyDescent="0.35">
      <c r="A2681" s="1019"/>
      <c r="B2681" s="1019"/>
      <c r="C2681" s="1019"/>
      <c r="D2681" s="1019"/>
      <c r="E2681" s="1019"/>
      <c r="F2681" s="1019"/>
      <c r="G2681" s="1019"/>
      <c r="H2681" s="1019"/>
      <c r="I2681" s="1019"/>
      <c r="J2681" s="1019"/>
      <c r="K2681" s="1019"/>
      <c r="L2681" s="1019"/>
    </row>
    <row r="2682" spans="1:12" x14ac:dyDescent="0.35">
      <c r="A2682" s="1019"/>
      <c r="B2682" s="1019"/>
      <c r="C2682" s="1019"/>
      <c r="D2682" s="1019"/>
      <c r="E2682" s="1019"/>
      <c r="F2682" s="1019"/>
      <c r="G2682" s="1019"/>
      <c r="H2682" s="1019"/>
      <c r="I2682" s="1019"/>
      <c r="J2682" s="1019"/>
      <c r="K2682" s="1019"/>
      <c r="L2682" s="1019"/>
    </row>
    <row r="2683" spans="1:12" x14ac:dyDescent="0.35">
      <c r="A2683" s="1019"/>
      <c r="B2683" s="1019"/>
      <c r="C2683" s="1019"/>
      <c r="D2683" s="1019"/>
      <c r="E2683" s="1019"/>
      <c r="F2683" s="1019"/>
      <c r="G2683" s="1019"/>
      <c r="H2683" s="1019"/>
      <c r="I2683" s="1019"/>
      <c r="J2683" s="1019"/>
      <c r="K2683" s="1019"/>
      <c r="L2683" s="1019"/>
    </row>
    <row r="2684" spans="1:12" x14ac:dyDescent="0.35">
      <c r="A2684" s="1019"/>
      <c r="B2684" s="1019"/>
      <c r="C2684" s="1019"/>
      <c r="D2684" s="1019"/>
      <c r="E2684" s="1019"/>
      <c r="F2684" s="1019"/>
      <c r="G2684" s="1019"/>
      <c r="H2684" s="1019"/>
      <c r="I2684" s="1019"/>
      <c r="J2684" s="1019"/>
      <c r="K2684" s="1019"/>
      <c r="L2684" s="1019"/>
    </row>
    <row r="2685" spans="1:12" x14ac:dyDescent="0.35">
      <c r="A2685" s="1019"/>
      <c r="B2685" s="1019"/>
      <c r="C2685" s="1019"/>
      <c r="D2685" s="1019"/>
      <c r="E2685" s="1019"/>
      <c r="F2685" s="1019"/>
      <c r="G2685" s="1019"/>
      <c r="H2685" s="1019"/>
      <c r="I2685" s="1019"/>
      <c r="J2685" s="1019"/>
      <c r="K2685" s="1019"/>
      <c r="L2685" s="1019"/>
    </row>
    <row r="2686" spans="1:12" x14ac:dyDescent="0.35">
      <c r="A2686" s="1019"/>
      <c r="B2686" s="1019"/>
      <c r="C2686" s="1019"/>
      <c r="D2686" s="1019"/>
      <c r="E2686" s="1019"/>
      <c r="F2686" s="1019"/>
      <c r="G2686" s="1019"/>
      <c r="H2686" s="1019"/>
      <c r="I2686" s="1019"/>
      <c r="J2686" s="1019"/>
      <c r="K2686" s="1019"/>
      <c r="L2686" s="1019"/>
    </row>
    <row r="2687" spans="1:12" x14ac:dyDescent="0.35">
      <c r="A2687" s="1019"/>
      <c r="B2687" s="1019"/>
      <c r="C2687" s="1019"/>
      <c r="D2687" s="1019"/>
      <c r="E2687" s="1019"/>
      <c r="F2687" s="1019"/>
      <c r="G2687" s="1019"/>
      <c r="H2687" s="1019"/>
      <c r="I2687" s="1019"/>
      <c r="J2687" s="1019"/>
      <c r="K2687" s="1019"/>
      <c r="L2687" s="1019"/>
    </row>
    <row r="2688" spans="1:12" x14ac:dyDescent="0.35">
      <c r="A2688" s="1019"/>
      <c r="B2688" s="1019"/>
      <c r="C2688" s="1019"/>
      <c r="D2688" s="1019"/>
      <c r="E2688" s="1019"/>
      <c r="F2688" s="1019"/>
      <c r="G2688" s="1019"/>
      <c r="H2688" s="1019"/>
      <c r="I2688" s="1019"/>
      <c r="J2688" s="1019"/>
      <c r="K2688" s="1019"/>
      <c r="L2688" s="1019"/>
    </row>
    <row r="2689" spans="1:12" x14ac:dyDescent="0.35">
      <c r="A2689" s="1019"/>
      <c r="B2689" s="1019"/>
      <c r="C2689" s="1019"/>
      <c r="D2689" s="1019"/>
      <c r="E2689" s="1019"/>
      <c r="F2689" s="1019"/>
      <c r="G2689" s="1019"/>
      <c r="H2689" s="1019"/>
      <c r="I2689" s="1019"/>
      <c r="J2689" s="1019"/>
      <c r="K2689" s="1019"/>
      <c r="L2689" s="1019"/>
    </row>
    <row r="2690" spans="1:12" x14ac:dyDescent="0.35">
      <c r="A2690" s="1019"/>
      <c r="B2690" s="1019"/>
      <c r="C2690" s="1019"/>
      <c r="D2690" s="1019"/>
      <c r="E2690" s="1019"/>
      <c r="F2690" s="1019"/>
      <c r="G2690" s="1019"/>
      <c r="H2690" s="1019"/>
      <c r="I2690" s="1019"/>
      <c r="J2690" s="1019"/>
      <c r="K2690" s="1019"/>
      <c r="L2690" s="1019"/>
    </row>
    <row r="2691" spans="1:12" x14ac:dyDescent="0.35">
      <c r="A2691" s="1019"/>
      <c r="B2691" s="1019"/>
      <c r="C2691" s="1019"/>
      <c r="D2691" s="1019"/>
      <c r="E2691" s="1019"/>
      <c r="F2691" s="1019"/>
      <c r="G2691" s="1019"/>
      <c r="H2691" s="1019"/>
      <c r="I2691" s="1019"/>
      <c r="J2691" s="1019"/>
      <c r="K2691" s="1019"/>
      <c r="L2691" s="1019"/>
    </row>
    <row r="2692" spans="1:12" x14ac:dyDescent="0.35">
      <c r="A2692" s="1019"/>
      <c r="B2692" s="1019"/>
      <c r="C2692" s="1019"/>
      <c r="D2692" s="1019"/>
      <c r="E2692" s="1019"/>
      <c r="F2692" s="1019"/>
      <c r="G2692" s="1019"/>
      <c r="H2692" s="1019"/>
      <c r="I2692" s="1019"/>
      <c r="J2692" s="1019"/>
      <c r="K2692" s="1019"/>
      <c r="L2692" s="1019"/>
    </row>
    <row r="2693" spans="1:12" x14ac:dyDescent="0.35">
      <c r="A2693" s="1019"/>
      <c r="B2693" s="1019"/>
      <c r="C2693" s="1019"/>
      <c r="D2693" s="1019"/>
      <c r="E2693" s="1019"/>
      <c r="F2693" s="1019"/>
      <c r="G2693" s="1019"/>
      <c r="H2693" s="1019"/>
      <c r="I2693" s="1019"/>
      <c r="J2693" s="1019"/>
      <c r="K2693" s="1019"/>
      <c r="L2693" s="1019"/>
    </row>
    <row r="2694" spans="1:12" x14ac:dyDescent="0.35">
      <c r="A2694" s="1019"/>
      <c r="B2694" s="1019"/>
      <c r="C2694" s="1019"/>
      <c r="D2694" s="1019"/>
      <c r="E2694" s="1019"/>
      <c r="F2694" s="1019"/>
      <c r="G2694" s="1019"/>
      <c r="H2694" s="1019"/>
      <c r="I2694" s="1019"/>
      <c r="J2694" s="1019"/>
      <c r="K2694" s="1019"/>
      <c r="L2694" s="1019"/>
    </row>
    <row r="2695" spans="1:12" x14ac:dyDescent="0.35">
      <c r="A2695" s="1019"/>
      <c r="B2695" s="1019"/>
      <c r="C2695" s="1019"/>
      <c r="D2695" s="1019"/>
      <c r="E2695" s="1019"/>
      <c r="F2695" s="1019"/>
      <c r="G2695" s="1019"/>
      <c r="H2695" s="1019"/>
      <c r="I2695" s="1019"/>
      <c r="J2695" s="1019"/>
      <c r="K2695" s="1019"/>
      <c r="L2695" s="1019"/>
    </row>
    <row r="2696" spans="1:12" x14ac:dyDescent="0.35">
      <c r="A2696" s="1019"/>
      <c r="B2696" s="1019"/>
      <c r="C2696" s="1019"/>
      <c r="D2696" s="1019"/>
      <c r="E2696" s="1019"/>
      <c r="F2696" s="1019"/>
      <c r="G2696" s="1019"/>
      <c r="H2696" s="1019"/>
      <c r="I2696" s="1019"/>
      <c r="J2696" s="1019"/>
      <c r="K2696" s="1019"/>
      <c r="L2696" s="1019"/>
    </row>
    <row r="2697" spans="1:12" x14ac:dyDescent="0.35">
      <c r="A2697" s="1019"/>
      <c r="B2697" s="1019"/>
      <c r="C2697" s="1019"/>
      <c r="D2697" s="1019"/>
      <c r="E2697" s="1019"/>
      <c r="F2697" s="1019"/>
      <c r="G2697" s="1019"/>
      <c r="H2697" s="1019"/>
      <c r="I2697" s="1019"/>
      <c r="J2697" s="1019"/>
      <c r="K2697" s="1019"/>
      <c r="L2697" s="1019"/>
    </row>
    <row r="2698" spans="1:12" x14ac:dyDescent="0.35">
      <c r="A2698" s="1019"/>
      <c r="B2698" s="1019"/>
      <c r="C2698" s="1019"/>
      <c r="D2698" s="1019"/>
      <c r="E2698" s="1019"/>
      <c r="F2698" s="1019"/>
      <c r="G2698" s="1019"/>
      <c r="H2698" s="1019"/>
      <c r="I2698" s="1019"/>
      <c r="J2698" s="1019"/>
      <c r="K2698" s="1019"/>
      <c r="L2698" s="1019"/>
    </row>
    <row r="2699" spans="1:12" x14ac:dyDescent="0.35">
      <c r="A2699" s="1019"/>
      <c r="B2699" s="1019"/>
      <c r="C2699" s="1019"/>
      <c r="D2699" s="1019"/>
      <c r="E2699" s="1019"/>
      <c r="F2699" s="1019"/>
      <c r="G2699" s="1019"/>
      <c r="H2699" s="1019"/>
      <c r="I2699" s="1019"/>
      <c r="J2699" s="1019"/>
      <c r="K2699" s="1019"/>
      <c r="L2699" s="1019"/>
    </row>
    <row r="2700" spans="1:12" x14ac:dyDescent="0.35">
      <c r="A2700" s="1019"/>
      <c r="B2700" s="1019"/>
      <c r="C2700" s="1019"/>
      <c r="D2700" s="1019"/>
      <c r="E2700" s="1019"/>
      <c r="F2700" s="1019"/>
      <c r="G2700" s="1019"/>
      <c r="H2700" s="1019"/>
      <c r="I2700" s="1019"/>
      <c r="J2700" s="1019"/>
      <c r="K2700" s="1019"/>
      <c r="L2700" s="1019"/>
    </row>
    <row r="2701" spans="1:12" x14ac:dyDescent="0.35">
      <c r="A2701" s="1019"/>
      <c r="B2701" s="1019"/>
      <c r="C2701" s="1019"/>
      <c r="D2701" s="1019"/>
      <c r="E2701" s="1019"/>
      <c r="F2701" s="1019"/>
      <c r="G2701" s="1019"/>
      <c r="H2701" s="1019"/>
      <c r="I2701" s="1019"/>
      <c r="J2701" s="1019"/>
      <c r="K2701" s="1019"/>
      <c r="L2701" s="1019"/>
    </row>
    <row r="2702" spans="1:12" x14ac:dyDescent="0.35">
      <c r="A2702" s="1019"/>
      <c r="B2702" s="1019"/>
      <c r="C2702" s="1019"/>
      <c r="D2702" s="1019"/>
      <c r="E2702" s="1019"/>
      <c r="F2702" s="1019"/>
      <c r="G2702" s="1019"/>
      <c r="H2702" s="1019"/>
      <c r="I2702" s="1019"/>
      <c r="J2702" s="1019"/>
      <c r="K2702" s="1019"/>
      <c r="L2702" s="1019"/>
    </row>
    <row r="2703" spans="1:12" x14ac:dyDescent="0.35">
      <c r="A2703" s="1019"/>
      <c r="B2703" s="1019"/>
      <c r="C2703" s="1019"/>
      <c r="D2703" s="1019"/>
      <c r="E2703" s="1019"/>
      <c r="F2703" s="1019"/>
      <c r="G2703" s="1019"/>
      <c r="H2703" s="1019"/>
      <c r="I2703" s="1019"/>
      <c r="J2703" s="1019"/>
      <c r="K2703" s="1019"/>
      <c r="L2703" s="1019"/>
    </row>
    <row r="2704" spans="1:12" x14ac:dyDescent="0.35">
      <c r="A2704" s="1019"/>
      <c r="B2704" s="1019"/>
      <c r="C2704" s="1019"/>
      <c r="D2704" s="1019"/>
      <c r="E2704" s="1019"/>
      <c r="F2704" s="1019"/>
      <c r="G2704" s="1019"/>
      <c r="H2704" s="1019"/>
      <c r="I2704" s="1019"/>
      <c r="J2704" s="1019"/>
      <c r="K2704" s="1019"/>
      <c r="L2704" s="1019"/>
    </row>
    <row r="2705" spans="1:12" x14ac:dyDescent="0.35">
      <c r="A2705" s="1019"/>
      <c r="B2705" s="1019"/>
      <c r="C2705" s="1019"/>
      <c r="D2705" s="1019"/>
      <c r="E2705" s="1019"/>
      <c r="F2705" s="1019"/>
      <c r="G2705" s="1019"/>
      <c r="H2705" s="1019"/>
      <c r="I2705" s="1019"/>
      <c r="J2705" s="1019"/>
      <c r="K2705" s="1019"/>
      <c r="L2705" s="1019"/>
    </row>
    <row r="2706" spans="1:12" x14ac:dyDescent="0.35">
      <c r="A2706" s="1019"/>
      <c r="B2706" s="1019"/>
      <c r="C2706" s="1019"/>
      <c r="D2706" s="1019"/>
      <c r="E2706" s="1019"/>
      <c r="F2706" s="1019"/>
      <c r="G2706" s="1019"/>
      <c r="H2706" s="1019"/>
      <c r="I2706" s="1019"/>
      <c r="J2706" s="1019"/>
      <c r="K2706" s="1019"/>
      <c r="L2706" s="1019"/>
    </row>
    <row r="2707" spans="1:12" x14ac:dyDescent="0.35">
      <c r="A2707" s="1019"/>
      <c r="B2707" s="1019"/>
      <c r="C2707" s="1019"/>
      <c r="D2707" s="1019"/>
      <c r="E2707" s="1019"/>
      <c r="F2707" s="1019"/>
      <c r="G2707" s="1019"/>
      <c r="H2707" s="1019"/>
      <c r="I2707" s="1019"/>
      <c r="J2707" s="1019"/>
      <c r="K2707" s="1019"/>
      <c r="L2707" s="1019"/>
    </row>
    <row r="2708" spans="1:12" x14ac:dyDescent="0.35">
      <c r="A2708" s="1019"/>
      <c r="B2708" s="1019"/>
      <c r="C2708" s="1019"/>
      <c r="D2708" s="1019"/>
      <c r="E2708" s="1019"/>
      <c r="F2708" s="1019"/>
      <c r="G2708" s="1019"/>
      <c r="H2708" s="1019"/>
      <c r="I2708" s="1019"/>
      <c r="J2708" s="1019"/>
      <c r="K2708" s="1019"/>
      <c r="L2708" s="1019"/>
    </row>
    <row r="2709" spans="1:12" x14ac:dyDescent="0.35">
      <c r="A2709" s="1019"/>
      <c r="B2709" s="1019"/>
      <c r="C2709" s="1019"/>
      <c r="D2709" s="1019"/>
      <c r="E2709" s="1019"/>
      <c r="F2709" s="1019"/>
      <c r="G2709" s="1019"/>
      <c r="H2709" s="1019"/>
      <c r="I2709" s="1019"/>
      <c r="J2709" s="1019"/>
      <c r="K2709" s="1019"/>
      <c r="L2709" s="1019"/>
    </row>
    <row r="2710" spans="1:12" x14ac:dyDescent="0.35">
      <c r="A2710" s="1019"/>
      <c r="B2710" s="1019"/>
      <c r="C2710" s="1019"/>
      <c r="D2710" s="1019"/>
      <c r="E2710" s="1019"/>
      <c r="F2710" s="1019"/>
      <c r="G2710" s="1019"/>
      <c r="H2710" s="1019"/>
      <c r="I2710" s="1019"/>
      <c r="J2710" s="1019"/>
      <c r="K2710" s="1019"/>
      <c r="L2710" s="1019"/>
    </row>
    <row r="2711" spans="1:12" x14ac:dyDescent="0.35">
      <c r="A2711" s="1019"/>
      <c r="B2711" s="1019"/>
      <c r="C2711" s="1019"/>
      <c r="D2711" s="1019"/>
      <c r="E2711" s="1019"/>
      <c r="F2711" s="1019"/>
      <c r="G2711" s="1019"/>
      <c r="H2711" s="1019"/>
      <c r="I2711" s="1019"/>
      <c r="J2711" s="1019"/>
      <c r="K2711" s="1019"/>
      <c r="L2711" s="1019"/>
    </row>
    <row r="2712" spans="1:12" x14ac:dyDescent="0.35">
      <c r="A2712" s="1019"/>
      <c r="B2712" s="1019"/>
      <c r="C2712" s="1019"/>
      <c r="D2712" s="1019"/>
      <c r="E2712" s="1019"/>
      <c r="F2712" s="1019"/>
      <c r="G2712" s="1019"/>
      <c r="H2712" s="1019"/>
      <c r="I2712" s="1019"/>
      <c r="J2712" s="1019"/>
      <c r="K2712" s="1019"/>
      <c r="L2712" s="1019"/>
    </row>
    <row r="2713" spans="1:12" x14ac:dyDescent="0.35">
      <c r="A2713" s="1019"/>
      <c r="B2713" s="1019"/>
      <c r="C2713" s="1019"/>
      <c r="D2713" s="1019"/>
      <c r="E2713" s="1019"/>
      <c r="F2713" s="1019"/>
      <c r="G2713" s="1019"/>
      <c r="H2713" s="1019"/>
      <c r="I2713" s="1019"/>
      <c r="J2713" s="1019"/>
      <c r="K2713" s="1019"/>
      <c r="L2713" s="1019"/>
    </row>
    <row r="2714" spans="1:12" x14ac:dyDescent="0.35">
      <c r="A2714" s="1019"/>
      <c r="B2714" s="1019"/>
      <c r="C2714" s="1019"/>
      <c r="D2714" s="1019"/>
      <c r="E2714" s="1019"/>
      <c r="F2714" s="1019"/>
      <c r="G2714" s="1019"/>
      <c r="H2714" s="1019"/>
      <c r="I2714" s="1019"/>
      <c r="J2714" s="1019"/>
      <c r="K2714" s="1019"/>
      <c r="L2714" s="1019"/>
    </row>
    <row r="2715" spans="1:12" x14ac:dyDescent="0.35">
      <c r="A2715" s="1019"/>
      <c r="B2715" s="1019"/>
      <c r="C2715" s="1019"/>
      <c r="D2715" s="1019"/>
      <c r="E2715" s="1019"/>
      <c r="F2715" s="1019"/>
      <c r="G2715" s="1019"/>
      <c r="H2715" s="1019"/>
      <c r="I2715" s="1019"/>
      <c r="J2715" s="1019"/>
      <c r="K2715" s="1019"/>
      <c r="L2715" s="1019"/>
    </row>
    <row r="2716" spans="1:12" x14ac:dyDescent="0.35">
      <c r="A2716" s="1019"/>
      <c r="B2716" s="1019"/>
      <c r="C2716" s="1019"/>
      <c r="D2716" s="1019"/>
      <c r="E2716" s="1019"/>
      <c r="F2716" s="1019"/>
      <c r="G2716" s="1019"/>
      <c r="H2716" s="1019"/>
      <c r="I2716" s="1019"/>
      <c r="J2716" s="1019"/>
      <c r="K2716" s="1019"/>
      <c r="L2716" s="1019"/>
    </row>
    <row r="2717" spans="1:12" x14ac:dyDescent="0.35">
      <c r="A2717" s="1019"/>
      <c r="B2717" s="1019"/>
      <c r="C2717" s="1019"/>
      <c r="D2717" s="1019"/>
      <c r="E2717" s="1019"/>
      <c r="F2717" s="1019"/>
      <c r="G2717" s="1019"/>
      <c r="H2717" s="1019"/>
      <c r="I2717" s="1019"/>
      <c r="J2717" s="1019"/>
      <c r="K2717" s="1019"/>
      <c r="L2717" s="1019"/>
    </row>
    <row r="2718" spans="1:12" x14ac:dyDescent="0.35">
      <c r="A2718" s="1019"/>
      <c r="B2718" s="1019"/>
      <c r="C2718" s="1019"/>
      <c r="D2718" s="1019"/>
      <c r="E2718" s="1019"/>
      <c r="F2718" s="1019"/>
      <c r="G2718" s="1019"/>
      <c r="H2718" s="1019"/>
      <c r="I2718" s="1019"/>
      <c r="J2718" s="1019"/>
      <c r="K2718" s="1019"/>
      <c r="L2718" s="1019"/>
    </row>
    <row r="2719" spans="1:12" x14ac:dyDescent="0.35">
      <c r="A2719" s="1019"/>
      <c r="B2719" s="1019"/>
      <c r="C2719" s="1019"/>
      <c r="D2719" s="1019"/>
      <c r="E2719" s="1019"/>
      <c r="F2719" s="1019"/>
      <c r="G2719" s="1019"/>
      <c r="H2719" s="1019"/>
      <c r="I2719" s="1019"/>
      <c r="J2719" s="1019"/>
      <c r="K2719" s="1019"/>
      <c r="L2719" s="1019"/>
    </row>
    <row r="2720" spans="1:12" x14ac:dyDescent="0.35">
      <c r="A2720" s="1019"/>
      <c r="B2720" s="1019"/>
      <c r="C2720" s="1019"/>
      <c r="D2720" s="1019"/>
      <c r="E2720" s="1019"/>
      <c r="F2720" s="1019"/>
      <c r="G2720" s="1019"/>
      <c r="H2720" s="1019"/>
      <c r="I2720" s="1019"/>
      <c r="J2720" s="1019"/>
      <c r="K2720" s="1019"/>
      <c r="L2720" s="1019"/>
    </row>
    <row r="2721" spans="1:12" x14ac:dyDescent="0.35">
      <c r="A2721" s="1019"/>
      <c r="B2721" s="1019"/>
      <c r="C2721" s="1019"/>
      <c r="D2721" s="1019"/>
      <c r="E2721" s="1019"/>
      <c r="F2721" s="1019"/>
      <c r="G2721" s="1019"/>
      <c r="H2721" s="1019"/>
      <c r="I2721" s="1019"/>
      <c r="J2721" s="1019"/>
      <c r="K2721" s="1019"/>
      <c r="L2721" s="1019"/>
    </row>
    <row r="2722" spans="1:12" x14ac:dyDescent="0.35">
      <c r="A2722" s="1019"/>
      <c r="B2722" s="1019"/>
      <c r="C2722" s="1019"/>
      <c r="D2722" s="1019"/>
      <c r="E2722" s="1019"/>
      <c r="F2722" s="1019"/>
      <c r="G2722" s="1019"/>
      <c r="H2722" s="1019"/>
      <c r="I2722" s="1019"/>
      <c r="J2722" s="1019"/>
      <c r="K2722" s="1019"/>
      <c r="L2722" s="1019"/>
    </row>
  </sheetData>
  <mergeCells count="9">
    <mergeCell ref="E11:K11"/>
    <mergeCell ref="A2:L2"/>
    <mergeCell ref="K173:K174"/>
    <mergeCell ref="E173:E174"/>
    <mergeCell ref="F173:F174"/>
    <mergeCell ref="G173:G174"/>
    <mergeCell ref="H173:H174"/>
    <mergeCell ref="I173:I174"/>
    <mergeCell ref="J173:J174"/>
  </mergeCells>
  <phoneticPr fontId="174"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211"/>
  <sheetViews>
    <sheetView topLeftCell="A42" workbookViewId="0">
      <selection activeCell="D58" sqref="D58"/>
    </sheetView>
  </sheetViews>
  <sheetFormatPr defaultColWidth="9.1796875" defaultRowHeight="13" outlineLevelRow="1" x14ac:dyDescent="0.35"/>
  <cols>
    <col min="1" max="1" width="6.54296875" style="1143" customWidth="1"/>
    <col min="2" max="2" width="6.7265625" style="1143" customWidth="1"/>
    <col min="3" max="3" width="44.453125" style="1144" customWidth="1"/>
    <col min="4" max="4" width="18.54296875" style="1145" customWidth="1"/>
    <col min="5" max="5" width="18.1796875" style="1146" customWidth="1"/>
    <col min="6" max="6" width="26.54296875" style="1147" customWidth="1"/>
    <col min="7" max="7" width="21.453125" style="1147" customWidth="1"/>
    <col min="8" max="8" width="18.7265625" style="1147" customWidth="1"/>
    <col min="9" max="9" width="16.81640625" style="1147" customWidth="1"/>
    <col min="10" max="10" width="3.26953125" style="1147" customWidth="1"/>
    <col min="11" max="11" width="31.7265625" style="1147" customWidth="1"/>
    <col min="12" max="12" width="11.81640625" style="1147" customWidth="1"/>
    <col min="13" max="13" width="12.26953125" style="1147" customWidth="1"/>
    <col min="14" max="14" width="12.453125" style="1147" customWidth="1"/>
    <col min="15" max="15" width="11" style="1147" customWidth="1"/>
    <col min="16" max="16" width="12.1796875" style="1147" customWidth="1"/>
    <col min="17" max="17" width="10.26953125" style="1147" customWidth="1"/>
    <col min="18" max="18" width="10.7265625" style="1147" customWidth="1"/>
    <col min="19" max="19" width="12.1796875" style="1147" customWidth="1"/>
    <col min="20" max="20" width="11" style="1147" customWidth="1"/>
    <col min="21" max="21" width="10.7265625" style="1147" customWidth="1"/>
    <col min="22" max="22" width="12.1796875" style="1147" customWidth="1"/>
    <col min="23" max="23" width="10.453125" style="1147" customWidth="1"/>
    <col min="24" max="24" width="10.7265625" style="1147" customWidth="1"/>
    <col min="25" max="25" width="10.54296875" style="1147" customWidth="1"/>
    <col min="26" max="26" width="9.1796875" style="1147"/>
    <col min="27" max="27" width="12.453125" style="1147" customWidth="1"/>
    <col min="28" max="16384" width="9.1796875" style="1147"/>
  </cols>
  <sheetData>
    <row r="1" spans="1:27" ht="5.25" customHeight="1" x14ac:dyDescent="0.35"/>
    <row r="2" spans="1:27" s="464" customFormat="1" ht="14" x14ac:dyDescent="0.35">
      <c r="A2" s="3425" t="str">
        <f>NRC!B2</f>
        <v>PESANTREN ISLAM AL-IRSYAD TENGARAN 6 BONDOWOSO</v>
      </c>
      <c r="B2" s="3425"/>
      <c r="C2" s="3425"/>
      <c r="D2" s="3425"/>
      <c r="E2" s="3425"/>
      <c r="F2" s="3425"/>
    </row>
    <row r="3" spans="1:27" s="1153" customFormat="1" ht="6" customHeight="1" x14ac:dyDescent="0.35">
      <c r="A3" s="1148"/>
      <c r="B3" s="1149"/>
      <c r="C3" s="1150"/>
      <c r="D3" s="1151"/>
      <c r="E3" s="1152"/>
    </row>
    <row r="4" spans="1:27" s="1153" customFormat="1" ht="14" x14ac:dyDescent="0.35">
      <c r="A4" s="3795" t="s">
        <v>2596</v>
      </c>
      <c r="B4" s="3795"/>
      <c r="C4" s="3796"/>
      <c r="D4" s="3795"/>
      <c r="E4" s="3795"/>
      <c r="F4" s="3795"/>
    </row>
    <row r="5" spans="1:27" s="1153" customFormat="1" ht="14" x14ac:dyDescent="0.35">
      <c r="A5" s="1154" t="s">
        <v>2597</v>
      </c>
      <c r="B5" s="1154"/>
      <c r="C5" s="1155"/>
      <c r="D5" s="1156"/>
      <c r="E5" s="1157"/>
      <c r="F5" s="1158" t="s">
        <v>2598</v>
      </c>
    </row>
    <row r="6" spans="1:27" s="1153" customFormat="1" ht="14" x14ac:dyDescent="0.35">
      <c r="A6" s="3797" t="str">
        <f>NRC!B5</f>
        <v>30 June 2026</v>
      </c>
      <c r="B6" s="3797"/>
      <c r="C6" s="3798"/>
      <c r="D6" s="1156"/>
      <c r="E6" s="1157"/>
      <c r="F6" s="1160">
        <f>NRC!I5</f>
        <v>46203</v>
      </c>
    </row>
    <row r="7" spans="1:27" s="1153" customFormat="1" ht="14" x14ac:dyDescent="0.35">
      <c r="A7" s="1161" t="str">
        <f>NRC!C6</f>
        <v>(Dengan perbandingan informasi keuangan untuk bulan yang berakhir 31 May 2026 /</v>
      </c>
      <c r="B7" s="1161"/>
      <c r="C7" s="1155"/>
      <c r="D7" s="1156"/>
      <c r="F7" s="1162" t="str">
        <f>NRC!K6</f>
        <v>With Comparative financial information for the month ended May 31, 2026 )</v>
      </c>
    </row>
    <row r="8" spans="1:27" s="1153" customFormat="1" ht="14" x14ac:dyDescent="0.35">
      <c r="A8" s="1161" t="str">
        <f>+[12]NRC!B7</f>
        <v>(Disajikan dalam rupiah)</v>
      </c>
      <c r="B8" s="1163"/>
      <c r="C8" s="1164"/>
      <c r="D8" s="1151"/>
      <c r="E8" s="1152"/>
      <c r="F8" s="1162" t="str">
        <f>+[12]NRC!J7</f>
        <v xml:space="preserve"> (Expressed in rupiah)</v>
      </c>
      <c r="G8" s="1165"/>
    </row>
    <row r="9" spans="1:27" ht="15" customHeight="1" outlineLevel="1" x14ac:dyDescent="0.35">
      <c r="A9" s="1163" t="s">
        <v>531</v>
      </c>
      <c r="B9" s="1166"/>
      <c r="C9" s="1167"/>
      <c r="E9" s="1145"/>
      <c r="F9" s="470" t="s">
        <v>532</v>
      </c>
      <c r="G9" s="1168"/>
    </row>
    <row r="10" spans="1:27" ht="18" customHeight="1" thickBot="1" x14ac:dyDescent="0.4">
      <c r="A10" s="1169"/>
      <c r="B10" s="1166"/>
      <c r="C10" s="1167"/>
      <c r="F10" s="179"/>
      <c r="G10" s="1168"/>
    </row>
    <row r="11" spans="1:27" ht="16.5" customHeight="1" x14ac:dyDescent="0.35">
      <c r="A11" s="1170" t="s">
        <v>2599</v>
      </c>
      <c r="B11" s="3799" t="s">
        <v>2600</v>
      </c>
      <c r="C11" s="3800"/>
      <c r="D11" s="1171" t="str">
        <f>NRC!E9</f>
        <v>30 June 2026/</v>
      </c>
      <c r="E11" s="1172" t="str">
        <f>NRC!G9</f>
        <v>31 May 2026/</v>
      </c>
      <c r="F11" s="1173" t="s">
        <v>2601</v>
      </c>
      <c r="J11" s="1174" t="s">
        <v>2602</v>
      </c>
      <c r="K11" s="1175" t="s">
        <v>2603</v>
      </c>
      <c r="L11" s="1175" t="s">
        <v>2604</v>
      </c>
      <c r="M11" s="1175" t="s">
        <v>2430</v>
      </c>
      <c r="N11" s="1175" t="s">
        <v>2431</v>
      </c>
      <c r="O11" s="1175" t="s">
        <v>904</v>
      </c>
      <c r="P11" s="3788" t="s">
        <v>2432</v>
      </c>
      <c r="Q11" s="3788"/>
      <c r="R11" s="3788"/>
      <c r="S11" s="3788" t="s">
        <v>2433</v>
      </c>
      <c r="T11" s="3788"/>
      <c r="U11" s="3788"/>
      <c r="V11" s="3788" t="s">
        <v>2434</v>
      </c>
      <c r="W11" s="3788"/>
      <c r="X11" s="3788"/>
      <c r="Y11" s="1176"/>
      <c r="Z11" s="1176"/>
      <c r="AA11" s="1177" t="s">
        <v>904</v>
      </c>
    </row>
    <row r="12" spans="1:27" s="1182" customFormat="1" ht="21.75" customHeight="1" thickBot="1" x14ac:dyDescent="0.4">
      <c r="A12" s="1178" t="s">
        <v>2599</v>
      </c>
      <c r="B12" s="3789" t="s">
        <v>2605</v>
      </c>
      <c r="C12" s="3790"/>
      <c r="D12" s="1179">
        <f>NRC!E10</f>
        <v>46203</v>
      </c>
      <c r="E12" s="1180">
        <f>NRC!G10</f>
        <v>46173</v>
      </c>
      <c r="F12" s="1181" t="s">
        <v>2606</v>
      </c>
      <c r="J12" s="1183"/>
      <c r="K12" s="1184"/>
      <c r="L12" s="1184"/>
      <c r="M12" s="1184"/>
      <c r="N12" s="1184"/>
      <c r="O12" s="1184"/>
      <c r="P12" s="1185"/>
      <c r="Q12" s="1185"/>
      <c r="R12" s="1185"/>
      <c r="S12" s="1185"/>
      <c r="T12" s="1185"/>
      <c r="U12" s="1185"/>
      <c r="V12" s="1185"/>
      <c r="W12" s="1185"/>
      <c r="X12" s="1185"/>
      <c r="Y12" s="1186"/>
      <c r="Z12" s="1186"/>
      <c r="AA12" s="1187"/>
    </row>
    <row r="13" spans="1:27" ht="17.25" customHeight="1" outlineLevel="1" x14ac:dyDescent="0.35">
      <c r="A13" s="1188" t="s">
        <v>533</v>
      </c>
      <c r="B13" s="1189" t="s">
        <v>2607</v>
      </c>
      <c r="C13" s="1190"/>
      <c r="D13" s="110"/>
      <c r="E13" s="1191"/>
      <c r="F13" s="1192"/>
      <c r="J13" s="1193"/>
      <c r="K13" s="1194"/>
      <c r="L13" s="1194"/>
      <c r="M13" s="1194"/>
      <c r="N13" s="1194"/>
      <c r="O13" s="1194"/>
      <c r="P13" s="1194"/>
      <c r="Q13" s="1194"/>
      <c r="R13" s="1194"/>
      <c r="S13" s="1194"/>
      <c r="T13" s="1194"/>
      <c r="U13" s="1194"/>
      <c r="V13" s="1194"/>
      <c r="W13" s="1194"/>
      <c r="X13" s="1194"/>
      <c r="Y13" s="1195"/>
      <c r="Z13" s="1195"/>
      <c r="AA13" s="1196"/>
    </row>
    <row r="14" spans="1:27" ht="17.25" customHeight="1" outlineLevel="1" x14ac:dyDescent="0.35">
      <c r="A14" s="1188"/>
      <c r="B14" s="1189" t="s">
        <v>7342</v>
      </c>
      <c r="C14" s="1190"/>
      <c r="D14" s="110"/>
      <c r="E14" s="2945"/>
      <c r="F14" s="1192"/>
      <c r="J14" s="1193"/>
      <c r="K14" s="1194"/>
      <c r="L14" s="1194"/>
      <c r="M14" s="1194"/>
      <c r="N14" s="1194"/>
      <c r="O14" s="1194"/>
      <c r="P14" s="1194"/>
      <c r="Q14" s="1194"/>
      <c r="R14" s="1194"/>
      <c r="S14" s="1194"/>
      <c r="T14" s="1194"/>
      <c r="U14" s="1194"/>
      <c r="V14" s="1194"/>
      <c r="W14" s="1194"/>
      <c r="X14" s="1194"/>
      <c r="Y14" s="1195"/>
      <c r="Z14" s="1195"/>
      <c r="AA14" s="1196"/>
    </row>
    <row r="15" spans="1:27" ht="14.25" customHeight="1" x14ac:dyDescent="0.35">
      <c r="A15" s="1197"/>
      <c r="B15" s="1198">
        <v>1</v>
      </c>
      <c r="C15" s="1895" t="s">
        <v>7564</v>
      </c>
      <c r="D15" s="3111">
        <v>0</v>
      </c>
      <c r="E15" s="335">
        <v>300000</v>
      </c>
      <c r="F15" s="1199"/>
      <c r="J15" s="1193"/>
      <c r="K15" s="1194"/>
      <c r="L15" s="1194"/>
      <c r="M15" s="1194"/>
      <c r="N15" s="1900"/>
      <c r="O15" s="1901"/>
      <c r="P15" s="1194"/>
      <c r="Q15" s="1194"/>
      <c r="R15" s="1194"/>
      <c r="S15" s="1194"/>
      <c r="T15" s="1194"/>
      <c r="U15" s="1194"/>
      <c r="V15" s="1194"/>
      <c r="W15" s="1194"/>
      <c r="X15" s="1194"/>
      <c r="Y15" s="1195"/>
      <c r="Z15" s="1195"/>
      <c r="AA15" s="1196"/>
    </row>
    <row r="16" spans="1:27" ht="14.25" customHeight="1" x14ac:dyDescent="0.35">
      <c r="A16" s="1197"/>
      <c r="B16" s="1198">
        <v>2</v>
      </c>
      <c r="C16" s="1895" t="s">
        <v>7141</v>
      </c>
      <c r="D16" s="3111">
        <v>0</v>
      </c>
      <c r="E16" s="335">
        <v>2400000</v>
      </c>
      <c r="F16" s="1199"/>
      <c r="J16" s="1193"/>
      <c r="K16" s="1194"/>
      <c r="L16" s="1194"/>
      <c r="M16" s="1194"/>
      <c r="N16" s="3132"/>
      <c r="O16" s="3133"/>
      <c r="P16" s="1194"/>
      <c r="Q16" s="1194"/>
      <c r="R16" s="1194"/>
      <c r="S16" s="1194"/>
      <c r="T16" s="1194"/>
      <c r="U16" s="1194"/>
      <c r="V16" s="1194"/>
      <c r="W16" s="1194"/>
      <c r="X16" s="1194"/>
      <c r="Y16" s="1195"/>
      <c r="Z16" s="1195"/>
      <c r="AA16" s="1196"/>
    </row>
    <row r="17" spans="1:27" ht="14.25" customHeight="1" x14ac:dyDescent="0.35">
      <c r="A17" s="1197"/>
      <c r="B17" s="1198">
        <v>3</v>
      </c>
      <c r="C17" s="1895" t="s">
        <v>8183</v>
      </c>
      <c r="D17" s="3111">
        <v>0</v>
      </c>
      <c r="E17" s="335">
        <v>1000000</v>
      </c>
      <c r="F17" s="1199"/>
      <c r="J17" s="1193"/>
      <c r="K17" s="1194"/>
      <c r="L17" s="1194"/>
      <c r="M17" s="1194"/>
      <c r="N17" s="3132"/>
      <c r="O17" s="3133"/>
      <c r="P17" s="1194"/>
      <c r="Q17" s="1194"/>
      <c r="R17" s="1194"/>
      <c r="S17" s="1194"/>
      <c r="T17" s="1194"/>
      <c r="U17" s="1194"/>
      <c r="V17" s="1194"/>
      <c r="W17" s="1194"/>
      <c r="X17" s="1194"/>
      <c r="Y17" s="1195"/>
      <c r="Z17" s="1195"/>
      <c r="AA17" s="1196"/>
    </row>
    <row r="18" spans="1:27" ht="14.25" customHeight="1" x14ac:dyDescent="0.35">
      <c r="A18" s="1197"/>
      <c r="B18" s="1198">
        <v>4</v>
      </c>
      <c r="C18" s="1895" t="s">
        <v>7554</v>
      </c>
      <c r="D18" s="3111">
        <v>241666.66666666698</v>
      </c>
      <c r="E18" s="335">
        <v>483333.33333333349</v>
      </c>
      <c r="F18" s="1199"/>
      <c r="J18" s="1193"/>
      <c r="K18" s="1194"/>
      <c r="L18" s="1194"/>
      <c r="M18" s="1194"/>
      <c r="N18" s="1900"/>
      <c r="O18" s="1901"/>
      <c r="P18" s="1194"/>
      <c r="Q18" s="1194"/>
      <c r="R18" s="1194"/>
      <c r="S18" s="1194"/>
      <c r="T18" s="1194"/>
      <c r="U18" s="1194"/>
      <c r="V18" s="1194"/>
      <c r="W18" s="1194"/>
      <c r="X18" s="1194"/>
      <c r="Y18" s="1195"/>
      <c r="Z18" s="1195"/>
      <c r="AA18" s="1196"/>
    </row>
    <row r="19" spans="1:27" ht="14.25" customHeight="1" x14ac:dyDescent="0.35">
      <c r="A19" s="1197"/>
      <c r="B19" s="1198">
        <v>5</v>
      </c>
      <c r="C19" s="1895" t="s">
        <v>7951</v>
      </c>
      <c r="D19" s="3111">
        <v>750000</v>
      </c>
      <c r="E19" s="335">
        <v>1000000</v>
      </c>
      <c r="F19" s="1199"/>
      <c r="J19" s="1193"/>
      <c r="K19" s="1194"/>
      <c r="L19" s="1194"/>
      <c r="M19" s="1194"/>
      <c r="N19" s="1900"/>
      <c r="O19" s="1901"/>
      <c r="P19" s="1194"/>
      <c r="Q19" s="1194"/>
      <c r="R19" s="1194"/>
      <c r="S19" s="1194"/>
      <c r="T19" s="1194"/>
      <c r="U19" s="1194"/>
      <c r="V19" s="1194"/>
      <c r="W19" s="1194"/>
      <c r="X19" s="1194"/>
      <c r="Y19" s="1195"/>
      <c r="Z19" s="1195"/>
      <c r="AA19" s="1196"/>
    </row>
    <row r="20" spans="1:27" ht="14.25" customHeight="1" x14ac:dyDescent="0.35">
      <c r="A20" s="1197"/>
      <c r="B20" s="1198">
        <v>6</v>
      </c>
      <c r="C20" s="1895" t="s">
        <v>7142</v>
      </c>
      <c r="D20" s="3111">
        <v>250000</v>
      </c>
      <c r="E20" s="335">
        <v>1000000</v>
      </c>
      <c r="F20" s="1199"/>
      <c r="J20" s="1193"/>
      <c r="K20" s="1194"/>
      <c r="L20" s="1194"/>
      <c r="M20" s="1194"/>
      <c r="N20" s="3132"/>
      <c r="O20" s="3133"/>
      <c r="P20" s="1194"/>
      <c r="Q20" s="1194"/>
      <c r="R20" s="1194"/>
      <c r="S20" s="1194"/>
      <c r="T20" s="1194"/>
      <c r="U20" s="1194"/>
      <c r="V20" s="1194"/>
      <c r="W20" s="1194"/>
      <c r="X20" s="1194"/>
      <c r="Y20" s="1195"/>
      <c r="Z20" s="1195"/>
      <c r="AA20" s="1196"/>
    </row>
    <row r="21" spans="1:27" ht="14.25" customHeight="1" x14ac:dyDescent="0.35">
      <c r="A21" s="1197"/>
      <c r="B21" s="1198">
        <v>7</v>
      </c>
      <c r="C21" s="1895" t="s">
        <v>7990</v>
      </c>
      <c r="D21" s="3111">
        <v>1250000</v>
      </c>
      <c r="E21" s="335">
        <v>1500000</v>
      </c>
      <c r="F21" s="1199"/>
      <c r="J21" s="1193"/>
      <c r="K21" s="1194"/>
      <c r="L21" s="1194"/>
      <c r="M21" s="1194"/>
      <c r="N21" s="3132"/>
      <c r="O21" s="3133"/>
      <c r="P21" s="1194"/>
      <c r="Q21" s="1194"/>
      <c r="R21" s="1194"/>
      <c r="S21" s="1194"/>
      <c r="T21" s="1194"/>
      <c r="U21" s="1194"/>
      <c r="V21" s="1194"/>
      <c r="W21" s="1194"/>
      <c r="X21" s="1194"/>
      <c r="Y21" s="1195"/>
      <c r="Z21" s="1195"/>
      <c r="AA21" s="1196"/>
    </row>
    <row r="22" spans="1:27" ht="14.25" customHeight="1" x14ac:dyDescent="0.35">
      <c r="A22" s="1197"/>
      <c r="B22" s="1198">
        <v>8</v>
      </c>
      <c r="C22" s="1895" t="s">
        <v>7666</v>
      </c>
      <c r="D22" s="3111">
        <v>1083333.3333333333</v>
      </c>
      <c r="E22" s="335">
        <v>1300000</v>
      </c>
      <c r="F22" s="1199"/>
      <c r="J22" s="1193"/>
      <c r="K22" s="1194"/>
      <c r="L22" s="1194"/>
      <c r="M22" s="1194"/>
      <c r="N22" s="3132"/>
      <c r="O22" s="3133"/>
      <c r="P22" s="1194"/>
      <c r="Q22" s="1194"/>
      <c r="R22" s="1194"/>
      <c r="S22" s="1194"/>
      <c r="T22" s="1194"/>
      <c r="U22" s="1194"/>
      <c r="V22" s="1194"/>
      <c r="W22" s="1194"/>
      <c r="X22" s="1194"/>
      <c r="Y22" s="1195"/>
      <c r="Z22" s="1195"/>
      <c r="AA22" s="1196"/>
    </row>
    <row r="23" spans="1:27" ht="14.25" customHeight="1" x14ac:dyDescent="0.35">
      <c r="A23" s="1197"/>
      <c r="B23" s="1198">
        <v>9</v>
      </c>
      <c r="C23" s="1895" t="s">
        <v>7998</v>
      </c>
      <c r="D23" s="3111">
        <v>1666666.666666667</v>
      </c>
      <c r="E23" s="335">
        <v>2000000.0000000002</v>
      </c>
      <c r="F23" s="1199"/>
      <c r="J23" s="1193"/>
      <c r="K23" s="1194"/>
      <c r="L23" s="1194"/>
      <c r="M23" s="1194"/>
      <c r="N23" s="3132"/>
      <c r="O23" s="3133"/>
      <c r="P23" s="1194"/>
      <c r="Q23" s="1194"/>
      <c r="R23" s="1194"/>
      <c r="S23" s="1194"/>
      <c r="T23" s="1194"/>
      <c r="U23" s="1194"/>
      <c r="V23" s="1194"/>
      <c r="W23" s="1194"/>
      <c r="X23" s="1194"/>
      <c r="Y23" s="1195"/>
      <c r="Z23" s="1195"/>
      <c r="AA23" s="1196"/>
    </row>
    <row r="24" spans="1:27" ht="14.25" customHeight="1" x14ac:dyDescent="0.35">
      <c r="A24" s="1197"/>
      <c r="B24" s="1198">
        <v>10</v>
      </c>
      <c r="C24" s="1895" t="s">
        <v>7999</v>
      </c>
      <c r="D24" s="3111">
        <v>1000000</v>
      </c>
      <c r="E24" s="335">
        <v>2000000</v>
      </c>
      <c r="F24" s="1199"/>
      <c r="J24" s="1193"/>
      <c r="K24" s="1194"/>
      <c r="L24" s="1194"/>
      <c r="M24" s="1194"/>
      <c r="N24" s="3132"/>
      <c r="O24" s="3133"/>
      <c r="P24" s="1194"/>
      <c r="Q24" s="1194"/>
      <c r="R24" s="1194"/>
      <c r="S24" s="1194"/>
      <c r="T24" s="1194"/>
      <c r="U24" s="1194"/>
      <c r="V24" s="1194"/>
      <c r="W24" s="1194"/>
      <c r="X24" s="1194"/>
      <c r="Y24" s="1195"/>
      <c r="Z24" s="1195"/>
      <c r="AA24" s="1196"/>
    </row>
    <row r="25" spans="1:27" ht="14.25" customHeight="1" x14ac:dyDescent="0.35">
      <c r="A25" s="1197"/>
      <c r="B25" s="1198">
        <v>11</v>
      </c>
      <c r="C25" s="1895" t="s">
        <v>7685</v>
      </c>
      <c r="D25" s="3111">
        <v>4000000</v>
      </c>
      <c r="E25" s="335">
        <v>5000000</v>
      </c>
      <c r="F25" s="1199"/>
      <c r="J25" s="1193"/>
      <c r="K25" s="1194"/>
      <c r="L25" s="1194"/>
      <c r="M25" s="1194"/>
      <c r="N25" s="3132"/>
      <c r="O25" s="3133"/>
      <c r="P25" s="1194"/>
      <c r="Q25" s="1194"/>
      <c r="R25" s="1194"/>
      <c r="S25" s="1194"/>
      <c r="T25" s="1194"/>
      <c r="U25" s="1194"/>
      <c r="V25" s="1194"/>
      <c r="W25" s="1194"/>
      <c r="X25" s="1194"/>
      <c r="Y25" s="1195"/>
      <c r="Z25" s="1195"/>
      <c r="AA25" s="1196"/>
    </row>
    <row r="26" spans="1:27" ht="14.25" customHeight="1" x14ac:dyDescent="0.35">
      <c r="A26" s="1197"/>
      <c r="B26" s="1198">
        <v>12</v>
      </c>
      <c r="C26" s="1895" t="s">
        <v>8066</v>
      </c>
      <c r="D26" s="3111">
        <v>3500000</v>
      </c>
      <c r="E26" s="335">
        <v>4000000</v>
      </c>
      <c r="F26" s="1199"/>
      <c r="J26" s="1193"/>
      <c r="K26" s="1194"/>
      <c r="L26" s="1194"/>
      <c r="M26" s="1194"/>
      <c r="N26" s="3132"/>
      <c r="O26" s="3133"/>
      <c r="P26" s="1194"/>
      <c r="Q26" s="1194"/>
      <c r="R26" s="1194"/>
      <c r="S26" s="1194"/>
      <c r="T26" s="1194"/>
      <c r="U26" s="1194"/>
      <c r="V26" s="1194"/>
      <c r="W26" s="1194"/>
      <c r="X26" s="1194"/>
      <c r="Y26" s="1195"/>
      <c r="Z26" s="1195"/>
      <c r="AA26" s="1196"/>
    </row>
    <row r="27" spans="1:27" ht="14.25" customHeight="1" x14ac:dyDescent="0.35">
      <c r="A27" s="1197"/>
      <c r="B27" s="1198">
        <v>13</v>
      </c>
      <c r="C27" s="1895" t="s">
        <v>7345</v>
      </c>
      <c r="D27" s="3111">
        <v>1800000</v>
      </c>
      <c r="E27" s="335">
        <v>2100000</v>
      </c>
      <c r="F27" s="1199"/>
      <c r="J27" s="1193"/>
      <c r="K27" s="1194"/>
      <c r="L27" s="1194"/>
      <c r="M27" s="1194"/>
      <c r="N27" s="3132"/>
      <c r="O27" s="3133"/>
      <c r="P27" s="1194"/>
      <c r="Q27" s="1194"/>
      <c r="R27" s="1194"/>
      <c r="S27" s="1194"/>
      <c r="T27" s="1194"/>
      <c r="U27" s="1194"/>
      <c r="V27" s="1194"/>
      <c r="W27" s="1194"/>
      <c r="X27" s="1194"/>
      <c r="Y27" s="1195"/>
      <c r="Z27" s="1195"/>
      <c r="AA27" s="1196"/>
    </row>
    <row r="28" spans="1:27" ht="14.25" customHeight="1" x14ac:dyDescent="0.35">
      <c r="A28" s="1197"/>
      <c r="B28" s="1198">
        <v>14</v>
      </c>
      <c r="C28" s="1895" t="s">
        <v>8067</v>
      </c>
      <c r="D28" s="3111">
        <v>500000</v>
      </c>
      <c r="E28" s="335">
        <v>1000000</v>
      </c>
      <c r="F28" s="1199"/>
      <c r="J28" s="1193"/>
      <c r="K28" s="1194"/>
      <c r="L28" s="1194"/>
      <c r="M28" s="1194"/>
      <c r="N28" s="3132"/>
      <c r="O28" s="3133"/>
      <c r="P28" s="1194"/>
      <c r="Q28" s="1194"/>
      <c r="R28" s="1194"/>
      <c r="S28" s="1194"/>
      <c r="T28" s="1194"/>
      <c r="U28" s="1194"/>
      <c r="V28" s="1194"/>
      <c r="W28" s="1194"/>
      <c r="X28" s="1194"/>
      <c r="Y28" s="1195"/>
      <c r="Z28" s="1195"/>
      <c r="AA28" s="1196"/>
    </row>
    <row r="29" spans="1:27" ht="14.25" customHeight="1" x14ac:dyDescent="0.35">
      <c r="A29" s="1197"/>
      <c r="B29" s="1198">
        <v>15</v>
      </c>
      <c r="C29" s="1895" t="s">
        <v>8068</v>
      </c>
      <c r="D29" s="3111">
        <v>2916666.6666666665</v>
      </c>
      <c r="E29" s="335">
        <v>3333333.333333333</v>
      </c>
      <c r="F29" s="1199"/>
      <c r="J29" s="1193"/>
      <c r="K29" s="1194"/>
      <c r="L29" s="1194"/>
      <c r="M29" s="1194"/>
      <c r="N29" s="3132"/>
      <c r="O29" s="3133"/>
      <c r="P29" s="1194"/>
      <c r="Q29" s="1194"/>
      <c r="R29" s="1194"/>
      <c r="S29" s="1194"/>
      <c r="T29" s="1194"/>
      <c r="U29" s="1194"/>
      <c r="V29" s="1194"/>
      <c r="W29" s="1194"/>
      <c r="X29" s="1194"/>
      <c r="Y29" s="1195"/>
      <c r="Z29" s="1195"/>
      <c r="AA29" s="1196"/>
    </row>
    <row r="30" spans="1:27" ht="14.25" customHeight="1" x14ac:dyDescent="0.35">
      <c r="A30" s="1197"/>
      <c r="B30" s="1198">
        <v>16</v>
      </c>
      <c r="C30" s="1895" t="s">
        <v>7555</v>
      </c>
      <c r="D30" s="3111">
        <v>1000000</v>
      </c>
      <c r="E30" s="335">
        <v>1500000</v>
      </c>
      <c r="F30" s="1199"/>
      <c r="J30" s="1193"/>
      <c r="K30" s="1194"/>
      <c r="L30" s="1194"/>
      <c r="M30" s="1194"/>
      <c r="N30" s="3132"/>
      <c r="O30" s="3133"/>
      <c r="P30" s="1194"/>
      <c r="Q30" s="1194"/>
      <c r="R30" s="1194"/>
      <c r="S30" s="1194"/>
      <c r="T30" s="1194"/>
      <c r="U30" s="1194"/>
      <c r="V30" s="1194"/>
      <c r="W30" s="1194"/>
      <c r="X30" s="1194"/>
      <c r="Y30" s="1195"/>
      <c r="Z30" s="1195"/>
      <c r="AA30" s="1196"/>
    </row>
    <row r="31" spans="1:27" ht="14.25" customHeight="1" x14ac:dyDescent="0.35">
      <c r="A31" s="1197"/>
      <c r="B31" s="1198">
        <v>17</v>
      </c>
      <c r="C31" s="1895" t="s">
        <v>7143</v>
      </c>
      <c r="D31" s="3111">
        <v>2652000</v>
      </c>
      <c r="E31" s="335">
        <v>2983500</v>
      </c>
      <c r="F31" s="1199"/>
      <c r="J31" s="1193"/>
      <c r="K31" s="1194"/>
      <c r="L31" s="1194"/>
      <c r="M31" s="1194"/>
      <c r="N31" s="3132"/>
      <c r="O31" s="3133"/>
      <c r="P31" s="1194"/>
      <c r="Q31" s="1194"/>
      <c r="R31" s="1194"/>
      <c r="S31" s="1194"/>
      <c r="T31" s="1194"/>
      <c r="U31" s="1194"/>
      <c r="V31" s="1194"/>
      <c r="W31" s="1194"/>
      <c r="X31" s="1194"/>
      <c r="Y31" s="1195"/>
      <c r="Z31" s="1195"/>
      <c r="AA31" s="1196"/>
    </row>
    <row r="32" spans="1:27" ht="14.25" customHeight="1" x14ac:dyDescent="0.35">
      <c r="A32" s="1197"/>
      <c r="B32" s="1198">
        <v>18</v>
      </c>
      <c r="C32" s="1895" t="s">
        <v>8083</v>
      </c>
      <c r="D32" s="3111">
        <v>2012666.6666666665</v>
      </c>
      <c r="E32" s="335">
        <v>2264250</v>
      </c>
      <c r="F32" s="1199"/>
      <c r="J32" s="1193"/>
      <c r="K32" s="1194"/>
      <c r="L32" s="1194"/>
      <c r="M32" s="1194"/>
      <c r="N32" s="3132"/>
      <c r="O32" s="3133"/>
      <c r="P32" s="1194"/>
      <c r="Q32" s="1194"/>
      <c r="R32" s="1194"/>
      <c r="S32" s="1194"/>
      <c r="T32" s="1194"/>
      <c r="U32" s="1194"/>
      <c r="V32" s="1194"/>
      <c r="W32" s="1194"/>
      <c r="X32" s="1194"/>
      <c r="Y32" s="1195"/>
      <c r="Z32" s="1195"/>
      <c r="AA32" s="1196"/>
    </row>
    <row r="33" spans="1:27" ht="14.25" customHeight="1" x14ac:dyDescent="0.35">
      <c r="A33" s="1197"/>
      <c r="B33" s="1198">
        <v>19</v>
      </c>
      <c r="C33" s="1895" t="s">
        <v>7139</v>
      </c>
      <c r="D33" s="3111">
        <v>2666666.666666667</v>
      </c>
      <c r="E33" s="335">
        <v>3000000</v>
      </c>
      <c r="F33" s="1199"/>
      <c r="J33" s="1193"/>
      <c r="K33" s="1194"/>
      <c r="L33" s="1194"/>
      <c r="M33" s="1194"/>
      <c r="N33" s="3132"/>
      <c r="O33" s="3133"/>
      <c r="P33" s="1194"/>
      <c r="Q33" s="1194"/>
      <c r="R33" s="1194"/>
      <c r="S33" s="1194"/>
      <c r="T33" s="1194"/>
      <c r="U33" s="1194"/>
      <c r="V33" s="1194"/>
      <c r="W33" s="1194"/>
      <c r="X33" s="1194"/>
      <c r="Y33" s="1195"/>
      <c r="Z33" s="1195"/>
      <c r="AA33" s="1196"/>
    </row>
    <row r="34" spans="1:27" ht="14.25" customHeight="1" x14ac:dyDescent="0.35">
      <c r="A34" s="1197"/>
      <c r="B34" s="1198">
        <v>20</v>
      </c>
      <c r="C34" s="1895" t="s">
        <v>7585</v>
      </c>
      <c r="D34" s="3111">
        <v>2466666.666666667</v>
      </c>
      <c r="E34" s="335">
        <v>2775000</v>
      </c>
      <c r="F34" s="1199"/>
      <c r="J34" s="1193"/>
      <c r="K34" s="1194"/>
      <c r="L34" s="1194"/>
      <c r="M34" s="1194"/>
      <c r="N34" s="3132"/>
      <c r="O34" s="3133"/>
      <c r="P34" s="1194"/>
      <c r="Q34" s="1194"/>
      <c r="R34" s="1194"/>
      <c r="S34" s="1194"/>
      <c r="T34" s="1194"/>
      <c r="U34" s="1194"/>
      <c r="V34" s="1194"/>
      <c r="W34" s="1194"/>
      <c r="X34" s="1194"/>
      <c r="Y34" s="1195"/>
      <c r="Z34" s="1195"/>
      <c r="AA34" s="1196"/>
    </row>
    <row r="35" spans="1:27" ht="14.25" customHeight="1" x14ac:dyDescent="0.35">
      <c r="A35" s="1197"/>
      <c r="B35" s="1198">
        <v>21</v>
      </c>
      <c r="C35" s="1895" t="s">
        <v>7952</v>
      </c>
      <c r="D35" s="3111">
        <v>800000</v>
      </c>
      <c r="E35" s="335">
        <v>900000</v>
      </c>
      <c r="F35" s="1199"/>
      <c r="J35" s="1193"/>
      <c r="K35" s="1194"/>
      <c r="L35" s="1194"/>
      <c r="M35" s="1194"/>
      <c r="N35" s="3132"/>
      <c r="O35" s="3133"/>
      <c r="P35" s="1194"/>
      <c r="Q35" s="1194"/>
      <c r="R35" s="1194"/>
      <c r="S35" s="1194"/>
      <c r="T35" s="1194"/>
      <c r="U35" s="1194"/>
      <c r="V35" s="1194"/>
      <c r="W35" s="1194"/>
      <c r="X35" s="1194"/>
      <c r="Y35" s="1195"/>
      <c r="Z35" s="1195"/>
      <c r="AA35" s="1196"/>
    </row>
    <row r="36" spans="1:27" ht="14.25" customHeight="1" x14ac:dyDescent="0.35">
      <c r="A36" s="1197"/>
      <c r="B36" s="1198">
        <v>22</v>
      </c>
      <c r="C36" s="1895" t="s">
        <v>7146</v>
      </c>
      <c r="D36" s="3111">
        <v>2800000</v>
      </c>
      <c r="E36" s="335">
        <v>3200000</v>
      </c>
      <c r="F36" s="1199"/>
      <c r="J36" s="1193"/>
      <c r="K36" s="1194"/>
      <c r="L36" s="1194"/>
      <c r="M36" s="1194"/>
      <c r="N36" s="3132"/>
      <c r="O36" s="3133"/>
      <c r="P36" s="1194"/>
      <c r="Q36" s="1194"/>
      <c r="R36" s="1194"/>
      <c r="S36" s="1194"/>
      <c r="T36" s="1194"/>
      <c r="U36" s="1194"/>
      <c r="V36" s="1194"/>
      <c r="W36" s="1194"/>
      <c r="X36" s="1194"/>
      <c r="Y36" s="1195"/>
      <c r="Z36" s="1195"/>
      <c r="AA36" s="1196"/>
    </row>
    <row r="37" spans="1:27" ht="14.25" customHeight="1" x14ac:dyDescent="0.35">
      <c r="A37" s="1197"/>
      <c r="B37" s="1198">
        <v>23</v>
      </c>
      <c r="C37" s="1895" t="s">
        <v>7140</v>
      </c>
      <c r="D37" s="3111">
        <v>1500000</v>
      </c>
      <c r="E37" s="335">
        <v>1666666.6666666667</v>
      </c>
      <c r="F37" s="1199"/>
      <c r="J37" s="1193"/>
      <c r="K37" s="1194"/>
      <c r="L37" s="1194"/>
      <c r="M37" s="1194"/>
      <c r="N37" s="3132"/>
      <c r="O37" s="3133"/>
      <c r="P37" s="1194"/>
      <c r="Q37" s="1194"/>
      <c r="R37" s="1194"/>
      <c r="S37" s="1194"/>
      <c r="T37" s="1194"/>
      <c r="U37" s="1194"/>
      <c r="V37" s="1194"/>
      <c r="W37" s="1194"/>
      <c r="X37" s="1194"/>
      <c r="Y37" s="1195"/>
      <c r="Z37" s="1195"/>
      <c r="AA37" s="1196"/>
    </row>
    <row r="38" spans="1:27" ht="14.25" customHeight="1" x14ac:dyDescent="0.35">
      <c r="A38" s="1197"/>
      <c r="B38" s="1198">
        <v>24</v>
      </c>
      <c r="C38" s="1895" t="s">
        <v>7144</v>
      </c>
      <c r="D38" s="3111">
        <v>1125000</v>
      </c>
      <c r="E38" s="335">
        <v>1250000</v>
      </c>
      <c r="F38" s="1199"/>
      <c r="J38" s="1193"/>
      <c r="K38" s="1194"/>
      <c r="L38" s="1194"/>
      <c r="M38" s="1194"/>
      <c r="N38" s="3132"/>
      <c r="O38" s="3133"/>
      <c r="P38" s="1194"/>
      <c r="Q38" s="1194"/>
      <c r="R38" s="1194"/>
      <c r="S38" s="1194"/>
      <c r="T38" s="1194"/>
      <c r="U38" s="1194"/>
      <c r="V38" s="1194"/>
      <c r="W38" s="1194"/>
      <c r="X38" s="1194"/>
      <c r="Y38" s="1195"/>
      <c r="Z38" s="1195"/>
      <c r="AA38" s="1196"/>
    </row>
    <row r="39" spans="1:27" ht="14.25" customHeight="1" x14ac:dyDescent="0.35">
      <c r="A39" s="1197"/>
      <c r="B39" s="1198">
        <v>25</v>
      </c>
      <c r="C39" s="1895" t="s">
        <v>8134</v>
      </c>
      <c r="D39" s="3111">
        <v>2000000</v>
      </c>
      <c r="E39" s="335">
        <v>3000000</v>
      </c>
      <c r="F39" s="1199"/>
      <c r="J39" s="1193"/>
      <c r="K39" s="1194"/>
      <c r="L39" s="1194"/>
      <c r="M39" s="1194"/>
      <c r="N39" s="3132"/>
      <c r="O39" s="3133"/>
      <c r="P39" s="1194"/>
      <c r="Q39" s="1194"/>
      <c r="R39" s="1194"/>
      <c r="S39" s="1194"/>
      <c r="T39" s="1194"/>
      <c r="U39" s="1194"/>
      <c r="V39" s="1194"/>
      <c r="W39" s="1194"/>
      <c r="X39" s="1194"/>
      <c r="Y39" s="1195"/>
      <c r="Z39" s="1195"/>
      <c r="AA39" s="1196"/>
    </row>
    <row r="40" spans="1:27" ht="14.25" customHeight="1" x14ac:dyDescent="0.35">
      <c r="A40" s="1197"/>
      <c r="B40" s="1198">
        <v>26</v>
      </c>
      <c r="C40" s="1895" t="s">
        <v>8135</v>
      </c>
      <c r="D40" s="3111">
        <v>1600000</v>
      </c>
      <c r="E40" s="335">
        <v>1800000</v>
      </c>
      <c r="F40" s="1199"/>
      <c r="J40" s="1193"/>
      <c r="K40" s="1194"/>
      <c r="L40" s="1194"/>
      <c r="M40" s="1194"/>
      <c r="N40" s="3132"/>
      <c r="O40" s="3133"/>
      <c r="P40" s="1194"/>
      <c r="Q40" s="1194"/>
      <c r="R40" s="1194"/>
      <c r="S40" s="1194"/>
      <c r="T40" s="1194"/>
      <c r="U40" s="1194"/>
      <c r="V40" s="1194"/>
      <c r="W40" s="1194"/>
      <c r="X40" s="1194"/>
      <c r="Y40" s="1195"/>
      <c r="Z40" s="1195"/>
      <c r="AA40" s="1196"/>
    </row>
    <row r="41" spans="1:27" ht="14.25" customHeight="1" x14ac:dyDescent="0.35">
      <c r="A41" s="1197"/>
      <c r="B41" s="1198">
        <v>27</v>
      </c>
      <c r="C41" s="1895" t="s">
        <v>7628</v>
      </c>
      <c r="D41" s="3111">
        <v>1600000</v>
      </c>
      <c r="E41" s="335">
        <v>1800000</v>
      </c>
      <c r="F41" s="1199"/>
      <c r="J41" s="1193"/>
      <c r="K41" s="1194"/>
      <c r="L41" s="1194"/>
      <c r="M41" s="1194"/>
      <c r="N41" s="3132"/>
      <c r="O41" s="3133"/>
      <c r="P41" s="1194"/>
      <c r="Q41" s="1194"/>
      <c r="R41" s="1194"/>
      <c r="S41" s="1194"/>
      <c r="T41" s="1194"/>
      <c r="U41" s="1194"/>
      <c r="V41" s="1194"/>
      <c r="W41" s="1194"/>
      <c r="X41" s="1194"/>
      <c r="Y41" s="1195"/>
      <c r="Z41" s="1195"/>
      <c r="AA41" s="1196"/>
    </row>
    <row r="42" spans="1:27" ht="14.25" customHeight="1" x14ac:dyDescent="0.35">
      <c r="A42" s="1197"/>
      <c r="B42" s="1198">
        <v>28</v>
      </c>
      <c r="C42" s="1895" t="s">
        <v>8136</v>
      </c>
      <c r="D42" s="3111">
        <v>2500000</v>
      </c>
      <c r="E42" s="335">
        <v>2750000</v>
      </c>
      <c r="F42" s="1199"/>
      <c r="J42" s="1193"/>
      <c r="K42" s="1194"/>
      <c r="L42" s="1194"/>
      <c r="M42" s="1194"/>
      <c r="N42" s="3132"/>
      <c r="O42" s="3133"/>
      <c r="P42" s="1194"/>
      <c r="Q42" s="1194"/>
      <c r="R42" s="1194"/>
      <c r="S42" s="1194"/>
      <c r="T42" s="1194"/>
      <c r="U42" s="1194"/>
      <c r="V42" s="1194"/>
      <c r="W42" s="1194"/>
      <c r="X42" s="1194"/>
      <c r="Y42" s="1195"/>
      <c r="Z42" s="1195"/>
      <c r="AA42" s="1196"/>
    </row>
    <row r="43" spans="1:27" ht="14.25" customHeight="1" x14ac:dyDescent="0.35">
      <c r="A43" s="1197"/>
      <c r="B43" s="1198">
        <v>29</v>
      </c>
      <c r="C43" s="1895" t="s">
        <v>7145</v>
      </c>
      <c r="D43" s="3111">
        <v>10768470.166666666</v>
      </c>
      <c r="E43" s="335">
        <v>11747422</v>
      </c>
      <c r="F43" s="1199"/>
      <c r="J43" s="1193"/>
      <c r="K43" s="1194"/>
      <c r="L43" s="1194"/>
      <c r="M43" s="1194"/>
      <c r="N43" s="3132"/>
      <c r="O43" s="3133"/>
      <c r="P43" s="1194"/>
      <c r="Q43" s="1194"/>
      <c r="R43" s="1194"/>
      <c r="S43" s="1194"/>
      <c r="T43" s="1194"/>
      <c r="U43" s="1194"/>
      <c r="V43" s="1194"/>
      <c r="W43" s="1194"/>
      <c r="X43" s="1194"/>
      <c r="Y43" s="1195"/>
      <c r="Z43" s="1195"/>
      <c r="AA43" s="1196"/>
    </row>
    <row r="44" spans="1:27" ht="14.25" customHeight="1" x14ac:dyDescent="0.35">
      <c r="A44" s="1197"/>
      <c r="B44" s="1198">
        <v>30</v>
      </c>
      <c r="C44" s="1895" t="s">
        <v>7811</v>
      </c>
      <c r="D44" s="3111">
        <v>4000000</v>
      </c>
      <c r="E44" s="335"/>
      <c r="F44" s="1199"/>
      <c r="J44" s="1193"/>
      <c r="K44" s="1194"/>
      <c r="L44" s="1194"/>
      <c r="M44" s="1194"/>
      <c r="N44" s="3132"/>
      <c r="O44" s="3133"/>
      <c r="P44" s="1194"/>
      <c r="Q44" s="1194"/>
      <c r="R44" s="1194"/>
      <c r="S44" s="1194"/>
      <c r="T44" s="1194"/>
      <c r="U44" s="1194"/>
      <c r="V44" s="1194"/>
      <c r="W44" s="1194"/>
      <c r="X44" s="1194"/>
      <c r="Y44" s="1195"/>
      <c r="Z44" s="1195"/>
      <c r="AA44" s="1196"/>
    </row>
    <row r="45" spans="1:27" ht="14.25" customHeight="1" x14ac:dyDescent="0.35">
      <c r="A45" s="1197"/>
      <c r="B45" s="1198">
        <v>31</v>
      </c>
      <c r="C45" s="1895" t="s">
        <v>7141</v>
      </c>
      <c r="D45" s="3111">
        <v>4000000</v>
      </c>
      <c r="E45" s="335"/>
      <c r="F45" s="1199"/>
      <c r="J45" s="1193"/>
      <c r="K45" s="1194"/>
      <c r="L45" s="1194"/>
      <c r="M45" s="1194"/>
      <c r="N45" s="3132"/>
      <c r="O45" s="3133"/>
      <c r="P45" s="1194"/>
      <c r="Q45" s="1194"/>
      <c r="R45" s="1194"/>
      <c r="S45" s="1194"/>
      <c r="T45" s="1194"/>
      <c r="U45" s="1194"/>
      <c r="V45" s="1194"/>
      <c r="W45" s="1194"/>
      <c r="X45" s="1194"/>
      <c r="Y45" s="1195"/>
      <c r="Z45" s="1195"/>
      <c r="AA45" s="1196"/>
    </row>
    <row r="46" spans="1:27" ht="14.25" customHeight="1" x14ac:dyDescent="0.35">
      <c r="A46" s="1197"/>
      <c r="B46" s="1198">
        <v>32</v>
      </c>
      <c r="C46" s="1895" t="s">
        <v>7991</v>
      </c>
      <c r="D46" s="3111">
        <v>7000000</v>
      </c>
      <c r="E46" s="335"/>
      <c r="F46" s="1199"/>
      <c r="J46" s="1193"/>
      <c r="K46" s="1194"/>
      <c r="L46" s="1194"/>
      <c r="M46" s="1194"/>
      <c r="N46" s="3132"/>
      <c r="O46" s="3133"/>
      <c r="P46" s="1194"/>
      <c r="Q46" s="1194"/>
      <c r="R46" s="1194"/>
      <c r="S46" s="1194"/>
      <c r="T46" s="1194"/>
      <c r="U46" s="1194"/>
      <c r="V46" s="1194"/>
      <c r="W46" s="1194"/>
      <c r="X46" s="1194"/>
      <c r="Y46" s="1195"/>
      <c r="Z46" s="1195"/>
      <c r="AA46" s="1196"/>
    </row>
    <row r="47" spans="1:27" ht="14.25" customHeight="1" x14ac:dyDescent="0.35">
      <c r="A47" s="1197"/>
      <c r="B47" s="1198">
        <v>33</v>
      </c>
      <c r="C47" s="1895" t="s">
        <v>8248</v>
      </c>
      <c r="D47" s="3111">
        <v>3600000</v>
      </c>
      <c r="E47" s="335"/>
      <c r="F47" s="1199"/>
      <c r="J47" s="1193"/>
      <c r="K47" s="1194"/>
      <c r="L47" s="1194"/>
      <c r="M47" s="1194"/>
      <c r="N47" s="3132"/>
      <c r="O47" s="3133"/>
      <c r="P47" s="1194"/>
      <c r="Q47" s="1194"/>
      <c r="R47" s="1194"/>
      <c r="S47" s="1194"/>
      <c r="T47" s="1194"/>
      <c r="U47" s="1194"/>
      <c r="V47" s="1194"/>
      <c r="W47" s="1194"/>
      <c r="X47" s="1194"/>
      <c r="Y47" s="1195"/>
      <c r="Z47" s="1195"/>
      <c r="AA47" s="1196"/>
    </row>
    <row r="48" spans="1:27" ht="14" customHeight="1" x14ac:dyDescent="0.35">
      <c r="A48" s="1197"/>
      <c r="B48" s="1198">
        <v>34</v>
      </c>
      <c r="C48" s="700" t="s">
        <v>8249</v>
      </c>
      <c r="D48" s="136">
        <v>3000000</v>
      </c>
      <c r="E48" s="136"/>
      <c r="F48" s="1201"/>
      <c r="J48" s="1193"/>
      <c r="K48" s="1194"/>
      <c r="L48" s="1194"/>
      <c r="M48" s="1194"/>
      <c r="N48" s="1204"/>
      <c r="O48" s="1205"/>
      <c r="P48" s="1194"/>
      <c r="Q48" s="1194"/>
      <c r="R48" s="1194"/>
      <c r="S48" s="1194"/>
      <c r="T48" s="1194"/>
      <c r="U48" s="1194"/>
      <c r="V48" s="1194"/>
      <c r="W48" s="1194"/>
      <c r="X48" s="1194"/>
      <c r="Y48" s="1195"/>
      <c r="Z48" s="1195"/>
      <c r="AA48" s="1196"/>
    </row>
    <row r="49" spans="1:27" ht="14" customHeight="1" x14ac:dyDescent="0.35">
      <c r="A49" s="1197"/>
      <c r="B49" s="700"/>
      <c r="C49" s="700"/>
      <c r="D49" s="3365"/>
      <c r="E49" s="3365"/>
      <c r="F49" s="1201"/>
      <c r="J49" s="1193"/>
      <c r="K49" s="1194"/>
      <c r="L49" s="1194"/>
      <c r="M49" s="1194"/>
      <c r="N49" s="3132"/>
      <c r="O49" s="3133"/>
      <c r="P49" s="1194"/>
      <c r="Q49" s="1194"/>
      <c r="R49" s="1194"/>
      <c r="S49" s="1194"/>
      <c r="T49" s="1194"/>
      <c r="U49" s="1194"/>
      <c r="V49" s="1194"/>
      <c r="W49" s="1194"/>
      <c r="X49" s="1194"/>
      <c r="Y49" s="1195"/>
      <c r="Z49" s="1195"/>
      <c r="AA49" s="1196"/>
    </row>
    <row r="50" spans="1:27" ht="26.25" customHeight="1" x14ac:dyDescent="0.35">
      <c r="A50" s="1197"/>
      <c r="B50" s="700"/>
      <c r="C50" s="700"/>
      <c r="D50" s="3366">
        <f>SUM(D15:D49)</f>
        <v>76049803.5</v>
      </c>
      <c r="E50" s="3366">
        <f>SUM(E15:E49)</f>
        <v>69053505.333333343</v>
      </c>
      <c r="F50" s="1201"/>
      <c r="J50" s="1193"/>
      <c r="K50" s="1194"/>
      <c r="L50" s="1194"/>
      <c r="M50" s="1194"/>
      <c r="N50" s="3132"/>
      <c r="O50" s="3133"/>
      <c r="P50" s="1194"/>
      <c r="Q50" s="1194"/>
      <c r="R50" s="1194"/>
      <c r="S50" s="1194"/>
      <c r="T50" s="1194"/>
      <c r="U50" s="1194"/>
      <c r="V50" s="1194"/>
      <c r="W50" s="1194"/>
      <c r="X50" s="1194"/>
      <c r="Y50" s="1195"/>
      <c r="Z50" s="1195"/>
      <c r="AA50" s="1196"/>
    </row>
    <row r="51" spans="1:27" x14ac:dyDescent="0.35">
      <c r="A51" s="1197"/>
      <c r="B51" s="700"/>
      <c r="C51" s="700"/>
      <c r="D51" s="1202"/>
      <c r="E51" s="2978"/>
      <c r="F51" s="1201"/>
      <c r="G51" s="1220">
        <v>11429</v>
      </c>
      <c r="J51" s="1193"/>
      <c r="K51" s="1194"/>
      <c r="L51" s="1194"/>
      <c r="M51" s="1194"/>
      <c r="N51" s="1204"/>
      <c r="O51" s="1205"/>
      <c r="P51" s="1194"/>
      <c r="Q51" s="1194"/>
      <c r="R51" s="1194"/>
      <c r="S51" s="1194"/>
      <c r="T51" s="1194"/>
      <c r="U51" s="1194"/>
      <c r="V51" s="1194"/>
      <c r="W51" s="1194"/>
      <c r="X51" s="1194"/>
      <c r="Y51" s="1195"/>
      <c r="Z51" s="1195"/>
      <c r="AA51" s="1196"/>
    </row>
    <row r="52" spans="1:27" ht="13.5" x14ac:dyDescent="0.35">
      <c r="A52" s="1197"/>
      <c r="B52" s="1190" t="s">
        <v>2608</v>
      </c>
      <c r="C52" s="700"/>
      <c r="D52" s="1203"/>
      <c r="E52" s="1191"/>
      <c r="F52" s="1199"/>
      <c r="G52" s="1220"/>
      <c r="J52" s="1193"/>
      <c r="K52" s="1194"/>
      <c r="L52" s="1194"/>
      <c r="M52" s="1194"/>
      <c r="N52" s="1204"/>
      <c r="O52" s="1205"/>
      <c r="P52" s="1194"/>
      <c r="Q52" s="1194"/>
      <c r="R52" s="1194"/>
      <c r="S52" s="1194"/>
      <c r="T52" s="1194"/>
      <c r="U52" s="1194"/>
      <c r="V52" s="1194"/>
      <c r="W52" s="1194"/>
      <c r="X52" s="1194"/>
      <c r="Y52" s="1195"/>
      <c r="Z52" s="1195"/>
      <c r="AA52" s="1196"/>
    </row>
    <row r="53" spans="1:27" x14ac:dyDescent="0.35">
      <c r="A53" s="1197"/>
      <c r="B53" s="1198" t="s">
        <v>2447</v>
      </c>
      <c r="C53" s="700"/>
      <c r="D53" s="110"/>
      <c r="E53" s="1191"/>
      <c r="F53" s="1199"/>
      <c r="G53" s="1220"/>
      <c r="J53" s="1193"/>
      <c r="K53" s="1194"/>
      <c r="L53" s="1194"/>
      <c r="M53" s="1194"/>
      <c r="N53" s="1204"/>
      <c r="O53" s="1205"/>
      <c r="P53" s="1194"/>
      <c r="Q53" s="1194"/>
      <c r="R53" s="1194"/>
      <c r="S53" s="1194"/>
      <c r="T53" s="1194"/>
      <c r="U53" s="1194"/>
      <c r="V53" s="1194"/>
      <c r="W53" s="1194"/>
      <c r="X53" s="1194"/>
      <c r="Y53" s="1195"/>
      <c r="Z53" s="1195"/>
      <c r="AA53" s="1196"/>
    </row>
    <row r="54" spans="1:27" x14ac:dyDescent="0.35">
      <c r="A54" s="1197"/>
      <c r="B54" s="1198" t="s">
        <v>23</v>
      </c>
      <c r="C54" s="700"/>
      <c r="D54" s="1206"/>
      <c r="E54" s="1207"/>
      <c r="F54" s="1199"/>
      <c r="G54" s="1220"/>
      <c r="J54" s="1193"/>
      <c r="K54" s="1194"/>
      <c r="L54" s="1194"/>
      <c r="M54" s="1194"/>
      <c r="N54" s="1204"/>
      <c r="O54" s="1205"/>
      <c r="P54" s="1194"/>
      <c r="Q54" s="1194"/>
      <c r="R54" s="1194"/>
      <c r="S54" s="1194"/>
      <c r="T54" s="1194"/>
      <c r="U54" s="1194"/>
      <c r="V54" s="1194"/>
      <c r="W54" s="1194"/>
      <c r="X54" s="1194"/>
      <c r="Y54" s="1195"/>
      <c r="Z54" s="1195"/>
      <c r="AA54" s="1196"/>
    </row>
    <row r="55" spans="1:27" ht="6.75" customHeight="1" x14ac:dyDescent="0.35">
      <c r="A55" s="1197"/>
      <c r="B55" s="153"/>
      <c r="C55" s="700"/>
      <c r="D55" s="118">
        <f>SUM(D53:D54)</f>
        <v>0</v>
      </c>
      <c r="E55" s="1208">
        <f>SUM(E53:E54)</f>
        <v>0</v>
      </c>
      <c r="F55" s="1199"/>
      <c r="G55" s="1220"/>
      <c r="J55" s="1193"/>
      <c r="K55" s="1194"/>
      <c r="L55" s="1194"/>
      <c r="M55" s="1194"/>
      <c r="N55" s="1204"/>
      <c r="O55" s="1205"/>
      <c r="P55" s="1194"/>
      <c r="Q55" s="1194"/>
      <c r="R55" s="1194"/>
      <c r="S55" s="1194"/>
      <c r="T55" s="1194"/>
      <c r="U55" s="1194"/>
      <c r="V55" s="1194"/>
      <c r="W55" s="1194"/>
      <c r="X55" s="1194"/>
      <c r="Y55" s="1195"/>
      <c r="Z55" s="1195"/>
      <c r="AA55" s="1196"/>
    </row>
    <row r="56" spans="1:27" ht="26.25" customHeight="1" thickBot="1" x14ac:dyDescent="0.4">
      <c r="A56" s="1209"/>
      <c r="B56" s="1210"/>
      <c r="C56" s="1210"/>
      <c r="D56" s="1211"/>
      <c r="E56" s="1212"/>
      <c r="F56" s="1213"/>
      <c r="J56" s="1193"/>
      <c r="K56" s="1194"/>
      <c r="L56" s="1194"/>
      <c r="M56" s="1194"/>
      <c r="N56" s="1204"/>
      <c r="O56" s="1205"/>
      <c r="P56" s="1194"/>
      <c r="Q56" s="1194"/>
      <c r="R56" s="1194"/>
      <c r="S56" s="1194"/>
      <c r="T56" s="1194"/>
      <c r="U56" s="1194"/>
      <c r="V56" s="1194"/>
      <c r="W56" s="1194"/>
      <c r="X56" s="1194"/>
      <c r="Y56" s="1195"/>
      <c r="Z56" s="1195"/>
      <c r="AA56" s="1196"/>
    </row>
    <row r="57" spans="1:27" ht="24.75" customHeight="1" thickBot="1" x14ac:dyDescent="0.4">
      <c r="A57" s="1214" t="s">
        <v>2609</v>
      </c>
      <c r="B57" s="1215"/>
      <c r="C57" s="1215"/>
      <c r="D57" s="1216">
        <f>D50+D55</f>
        <v>76049803.5</v>
      </c>
      <c r="E57" s="1216">
        <f>+E48+E55</f>
        <v>0</v>
      </c>
      <c r="F57" s="1217"/>
      <c r="H57" s="1147" t="s">
        <v>2615</v>
      </c>
      <c r="J57" s="1193"/>
      <c r="K57" s="1194"/>
      <c r="L57" s="1194"/>
      <c r="M57" s="1194"/>
      <c r="N57" s="1204"/>
      <c r="O57" s="1205"/>
      <c r="P57" s="1194"/>
      <c r="Q57" s="1194"/>
      <c r="R57" s="1194"/>
      <c r="S57" s="1194"/>
      <c r="T57" s="1194"/>
      <c r="U57" s="1194"/>
      <c r="V57" s="1194"/>
      <c r="W57" s="1194"/>
      <c r="X57" s="1194"/>
      <c r="Y57" s="1195"/>
      <c r="Z57" s="1195"/>
      <c r="AA57" s="1196"/>
    </row>
    <row r="58" spans="1:27" ht="13.5" customHeight="1" x14ac:dyDescent="0.35">
      <c r="A58" s="1218" t="s">
        <v>576</v>
      </c>
      <c r="B58" s="1190" t="s">
        <v>2610</v>
      </c>
      <c r="C58" s="1190"/>
      <c r="D58" s="110"/>
      <c r="E58" s="1191"/>
      <c r="F58" s="1199"/>
      <c r="G58" s="1147">
        <f>D66-E66</f>
        <v>0</v>
      </c>
      <c r="H58" s="1227">
        <f>'[12]14'!I111</f>
        <v>1819992316</v>
      </c>
      <c r="I58" s="1147">
        <f>'[12]6'!$F$715</f>
        <v>576584225</v>
      </c>
      <c r="J58" s="1193"/>
      <c r="K58" s="1194"/>
      <c r="L58" s="1194"/>
      <c r="M58" s="1194"/>
      <c r="N58" s="1204"/>
      <c r="O58" s="1205"/>
      <c r="P58" s="1194"/>
      <c r="Q58" s="1194"/>
      <c r="R58" s="1194"/>
      <c r="S58" s="1194"/>
      <c r="T58" s="1194"/>
      <c r="U58" s="1194"/>
      <c r="V58" s="1194"/>
      <c r="W58" s="1194"/>
      <c r="X58" s="1194"/>
      <c r="Y58" s="1195"/>
      <c r="Z58" s="1195"/>
      <c r="AA58" s="1196"/>
    </row>
    <row r="59" spans="1:27" ht="13.5" customHeight="1" x14ac:dyDescent="0.35">
      <c r="A59" s="1197"/>
      <c r="B59" s="1198" t="s">
        <v>2447</v>
      </c>
      <c r="C59" s="338" t="s">
        <v>2634</v>
      </c>
      <c r="D59" s="1219">
        <v>0</v>
      </c>
      <c r="E59" s="1219">
        <v>0</v>
      </c>
      <c r="F59" s="1199"/>
      <c r="J59" s="1193"/>
      <c r="K59" s="1194"/>
      <c r="L59" s="1194"/>
      <c r="M59" s="1194"/>
      <c r="N59" s="1204"/>
      <c r="O59" s="1205"/>
      <c r="P59" s="1194"/>
      <c r="Q59" s="1194"/>
      <c r="R59" s="1194"/>
      <c r="S59" s="1194"/>
      <c r="T59" s="1194"/>
      <c r="U59" s="1194"/>
      <c r="V59" s="1194"/>
      <c r="W59" s="1194"/>
      <c r="X59" s="1194"/>
      <c r="Y59" s="1195"/>
      <c r="Z59" s="1195"/>
      <c r="AA59" s="1196"/>
    </row>
    <row r="60" spans="1:27" ht="13.5" customHeight="1" x14ac:dyDescent="0.35">
      <c r="A60" s="1197"/>
      <c r="B60" s="1198" t="s">
        <v>23</v>
      </c>
      <c r="C60" s="338" t="s">
        <v>2611</v>
      </c>
      <c r="D60" s="1219"/>
      <c r="E60" s="1219"/>
      <c r="F60" s="1199"/>
      <c r="J60" s="1193"/>
      <c r="K60" s="1194"/>
      <c r="L60" s="1194"/>
      <c r="M60" s="1194"/>
      <c r="N60" s="1204"/>
      <c r="O60" s="1205"/>
      <c r="P60" s="1194"/>
      <c r="Q60" s="1194"/>
      <c r="R60" s="1194"/>
      <c r="S60" s="1194"/>
      <c r="T60" s="1194"/>
      <c r="U60" s="1194"/>
      <c r="V60" s="1194"/>
      <c r="W60" s="1194"/>
      <c r="X60" s="1194"/>
      <c r="Y60" s="1195"/>
      <c r="Z60" s="1195"/>
      <c r="AA60" s="1196"/>
    </row>
    <row r="61" spans="1:27" ht="13.5" customHeight="1" x14ac:dyDescent="0.35">
      <c r="A61" s="1197"/>
      <c r="B61" s="1198" t="s">
        <v>27</v>
      </c>
      <c r="C61" s="338" t="s">
        <v>2612</v>
      </c>
      <c r="D61" s="1219"/>
      <c r="E61" s="1219"/>
      <c r="F61" s="1199"/>
      <c r="G61" s="1147">
        <f>'[12]30'!V20</f>
        <v>6688944794.4099989</v>
      </c>
      <c r="J61" s="1193"/>
      <c r="K61" s="1194"/>
      <c r="L61" s="1194"/>
      <c r="M61" s="1194"/>
      <c r="N61" s="1204"/>
      <c r="O61" s="1205"/>
      <c r="P61" s="1194"/>
      <c r="Q61" s="1194"/>
      <c r="R61" s="1194"/>
      <c r="S61" s="1194"/>
      <c r="T61" s="1194"/>
      <c r="U61" s="1194"/>
      <c r="V61" s="1194"/>
      <c r="W61" s="1194"/>
      <c r="X61" s="1194"/>
      <c r="Y61" s="1195"/>
      <c r="Z61" s="1195"/>
      <c r="AA61" s="1196"/>
    </row>
    <row r="62" spans="1:27" ht="13.5" customHeight="1" outlineLevel="1" x14ac:dyDescent="0.35">
      <c r="A62" s="1197"/>
      <c r="B62" s="1198" t="s">
        <v>31</v>
      </c>
      <c r="C62" s="338" t="s">
        <v>2613</v>
      </c>
      <c r="D62" s="1219"/>
      <c r="E62" s="110"/>
      <c r="F62" s="1199"/>
      <c r="J62" s="1193"/>
      <c r="K62" s="1194"/>
      <c r="L62" s="1194"/>
      <c r="M62" s="1194"/>
      <c r="N62" s="1204"/>
      <c r="O62" s="1205"/>
      <c r="P62" s="1194"/>
      <c r="Q62" s="1194"/>
      <c r="R62" s="1194"/>
      <c r="S62" s="1194"/>
      <c r="T62" s="1194"/>
      <c r="U62" s="1194"/>
      <c r="V62" s="1194"/>
      <c r="W62" s="1194"/>
      <c r="X62" s="1194"/>
      <c r="Y62" s="1195"/>
      <c r="Z62" s="1195"/>
      <c r="AA62" s="1196"/>
    </row>
    <row r="63" spans="1:27" ht="13.5" customHeight="1" outlineLevel="1" thickBot="1" x14ac:dyDescent="0.4">
      <c r="A63" s="1197"/>
      <c r="B63" s="153"/>
      <c r="C63" s="338"/>
      <c r="D63" s="110"/>
      <c r="E63" s="1191"/>
      <c r="F63" s="1199"/>
      <c r="H63" s="1147" t="s">
        <v>2617</v>
      </c>
      <c r="J63" s="1193"/>
      <c r="K63" s="1194"/>
      <c r="L63" s="1194"/>
      <c r="M63" s="1194"/>
      <c r="N63" s="1204"/>
      <c r="O63" s="1205"/>
      <c r="P63" s="1194"/>
      <c r="Q63" s="1194"/>
      <c r="R63" s="1194"/>
      <c r="S63" s="1194"/>
      <c r="T63" s="1194"/>
      <c r="U63" s="1194"/>
      <c r="V63" s="1194"/>
      <c r="W63" s="1194"/>
      <c r="X63" s="1194"/>
      <c r="Y63" s="1195"/>
      <c r="Z63" s="1195"/>
      <c r="AA63" s="1196"/>
    </row>
    <row r="64" spans="1:27" ht="13.5" customHeight="1" thickBot="1" x14ac:dyDescent="0.4">
      <c r="A64" s="3791" t="s">
        <v>2614</v>
      </c>
      <c r="B64" s="3792"/>
      <c r="C64" s="3793"/>
      <c r="D64" s="1221">
        <f>SUM(D59:D63)</f>
        <v>0</v>
      </c>
      <c r="E64" s="1222">
        <f>SUM(E59:E63)</f>
        <v>0</v>
      </c>
      <c r="F64" s="1223"/>
      <c r="J64" s="1193"/>
      <c r="K64" s="1194"/>
      <c r="L64" s="1194"/>
      <c r="M64" s="1194"/>
      <c r="N64" s="1204"/>
      <c r="O64" s="1205"/>
      <c r="P64" s="1194"/>
      <c r="Q64" s="1194"/>
      <c r="R64" s="1194"/>
      <c r="S64" s="1194"/>
      <c r="T64" s="1194"/>
      <c r="U64" s="1194"/>
      <c r="V64" s="1194"/>
      <c r="W64" s="1194"/>
      <c r="X64" s="1194"/>
      <c r="Y64" s="1195"/>
      <c r="Z64" s="1195"/>
      <c r="AA64" s="1196"/>
    </row>
    <row r="65" spans="1:27" ht="28.5" customHeight="1" x14ac:dyDescent="0.35">
      <c r="A65" s="1218" t="s">
        <v>597</v>
      </c>
      <c r="B65" s="1190" t="s">
        <v>7147</v>
      </c>
      <c r="C65" s="1190"/>
      <c r="D65" s="110"/>
      <c r="E65" s="1191"/>
      <c r="F65" s="1199"/>
      <c r="H65" s="1147" t="e">
        <f>#REF!-#REF!</f>
        <v>#REF!</v>
      </c>
      <c r="J65" s="1193"/>
      <c r="K65" s="1194"/>
      <c r="L65" s="1194"/>
      <c r="M65" s="1194"/>
      <c r="N65" s="1204"/>
      <c r="O65" s="1205"/>
      <c r="P65" s="1194"/>
      <c r="Q65" s="1194"/>
      <c r="R65" s="1194"/>
      <c r="S65" s="1194"/>
      <c r="T65" s="1194"/>
      <c r="U65" s="1194"/>
      <c r="V65" s="1194"/>
      <c r="W65" s="1194"/>
      <c r="X65" s="1194"/>
      <c r="Y65" s="1195"/>
      <c r="Z65" s="1195"/>
      <c r="AA65" s="1196"/>
    </row>
    <row r="66" spans="1:27" s="1242" customFormat="1" ht="24" customHeight="1" outlineLevel="1" x14ac:dyDescent="0.35">
      <c r="A66" s="1197"/>
      <c r="B66" s="1198" t="s">
        <v>2447</v>
      </c>
      <c r="C66" s="700" t="s">
        <v>333</v>
      </c>
      <c r="D66" s="1224"/>
      <c r="E66" s="1225"/>
      <c r="F66" s="1226"/>
      <c r="H66" s="1242" t="e">
        <f>'[12]6'!#REF!</f>
        <v>#REF!</v>
      </c>
      <c r="J66" s="1243"/>
      <c r="K66" s="1244"/>
      <c r="L66" s="1244"/>
      <c r="M66" s="1244"/>
      <c r="N66" s="1245"/>
      <c r="O66" s="1246"/>
      <c r="P66" s="1244"/>
      <c r="Q66" s="1244"/>
      <c r="R66" s="1244"/>
      <c r="S66" s="1244"/>
      <c r="T66" s="1244"/>
      <c r="U66" s="1244"/>
      <c r="V66" s="1244"/>
      <c r="W66" s="1244"/>
      <c r="X66" s="1244"/>
      <c r="Y66" s="1247"/>
      <c r="Z66" s="1247"/>
      <c r="AA66" s="1248"/>
    </row>
    <row r="67" spans="1:27" s="1242" customFormat="1" ht="13.5" customHeight="1" outlineLevel="1" x14ac:dyDescent="0.35">
      <c r="A67" s="1197"/>
      <c r="B67" s="1198" t="s">
        <v>23</v>
      </c>
      <c r="C67" s="700" t="s">
        <v>678</v>
      </c>
      <c r="D67" s="1228"/>
      <c r="E67" s="1225"/>
      <c r="F67" s="1199"/>
      <c r="G67" s="1250" t="s">
        <v>2619</v>
      </c>
      <c r="J67" s="1243"/>
      <c r="K67" s="1244"/>
      <c r="L67" s="1244"/>
      <c r="M67" s="1244"/>
      <c r="N67" s="1245"/>
      <c r="O67" s="1246"/>
      <c r="P67" s="1244"/>
      <c r="Q67" s="1244"/>
      <c r="R67" s="1244"/>
      <c r="S67" s="1244"/>
      <c r="T67" s="1244"/>
      <c r="U67" s="1244"/>
      <c r="V67" s="1244"/>
      <c r="W67" s="1244"/>
      <c r="X67" s="1244"/>
      <c r="Y67" s="1247"/>
      <c r="Z67" s="1247"/>
      <c r="AA67" s="1248"/>
    </row>
    <row r="68" spans="1:27" s="1242" customFormat="1" outlineLevel="1" x14ac:dyDescent="0.35">
      <c r="A68" s="1197"/>
      <c r="B68" s="1198" t="s">
        <v>27</v>
      </c>
      <c r="C68" s="700" t="s">
        <v>680</v>
      </c>
      <c r="D68" s="1228"/>
      <c r="E68" s="1225"/>
      <c r="F68" s="1199"/>
      <c r="J68" s="1243"/>
      <c r="K68" s="1244"/>
      <c r="L68" s="1244"/>
      <c r="M68" s="1244"/>
      <c r="N68" s="1245"/>
      <c r="O68" s="1246"/>
      <c r="P68" s="1244"/>
      <c r="Q68" s="1244"/>
      <c r="R68" s="1244"/>
      <c r="S68" s="1244"/>
      <c r="T68" s="1244"/>
      <c r="U68" s="1244"/>
      <c r="V68" s="1244"/>
      <c r="W68" s="1244"/>
      <c r="X68" s="1244"/>
      <c r="Y68" s="1247"/>
      <c r="Z68" s="1247"/>
      <c r="AA68" s="1248"/>
    </row>
    <row r="69" spans="1:27" s="1242" customFormat="1" outlineLevel="1" x14ac:dyDescent="0.35">
      <c r="A69" s="1197"/>
      <c r="B69" s="1198" t="s">
        <v>31</v>
      </c>
      <c r="C69" s="700" t="s">
        <v>682</v>
      </c>
      <c r="D69" s="1228"/>
      <c r="E69" s="1225"/>
      <c r="F69" s="1199"/>
      <c r="H69" s="1242" t="e">
        <f>'[12]6'!#REF!</f>
        <v>#REF!</v>
      </c>
      <c r="J69" s="1243"/>
      <c r="K69" s="1244"/>
      <c r="L69" s="1244"/>
      <c r="M69" s="1244"/>
      <c r="N69" s="1245"/>
      <c r="O69" s="1246"/>
      <c r="P69" s="1244"/>
      <c r="Q69" s="1244"/>
      <c r="R69" s="1244"/>
      <c r="S69" s="1244"/>
      <c r="T69" s="1244"/>
      <c r="U69" s="1244"/>
      <c r="V69" s="1244"/>
      <c r="W69" s="1244"/>
      <c r="X69" s="1244"/>
      <c r="Y69" s="1247"/>
      <c r="Z69" s="1247"/>
      <c r="AA69" s="1248"/>
    </row>
    <row r="70" spans="1:27" s="1242" customFormat="1" outlineLevel="1" x14ac:dyDescent="0.35">
      <c r="A70" s="1197"/>
      <c r="B70" s="1198" t="s">
        <v>36</v>
      </c>
      <c r="C70" s="700" t="s">
        <v>684</v>
      </c>
      <c r="D70" s="1228"/>
      <c r="E70" s="1225"/>
      <c r="F70" s="1199"/>
      <c r="J70" s="1243"/>
      <c r="K70" s="1244"/>
      <c r="L70" s="1244"/>
      <c r="M70" s="1244"/>
      <c r="N70" s="1245"/>
      <c r="O70" s="1246"/>
      <c r="P70" s="1244"/>
      <c r="Q70" s="1244"/>
      <c r="R70" s="1244"/>
      <c r="S70" s="1244"/>
      <c r="T70" s="1244"/>
      <c r="U70" s="1244"/>
      <c r="V70" s="1244"/>
      <c r="W70" s="1244"/>
      <c r="X70" s="1244"/>
      <c r="Y70" s="1247"/>
      <c r="Z70" s="1247"/>
      <c r="AA70" s="1248"/>
    </row>
    <row r="71" spans="1:27" s="1242" customFormat="1" outlineLevel="1" x14ac:dyDescent="0.35">
      <c r="A71" s="1197"/>
      <c r="B71" s="1198" t="s">
        <v>2449</v>
      </c>
      <c r="C71" s="700" t="s">
        <v>2616</v>
      </c>
      <c r="D71" s="1229"/>
      <c r="E71" s="1225"/>
      <c r="F71" s="1199"/>
      <c r="J71" s="1243"/>
      <c r="K71" s="1244"/>
      <c r="L71" s="1244"/>
      <c r="M71" s="1244"/>
      <c r="N71" s="1245"/>
      <c r="O71" s="1246"/>
      <c r="P71" s="1244"/>
      <c r="Q71" s="1244"/>
      <c r="R71" s="1244"/>
      <c r="S71" s="1244"/>
      <c r="T71" s="1244"/>
      <c r="U71" s="1244"/>
      <c r="V71" s="1244"/>
      <c r="W71" s="1244"/>
      <c r="X71" s="1244"/>
      <c r="Y71" s="1247"/>
      <c r="Z71" s="1247"/>
      <c r="AA71" s="1248"/>
    </row>
    <row r="72" spans="1:27" s="1242" customFormat="1" ht="19" customHeight="1" outlineLevel="1" thickBot="1" x14ac:dyDescent="0.4">
      <c r="A72" s="1197"/>
      <c r="B72" s="1198" t="s">
        <v>874</v>
      </c>
      <c r="C72" s="700" t="s">
        <v>349</v>
      </c>
      <c r="D72" s="1231"/>
      <c r="E72" s="1225"/>
      <c r="F72" s="1199"/>
      <c r="J72" s="1243"/>
      <c r="K72" s="1244"/>
      <c r="L72" s="1244"/>
      <c r="M72" s="1244"/>
      <c r="N72" s="1245"/>
      <c r="O72" s="1246"/>
      <c r="P72" s="1244"/>
      <c r="Q72" s="1244"/>
      <c r="R72" s="1244"/>
      <c r="S72" s="1244"/>
      <c r="T72" s="1244"/>
      <c r="U72" s="1244"/>
      <c r="V72" s="1244"/>
      <c r="W72" s="1244"/>
      <c r="X72" s="1244"/>
      <c r="Y72" s="1247"/>
      <c r="Z72" s="1247"/>
      <c r="AA72" s="1248"/>
    </row>
    <row r="73" spans="1:27" s="1242" customFormat="1" ht="24" customHeight="1" outlineLevel="1" thickBot="1" x14ac:dyDescent="0.4">
      <c r="A73" s="1232" t="s">
        <v>2618</v>
      </c>
      <c r="B73" s="1233"/>
      <c r="C73" s="1233"/>
      <c r="D73" s="1234">
        <f>SUM(D66:D72)</f>
        <v>0</v>
      </c>
      <c r="E73" s="1234">
        <f>SUM(E66:E72)</f>
        <v>0</v>
      </c>
      <c r="F73" s="1235"/>
      <c r="J73" s="1243"/>
      <c r="K73" s="1244"/>
      <c r="L73" s="1244"/>
      <c r="M73" s="1244"/>
      <c r="N73" s="1245"/>
      <c r="O73" s="1246"/>
      <c r="P73" s="1244"/>
      <c r="Q73" s="1244"/>
      <c r="R73" s="1244"/>
      <c r="S73" s="1244"/>
      <c r="T73" s="1244"/>
      <c r="U73" s="1244"/>
      <c r="V73" s="1244"/>
      <c r="W73" s="1244"/>
      <c r="X73" s="1244"/>
      <c r="Y73" s="1247"/>
      <c r="Z73" s="1247"/>
      <c r="AA73" s="1248"/>
    </row>
    <row r="74" spans="1:27" s="1242" customFormat="1" ht="13.5" customHeight="1" outlineLevel="1" x14ac:dyDescent="0.35">
      <c r="A74" s="1236"/>
      <c r="B74" s="1237" t="s">
        <v>2635</v>
      </c>
      <c r="C74" s="1238"/>
      <c r="D74" s="1239"/>
      <c r="E74" s="1240"/>
      <c r="F74" s="1241"/>
      <c r="J74" s="1243"/>
      <c r="K74" s="1244"/>
      <c r="L74" s="1244"/>
      <c r="M74" s="1244"/>
      <c r="N74" s="1245"/>
      <c r="O74" s="1246"/>
      <c r="P74" s="1244"/>
      <c r="Q74" s="1244"/>
      <c r="R74" s="1244"/>
      <c r="S74" s="1244"/>
      <c r="T74" s="1244"/>
      <c r="U74" s="1244"/>
      <c r="V74" s="1244"/>
      <c r="W74" s="1244"/>
      <c r="X74" s="1244"/>
      <c r="Y74" s="1247"/>
      <c r="Z74" s="1247"/>
      <c r="AA74" s="1248"/>
    </row>
    <row r="75" spans="1:27" s="1242" customFormat="1" ht="13.5" customHeight="1" outlineLevel="1" x14ac:dyDescent="0.35">
      <c r="A75" s="1249"/>
      <c r="B75" s="1238" t="s">
        <v>2447</v>
      </c>
      <c r="C75" s="1238"/>
      <c r="D75" s="1239"/>
      <c r="E75" s="1240"/>
      <c r="F75" s="1241"/>
      <c r="J75" s="1243"/>
      <c r="K75" s="1244"/>
      <c r="L75" s="1244"/>
      <c r="M75" s="1244"/>
      <c r="N75" s="1245"/>
      <c r="O75" s="1246"/>
      <c r="P75" s="1244"/>
      <c r="Q75" s="1244"/>
      <c r="R75" s="1244"/>
      <c r="S75" s="1244"/>
      <c r="T75" s="1244"/>
      <c r="U75" s="1244"/>
      <c r="V75" s="1244"/>
      <c r="W75" s="1244"/>
      <c r="X75" s="1244"/>
      <c r="Y75" s="1247"/>
      <c r="Z75" s="1247"/>
      <c r="AA75" s="1248"/>
    </row>
    <row r="76" spans="1:27" s="1242" customFormat="1" outlineLevel="1" x14ac:dyDescent="0.35">
      <c r="A76" s="1249"/>
      <c r="B76" s="1238" t="s">
        <v>23</v>
      </c>
      <c r="C76" s="1238"/>
      <c r="D76" s="1239"/>
      <c r="E76" s="1240"/>
      <c r="F76" s="1241"/>
      <c r="J76" s="1243"/>
      <c r="K76" s="1244"/>
      <c r="L76" s="1244"/>
      <c r="M76" s="1244"/>
      <c r="N76" s="1245"/>
      <c r="O76" s="1246"/>
      <c r="P76" s="1244"/>
      <c r="Q76" s="1244"/>
      <c r="R76" s="1244"/>
      <c r="S76" s="1244"/>
      <c r="T76" s="1244"/>
      <c r="U76" s="1244"/>
      <c r="V76" s="1244"/>
      <c r="W76" s="1244"/>
      <c r="X76" s="1244"/>
      <c r="Y76" s="1247"/>
      <c r="Z76" s="1247"/>
      <c r="AA76" s="1248"/>
    </row>
    <row r="77" spans="1:27" s="1242" customFormat="1" ht="19" customHeight="1" outlineLevel="1" x14ac:dyDescent="0.35">
      <c r="A77" s="1249"/>
      <c r="B77" s="1238" t="s">
        <v>27</v>
      </c>
      <c r="C77" s="1238"/>
      <c r="D77" s="1239"/>
      <c r="E77" s="1240"/>
      <c r="F77" s="1241"/>
      <c r="J77" s="1243"/>
      <c r="K77" s="1244"/>
      <c r="L77" s="1244"/>
      <c r="M77" s="1244"/>
      <c r="N77" s="1245"/>
      <c r="O77" s="1246"/>
      <c r="P77" s="1244"/>
      <c r="Q77" s="1244"/>
      <c r="R77" s="1244"/>
      <c r="S77" s="1244"/>
      <c r="T77" s="1244"/>
      <c r="U77" s="1244"/>
      <c r="V77" s="1244"/>
      <c r="W77" s="1244"/>
      <c r="X77" s="1244"/>
      <c r="Y77" s="1247"/>
      <c r="Z77" s="1247"/>
      <c r="AA77" s="1248"/>
    </row>
    <row r="78" spans="1:27" ht="23.25" customHeight="1" x14ac:dyDescent="0.35">
      <c r="A78" s="1249"/>
      <c r="B78" s="1238" t="s">
        <v>31</v>
      </c>
      <c r="C78" s="1238"/>
      <c r="D78" s="1239"/>
      <c r="E78" s="1240"/>
      <c r="F78" s="1241"/>
      <c r="J78" s="1193"/>
      <c r="K78" s="1194"/>
      <c r="L78" s="1194"/>
      <c r="M78" s="1194"/>
      <c r="N78" s="1204"/>
      <c r="O78" s="1205"/>
      <c r="P78" s="1194"/>
      <c r="Q78" s="1194"/>
      <c r="R78" s="1194"/>
      <c r="S78" s="1194"/>
      <c r="T78" s="1194"/>
      <c r="U78" s="1194"/>
      <c r="V78" s="1194"/>
      <c r="W78" s="1194"/>
      <c r="X78" s="1194"/>
      <c r="Y78" s="1195"/>
      <c r="Z78" s="1195"/>
      <c r="AA78" s="1196"/>
    </row>
    <row r="79" spans="1:27" ht="23.25" customHeight="1" thickBot="1" x14ac:dyDescent="0.4">
      <c r="A79" s="1251"/>
      <c r="B79" s="1252"/>
      <c r="C79" s="1253"/>
      <c r="D79" s="1254"/>
      <c r="E79" s="1255"/>
      <c r="F79" s="1256"/>
      <c r="J79" s="1193"/>
      <c r="K79" s="1194"/>
      <c r="L79" s="1194"/>
      <c r="M79" s="1194"/>
      <c r="N79" s="1204"/>
      <c r="O79" s="1205"/>
      <c r="P79" s="1194"/>
      <c r="Q79" s="1194"/>
      <c r="R79" s="1194"/>
      <c r="S79" s="1194"/>
      <c r="T79" s="1194"/>
      <c r="U79" s="1194"/>
      <c r="V79" s="1194"/>
      <c r="W79" s="1194"/>
      <c r="X79" s="1194"/>
      <c r="Y79" s="1195"/>
      <c r="Z79" s="1195"/>
      <c r="AA79" s="1196"/>
    </row>
    <row r="80" spans="1:27" ht="14" thickBot="1" x14ac:dyDescent="0.4">
      <c r="A80" s="1257" t="s">
        <v>2636</v>
      </c>
      <c r="B80" s="1258"/>
      <c r="C80" s="1258"/>
      <c r="D80" s="1259">
        <f>SUM(D77:D78)</f>
        <v>0</v>
      </c>
      <c r="E80" s="1260">
        <f>SUM(E77:E78)</f>
        <v>0</v>
      </c>
      <c r="F80" s="1261"/>
      <c r="G80" s="1352"/>
      <c r="H80" s="1285"/>
      <c r="J80" s="1193"/>
      <c r="K80" s="1194"/>
      <c r="L80" s="1194"/>
      <c r="M80" s="1194"/>
      <c r="N80" s="1204"/>
      <c r="O80" s="1205"/>
      <c r="P80" s="1194"/>
      <c r="Q80" s="1194"/>
      <c r="R80" s="1194"/>
      <c r="S80" s="1194"/>
      <c r="T80" s="1194"/>
      <c r="U80" s="1194"/>
      <c r="V80" s="1194"/>
      <c r="W80" s="1194"/>
      <c r="X80" s="1194"/>
      <c r="Y80" s="1195"/>
      <c r="Z80" s="1195"/>
      <c r="AA80" s="1196"/>
    </row>
    <row r="81" spans="1:27" ht="13.5" x14ac:dyDescent="0.35">
      <c r="A81" s="1236"/>
      <c r="B81" s="1237" t="s">
        <v>7149</v>
      </c>
      <c r="C81" s="1238"/>
      <c r="D81" s="1239"/>
      <c r="E81" s="1240"/>
      <c r="F81" s="1241"/>
      <c r="G81" s="1352"/>
      <c r="H81" s="1285"/>
      <c r="J81" s="1193"/>
      <c r="K81" s="1194"/>
      <c r="L81" s="1194"/>
      <c r="M81" s="1194"/>
      <c r="N81" s="1204"/>
      <c r="O81" s="1205"/>
      <c r="P81" s="1194"/>
      <c r="Q81" s="1194"/>
      <c r="R81" s="1194"/>
      <c r="S81" s="1194"/>
      <c r="T81" s="1194"/>
      <c r="U81" s="1194"/>
      <c r="V81" s="1194"/>
      <c r="W81" s="1194"/>
      <c r="X81" s="1194"/>
      <c r="Y81" s="1195"/>
      <c r="Z81" s="1195"/>
      <c r="AA81" s="1196"/>
    </row>
    <row r="82" spans="1:27" x14ac:dyDescent="0.35">
      <c r="A82" s="1249"/>
      <c r="B82" s="1238" t="s">
        <v>2447</v>
      </c>
      <c r="C82" s="1238" t="s">
        <v>7151</v>
      </c>
      <c r="D82" s="1262">
        <v>1974000</v>
      </c>
      <c r="E82" s="1240">
        <v>1974000</v>
      </c>
      <c r="F82" s="1241" t="s">
        <v>7150</v>
      </c>
      <c r="G82" s="1352"/>
      <c r="H82" s="1285"/>
      <c r="J82" s="1193"/>
      <c r="K82" s="1194"/>
      <c r="L82" s="1194"/>
      <c r="M82" s="1194"/>
      <c r="N82" s="1204"/>
      <c r="O82" s="1205"/>
      <c r="P82" s="1194"/>
      <c r="Q82" s="1194"/>
      <c r="R82" s="1194"/>
      <c r="S82" s="1194"/>
      <c r="T82" s="1194"/>
      <c r="U82" s="1194"/>
      <c r="V82" s="1194"/>
      <c r="W82" s="1194"/>
      <c r="X82" s="1194"/>
      <c r="Y82" s="1195"/>
      <c r="Z82" s="1195"/>
      <c r="AA82" s="1196"/>
    </row>
    <row r="83" spans="1:27" x14ac:dyDescent="0.35">
      <c r="A83" s="1249"/>
      <c r="B83" s="1238" t="s">
        <v>23</v>
      </c>
      <c r="C83" s="1238"/>
      <c r="D83" s="1239"/>
      <c r="E83" s="1240"/>
      <c r="F83" s="1241"/>
      <c r="G83" s="1352"/>
      <c r="H83" s="1285"/>
      <c r="J83" s="1193"/>
      <c r="K83" s="1194"/>
      <c r="L83" s="1194"/>
      <c r="M83" s="1194"/>
      <c r="N83" s="1204"/>
      <c r="O83" s="1205"/>
      <c r="P83" s="1194"/>
      <c r="Q83" s="1194"/>
      <c r="R83" s="1194"/>
      <c r="S83" s="1194"/>
      <c r="T83" s="1194"/>
      <c r="U83" s="1194"/>
      <c r="V83" s="1194"/>
      <c r="W83" s="1194"/>
      <c r="X83" s="1194"/>
      <c r="Y83" s="1195"/>
      <c r="Z83" s="1195"/>
      <c r="AA83" s="1196"/>
    </row>
    <row r="84" spans="1:27" ht="13.5" thickBot="1" x14ac:dyDescent="0.4">
      <c r="A84" s="1251"/>
      <c r="B84" s="1253"/>
      <c r="C84" s="1253"/>
      <c r="D84" s="1254"/>
      <c r="E84" s="1255"/>
      <c r="F84" s="1256"/>
      <c r="G84" s="1352"/>
      <c r="H84" s="1285"/>
      <c r="J84" s="1193"/>
      <c r="K84" s="1194"/>
      <c r="L84" s="1194"/>
      <c r="M84" s="1194"/>
      <c r="N84" s="1204"/>
      <c r="O84" s="1205"/>
      <c r="P84" s="1194"/>
      <c r="Q84" s="1194"/>
      <c r="R84" s="1194"/>
      <c r="S84" s="1194"/>
      <c r="T84" s="1194"/>
      <c r="U84" s="1194"/>
      <c r="V84" s="1194"/>
      <c r="W84" s="1194"/>
      <c r="X84" s="1194"/>
      <c r="Y84" s="1195"/>
      <c r="Z84" s="1195"/>
      <c r="AA84" s="1196"/>
    </row>
    <row r="85" spans="1:27" ht="13.5" thickBot="1" x14ac:dyDescent="0.4">
      <c r="A85" s="1263" t="s">
        <v>2637</v>
      </c>
      <c r="B85" s="1264"/>
      <c r="C85" s="1264"/>
      <c r="D85" s="1265">
        <f>SUM(D82:D84)</f>
        <v>1974000</v>
      </c>
      <c r="E85" s="1266">
        <f>SUM(E82:E84)</f>
        <v>1974000</v>
      </c>
      <c r="F85" s="1267"/>
      <c r="G85" s="1352"/>
      <c r="H85" s="1285"/>
      <c r="J85" s="1193"/>
      <c r="K85" s="1194">
        <f>E106-E101</f>
        <v>0</v>
      </c>
      <c r="L85" s="1194"/>
      <c r="M85" s="1194"/>
      <c r="N85" s="1204"/>
      <c r="O85" s="1205"/>
      <c r="P85" s="1194"/>
      <c r="Q85" s="1194"/>
      <c r="R85" s="1194"/>
      <c r="S85" s="1194"/>
      <c r="T85" s="1194"/>
      <c r="U85" s="1194"/>
      <c r="V85" s="1194"/>
      <c r="W85" s="1194"/>
      <c r="X85" s="1194"/>
      <c r="Y85" s="1195"/>
      <c r="Z85" s="1195"/>
      <c r="AA85" s="1196"/>
    </row>
    <row r="86" spans="1:27" ht="13.5" x14ac:dyDescent="0.35">
      <c r="A86" s="1218" t="s">
        <v>642</v>
      </c>
      <c r="B86" s="1190" t="s">
        <v>2620</v>
      </c>
      <c r="C86" s="1190"/>
      <c r="D86" s="1268"/>
      <c r="E86" s="1269"/>
      <c r="F86" s="1199"/>
      <c r="G86" s="1352"/>
      <c r="H86" s="1285"/>
      <c r="J86" s="1193"/>
      <c r="K86" s="1194"/>
      <c r="L86" s="1194"/>
      <c r="M86" s="1194"/>
      <c r="N86" s="1204"/>
      <c r="O86" s="1205"/>
      <c r="P86" s="1194"/>
      <c r="Q86" s="1194"/>
      <c r="R86" s="1194"/>
      <c r="S86" s="1194"/>
      <c r="T86" s="1194"/>
      <c r="U86" s="1194"/>
      <c r="V86" s="1194"/>
      <c r="W86" s="1194"/>
      <c r="X86" s="1194"/>
      <c r="Y86" s="1195"/>
      <c r="Z86" s="1195"/>
      <c r="AA86" s="1196"/>
    </row>
    <row r="87" spans="1:27" x14ac:dyDescent="0.35">
      <c r="A87" s="1218"/>
      <c r="B87" s="1190" t="s">
        <v>2640</v>
      </c>
      <c r="C87" s="1190"/>
      <c r="D87" s="1347"/>
      <c r="E87" s="1348"/>
      <c r="F87" s="1199"/>
      <c r="G87" s="1352"/>
      <c r="H87" s="1285"/>
      <c r="J87" s="1193"/>
      <c r="K87" s="1194"/>
      <c r="L87" s="1194"/>
      <c r="M87" s="1194"/>
      <c r="N87" s="1204"/>
      <c r="O87" s="1205"/>
      <c r="P87" s="1194"/>
      <c r="Q87" s="1194"/>
      <c r="R87" s="1194"/>
      <c r="S87" s="1194"/>
      <c r="T87" s="1194"/>
      <c r="U87" s="1194"/>
      <c r="V87" s="1194"/>
      <c r="W87" s="1194"/>
      <c r="X87" s="1194"/>
      <c r="Y87" s="1195"/>
      <c r="Z87" s="1195"/>
      <c r="AA87" s="1196"/>
    </row>
    <row r="88" spans="1:27" x14ac:dyDescent="0.3">
      <c r="A88" s="1197"/>
      <c r="B88" s="1270" t="s">
        <v>2447</v>
      </c>
      <c r="C88" s="1200" t="s">
        <v>2639</v>
      </c>
      <c r="D88" s="1274"/>
      <c r="E88" s="1272"/>
      <c r="F88" s="1273"/>
      <c r="G88" s="1352"/>
      <c r="H88" s="1285"/>
      <c r="J88" s="1193"/>
      <c r="K88" s="1194"/>
      <c r="L88" s="1194"/>
      <c r="M88" s="1194"/>
      <c r="N88" s="1204"/>
      <c r="O88" s="1205"/>
      <c r="P88" s="1194"/>
      <c r="Q88" s="1194"/>
      <c r="R88" s="1194"/>
      <c r="S88" s="1194"/>
      <c r="T88" s="1194"/>
      <c r="U88" s="1194"/>
      <c r="V88" s="1194"/>
      <c r="W88" s="1194"/>
      <c r="X88" s="1194"/>
      <c r="Y88" s="1195"/>
      <c r="Z88" s="1195"/>
      <c r="AA88" s="1196"/>
    </row>
    <row r="89" spans="1:27" x14ac:dyDescent="0.3">
      <c r="A89" s="1197"/>
      <c r="B89" s="1270" t="s">
        <v>23</v>
      </c>
      <c r="C89" s="1200"/>
      <c r="D89" s="1349"/>
      <c r="E89" s="1272"/>
      <c r="F89" s="1273"/>
      <c r="G89" s="1352"/>
      <c r="H89" s="1285"/>
      <c r="J89" s="1193"/>
      <c r="K89" s="1194"/>
      <c r="L89" s="1194"/>
      <c r="M89" s="1194"/>
      <c r="N89" s="1204"/>
      <c r="O89" s="1205"/>
      <c r="P89" s="1194"/>
      <c r="Q89" s="1194"/>
      <c r="R89" s="1194"/>
      <c r="S89" s="1194"/>
      <c r="T89" s="1194"/>
      <c r="U89" s="1194"/>
      <c r="V89" s="1194"/>
      <c r="W89" s="1194"/>
      <c r="X89" s="1194"/>
      <c r="Y89" s="1195"/>
      <c r="Z89" s="1195"/>
      <c r="AA89" s="1196"/>
    </row>
    <row r="90" spans="1:27" x14ac:dyDescent="0.35">
      <c r="A90" s="1197"/>
      <c r="B90" s="1270" t="s">
        <v>27</v>
      </c>
      <c r="C90" s="1200"/>
      <c r="D90" s="1274"/>
      <c r="E90" s="1274"/>
      <c r="F90" s="1273"/>
      <c r="G90" s="1352"/>
      <c r="H90" s="1285"/>
      <c r="J90" s="1193"/>
      <c r="K90" s="1271">
        <v>203728785</v>
      </c>
      <c r="L90" s="1194"/>
      <c r="M90" s="1194"/>
      <c r="N90" s="1204"/>
      <c r="O90" s="1205"/>
      <c r="P90" s="1194"/>
      <c r="Q90" s="1194"/>
      <c r="R90" s="1194"/>
      <c r="S90" s="1194"/>
      <c r="T90" s="1194"/>
      <c r="U90" s="1194"/>
      <c r="V90" s="1194"/>
      <c r="W90" s="1194"/>
      <c r="X90" s="1194"/>
      <c r="Y90" s="1195"/>
      <c r="Z90" s="1195"/>
      <c r="AA90" s="1196"/>
    </row>
    <row r="91" spans="1:27" x14ac:dyDescent="0.3">
      <c r="A91" s="1197"/>
      <c r="B91" s="1270" t="s">
        <v>31</v>
      </c>
      <c r="C91" s="1200"/>
      <c r="D91" s="1274"/>
      <c r="E91" s="1272"/>
      <c r="F91" s="1273"/>
      <c r="G91" s="1352"/>
      <c r="H91" s="1285"/>
      <c r="J91" s="1193"/>
      <c r="K91" s="1194">
        <v>203968784.97999999</v>
      </c>
      <c r="L91" s="1194"/>
      <c r="M91" s="1194"/>
      <c r="N91" s="1204"/>
      <c r="O91" s="1205"/>
      <c r="P91" s="1194"/>
      <c r="Q91" s="1194"/>
      <c r="R91" s="1194"/>
      <c r="S91" s="1194"/>
      <c r="T91" s="1194"/>
      <c r="U91" s="1194"/>
      <c r="V91" s="1194"/>
      <c r="W91" s="1194"/>
      <c r="X91" s="1194"/>
      <c r="Y91" s="1195"/>
      <c r="Z91" s="1195"/>
      <c r="AA91" s="1196"/>
    </row>
    <row r="92" spans="1:27" x14ac:dyDescent="0.3">
      <c r="A92" s="1197"/>
      <c r="B92" s="1270" t="s">
        <v>36</v>
      </c>
      <c r="C92" s="1200"/>
      <c r="D92" s="1274"/>
      <c r="E92" s="1272"/>
      <c r="F92" s="1273"/>
      <c r="G92" s="1352"/>
      <c r="H92" s="1285"/>
      <c r="J92" s="1193"/>
      <c r="K92" s="1194">
        <f>K90-K91</f>
        <v>-239999.97999998927</v>
      </c>
      <c r="L92" s="1194"/>
      <c r="M92" s="1194"/>
      <c r="N92" s="1204"/>
      <c r="O92" s="1205"/>
      <c r="P92" s="1194"/>
      <c r="Q92" s="1194"/>
      <c r="R92" s="1194"/>
      <c r="S92" s="1194"/>
      <c r="T92" s="1194"/>
      <c r="U92" s="1194"/>
      <c r="V92" s="1194"/>
      <c r="W92" s="1194"/>
      <c r="X92" s="1194"/>
      <c r="Y92" s="1195"/>
      <c r="Z92" s="1195"/>
      <c r="AA92" s="1196"/>
    </row>
    <row r="93" spans="1:27" x14ac:dyDescent="0.3">
      <c r="A93" s="1197"/>
      <c r="B93" s="1270" t="s">
        <v>2449</v>
      </c>
      <c r="C93" s="1200"/>
      <c r="D93" s="1350"/>
      <c r="E93" s="1272"/>
      <c r="F93" s="1273"/>
      <c r="G93" s="1352"/>
      <c r="H93" s="1285"/>
      <c r="J93" s="1193"/>
      <c r="K93" s="1194"/>
      <c r="L93" s="1194"/>
      <c r="M93" s="1194"/>
      <c r="N93" s="1204"/>
      <c r="O93" s="1205"/>
      <c r="P93" s="1194"/>
      <c r="Q93" s="1194"/>
      <c r="R93" s="1194"/>
      <c r="S93" s="1194"/>
      <c r="T93" s="1194"/>
      <c r="U93" s="1194"/>
      <c r="V93" s="1194"/>
      <c r="W93" s="1194"/>
      <c r="X93" s="1194"/>
      <c r="Y93" s="1195"/>
      <c r="Z93" s="1195"/>
      <c r="AA93" s="1196"/>
    </row>
    <row r="94" spans="1:27" x14ac:dyDescent="0.35">
      <c r="A94" s="1197"/>
      <c r="B94" s="1270" t="s">
        <v>759</v>
      </c>
      <c r="C94" s="1200"/>
      <c r="D94" s="1274"/>
      <c r="E94" s="1274"/>
      <c r="F94" s="1273"/>
      <c r="G94" s="1352"/>
      <c r="H94" s="1285"/>
      <c r="J94" s="1193"/>
      <c r="K94" s="1194"/>
      <c r="L94" s="1194"/>
      <c r="M94" s="1194"/>
      <c r="N94" s="1204"/>
      <c r="O94" s="1205"/>
      <c r="P94" s="1194"/>
      <c r="Q94" s="1194"/>
      <c r="R94" s="1194"/>
      <c r="S94" s="1194"/>
      <c r="T94" s="1194"/>
      <c r="U94" s="1194"/>
      <c r="V94" s="1194"/>
      <c r="W94" s="1194"/>
      <c r="X94" s="1194"/>
      <c r="Y94" s="1195"/>
      <c r="Z94" s="1195"/>
      <c r="AA94" s="1196"/>
    </row>
    <row r="95" spans="1:27" x14ac:dyDescent="0.3">
      <c r="A95" s="1197"/>
      <c r="B95" s="1270" t="s">
        <v>701</v>
      </c>
      <c r="C95" s="1200"/>
      <c r="D95" s="1274"/>
      <c r="E95" s="1272"/>
      <c r="F95" s="1273"/>
      <c r="G95" s="1352"/>
      <c r="H95" s="1285"/>
      <c r="J95" s="1193"/>
      <c r="K95" s="1194">
        <v>6989759331</v>
      </c>
      <c r="L95" s="1194"/>
      <c r="M95" s="1194"/>
      <c r="N95" s="1204"/>
      <c r="O95" s="1205"/>
      <c r="P95" s="1194"/>
      <c r="Q95" s="1194"/>
      <c r="R95" s="1194"/>
      <c r="S95" s="1194"/>
      <c r="T95" s="1194"/>
      <c r="U95" s="1194"/>
      <c r="V95" s="1194"/>
      <c r="W95" s="1194"/>
      <c r="X95" s="1194"/>
      <c r="Y95" s="1195"/>
      <c r="Z95" s="1195"/>
      <c r="AA95" s="1196"/>
    </row>
    <row r="96" spans="1:27" x14ac:dyDescent="0.3">
      <c r="A96" s="1197"/>
      <c r="B96" s="1270" t="s">
        <v>1027</v>
      </c>
      <c r="C96" s="1200"/>
      <c r="D96" s="1274"/>
      <c r="E96" s="1272"/>
      <c r="F96" s="1273"/>
      <c r="G96" s="1352"/>
      <c r="H96" s="1285"/>
      <c r="J96" s="1193"/>
      <c r="K96" s="1194">
        <f>H95-K95</f>
        <v>-6989759331</v>
      </c>
      <c r="L96" s="1194"/>
      <c r="M96" s="1194"/>
      <c r="N96" s="1204"/>
      <c r="O96" s="1205"/>
      <c r="P96" s="1194"/>
      <c r="Q96" s="1194"/>
      <c r="R96" s="1194"/>
      <c r="S96" s="1194"/>
      <c r="T96" s="1194"/>
      <c r="U96" s="1194"/>
      <c r="V96" s="1194"/>
      <c r="W96" s="1194"/>
      <c r="X96" s="1194"/>
      <c r="Y96" s="1195"/>
      <c r="Z96" s="1195"/>
      <c r="AA96" s="1196"/>
    </row>
    <row r="97" spans="1:27" ht="13.5" customHeight="1" x14ac:dyDescent="0.35">
      <c r="A97" s="1197"/>
      <c r="B97" s="1270" t="s">
        <v>762</v>
      </c>
      <c r="C97" s="1200"/>
      <c r="D97" s="1274"/>
      <c r="E97" s="1274"/>
      <c r="F97" s="1273"/>
      <c r="G97" s="1352"/>
      <c r="H97" s="1285"/>
      <c r="J97" s="1193"/>
      <c r="K97" s="1194"/>
      <c r="L97" s="1194"/>
      <c r="M97" s="1194"/>
      <c r="N97" s="1204"/>
      <c r="O97" s="1205"/>
      <c r="P97" s="1194"/>
      <c r="Q97" s="1194"/>
      <c r="R97" s="1194"/>
      <c r="S97" s="1194"/>
      <c r="T97" s="1194"/>
      <c r="U97" s="1194"/>
      <c r="V97" s="1194"/>
      <c r="W97" s="1194"/>
      <c r="X97" s="1194"/>
      <c r="Y97" s="1195"/>
      <c r="Z97" s="1195"/>
      <c r="AA97" s="1196"/>
    </row>
    <row r="98" spans="1:27" x14ac:dyDescent="0.3">
      <c r="A98" s="1197"/>
      <c r="B98" s="1270" t="s">
        <v>874</v>
      </c>
      <c r="C98" s="1200"/>
      <c r="D98" s="1274"/>
      <c r="E98" s="1272"/>
      <c r="F98" s="1273"/>
      <c r="G98" s="1352"/>
      <c r="H98" s="1285"/>
      <c r="J98" s="1193"/>
      <c r="K98" s="1194">
        <v>1389850001</v>
      </c>
      <c r="L98" s="1194"/>
      <c r="M98" s="1194"/>
      <c r="N98" s="1204"/>
      <c r="O98" s="1205"/>
      <c r="P98" s="1194"/>
      <c r="Q98" s="1194"/>
      <c r="R98" s="1194"/>
      <c r="S98" s="1194"/>
      <c r="T98" s="1194"/>
      <c r="U98" s="1194"/>
      <c r="V98" s="1194"/>
      <c r="W98" s="1194"/>
      <c r="X98" s="1194"/>
      <c r="Y98" s="1195"/>
      <c r="Z98" s="1195"/>
      <c r="AA98" s="1196"/>
    </row>
    <row r="99" spans="1:27" x14ac:dyDescent="0.3">
      <c r="A99" s="1197"/>
      <c r="B99" s="1270" t="s">
        <v>2450</v>
      </c>
      <c r="C99" s="1200"/>
      <c r="D99" s="1350"/>
      <c r="E99" s="1272"/>
      <c r="F99" s="1273"/>
      <c r="G99" s="1352"/>
      <c r="H99" s="1285"/>
      <c r="J99" s="1193"/>
      <c r="K99" s="1194"/>
      <c r="L99" s="1194"/>
      <c r="M99" s="1194"/>
      <c r="N99" s="1204"/>
      <c r="O99" s="1205"/>
      <c r="P99" s="1194"/>
      <c r="Q99" s="1194"/>
      <c r="R99" s="1194"/>
      <c r="S99" s="1194"/>
      <c r="T99" s="1194"/>
      <c r="U99" s="1194"/>
      <c r="V99" s="1194"/>
      <c r="W99" s="1194"/>
      <c r="X99" s="1194"/>
      <c r="Y99" s="1195"/>
      <c r="Z99" s="1195"/>
      <c r="AA99" s="1196"/>
    </row>
    <row r="100" spans="1:27" x14ac:dyDescent="0.3">
      <c r="A100" s="1197"/>
      <c r="B100" s="1270" t="s">
        <v>2451</v>
      </c>
      <c r="C100" s="1200"/>
      <c r="D100" s="1274"/>
      <c r="E100" s="1272"/>
      <c r="F100" s="1273"/>
      <c r="G100" s="1352"/>
      <c r="H100" s="1285"/>
      <c r="J100" s="1193"/>
      <c r="K100" s="1194">
        <f>K96-K98</f>
        <v>-8379609332</v>
      </c>
      <c r="L100" s="1194"/>
      <c r="M100" s="1194"/>
      <c r="N100" s="1204"/>
      <c r="O100" s="1205"/>
      <c r="P100" s="1194"/>
      <c r="Q100" s="1194"/>
      <c r="R100" s="1194"/>
      <c r="S100" s="1194"/>
      <c r="T100" s="1194"/>
      <c r="U100" s="1194"/>
      <c r="V100" s="1194"/>
      <c r="W100" s="1194"/>
      <c r="X100" s="1194"/>
      <c r="Y100" s="1195"/>
      <c r="Z100" s="1195"/>
      <c r="AA100" s="1196"/>
    </row>
    <row r="101" spans="1:27" x14ac:dyDescent="0.3">
      <c r="A101" s="1197"/>
      <c r="B101" s="1270" t="s">
        <v>2452</v>
      </c>
      <c r="C101" s="1200"/>
      <c r="D101" s="1274"/>
      <c r="E101" s="1272"/>
      <c r="F101" s="1273"/>
      <c r="G101" s="1352"/>
      <c r="H101" s="1353"/>
      <c r="J101" s="1193"/>
      <c r="K101" s="1194"/>
      <c r="L101" s="1194"/>
      <c r="M101" s="1194"/>
      <c r="N101" s="1204"/>
      <c r="O101" s="1205"/>
      <c r="P101" s="1194"/>
      <c r="Q101" s="1194"/>
      <c r="R101" s="1194"/>
      <c r="S101" s="1194"/>
      <c r="T101" s="1194"/>
      <c r="U101" s="1194"/>
      <c r="V101" s="1194"/>
      <c r="W101" s="1194"/>
      <c r="X101" s="1194"/>
      <c r="Y101" s="1195"/>
      <c r="Z101" s="1195"/>
      <c r="AA101" s="1196"/>
    </row>
    <row r="102" spans="1:27" x14ac:dyDescent="0.3">
      <c r="A102" s="1197"/>
      <c r="B102" s="1270" t="s">
        <v>2453</v>
      </c>
      <c r="C102" s="1200"/>
      <c r="D102" s="1274"/>
      <c r="E102" s="1272"/>
      <c r="F102" s="1273"/>
      <c r="G102" s="1352"/>
      <c r="H102" s="1285"/>
      <c r="J102" s="1193"/>
      <c r="K102" s="1194"/>
      <c r="L102" s="1194"/>
      <c r="M102" s="1194"/>
      <c r="N102" s="1204"/>
      <c r="O102" s="1205"/>
      <c r="P102" s="1194"/>
      <c r="Q102" s="1194"/>
      <c r="R102" s="1194"/>
      <c r="S102" s="1194"/>
      <c r="T102" s="1194"/>
      <c r="U102" s="1194"/>
      <c r="V102" s="1194"/>
      <c r="W102" s="1194"/>
      <c r="X102" s="1194"/>
      <c r="Y102" s="1195"/>
      <c r="Z102" s="1195"/>
      <c r="AA102" s="1196"/>
    </row>
    <row r="103" spans="1:27" x14ac:dyDescent="0.3">
      <c r="A103" s="1197"/>
      <c r="B103" s="1270" t="s">
        <v>2454</v>
      </c>
      <c r="C103" s="1200"/>
      <c r="D103" s="1274"/>
      <c r="E103" s="1272"/>
      <c r="F103" s="1273"/>
      <c r="G103" s="1352"/>
      <c r="H103" s="1285"/>
      <c r="J103" s="1193"/>
      <c r="K103" s="1194"/>
      <c r="L103" s="1194"/>
      <c r="M103" s="1194"/>
      <c r="N103" s="1204"/>
      <c r="O103" s="1205"/>
      <c r="P103" s="1194"/>
      <c r="Q103" s="1194"/>
      <c r="R103" s="1194"/>
      <c r="S103" s="1194"/>
      <c r="T103" s="1194"/>
      <c r="U103" s="1194"/>
      <c r="V103" s="1194"/>
      <c r="W103" s="1194"/>
      <c r="X103" s="1194"/>
      <c r="Y103" s="1195"/>
      <c r="Z103" s="1195"/>
      <c r="AA103" s="1196"/>
    </row>
    <row r="104" spans="1:27" x14ac:dyDescent="0.3">
      <c r="A104" s="1197"/>
      <c r="B104" s="1270" t="s">
        <v>2455</v>
      </c>
      <c r="C104" s="1200"/>
      <c r="D104" s="1274"/>
      <c r="E104" s="1272"/>
      <c r="F104" s="1273"/>
      <c r="G104" s="1352"/>
      <c r="H104" s="1353"/>
      <c r="J104" s="1193"/>
      <c r="K104" s="1194"/>
      <c r="L104" s="1194"/>
      <c r="M104" s="1194"/>
      <c r="N104" s="1204"/>
      <c r="O104" s="1205"/>
      <c r="P104" s="1194"/>
      <c r="Q104" s="1194"/>
      <c r="R104" s="1194"/>
      <c r="S104" s="1194"/>
      <c r="T104" s="1194"/>
      <c r="U104" s="1194"/>
      <c r="V104" s="1194"/>
      <c r="W104" s="1194"/>
      <c r="X104" s="1194"/>
      <c r="Y104" s="1195"/>
      <c r="Z104" s="1195"/>
      <c r="AA104" s="1196"/>
    </row>
    <row r="105" spans="1:27" x14ac:dyDescent="0.3">
      <c r="A105" s="1197"/>
      <c r="B105" s="1275"/>
      <c r="C105" s="700" t="s">
        <v>2638</v>
      </c>
      <c r="D105" s="1351"/>
      <c r="E105" s="1276"/>
      <c r="F105" s="1273"/>
      <c r="G105" s="1352"/>
      <c r="H105" s="1285"/>
      <c r="J105" s="1193"/>
      <c r="K105" s="1194"/>
      <c r="L105" s="1194"/>
      <c r="M105" s="1194"/>
      <c r="N105" s="1204"/>
      <c r="O105" s="1205"/>
      <c r="P105" s="1194"/>
      <c r="Q105" s="1194"/>
      <c r="R105" s="1194"/>
      <c r="S105" s="1194"/>
      <c r="T105" s="1194"/>
      <c r="U105" s="1194"/>
      <c r="V105" s="1194"/>
      <c r="W105" s="1194"/>
      <c r="X105" s="1194"/>
      <c r="Y105" s="1195"/>
      <c r="Z105" s="1195"/>
      <c r="AA105" s="1196"/>
    </row>
    <row r="106" spans="1:27" x14ac:dyDescent="0.35">
      <c r="A106" s="1197"/>
      <c r="B106" s="1275"/>
      <c r="C106" s="1200"/>
      <c r="D106" s="1277">
        <f>SUM(D88:D105)</f>
        <v>0</v>
      </c>
      <c r="E106" s="1277">
        <f>SUM(E88:E105)</f>
        <v>0</v>
      </c>
      <c r="F106" s="1273"/>
      <c r="G106" s="1352"/>
      <c r="H106" s="1353"/>
      <c r="J106" s="1193"/>
      <c r="K106" s="1194"/>
      <c r="L106" s="1194"/>
      <c r="M106" s="1194"/>
      <c r="N106" s="1204"/>
      <c r="O106" s="1205"/>
      <c r="P106" s="1194"/>
      <c r="Q106" s="1194"/>
      <c r="R106" s="1194"/>
      <c r="S106" s="1194"/>
      <c r="T106" s="1194"/>
      <c r="U106" s="1194"/>
      <c r="V106" s="1194"/>
      <c r="W106" s="1194"/>
      <c r="X106" s="1194"/>
      <c r="Y106" s="1195"/>
      <c r="Z106" s="1195"/>
      <c r="AA106" s="1196"/>
    </row>
    <row r="107" spans="1:27" x14ac:dyDescent="0.3">
      <c r="A107" s="1197"/>
      <c r="B107" s="1190" t="s">
        <v>2641</v>
      </c>
      <c r="C107" s="1200"/>
      <c r="D107" s="1274"/>
      <c r="E107" s="1272"/>
      <c r="F107" s="1273"/>
      <c r="G107" s="1352"/>
      <c r="H107" s="1285"/>
      <c r="J107" s="1193"/>
      <c r="K107" s="1194"/>
      <c r="L107" s="1194"/>
      <c r="M107" s="1194"/>
      <c r="N107" s="1204"/>
      <c r="O107" s="1205"/>
      <c r="P107" s="1194"/>
      <c r="Q107" s="1194"/>
      <c r="R107" s="1194"/>
      <c r="S107" s="1194"/>
      <c r="T107" s="1194"/>
      <c r="U107" s="1194"/>
      <c r="V107" s="1194"/>
      <c r="W107" s="1194"/>
      <c r="X107" s="1194"/>
      <c r="Y107" s="1195"/>
      <c r="Z107" s="1195"/>
      <c r="AA107" s="1196"/>
    </row>
    <row r="108" spans="1:27" x14ac:dyDescent="0.3">
      <c r="A108" s="1197"/>
      <c r="B108" s="1270" t="s">
        <v>2447</v>
      </c>
      <c r="C108" s="1200" t="s">
        <v>2642</v>
      </c>
      <c r="D108" s="1278"/>
      <c r="E108" s="1279"/>
      <c r="F108" s="1273"/>
      <c r="G108" s="1352"/>
      <c r="H108" s="1353"/>
      <c r="J108" s="1193"/>
      <c r="K108" s="1194"/>
      <c r="L108" s="1194"/>
      <c r="M108" s="1194"/>
      <c r="N108" s="1204"/>
      <c r="O108" s="1205"/>
      <c r="P108" s="1194"/>
      <c r="Q108" s="1194"/>
      <c r="R108" s="1194"/>
      <c r="S108" s="1194"/>
      <c r="T108" s="1194"/>
      <c r="U108" s="1194"/>
      <c r="V108" s="1194"/>
      <c r="W108" s="1194"/>
      <c r="X108" s="1194"/>
      <c r="Y108" s="1195"/>
      <c r="Z108" s="1195"/>
      <c r="AA108" s="1196"/>
    </row>
    <row r="109" spans="1:27" x14ac:dyDescent="0.3">
      <c r="A109" s="1197"/>
      <c r="B109" s="1270" t="s">
        <v>23</v>
      </c>
      <c r="C109" s="1200" t="s">
        <v>2622</v>
      </c>
      <c r="D109" s="1280"/>
      <c r="E109" s="1279"/>
      <c r="F109" s="1273"/>
      <c r="G109" s="1352"/>
      <c r="H109" s="1285"/>
      <c r="J109" s="1193"/>
      <c r="K109" s="1194"/>
      <c r="L109" s="1194"/>
      <c r="M109" s="1194"/>
      <c r="N109" s="1204"/>
      <c r="O109" s="1205"/>
      <c r="P109" s="1194"/>
      <c r="Q109" s="1194"/>
      <c r="R109" s="1194"/>
      <c r="S109" s="1194"/>
      <c r="T109" s="1194"/>
      <c r="U109" s="1194"/>
      <c r="V109" s="1194"/>
      <c r="W109" s="1194"/>
      <c r="X109" s="1194"/>
      <c r="Y109" s="1195"/>
      <c r="Z109" s="1195"/>
      <c r="AA109" s="1196"/>
    </row>
    <row r="110" spans="1:27" x14ac:dyDescent="0.3">
      <c r="A110" s="1197"/>
      <c r="B110" s="1270" t="s">
        <v>27</v>
      </c>
      <c r="C110" s="1200" t="s">
        <v>2643</v>
      </c>
      <c r="D110" s="1280"/>
      <c r="E110" s="1279"/>
      <c r="F110" s="1273">
        <f>D110</f>
        <v>0</v>
      </c>
      <c r="G110" s="1352"/>
      <c r="H110" s="1285"/>
      <c r="J110" s="1193"/>
      <c r="K110" s="1194"/>
      <c r="L110" s="1194"/>
      <c r="M110" s="1194"/>
      <c r="N110" s="1204"/>
      <c r="O110" s="1205"/>
      <c r="P110" s="1194"/>
      <c r="Q110" s="1194"/>
      <c r="R110" s="1194"/>
      <c r="S110" s="1194"/>
      <c r="T110" s="1194"/>
      <c r="U110" s="1194"/>
      <c r="V110" s="1194"/>
      <c r="W110" s="1194"/>
      <c r="X110" s="1194"/>
      <c r="Y110" s="1195"/>
      <c r="Z110" s="1195"/>
      <c r="AA110" s="1196"/>
    </row>
    <row r="111" spans="1:27" x14ac:dyDescent="0.3">
      <c r="A111" s="1197"/>
      <c r="B111" s="1270" t="s">
        <v>31</v>
      </c>
      <c r="C111" s="1200"/>
      <c r="D111" s="1280"/>
      <c r="E111" s="1279"/>
      <c r="F111" s="1273"/>
      <c r="G111" s="1352"/>
      <c r="H111" s="1285"/>
      <c r="J111" s="1193"/>
      <c r="K111" s="1194"/>
      <c r="L111" s="1194"/>
      <c r="M111" s="1194"/>
      <c r="N111" s="1204"/>
      <c r="O111" s="1205"/>
      <c r="P111" s="1194"/>
      <c r="Q111" s="1194"/>
      <c r="R111" s="1194"/>
      <c r="S111" s="1194"/>
      <c r="T111" s="1194"/>
      <c r="U111" s="1194"/>
      <c r="V111" s="1194"/>
      <c r="W111" s="1194"/>
      <c r="X111" s="1194"/>
      <c r="Y111" s="1195"/>
      <c r="Z111" s="1195"/>
      <c r="AA111" s="1196"/>
    </row>
    <row r="112" spans="1:27" x14ac:dyDescent="0.3">
      <c r="A112" s="1197"/>
      <c r="B112" s="1270" t="s">
        <v>36</v>
      </c>
      <c r="C112" s="1200"/>
      <c r="D112" s="1280"/>
      <c r="E112" s="1279"/>
      <c r="F112" s="1273"/>
      <c r="G112" s="1354"/>
      <c r="H112" s="1285"/>
      <c r="I112" s="1285"/>
      <c r="J112" s="1193"/>
      <c r="K112" s="1194">
        <f>D120-E120</f>
        <v>0</v>
      </c>
      <c r="L112" s="1194"/>
      <c r="M112" s="1194"/>
      <c r="N112" s="1204"/>
      <c r="O112" s="1205"/>
      <c r="P112" s="1194"/>
      <c r="Q112" s="1194"/>
      <c r="R112" s="1194"/>
      <c r="S112" s="1194"/>
      <c r="T112" s="1194"/>
      <c r="U112" s="1194"/>
      <c r="V112" s="1194"/>
      <c r="W112" s="1194"/>
      <c r="X112" s="1194"/>
      <c r="Y112" s="1195"/>
      <c r="Z112" s="1195"/>
      <c r="AA112" s="1196"/>
    </row>
    <row r="113" spans="1:27" x14ac:dyDescent="0.3">
      <c r="A113" s="1197"/>
      <c r="B113" s="1270" t="s">
        <v>2449</v>
      </c>
      <c r="C113" s="1200"/>
      <c r="D113" s="1280"/>
      <c r="E113" s="1279"/>
      <c r="F113" s="1273"/>
      <c r="G113" s="1354"/>
      <c r="H113" s="1285"/>
      <c r="I113" s="1285"/>
      <c r="J113" s="1193"/>
      <c r="K113" s="1194">
        <f>D121-E121</f>
        <v>0</v>
      </c>
      <c r="L113" s="1194"/>
      <c r="M113" s="1194"/>
      <c r="N113" s="1204"/>
      <c r="O113" s="1205"/>
      <c r="P113" s="1194"/>
      <c r="Q113" s="1194"/>
      <c r="R113" s="1194"/>
      <c r="S113" s="1194"/>
      <c r="T113" s="1194"/>
      <c r="U113" s="1194"/>
      <c r="V113" s="1194"/>
      <c r="W113" s="1194"/>
      <c r="X113" s="1194"/>
      <c r="Y113" s="1195"/>
      <c r="Z113" s="1195"/>
      <c r="AA113" s="1196"/>
    </row>
    <row r="114" spans="1:27" x14ac:dyDescent="0.3">
      <c r="A114" s="1197"/>
      <c r="B114" s="1270" t="s">
        <v>759</v>
      </c>
      <c r="C114" s="1200"/>
      <c r="D114" s="1281"/>
      <c r="E114" s="1279"/>
      <c r="F114" s="1273"/>
      <c r="G114" s="1354"/>
      <c r="H114" s="1285"/>
      <c r="I114" s="1285"/>
      <c r="J114" s="1193"/>
      <c r="K114" s="1194"/>
      <c r="L114" s="1194"/>
      <c r="M114" s="1194"/>
      <c r="N114" s="1204"/>
      <c r="O114" s="1205"/>
      <c r="P114" s="1194"/>
      <c r="Q114" s="1194"/>
      <c r="R114" s="1194"/>
      <c r="S114" s="1194"/>
      <c r="T114" s="1194"/>
      <c r="U114" s="1194"/>
      <c r="V114" s="1194"/>
      <c r="W114" s="1194"/>
      <c r="X114" s="1194"/>
      <c r="Y114" s="1195"/>
      <c r="Z114" s="1195"/>
      <c r="AA114" s="1196"/>
    </row>
    <row r="115" spans="1:27" x14ac:dyDescent="0.3">
      <c r="A115" s="1197"/>
      <c r="B115" s="1270" t="s">
        <v>701</v>
      </c>
      <c r="C115" s="1200"/>
      <c r="D115" s="1280"/>
      <c r="E115" s="1279"/>
      <c r="F115" s="1273"/>
      <c r="G115" s="1354"/>
      <c r="H115" s="1285"/>
      <c r="I115" s="1285"/>
      <c r="J115" s="1193"/>
      <c r="K115" s="1194"/>
      <c r="L115" s="1194"/>
      <c r="M115" s="1194"/>
      <c r="N115" s="1204"/>
      <c r="O115" s="1205"/>
      <c r="P115" s="1194"/>
      <c r="Q115" s="1194"/>
      <c r="R115" s="1194"/>
      <c r="S115" s="1194"/>
      <c r="T115" s="1194"/>
      <c r="U115" s="1194"/>
      <c r="V115" s="1194"/>
      <c r="W115" s="1194"/>
      <c r="X115" s="1194"/>
      <c r="Y115" s="1195"/>
      <c r="Z115" s="1195"/>
      <c r="AA115" s="1196"/>
    </row>
    <row r="116" spans="1:27" ht="13.5" customHeight="1" x14ac:dyDescent="0.3">
      <c r="A116" s="1197"/>
      <c r="B116" s="1270" t="s">
        <v>1027</v>
      </c>
      <c r="C116" s="1200"/>
      <c r="D116" s="1282"/>
      <c r="E116" s="1283"/>
      <c r="F116" s="1273">
        <f>SUM(D115:D116)</f>
        <v>0</v>
      </c>
      <c r="G116" s="1354"/>
      <c r="H116" s="1285"/>
      <c r="I116" s="1285"/>
      <c r="J116" s="1193"/>
      <c r="K116" s="1194">
        <f t="shared" ref="K116:K124" si="0">D124-E124</f>
        <v>0</v>
      </c>
      <c r="L116" s="1194"/>
      <c r="M116" s="1194"/>
      <c r="N116" s="1204"/>
      <c r="O116" s="1205"/>
      <c r="P116" s="1194"/>
      <c r="Q116" s="1194"/>
      <c r="R116" s="1194"/>
      <c r="S116" s="1194"/>
      <c r="T116" s="1194"/>
      <c r="U116" s="1194"/>
      <c r="V116" s="1194"/>
      <c r="W116" s="1194"/>
      <c r="X116" s="1194"/>
      <c r="Y116" s="1195"/>
      <c r="Z116" s="1195"/>
      <c r="AA116" s="1196"/>
    </row>
    <row r="117" spans="1:27" ht="13.5" customHeight="1" x14ac:dyDescent="0.3">
      <c r="A117" s="1197"/>
      <c r="B117" s="1275"/>
      <c r="C117" s="1200"/>
      <c r="D117" s="1284">
        <f>SUM(D108:D116)</f>
        <v>0</v>
      </c>
      <c r="E117" s="1284">
        <f>SUM(E108:E116)</f>
        <v>0</v>
      </c>
      <c r="F117" s="1273"/>
      <c r="G117" s="1354"/>
      <c r="H117" s="1285"/>
      <c r="I117" s="1285"/>
      <c r="J117" s="1193"/>
      <c r="K117" s="1194">
        <f t="shared" si="0"/>
        <v>0</v>
      </c>
      <c r="L117" s="1194"/>
      <c r="M117" s="1194"/>
      <c r="N117" s="1204"/>
      <c r="O117" s="1205"/>
      <c r="P117" s="1194"/>
      <c r="Q117" s="1194"/>
      <c r="R117" s="1194"/>
      <c r="S117" s="1194"/>
      <c r="T117" s="1194"/>
      <c r="U117" s="1194"/>
      <c r="V117" s="1194"/>
      <c r="W117" s="1194"/>
      <c r="X117" s="1194"/>
      <c r="Y117" s="1195"/>
      <c r="Z117" s="1195"/>
      <c r="AA117" s="1196"/>
    </row>
    <row r="118" spans="1:27" ht="13.5" customHeight="1" x14ac:dyDescent="0.3">
      <c r="A118" s="1197"/>
      <c r="B118" s="1275"/>
      <c r="C118" s="1200"/>
      <c r="D118" s="1284"/>
      <c r="E118" s="1279"/>
      <c r="F118" s="1273"/>
      <c r="G118" s="1354"/>
      <c r="H118" s="1272"/>
      <c r="I118" s="1285"/>
      <c r="J118" s="1193"/>
      <c r="K118" s="1194">
        <f t="shared" si="0"/>
        <v>0</v>
      </c>
      <c r="L118" s="1194"/>
      <c r="M118" s="1194"/>
      <c r="N118" s="1204"/>
      <c r="O118" s="1205"/>
      <c r="P118" s="1194"/>
      <c r="Q118" s="1194"/>
      <c r="R118" s="1194"/>
      <c r="S118" s="1194"/>
      <c r="T118" s="1194"/>
      <c r="U118" s="1194"/>
      <c r="V118" s="1194"/>
      <c r="W118" s="1194"/>
      <c r="X118" s="1194"/>
      <c r="Y118" s="1195"/>
      <c r="Z118" s="1195"/>
      <c r="AA118" s="1196"/>
    </row>
    <row r="119" spans="1:27" ht="13.5" customHeight="1" x14ac:dyDescent="0.3">
      <c r="A119" s="1197"/>
      <c r="B119" s="1356" t="s">
        <v>2621</v>
      </c>
      <c r="C119" s="1200"/>
      <c r="D119" s="1284"/>
      <c r="E119" s="1279"/>
      <c r="F119" s="1273"/>
      <c r="G119" s="1354"/>
      <c r="H119" s="1272"/>
      <c r="I119" s="1285"/>
      <c r="J119" s="1193"/>
      <c r="K119" s="1194">
        <f t="shared" si="0"/>
        <v>0</v>
      </c>
      <c r="L119" s="1194"/>
      <c r="M119" s="1194"/>
      <c r="N119" s="1204"/>
      <c r="O119" s="1205"/>
      <c r="P119" s="1194"/>
      <c r="Q119" s="1194"/>
      <c r="R119" s="1194"/>
      <c r="S119" s="1194"/>
      <c r="T119" s="1194"/>
      <c r="U119" s="1194"/>
      <c r="V119" s="1194"/>
      <c r="W119" s="1194"/>
      <c r="X119" s="1194"/>
      <c r="Y119" s="1195"/>
      <c r="Z119" s="1195"/>
      <c r="AA119" s="1196"/>
    </row>
    <row r="120" spans="1:27" ht="13.5" customHeight="1" x14ac:dyDescent="0.3">
      <c r="A120" s="1197"/>
      <c r="B120" s="1270" t="s">
        <v>2447</v>
      </c>
      <c r="C120" s="1200" t="s">
        <v>3086</v>
      </c>
      <c r="D120" s="1357"/>
      <c r="E120" s="1357">
        <v>0</v>
      </c>
      <c r="F120" s="1273"/>
      <c r="G120" s="1354"/>
      <c r="H120" s="1285"/>
      <c r="I120" s="1285"/>
      <c r="J120" s="1193"/>
      <c r="K120" s="1194">
        <f t="shared" si="0"/>
        <v>0</v>
      </c>
      <c r="L120" s="1194"/>
      <c r="M120" s="1194"/>
      <c r="N120" s="1204"/>
      <c r="O120" s="1205"/>
      <c r="P120" s="1194"/>
      <c r="Q120" s="1194"/>
      <c r="R120" s="1194"/>
      <c r="S120" s="1194"/>
      <c r="T120" s="1194"/>
      <c r="U120" s="1194"/>
      <c r="V120" s="1194"/>
      <c r="W120" s="1194"/>
      <c r="X120" s="1194"/>
      <c r="Y120" s="1195"/>
      <c r="Z120" s="1195"/>
      <c r="AA120" s="1196"/>
    </row>
    <row r="121" spans="1:27" x14ac:dyDescent="0.3">
      <c r="A121" s="1197"/>
      <c r="B121" s="1270" t="s">
        <v>23</v>
      </c>
      <c r="C121" s="1200" t="s">
        <v>2644</v>
      </c>
      <c r="D121" s="1358"/>
      <c r="E121" s="1359"/>
      <c r="F121" s="1273"/>
      <c r="G121" s="1354"/>
      <c r="H121" s="1285"/>
      <c r="I121" s="1285"/>
      <c r="J121" s="1193"/>
      <c r="K121" s="1194">
        <f t="shared" si="0"/>
        <v>0</v>
      </c>
      <c r="L121" s="1194"/>
      <c r="M121" s="1194"/>
      <c r="N121" s="1204"/>
      <c r="O121" s="1205"/>
      <c r="P121" s="1194"/>
      <c r="Q121" s="1194"/>
      <c r="R121" s="1194"/>
      <c r="S121" s="1194"/>
      <c r="T121" s="1194"/>
      <c r="U121" s="1194"/>
      <c r="V121" s="1194"/>
      <c r="W121" s="1194"/>
      <c r="X121" s="1194"/>
      <c r="Y121" s="1195"/>
      <c r="Z121" s="1195"/>
      <c r="AA121" s="1196"/>
    </row>
    <row r="122" spans="1:27" ht="13.5" customHeight="1" x14ac:dyDescent="0.3">
      <c r="A122" s="1197"/>
      <c r="B122" s="1270" t="s">
        <v>27</v>
      </c>
      <c r="C122" s="1200" t="s">
        <v>1376</v>
      </c>
      <c r="D122" s="1360"/>
      <c r="E122" s="1359"/>
      <c r="F122" s="1273"/>
      <c r="G122" s="1354"/>
      <c r="H122" s="1285"/>
      <c r="I122" s="1285"/>
      <c r="J122" s="1193"/>
      <c r="K122" s="1194">
        <f t="shared" si="0"/>
        <v>0</v>
      </c>
      <c r="L122" s="1194"/>
      <c r="M122" s="1194"/>
      <c r="N122" s="1204"/>
      <c r="O122" s="1205"/>
      <c r="P122" s="1194"/>
      <c r="Q122" s="1194"/>
      <c r="R122" s="1194"/>
      <c r="S122" s="1194"/>
      <c r="T122" s="1194"/>
      <c r="U122" s="1194"/>
      <c r="V122" s="1194"/>
      <c r="W122" s="1194"/>
      <c r="X122" s="1194"/>
      <c r="Y122" s="1195"/>
      <c r="Z122" s="1195"/>
      <c r="AA122" s="1196"/>
    </row>
    <row r="123" spans="1:27" ht="13.5" customHeight="1" x14ac:dyDescent="0.3">
      <c r="A123" s="1197"/>
      <c r="B123" s="1270" t="s">
        <v>31</v>
      </c>
      <c r="C123" s="1200" t="s">
        <v>350</v>
      </c>
      <c r="D123" s="1360"/>
      <c r="E123" s="1359"/>
      <c r="F123" s="1273"/>
      <c r="G123" s="1354"/>
      <c r="H123" s="1285"/>
      <c r="I123" s="1285"/>
      <c r="J123" s="1193"/>
      <c r="K123" s="1194">
        <f t="shared" si="0"/>
        <v>0</v>
      </c>
      <c r="L123" s="1194"/>
      <c r="M123" s="1194"/>
      <c r="N123" s="1204"/>
      <c r="O123" s="1205"/>
      <c r="P123" s="1194"/>
      <c r="Q123" s="1194"/>
      <c r="R123" s="1194"/>
      <c r="S123" s="1194"/>
      <c r="T123" s="1194"/>
      <c r="U123" s="1194"/>
      <c r="V123" s="1194"/>
      <c r="W123" s="1194"/>
      <c r="X123" s="1194"/>
      <c r="Y123" s="1195"/>
      <c r="Z123" s="1195"/>
      <c r="AA123" s="1196"/>
    </row>
    <row r="124" spans="1:27" ht="13.5" customHeight="1" x14ac:dyDescent="0.3">
      <c r="A124" s="1197"/>
      <c r="B124" s="1270" t="s">
        <v>36</v>
      </c>
      <c r="C124" s="1200"/>
      <c r="D124" s="1358"/>
      <c r="E124" s="1359"/>
      <c r="F124" s="1273"/>
      <c r="G124" s="1354"/>
      <c r="H124" s="1353"/>
      <c r="I124" s="1285"/>
      <c r="J124" s="1193"/>
      <c r="K124" s="1194">
        <f t="shared" si="0"/>
        <v>0</v>
      </c>
      <c r="L124" s="1194"/>
      <c r="M124" s="1194"/>
      <c r="N124" s="1204"/>
      <c r="O124" s="1205"/>
      <c r="P124" s="1194"/>
      <c r="Q124" s="1194"/>
      <c r="R124" s="1194"/>
      <c r="S124" s="1194"/>
      <c r="T124" s="1194"/>
      <c r="U124" s="1194"/>
      <c r="V124" s="1194"/>
      <c r="W124" s="1194"/>
      <c r="X124" s="1194"/>
      <c r="Y124" s="1195"/>
      <c r="Z124" s="1195"/>
      <c r="AA124" s="1196"/>
    </row>
    <row r="125" spans="1:27" ht="13.5" customHeight="1" x14ac:dyDescent="0.3">
      <c r="A125" s="1197"/>
      <c r="B125" s="1270" t="s">
        <v>2449</v>
      </c>
      <c r="C125" s="1200"/>
      <c r="D125" s="1358"/>
      <c r="E125" s="1359"/>
      <c r="F125" s="1361"/>
      <c r="G125" s="1355"/>
      <c r="H125" s="1285"/>
      <c r="I125" s="1285"/>
      <c r="J125" s="1193"/>
      <c r="K125" s="1194"/>
      <c r="L125" s="1194"/>
      <c r="M125" s="1194"/>
      <c r="N125" s="1204"/>
      <c r="O125" s="1205"/>
      <c r="P125" s="1194"/>
      <c r="Q125" s="1194"/>
      <c r="R125" s="1194"/>
      <c r="S125" s="1194"/>
      <c r="T125" s="1194"/>
      <c r="U125" s="1194"/>
      <c r="V125" s="1194"/>
      <c r="W125" s="1194"/>
      <c r="X125" s="1194"/>
      <c r="Y125" s="1195"/>
      <c r="Z125" s="1195"/>
      <c r="AA125" s="1196"/>
    </row>
    <row r="126" spans="1:27" ht="13.5" customHeight="1" x14ac:dyDescent="0.3">
      <c r="A126" s="1197"/>
      <c r="B126" s="1270" t="s">
        <v>759</v>
      </c>
      <c r="C126" s="1200"/>
      <c r="D126" s="1357"/>
      <c r="E126" s="1359"/>
      <c r="F126" s="1273"/>
      <c r="G126" s="1285"/>
      <c r="H126" s="1285"/>
      <c r="I126" s="1285"/>
      <c r="J126" s="1193"/>
      <c r="K126" s="1194">
        <f>D134-E134</f>
        <v>0</v>
      </c>
      <c r="L126" s="1194"/>
      <c r="M126" s="1194"/>
      <c r="N126" s="1204"/>
      <c r="O126" s="1205"/>
      <c r="P126" s="1194"/>
      <c r="Q126" s="1194"/>
      <c r="R126" s="1194"/>
      <c r="S126" s="1194"/>
      <c r="T126" s="1194"/>
      <c r="U126" s="1194"/>
      <c r="V126" s="1194"/>
      <c r="W126" s="1194"/>
      <c r="X126" s="1194"/>
      <c r="Y126" s="1195"/>
      <c r="Z126" s="1195"/>
      <c r="AA126" s="1196"/>
    </row>
    <row r="127" spans="1:27" ht="13.5" customHeight="1" x14ac:dyDescent="0.3">
      <c r="A127" s="1197"/>
      <c r="B127" s="1270" t="s">
        <v>701</v>
      </c>
      <c r="C127" s="1200"/>
      <c r="D127" s="1358"/>
      <c r="E127" s="1359"/>
      <c r="F127" s="1273"/>
      <c r="G127" s="1285"/>
      <c r="H127" s="1285"/>
      <c r="I127" s="1285"/>
      <c r="J127" s="1193"/>
      <c r="K127" s="1194">
        <f>D135-E135</f>
        <v>0</v>
      </c>
      <c r="L127" s="1194"/>
      <c r="M127" s="1194"/>
      <c r="N127" s="1204"/>
      <c r="O127" s="1205"/>
      <c r="P127" s="1194"/>
      <c r="Q127" s="1194"/>
      <c r="R127" s="1194"/>
      <c r="S127" s="1194"/>
      <c r="T127" s="1194"/>
      <c r="U127" s="1194"/>
      <c r="V127" s="1194"/>
      <c r="W127" s="1194"/>
      <c r="X127" s="1194"/>
      <c r="Y127" s="1195"/>
      <c r="Z127" s="1195"/>
      <c r="AA127" s="1196"/>
    </row>
    <row r="128" spans="1:27" ht="13.5" customHeight="1" x14ac:dyDescent="0.3">
      <c r="A128" s="1197"/>
      <c r="B128" s="1270" t="s">
        <v>1027</v>
      </c>
      <c r="C128" s="1200"/>
      <c r="D128" s="1359"/>
      <c r="E128" s="1359"/>
      <c r="F128" s="1273"/>
      <c r="G128" s="1285"/>
      <c r="H128" s="1285"/>
      <c r="I128" s="1285"/>
      <c r="J128" s="1193"/>
      <c r="K128" s="1194">
        <f>D136-E136</f>
        <v>0</v>
      </c>
      <c r="L128" s="1194"/>
      <c r="M128" s="1194"/>
      <c r="N128" s="1204"/>
      <c r="O128" s="1205"/>
      <c r="P128" s="1194"/>
      <c r="Q128" s="1194"/>
      <c r="R128" s="1194"/>
      <c r="S128" s="1194"/>
      <c r="T128" s="1194"/>
      <c r="U128" s="1194"/>
      <c r="V128" s="1194"/>
      <c r="W128" s="1194"/>
      <c r="X128" s="1194"/>
      <c r="Y128" s="1195"/>
      <c r="Z128" s="1195"/>
      <c r="AA128" s="1196"/>
    </row>
    <row r="129" spans="1:27" ht="13.5" customHeight="1" x14ac:dyDescent="0.35">
      <c r="A129" s="1197"/>
      <c r="B129" s="1270" t="s">
        <v>762</v>
      </c>
      <c r="C129" s="1286"/>
      <c r="D129" s="1362"/>
      <c r="E129" s="1363"/>
      <c r="F129" s="1273"/>
      <c r="G129" s="1285"/>
      <c r="H129" s="1285"/>
      <c r="I129" s="1285"/>
      <c r="J129" s="1193"/>
      <c r="K129" s="1194">
        <f>D137-E137</f>
        <v>0</v>
      </c>
      <c r="L129" s="1194"/>
      <c r="M129" s="1194"/>
      <c r="N129" s="1204"/>
      <c r="O129" s="1205"/>
      <c r="P129" s="1194"/>
      <c r="Q129" s="1194"/>
      <c r="R129" s="1194"/>
      <c r="S129" s="1194"/>
      <c r="T129" s="1194"/>
      <c r="U129" s="1194"/>
      <c r="V129" s="1194"/>
      <c r="W129" s="1194"/>
      <c r="X129" s="1194"/>
      <c r="Y129" s="1195"/>
      <c r="Z129" s="1195"/>
      <c r="AA129" s="1196"/>
    </row>
    <row r="130" spans="1:27" ht="13.5" customHeight="1" x14ac:dyDescent="0.35">
      <c r="A130" s="1197"/>
      <c r="B130" s="1270" t="s">
        <v>874</v>
      </c>
      <c r="C130" s="1200"/>
      <c r="D130" s="1364"/>
      <c r="E130" s="1364"/>
      <c r="F130" s="1273"/>
      <c r="G130" s="1285"/>
      <c r="H130" s="1285"/>
      <c r="I130" s="1285"/>
      <c r="J130" s="1193"/>
      <c r="K130" s="1194">
        <f>D138-E138</f>
        <v>0</v>
      </c>
      <c r="L130" s="1194"/>
      <c r="M130" s="1194"/>
      <c r="N130" s="1204"/>
      <c r="O130" s="1205"/>
      <c r="P130" s="1194"/>
      <c r="Q130" s="1194"/>
      <c r="R130" s="1194"/>
      <c r="S130" s="1194"/>
      <c r="T130" s="1194"/>
      <c r="U130" s="1194"/>
      <c r="V130" s="1194"/>
      <c r="W130" s="1194"/>
      <c r="X130" s="1194"/>
      <c r="Y130" s="1195"/>
      <c r="Z130" s="1195"/>
      <c r="AA130" s="1196"/>
    </row>
    <row r="131" spans="1:27" ht="13.5" customHeight="1" x14ac:dyDescent="0.3">
      <c r="A131" s="1197"/>
      <c r="B131" s="1270" t="s">
        <v>2450</v>
      </c>
      <c r="C131" s="1200"/>
      <c r="D131" s="1359"/>
      <c r="E131" s="1359"/>
      <c r="F131" s="1273"/>
      <c r="G131" s="1285"/>
      <c r="H131" s="1285"/>
      <c r="I131" s="1285"/>
      <c r="J131" s="1193"/>
      <c r="K131" s="1194"/>
      <c r="L131" s="1194"/>
      <c r="M131" s="1194"/>
      <c r="N131" s="1204"/>
      <c r="O131" s="1205"/>
      <c r="P131" s="1194"/>
      <c r="Q131" s="1194"/>
      <c r="R131" s="1194"/>
      <c r="S131" s="1194"/>
      <c r="T131" s="1194"/>
      <c r="U131" s="1194"/>
      <c r="V131" s="1194"/>
      <c r="W131" s="1194"/>
      <c r="X131" s="1194"/>
      <c r="Y131" s="1195"/>
      <c r="Z131" s="1195"/>
      <c r="AA131" s="1196"/>
    </row>
    <row r="132" spans="1:27" ht="13.5" customHeight="1" x14ac:dyDescent="0.3">
      <c r="A132" s="1197"/>
      <c r="B132" s="1270" t="s">
        <v>2451</v>
      </c>
      <c r="C132" s="1200"/>
      <c r="D132" s="1359"/>
      <c r="E132" s="1359"/>
      <c r="F132" s="1273"/>
      <c r="G132" s="1285"/>
      <c r="H132" s="1285"/>
      <c r="J132" s="1193"/>
      <c r="K132" s="1194"/>
      <c r="L132" s="1194"/>
      <c r="M132" s="1194"/>
      <c r="N132" s="1204"/>
      <c r="O132" s="1205"/>
      <c r="P132" s="1194"/>
      <c r="Q132" s="1194"/>
      <c r="R132" s="1194"/>
      <c r="S132" s="1194"/>
      <c r="T132" s="1194"/>
      <c r="U132" s="1194"/>
      <c r="V132" s="1194"/>
      <c r="W132" s="1194"/>
      <c r="X132" s="1194"/>
      <c r="Y132" s="1195"/>
      <c r="Z132" s="1195"/>
      <c r="AA132" s="1196"/>
    </row>
    <row r="133" spans="1:27" ht="22.5" customHeight="1" x14ac:dyDescent="0.3">
      <c r="A133" s="1197"/>
      <c r="B133" s="1270" t="s">
        <v>2452</v>
      </c>
      <c r="C133" s="1200"/>
      <c r="D133" s="1357"/>
      <c r="E133" s="1365"/>
      <c r="F133" s="1273"/>
      <c r="G133" s="1285"/>
      <c r="H133" s="1285"/>
      <c r="J133" s="1193"/>
      <c r="K133" s="1194"/>
      <c r="L133" s="1194"/>
      <c r="M133" s="1194"/>
      <c r="N133" s="1204"/>
      <c r="O133" s="1205"/>
      <c r="P133" s="1194"/>
      <c r="Q133" s="1194"/>
      <c r="R133" s="1194"/>
      <c r="S133" s="1194"/>
      <c r="T133" s="1194"/>
      <c r="U133" s="1194"/>
      <c r="V133" s="1194"/>
      <c r="W133" s="1194"/>
      <c r="X133" s="1194"/>
      <c r="Y133" s="1195"/>
      <c r="Z133" s="1195"/>
      <c r="AA133" s="1196"/>
    </row>
    <row r="134" spans="1:27" ht="6" customHeight="1" x14ac:dyDescent="0.3">
      <c r="A134" s="1197"/>
      <c r="B134" s="1270" t="s">
        <v>2453</v>
      </c>
      <c r="C134" s="1200"/>
      <c r="D134" s="1359"/>
      <c r="E134" s="1359"/>
      <c r="F134" s="1273"/>
      <c r="J134" s="1193"/>
      <c r="K134" s="1194"/>
      <c r="L134" s="1194"/>
      <c r="M134" s="1194"/>
      <c r="N134" s="1204"/>
      <c r="O134" s="1205"/>
      <c r="P134" s="1194"/>
      <c r="Q134" s="1194"/>
      <c r="R134" s="1194"/>
      <c r="S134" s="1194"/>
      <c r="T134" s="1194"/>
      <c r="U134" s="1194"/>
      <c r="V134" s="1194"/>
      <c r="W134" s="1194"/>
      <c r="X134" s="1194"/>
      <c r="Y134" s="1195"/>
      <c r="Z134" s="1195"/>
      <c r="AA134" s="1196"/>
    </row>
    <row r="135" spans="1:27" ht="27.75" customHeight="1" x14ac:dyDescent="0.3">
      <c r="A135" s="1197"/>
      <c r="B135" s="1270" t="s">
        <v>2454</v>
      </c>
      <c r="C135" s="1200"/>
      <c r="D135" s="1365"/>
      <c r="E135" s="1365"/>
      <c r="F135" s="1273"/>
      <c r="J135" s="1193"/>
      <c r="K135" s="1194"/>
      <c r="L135" s="1194"/>
      <c r="M135" s="1194"/>
      <c r="N135" s="1204"/>
      <c r="O135" s="1205"/>
      <c r="P135" s="1194"/>
      <c r="Q135" s="1194"/>
      <c r="R135" s="1194"/>
      <c r="S135" s="1194"/>
      <c r="T135" s="1194"/>
      <c r="U135" s="1194"/>
      <c r="V135" s="1194"/>
      <c r="W135" s="1194"/>
      <c r="X135" s="1194"/>
      <c r="Y135" s="1195"/>
      <c r="Z135" s="1195"/>
      <c r="AA135" s="1196"/>
    </row>
    <row r="136" spans="1:27" s="1242" customFormat="1" ht="31" customHeight="1" x14ac:dyDescent="0.3">
      <c r="A136" s="1197"/>
      <c r="B136" s="1270" t="s">
        <v>2455</v>
      </c>
      <c r="C136" s="1200"/>
      <c r="D136" s="1365"/>
      <c r="E136" s="1365"/>
      <c r="F136" s="1273"/>
    </row>
    <row r="137" spans="1:27" ht="31" customHeight="1" x14ac:dyDescent="0.3">
      <c r="A137" s="1197"/>
      <c r="B137" s="1270" t="s">
        <v>168</v>
      </c>
      <c r="C137" s="1200"/>
      <c r="D137" s="1365"/>
      <c r="E137" s="1365"/>
      <c r="F137" s="1273"/>
    </row>
    <row r="138" spans="1:27" ht="31" customHeight="1" x14ac:dyDescent="0.3">
      <c r="A138" s="1197"/>
      <c r="B138" s="1270" t="s">
        <v>171</v>
      </c>
      <c r="C138" s="1200"/>
      <c r="D138" s="1351"/>
      <c r="E138" s="1351"/>
      <c r="F138" s="1273"/>
    </row>
    <row r="139" spans="1:27" ht="31" customHeight="1" x14ac:dyDescent="0.3">
      <c r="A139" s="1197"/>
      <c r="B139" s="1275"/>
      <c r="C139" s="700"/>
      <c r="D139" s="1366">
        <f>SUM(D120:D138)</f>
        <v>0</v>
      </c>
      <c r="E139" s="1366">
        <f>SUM(E120:E138)</f>
        <v>0</v>
      </c>
      <c r="F139" s="1199"/>
    </row>
    <row r="140" spans="1:27" ht="31" customHeight="1" thickBot="1" x14ac:dyDescent="0.35">
      <c r="A140" s="1197"/>
      <c r="B140" s="1275"/>
      <c r="C140" s="700"/>
      <c r="D140" s="1367"/>
      <c r="E140" s="1368"/>
      <c r="F140" s="1199"/>
    </row>
    <row r="141" spans="1:27" ht="31" customHeight="1" thickBot="1" x14ac:dyDescent="0.4">
      <c r="A141" s="1288" t="s">
        <v>2623</v>
      </c>
      <c r="B141" s="1289"/>
      <c r="C141" s="1289"/>
      <c r="D141" s="1369">
        <f>D139+D117+D106</f>
        <v>0</v>
      </c>
      <c r="E141" s="1369">
        <f>E139+E117+E106</f>
        <v>0</v>
      </c>
      <c r="F141" s="1290"/>
    </row>
    <row r="142" spans="1:27" ht="31" customHeight="1" thickBot="1" x14ac:dyDescent="0.4">
      <c r="A142" s="1291"/>
      <c r="B142" s="1292"/>
      <c r="C142" s="1292"/>
      <c r="D142" s="1293"/>
      <c r="E142" s="1294"/>
      <c r="F142" s="1295"/>
    </row>
    <row r="143" spans="1:27" ht="14" thickBot="1" x14ac:dyDescent="0.4">
      <c r="A143" s="1296" t="s">
        <v>2624</v>
      </c>
      <c r="B143" s="1297"/>
      <c r="C143" s="1297"/>
      <c r="D143" s="1298">
        <f>D141+D73+D64+D57+D80+D85</f>
        <v>78023803.5</v>
      </c>
      <c r="E143" s="1298">
        <f>E141+E73+E64+E57+E80+E85</f>
        <v>1974000</v>
      </c>
      <c r="F143" s="1299"/>
    </row>
    <row r="144" spans="1:27" x14ac:dyDescent="0.35">
      <c r="A144" s="1300"/>
      <c r="B144" s="1300"/>
      <c r="C144" s="1301"/>
      <c r="D144" s="1302"/>
      <c r="E144" s="1302"/>
      <c r="F144" s="1242"/>
    </row>
    <row r="145" spans="1:6" x14ac:dyDescent="0.35">
      <c r="D145" s="1303" t="e">
        <f>SUM(#REF!)</f>
        <v>#REF!</v>
      </c>
      <c r="E145" s="1303">
        <f>E143-E144</f>
        <v>1974000</v>
      </c>
    </row>
    <row r="148" spans="1:6" ht="17.5" x14ac:dyDescent="0.35">
      <c r="A148" s="1304" t="str">
        <f>IN!C4</f>
        <v>Laporan Keuangan June 2026</v>
      </c>
      <c r="B148" s="1305"/>
      <c r="C148" s="1305"/>
      <c r="D148" s="1306" t="s">
        <v>2463</v>
      </c>
      <c r="E148" s="1307"/>
      <c r="F148" s="1308" t="str">
        <f>IN!D4</f>
        <v>Financial Statement Jun 2026</v>
      </c>
    </row>
    <row r="166" spans="1:27" x14ac:dyDescent="0.35">
      <c r="A166" s="1147"/>
      <c r="B166" s="1147"/>
      <c r="C166" s="1144">
        <v>7</v>
      </c>
      <c r="D166" s="1145">
        <f>649988+649469+480000+45000</f>
        <v>1824457</v>
      </c>
      <c r="E166" s="1147"/>
    </row>
    <row r="167" spans="1:27" s="1314" customFormat="1" ht="18" customHeight="1" x14ac:dyDescent="0.35">
      <c r="A167" s="1147"/>
      <c r="B167" s="1147"/>
      <c r="C167" s="1144">
        <v>8</v>
      </c>
      <c r="D167" s="1145">
        <f>60000+45000+300000</f>
        <v>405000</v>
      </c>
      <c r="E167" s="1147"/>
      <c r="F167" s="1147"/>
      <c r="J167" s="1315"/>
      <c r="K167" s="1316"/>
      <c r="L167" s="1316"/>
      <c r="M167" s="1316"/>
      <c r="N167" s="1317"/>
      <c r="O167" s="1318"/>
      <c r="P167" s="1316"/>
      <c r="Q167" s="1316"/>
      <c r="R167" s="1316"/>
      <c r="S167" s="1316"/>
      <c r="T167" s="1316"/>
      <c r="U167" s="1316"/>
      <c r="V167" s="1316"/>
      <c r="W167" s="1316"/>
      <c r="X167" s="1316"/>
      <c r="Y167" s="1319"/>
      <c r="Z167" s="1319"/>
      <c r="AA167" s="1320"/>
    </row>
    <row r="168" spans="1:27" x14ac:dyDescent="0.35">
      <c r="A168" s="1147"/>
      <c r="B168" s="1147"/>
      <c r="C168" s="1144">
        <v>2</v>
      </c>
      <c r="D168" s="1145">
        <v>48500</v>
      </c>
      <c r="E168" s="1147"/>
    </row>
    <row r="169" spans="1:27" x14ac:dyDescent="0.35">
      <c r="A169" s="1147"/>
      <c r="B169" s="1147"/>
      <c r="D169" s="1145">
        <f>SUM(D166:D168)</f>
        <v>2277957</v>
      </c>
      <c r="E169" s="1147"/>
    </row>
    <row r="174" spans="1:27" s="1314" customFormat="1" ht="13.5" x14ac:dyDescent="0.35">
      <c r="A174" s="1143"/>
      <c r="B174" s="1143"/>
      <c r="C174" s="1144"/>
      <c r="D174" s="1145"/>
      <c r="E174" s="1146"/>
      <c r="F174" s="1147"/>
      <c r="J174" s="1315"/>
      <c r="K174" s="1316"/>
      <c r="L174" s="1316"/>
      <c r="M174" s="1316"/>
      <c r="N174" s="1317"/>
      <c r="O174" s="1318"/>
      <c r="P174" s="1316"/>
      <c r="Q174" s="1316"/>
      <c r="R174" s="1316"/>
      <c r="S174" s="1316"/>
      <c r="T174" s="1316"/>
      <c r="U174" s="1316"/>
      <c r="V174" s="1316"/>
      <c r="W174" s="1316"/>
      <c r="X174" s="1316"/>
      <c r="Y174" s="1319"/>
      <c r="Z174" s="1319"/>
      <c r="AA174" s="1320"/>
    </row>
    <row r="175" spans="1:27" ht="13.5" x14ac:dyDescent="0.35">
      <c r="A175" s="1309"/>
      <c r="B175" s="1310"/>
      <c r="C175" s="1310"/>
      <c r="D175" s="1311"/>
      <c r="E175" s="1312"/>
      <c r="F175" s="1313"/>
    </row>
    <row r="177" spans="1:27" ht="13.5" thickBot="1" x14ac:dyDescent="0.4"/>
    <row r="178" spans="1:27" x14ac:dyDescent="0.35">
      <c r="J178" s="1324" t="s">
        <v>2602</v>
      </c>
      <c r="K178" s="1325" t="s">
        <v>2603</v>
      </c>
      <c r="L178" s="1325" t="s">
        <v>2604</v>
      </c>
      <c r="M178" s="1325" t="s">
        <v>2430</v>
      </c>
      <c r="N178" s="1325" t="s">
        <v>2431</v>
      </c>
      <c r="O178" s="1325" t="s">
        <v>904</v>
      </c>
      <c r="P178" s="3794" t="s">
        <v>2432</v>
      </c>
      <c r="Q178" s="3794"/>
      <c r="R178" s="3794"/>
      <c r="S178" s="3794" t="s">
        <v>2433</v>
      </c>
      <c r="T178" s="3794"/>
      <c r="U178" s="3794"/>
      <c r="V178" s="3794" t="s">
        <v>2434</v>
      </c>
      <c r="W178" s="3794"/>
      <c r="X178" s="3794"/>
      <c r="Y178" s="1326" t="s">
        <v>2629</v>
      </c>
      <c r="Z178" s="1326" t="s">
        <v>2630</v>
      </c>
      <c r="AA178" s="1327" t="s">
        <v>904</v>
      </c>
    </row>
    <row r="179" spans="1:27" ht="13.5" thickBot="1" x14ac:dyDescent="0.4">
      <c r="J179" s="1328"/>
      <c r="K179" s="1329"/>
      <c r="L179" s="1329"/>
      <c r="M179" s="1329"/>
      <c r="N179" s="1329"/>
      <c r="O179" s="1329"/>
      <c r="P179" s="1329" t="s">
        <v>2631</v>
      </c>
      <c r="Q179" s="1329" t="s">
        <v>904</v>
      </c>
      <c r="R179" s="1329" t="s">
        <v>2632</v>
      </c>
      <c r="S179" s="1329" t="s">
        <v>2631</v>
      </c>
      <c r="T179" s="1329" t="s">
        <v>904</v>
      </c>
      <c r="U179" s="1329" t="s">
        <v>2632</v>
      </c>
      <c r="V179" s="1329" t="s">
        <v>2631</v>
      </c>
      <c r="W179" s="1329" t="s">
        <v>904</v>
      </c>
      <c r="X179" s="1329" t="s">
        <v>2632</v>
      </c>
      <c r="Y179" s="1330" t="s">
        <v>2633</v>
      </c>
      <c r="Z179" s="1330" t="s">
        <v>2633</v>
      </c>
      <c r="AA179" s="1331"/>
    </row>
    <row r="180" spans="1:27" ht="25" customHeight="1" x14ac:dyDescent="0.35">
      <c r="J180" s="1332"/>
      <c r="K180" s="1333"/>
      <c r="L180" s="1333"/>
      <c r="M180" s="1333"/>
      <c r="N180" s="1333"/>
      <c r="O180" s="1333"/>
      <c r="P180" s="1333"/>
      <c r="Q180" s="1333"/>
      <c r="R180" s="1333"/>
      <c r="S180" s="1333"/>
      <c r="T180" s="1333"/>
      <c r="U180" s="1333"/>
      <c r="V180" s="1333"/>
      <c r="W180" s="1333"/>
      <c r="X180" s="1333"/>
      <c r="Y180" s="1334"/>
      <c r="Z180" s="1334"/>
      <c r="AA180" s="1335"/>
    </row>
    <row r="181" spans="1:27" ht="25" customHeight="1" x14ac:dyDescent="0.35">
      <c r="J181" s="1336"/>
      <c r="K181" s="1337"/>
      <c r="L181" s="1337"/>
      <c r="M181" s="1337"/>
      <c r="N181" s="1337"/>
      <c r="O181" s="1337"/>
      <c r="P181" s="1337"/>
      <c r="Q181" s="1337"/>
      <c r="R181" s="1337"/>
      <c r="S181" s="1337"/>
      <c r="T181" s="1337"/>
      <c r="U181" s="1337"/>
      <c r="V181" s="1337"/>
      <c r="W181" s="1337"/>
      <c r="X181" s="1337"/>
      <c r="Y181" s="1338"/>
      <c r="Z181" s="1338"/>
      <c r="AA181" s="1339"/>
    </row>
    <row r="182" spans="1:27" ht="25" customHeight="1" x14ac:dyDescent="0.35">
      <c r="A182" s="1309"/>
      <c r="B182" s="1310"/>
      <c r="C182" s="1310"/>
      <c r="D182" s="1311"/>
      <c r="E182" s="1312"/>
      <c r="F182" s="1313"/>
      <c r="J182" s="1336"/>
      <c r="K182" s="1337"/>
      <c r="L182" s="1337"/>
      <c r="M182" s="1337"/>
      <c r="N182" s="1337"/>
      <c r="O182" s="1337"/>
      <c r="P182" s="1337"/>
      <c r="Q182" s="1337"/>
      <c r="R182" s="1337"/>
      <c r="S182" s="1337"/>
      <c r="T182" s="1337"/>
      <c r="U182" s="1337"/>
      <c r="V182" s="1337"/>
      <c r="W182" s="1337"/>
      <c r="X182" s="1337"/>
      <c r="Y182" s="1338"/>
      <c r="Z182" s="1338"/>
      <c r="AA182" s="1339"/>
    </row>
    <row r="183" spans="1:27" ht="25" customHeight="1" x14ac:dyDescent="0.35">
      <c r="A183" s="1321" t="s">
        <v>2625</v>
      </c>
      <c r="B183" s="1321"/>
      <c r="C183" s="1322"/>
      <c r="J183" s="1336"/>
      <c r="K183" s="1337"/>
      <c r="L183" s="1337"/>
      <c r="M183" s="1337"/>
      <c r="N183" s="1337"/>
      <c r="O183" s="1337"/>
      <c r="P183" s="1337"/>
      <c r="Q183" s="1337"/>
      <c r="R183" s="1337"/>
      <c r="S183" s="1337"/>
      <c r="T183" s="1337"/>
      <c r="U183" s="1337"/>
      <c r="V183" s="1337"/>
      <c r="W183" s="1337"/>
      <c r="X183" s="1337"/>
      <c r="Y183" s="1338"/>
      <c r="Z183" s="1338"/>
      <c r="AA183" s="1339"/>
    </row>
    <row r="184" spans="1:27" ht="25" customHeight="1" x14ac:dyDescent="0.35">
      <c r="A184" s="1323" t="s">
        <v>2447</v>
      </c>
      <c r="B184" s="1323"/>
      <c r="C184" s="1322" t="s">
        <v>2626</v>
      </c>
      <c r="J184" s="1336"/>
      <c r="K184" s="1337"/>
      <c r="L184" s="1337"/>
      <c r="M184" s="1337"/>
      <c r="N184" s="1337"/>
      <c r="O184" s="1337"/>
      <c r="P184" s="1337"/>
      <c r="Q184" s="1337"/>
      <c r="R184" s="1337"/>
      <c r="S184" s="1337"/>
      <c r="T184" s="1337"/>
      <c r="U184" s="1337"/>
      <c r="V184" s="1337"/>
      <c r="W184" s="1337"/>
      <c r="X184" s="1337"/>
      <c r="Y184" s="1338"/>
      <c r="Z184" s="1338"/>
      <c r="AA184" s="1339"/>
    </row>
    <row r="185" spans="1:27" ht="25" customHeight="1" x14ac:dyDescent="0.35">
      <c r="A185" s="1323" t="s">
        <v>23</v>
      </c>
      <c r="B185" s="1323"/>
      <c r="C185" s="1322" t="s">
        <v>2627</v>
      </c>
      <c r="J185" s="1336"/>
      <c r="K185" s="1337"/>
      <c r="L185" s="1337"/>
      <c r="M185" s="1337"/>
      <c r="N185" s="1337"/>
      <c r="O185" s="1337"/>
      <c r="P185" s="1337"/>
      <c r="Q185" s="1337"/>
      <c r="R185" s="1337"/>
      <c r="S185" s="1337"/>
      <c r="T185" s="1337"/>
      <c r="U185" s="1337"/>
      <c r="V185" s="1337"/>
      <c r="W185" s="1337"/>
      <c r="X185" s="1337"/>
      <c r="Y185" s="1338"/>
      <c r="Z185" s="1338"/>
      <c r="AA185" s="1339"/>
    </row>
    <row r="186" spans="1:27" ht="25" customHeight="1" x14ac:dyDescent="0.35">
      <c r="A186" s="1323" t="s">
        <v>27</v>
      </c>
      <c r="B186" s="1323"/>
      <c r="C186" s="1322" t="s">
        <v>2628</v>
      </c>
      <c r="J186" s="1336"/>
      <c r="K186" s="1337"/>
      <c r="L186" s="1337"/>
      <c r="M186" s="1337"/>
      <c r="N186" s="1337"/>
      <c r="O186" s="1337"/>
      <c r="P186" s="1337"/>
      <c r="Q186" s="1337"/>
      <c r="R186" s="1337"/>
      <c r="S186" s="1337"/>
      <c r="T186" s="1337"/>
      <c r="U186" s="1337"/>
      <c r="V186" s="1337"/>
      <c r="W186" s="1337"/>
      <c r="X186" s="1337"/>
      <c r="Y186" s="1338"/>
      <c r="Z186" s="1338"/>
      <c r="AA186" s="1339"/>
    </row>
    <row r="187" spans="1:27" ht="25" customHeight="1" x14ac:dyDescent="0.35">
      <c r="J187" s="1340"/>
      <c r="K187" s="1205"/>
      <c r="L187" s="1205"/>
      <c r="M187" s="1205"/>
      <c r="N187" s="1205"/>
      <c r="O187" s="1205"/>
      <c r="P187" s="1205"/>
      <c r="Q187" s="1205"/>
      <c r="R187" s="1205"/>
      <c r="S187" s="1205"/>
      <c r="T187" s="1205"/>
      <c r="U187" s="1205"/>
      <c r="V187" s="1205"/>
      <c r="W187" s="1205"/>
      <c r="X187" s="1205"/>
      <c r="Y187" s="1341"/>
      <c r="Z187" s="1341"/>
      <c r="AA187" s="1342"/>
    </row>
    <row r="188" spans="1:27" ht="25" customHeight="1" x14ac:dyDescent="0.35">
      <c r="J188" s="1340"/>
      <c r="K188" s="1205"/>
      <c r="L188" s="1205"/>
      <c r="M188" s="1205"/>
      <c r="N188" s="1205"/>
      <c r="O188" s="1205"/>
      <c r="P188" s="1205"/>
      <c r="Q188" s="1205"/>
      <c r="R188" s="1205"/>
      <c r="S188" s="1205"/>
      <c r="T188" s="1205"/>
      <c r="U188" s="1205"/>
      <c r="V188" s="1205"/>
      <c r="W188" s="1205"/>
      <c r="X188" s="1205"/>
      <c r="Y188" s="1341"/>
      <c r="Z188" s="1341"/>
      <c r="AA188" s="1342"/>
    </row>
    <row r="189" spans="1:27" ht="25" customHeight="1" x14ac:dyDescent="0.35">
      <c r="J189" s="1340"/>
      <c r="K189" s="1205"/>
      <c r="L189" s="1205"/>
      <c r="M189" s="1205"/>
      <c r="N189" s="1205"/>
      <c r="O189" s="1205"/>
      <c r="P189" s="1205"/>
      <c r="Q189" s="1205"/>
      <c r="R189" s="1205"/>
      <c r="S189" s="1205"/>
      <c r="T189" s="1205"/>
      <c r="U189" s="1205"/>
      <c r="V189" s="1205"/>
      <c r="W189" s="1205"/>
      <c r="X189" s="1205"/>
      <c r="Y189" s="1341"/>
      <c r="Z189" s="1341"/>
      <c r="AA189" s="1342"/>
    </row>
    <row r="190" spans="1:27" ht="25" customHeight="1" x14ac:dyDescent="0.35">
      <c r="J190" s="1340"/>
      <c r="K190" s="1205"/>
      <c r="L190" s="1205"/>
      <c r="M190" s="1205"/>
      <c r="N190" s="1205"/>
      <c r="O190" s="1205"/>
      <c r="P190" s="1205"/>
      <c r="Q190" s="1205"/>
      <c r="R190" s="1205"/>
      <c r="S190" s="1205"/>
      <c r="T190" s="1205"/>
      <c r="U190" s="1205"/>
      <c r="V190" s="1205"/>
      <c r="W190" s="1205"/>
      <c r="X190" s="1205"/>
      <c r="Y190" s="1341"/>
      <c r="Z190" s="1341"/>
      <c r="AA190" s="1342"/>
    </row>
    <row r="191" spans="1:27" ht="25" customHeight="1" x14ac:dyDescent="0.35">
      <c r="J191" s="1340"/>
      <c r="K191" s="1205"/>
      <c r="L191" s="1205"/>
      <c r="M191" s="1205"/>
      <c r="N191" s="1205"/>
      <c r="O191" s="1205"/>
      <c r="P191" s="1205"/>
      <c r="Q191" s="1205"/>
      <c r="R191" s="1205"/>
      <c r="S191" s="1205"/>
      <c r="T191" s="1205"/>
      <c r="U191" s="1205"/>
      <c r="V191" s="1205"/>
      <c r="W191" s="1205"/>
      <c r="X191" s="1205"/>
      <c r="Y191" s="1341"/>
      <c r="Z191" s="1341"/>
      <c r="AA191" s="1342"/>
    </row>
    <row r="192" spans="1:27" ht="25" customHeight="1" x14ac:dyDescent="0.35">
      <c r="J192" s="1340"/>
      <c r="K192" s="1205"/>
      <c r="L192" s="1205"/>
      <c r="M192" s="1205"/>
      <c r="N192" s="1205"/>
      <c r="O192" s="1205"/>
      <c r="P192" s="1205"/>
      <c r="Q192" s="1205"/>
      <c r="R192" s="1205"/>
      <c r="S192" s="1205"/>
      <c r="T192" s="1205"/>
      <c r="U192" s="1205"/>
      <c r="V192" s="1205"/>
      <c r="W192" s="1205"/>
      <c r="X192" s="1205"/>
      <c r="Y192" s="1341"/>
      <c r="Z192" s="1341"/>
      <c r="AA192" s="1342"/>
    </row>
    <row r="193" spans="1:27" ht="25" customHeight="1" x14ac:dyDescent="0.35">
      <c r="J193" s="1340"/>
      <c r="K193" s="1205"/>
      <c r="L193" s="1205"/>
      <c r="M193" s="1205"/>
      <c r="N193" s="1205"/>
      <c r="O193" s="1205"/>
      <c r="P193" s="1205"/>
      <c r="Q193" s="1205"/>
      <c r="R193" s="1205"/>
      <c r="S193" s="1205"/>
      <c r="T193" s="1205"/>
      <c r="U193" s="1205"/>
      <c r="V193" s="1205"/>
      <c r="W193" s="1205"/>
      <c r="X193" s="1205"/>
      <c r="Y193" s="1341"/>
      <c r="Z193" s="1341"/>
      <c r="AA193" s="1342"/>
    </row>
    <row r="194" spans="1:27" ht="25" customHeight="1" x14ac:dyDescent="0.35">
      <c r="J194" s="1340"/>
      <c r="K194" s="1205"/>
      <c r="L194" s="1205"/>
      <c r="M194" s="1205"/>
      <c r="N194" s="1205"/>
      <c r="O194" s="1205"/>
      <c r="P194" s="1205"/>
      <c r="Q194" s="1205"/>
      <c r="R194" s="1205"/>
      <c r="S194" s="1205"/>
      <c r="T194" s="1205"/>
      <c r="U194" s="1205"/>
      <c r="V194" s="1205"/>
      <c r="W194" s="1205"/>
      <c r="X194" s="1205"/>
      <c r="Y194" s="1341"/>
      <c r="Z194" s="1341"/>
      <c r="AA194" s="1342"/>
    </row>
    <row r="195" spans="1:27" ht="25" customHeight="1" x14ac:dyDescent="0.35">
      <c r="A195" s="1147"/>
      <c r="B195" s="1147"/>
      <c r="D195" s="1147"/>
      <c r="E195" s="1147"/>
      <c r="J195" s="1340"/>
      <c r="K195" s="1205"/>
      <c r="L195" s="1205"/>
      <c r="M195" s="1205"/>
      <c r="N195" s="1205"/>
      <c r="O195" s="1205"/>
      <c r="P195" s="1205"/>
      <c r="Q195" s="1205"/>
      <c r="R195" s="1205"/>
      <c r="S195" s="1205"/>
      <c r="T195" s="1205"/>
      <c r="U195" s="1205"/>
      <c r="V195" s="1205"/>
      <c r="W195" s="1205"/>
      <c r="X195" s="1205"/>
      <c r="Y195" s="1341"/>
      <c r="Z195" s="1341"/>
      <c r="AA195" s="1342"/>
    </row>
    <row r="196" spans="1:27" ht="25" customHeight="1" x14ac:dyDescent="0.35">
      <c r="A196" s="1147"/>
      <c r="B196" s="1147"/>
      <c r="D196" s="1147"/>
      <c r="E196" s="1147"/>
      <c r="J196" s="1340"/>
      <c r="K196" s="1205"/>
      <c r="L196" s="1205"/>
      <c r="M196" s="1205"/>
      <c r="N196" s="1205"/>
      <c r="O196" s="1205"/>
      <c r="P196" s="1205"/>
      <c r="Q196" s="1205"/>
      <c r="R196" s="1205"/>
      <c r="S196" s="1205"/>
      <c r="T196" s="1205"/>
      <c r="U196" s="1205"/>
      <c r="V196" s="1205"/>
      <c r="W196" s="1205"/>
      <c r="X196" s="1205"/>
      <c r="Y196" s="1341"/>
      <c r="Z196" s="1341"/>
      <c r="AA196" s="1342"/>
    </row>
    <row r="197" spans="1:27" ht="25" customHeight="1" x14ac:dyDescent="0.35">
      <c r="A197" s="1147"/>
      <c r="B197" s="1147"/>
      <c r="D197" s="1147"/>
      <c r="E197" s="1147"/>
      <c r="J197" s="1340"/>
      <c r="K197" s="1205"/>
      <c r="L197" s="1205"/>
      <c r="M197" s="1205"/>
      <c r="N197" s="1205"/>
      <c r="O197" s="1205"/>
      <c r="P197" s="1205"/>
      <c r="Q197" s="1205"/>
      <c r="R197" s="1205"/>
      <c r="S197" s="1205"/>
      <c r="T197" s="1205"/>
      <c r="U197" s="1205"/>
      <c r="V197" s="1205"/>
      <c r="W197" s="1205"/>
      <c r="X197" s="1205"/>
      <c r="Y197" s="1341"/>
      <c r="Z197" s="1341"/>
      <c r="AA197" s="1342"/>
    </row>
    <row r="198" spans="1:27" ht="25" customHeight="1" x14ac:dyDescent="0.35">
      <c r="A198" s="1147"/>
      <c r="B198" s="1147"/>
      <c r="D198" s="1147"/>
      <c r="E198" s="1147"/>
      <c r="J198" s="1340"/>
      <c r="K198" s="1205"/>
      <c r="L198" s="1205"/>
      <c r="M198" s="1205"/>
      <c r="N198" s="1205"/>
      <c r="O198" s="1205"/>
      <c r="P198" s="1205"/>
      <c r="Q198" s="1205"/>
      <c r="R198" s="1205"/>
      <c r="S198" s="1205"/>
      <c r="T198" s="1205"/>
      <c r="U198" s="1205"/>
      <c r="V198" s="1205"/>
      <c r="W198" s="1205"/>
      <c r="X198" s="1205"/>
      <c r="Y198" s="1341"/>
      <c r="Z198" s="1341"/>
      <c r="AA198" s="1342"/>
    </row>
    <row r="199" spans="1:27" ht="25" customHeight="1" x14ac:dyDescent="0.35">
      <c r="A199" s="1147"/>
      <c r="B199" s="1147"/>
      <c r="D199" s="1147"/>
      <c r="E199" s="1147"/>
      <c r="J199" s="1340"/>
      <c r="K199" s="1205"/>
      <c r="L199" s="1205"/>
      <c r="M199" s="1205"/>
      <c r="N199" s="1205"/>
      <c r="O199" s="1205"/>
      <c r="P199" s="1205"/>
      <c r="Q199" s="1205"/>
      <c r="R199" s="1205"/>
      <c r="S199" s="1205"/>
      <c r="T199" s="1205"/>
      <c r="U199" s="1205"/>
      <c r="V199" s="1205"/>
      <c r="W199" s="1205"/>
      <c r="X199" s="1205"/>
      <c r="Y199" s="1341"/>
      <c r="Z199" s="1341"/>
      <c r="AA199" s="1342"/>
    </row>
    <row r="200" spans="1:27" ht="25" customHeight="1" x14ac:dyDescent="0.35">
      <c r="A200" s="1147"/>
      <c r="B200" s="1147"/>
      <c r="D200" s="1147"/>
      <c r="E200" s="1147"/>
      <c r="J200" s="1340"/>
      <c r="K200" s="1205"/>
      <c r="L200" s="1205"/>
      <c r="M200" s="1205"/>
      <c r="N200" s="1205"/>
      <c r="O200" s="1205"/>
      <c r="P200" s="1205"/>
      <c r="Q200" s="1205"/>
      <c r="R200" s="1205"/>
      <c r="S200" s="1205"/>
      <c r="T200" s="1205"/>
      <c r="U200" s="1205"/>
      <c r="V200" s="1205"/>
      <c r="W200" s="1205"/>
      <c r="X200" s="1205"/>
      <c r="Y200" s="1341"/>
      <c r="Z200" s="1341"/>
      <c r="AA200" s="1342"/>
    </row>
    <row r="201" spans="1:27" ht="25" customHeight="1" x14ac:dyDescent="0.35">
      <c r="A201" s="1147"/>
      <c r="B201" s="1147"/>
      <c r="D201" s="1147"/>
      <c r="E201" s="1147"/>
      <c r="J201" s="1340"/>
      <c r="K201" s="1205"/>
      <c r="L201" s="1205"/>
      <c r="M201" s="1205"/>
      <c r="N201" s="1205"/>
      <c r="O201" s="1205"/>
      <c r="P201" s="1205"/>
      <c r="Q201" s="1205"/>
      <c r="R201" s="1205"/>
      <c r="S201" s="1205"/>
      <c r="T201" s="1205"/>
      <c r="U201" s="1205"/>
      <c r="V201" s="1205"/>
      <c r="W201" s="1205"/>
      <c r="X201" s="1205"/>
      <c r="Y201" s="1341"/>
      <c r="Z201" s="1341"/>
      <c r="AA201" s="1342"/>
    </row>
    <row r="202" spans="1:27" ht="25" customHeight="1" x14ac:dyDescent="0.35">
      <c r="A202" s="1147"/>
      <c r="B202" s="1147"/>
      <c r="D202" s="1147"/>
      <c r="E202" s="1147"/>
      <c r="J202" s="1340"/>
      <c r="K202" s="1205"/>
      <c r="L202" s="1205"/>
      <c r="M202" s="1205"/>
      <c r="N202" s="1205"/>
      <c r="O202" s="1205"/>
      <c r="P202" s="1205"/>
      <c r="Q202" s="1205"/>
      <c r="R202" s="1205"/>
      <c r="S202" s="1205"/>
      <c r="T202" s="1205"/>
      <c r="U202" s="1205"/>
      <c r="V202" s="1205"/>
      <c r="W202" s="1205"/>
      <c r="X202" s="1205"/>
      <c r="Y202" s="1341"/>
      <c r="Z202" s="1341"/>
      <c r="AA202" s="1342"/>
    </row>
    <row r="203" spans="1:27" ht="25" customHeight="1" thickBot="1" x14ac:dyDescent="0.4">
      <c r="A203" s="1147"/>
      <c r="B203" s="1147"/>
      <c r="D203" s="1147"/>
      <c r="E203" s="1147"/>
      <c r="J203" s="1343"/>
      <c r="K203" s="1344"/>
      <c r="L203" s="1344"/>
      <c r="M203" s="1344"/>
      <c r="N203" s="1344"/>
      <c r="O203" s="1344"/>
      <c r="P203" s="1344"/>
      <c r="Q203" s="1344"/>
      <c r="R203" s="1344"/>
      <c r="S203" s="1344"/>
      <c r="T203" s="1344"/>
      <c r="U203" s="1344"/>
      <c r="V203" s="1344"/>
      <c r="W203" s="1344"/>
      <c r="X203" s="1344"/>
      <c r="Y203" s="1345"/>
      <c r="Z203" s="1345"/>
      <c r="AA203" s="1346"/>
    </row>
    <row r="204" spans="1:27" x14ac:dyDescent="0.35">
      <c r="A204" s="1147"/>
      <c r="B204" s="1147"/>
      <c r="D204" s="1147"/>
      <c r="E204" s="1147"/>
    </row>
    <row r="205" spans="1:27" x14ac:dyDescent="0.35">
      <c r="A205" s="1147"/>
      <c r="B205" s="1147"/>
      <c r="D205" s="1147"/>
      <c r="E205" s="1147"/>
    </row>
    <row r="206" spans="1:27" x14ac:dyDescent="0.35">
      <c r="A206" s="1147"/>
      <c r="B206" s="1147"/>
      <c r="D206" s="1147"/>
      <c r="E206" s="1147"/>
    </row>
    <row r="207" spans="1:27" x14ac:dyDescent="0.35">
      <c r="A207" s="1147"/>
      <c r="B207" s="1147"/>
      <c r="D207" s="1147"/>
      <c r="E207" s="1147"/>
    </row>
    <row r="208" spans="1:27" x14ac:dyDescent="0.35">
      <c r="A208" s="1147"/>
      <c r="B208" s="1147"/>
      <c r="D208" s="1147"/>
      <c r="E208" s="1147"/>
    </row>
    <row r="209" spans="1:5" x14ac:dyDescent="0.35">
      <c r="A209" s="1147"/>
      <c r="B209" s="1147"/>
      <c r="D209" s="1147"/>
      <c r="E209" s="1147"/>
    </row>
    <row r="210" spans="1:5" x14ac:dyDescent="0.35">
      <c r="A210" s="1147"/>
      <c r="B210" s="1147"/>
      <c r="D210" s="1147"/>
      <c r="E210" s="1147"/>
    </row>
    <row r="211" spans="1:5" x14ac:dyDescent="0.35">
      <c r="A211" s="1147"/>
      <c r="B211" s="1147"/>
      <c r="D211" s="1147"/>
      <c r="E211" s="1147"/>
    </row>
  </sheetData>
  <mergeCells count="12">
    <mergeCell ref="A2:F2"/>
    <mergeCell ref="A4:F4"/>
    <mergeCell ref="A6:C6"/>
    <mergeCell ref="B11:C11"/>
    <mergeCell ref="P11:R11"/>
    <mergeCell ref="V11:X11"/>
    <mergeCell ref="B12:C12"/>
    <mergeCell ref="A64:C64"/>
    <mergeCell ref="P178:R178"/>
    <mergeCell ref="S178:U178"/>
    <mergeCell ref="V178:X178"/>
    <mergeCell ref="S11:U11"/>
  </mergeCells>
  <phoneticPr fontId="174" type="noConversion"/>
  <pageMargins left="0.7" right="0.7" top="0.75" bottom="0.75" header="0.3" footer="0.3"/>
  <pageSetup paperSize="9" orientation="portrait" horizontalDpi="0" verticalDpi="0"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335"/>
  <sheetViews>
    <sheetView topLeftCell="A82" workbookViewId="0">
      <selection activeCell="D20" sqref="D20"/>
    </sheetView>
  </sheetViews>
  <sheetFormatPr defaultColWidth="11.81640625" defaultRowHeight="13" outlineLevelRow="1" outlineLevelCol="1" x14ac:dyDescent="0.35"/>
  <cols>
    <col min="1" max="1" width="5" style="86" customWidth="1"/>
    <col min="2" max="2" width="29.54296875" style="181" customWidth="1"/>
    <col min="3" max="3" width="9.81640625" style="1457" customWidth="1"/>
    <col min="4" max="4" width="13.54296875" style="86" customWidth="1" outlineLevel="1"/>
    <col min="5" max="5" width="12.7265625" style="942" customWidth="1" outlineLevel="1"/>
    <col min="6" max="6" width="16.26953125" style="86" customWidth="1" outlineLevel="1"/>
    <col min="7" max="7" width="13.26953125" style="181" customWidth="1"/>
    <col min="8" max="8" width="11.453125" style="1457" customWidth="1"/>
    <col min="9" max="9" width="19.453125" style="85" customWidth="1"/>
    <col min="10" max="10" width="5.26953125" style="181" customWidth="1"/>
    <col min="11" max="11" width="17.26953125" style="181" customWidth="1"/>
    <col min="12" max="12" width="21.7265625" style="181" customWidth="1"/>
    <col min="13" max="13" width="18.81640625" style="181" customWidth="1"/>
    <col min="14" max="14" width="16" style="181" customWidth="1"/>
    <col min="15" max="16384" width="11.81640625" style="181"/>
  </cols>
  <sheetData>
    <row r="1" spans="1:14" ht="7.5" customHeight="1" x14ac:dyDescent="0.35">
      <c r="A1" s="1143"/>
      <c r="B1" s="1143"/>
      <c r="C1" s="1370"/>
      <c r="D1" s="1371"/>
      <c r="E1" s="1372"/>
      <c r="F1" s="1371"/>
      <c r="G1" s="1145"/>
      <c r="H1" s="1370"/>
      <c r="I1" s="1145"/>
    </row>
    <row r="2" spans="1:14" s="464" customFormat="1" ht="16.5" customHeight="1" x14ac:dyDescent="0.35">
      <c r="A2" s="3803" t="str">
        <f>NRC!B2</f>
        <v>PESANTREN ISLAM AL-IRSYAD TENGARAN 6 BONDOWOSO</v>
      </c>
      <c r="B2" s="3803"/>
      <c r="C2" s="3803"/>
      <c r="D2" s="3803"/>
      <c r="E2" s="3803"/>
      <c r="F2" s="3803"/>
      <c r="G2" s="3803"/>
      <c r="H2" s="3803"/>
      <c r="I2" s="3803"/>
      <c r="M2" s="464">
        <v>181</v>
      </c>
    </row>
    <row r="3" spans="1:14" s="466" customFormat="1" ht="4.5" customHeight="1" x14ac:dyDescent="0.35">
      <c r="A3" s="1373"/>
      <c r="B3" s="1149"/>
      <c r="C3" s="1374"/>
      <c r="D3" s="1375"/>
      <c r="E3" s="1376"/>
      <c r="F3" s="1375"/>
      <c r="G3" s="1151"/>
      <c r="H3" s="1370"/>
      <c r="I3" s="1151"/>
    </row>
    <row r="4" spans="1:14" s="466" customFormat="1" ht="12.75" customHeight="1" x14ac:dyDescent="0.35">
      <c r="A4" s="3795" t="s">
        <v>2645</v>
      </c>
      <c r="B4" s="3795"/>
      <c r="C4" s="3795"/>
      <c r="D4" s="3795"/>
      <c r="E4" s="3795"/>
      <c r="F4" s="3795"/>
      <c r="G4" s="3795"/>
      <c r="H4" s="3795"/>
      <c r="I4" s="3795"/>
    </row>
    <row r="5" spans="1:14" s="466" customFormat="1" ht="12.75" customHeight="1" x14ac:dyDescent="0.35">
      <c r="A5" s="1163" t="s">
        <v>2646</v>
      </c>
      <c r="B5" s="1154"/>
      <c r="C5" s="1377"/>
      <c r="D5" s="1154"/>
      <c r="E5" s="1378"/>
      <c r="F5" s="1154"/>
      <c r="G5" s="1154"/>
      <c r="H5" s="1379"/>
      <c r="I5" s="1158" t="s">
        <v>2647</v>
      </c>
    </row>
    <row r="6" spans="1:14" s="466" customFormat="1" ht="14" x14ac:dyDescent="0.35">
      <c r="A6" s="3797" t="str">
        <f>NRC!B5</f>
        <v>30 June 2026</v>
      </c>
      <c r="B6" s="3797"/>
      <c r="C6" s="1377"/>
      <c r="D6" s="1155"/>
      <c r="E6" s="1378"/>
      <c r="F6" s="1155"/>
      <c r="G6" s="1155"/>
      <c r="H6" s="1379"/>
      <c r="I6" s="1160">
        <f>NRC!I5</f>
        <v>46203</v>
      </c>
      <c r="L6" s="178">
        <v>123721327</v>
      </c>
    </row>
    <row r="7" spans="1:14" s="466" customFormat="1" ht="14" x14ac:dyDescent="0.35">
      <c r="A7" s="1159" t="str">
        <f>NRC!C6</f>
        <v>(Dengan perbandingan informasi keuangan untuk bulan yang berakhir 31 May 2026 /</v>
      </c>
      <c r="B7" s="1155"/>
      <c r="C7" s="1377"/>
      <c r="D7" s="1155"/>
      <c r="E7" s="1378"/>
      <c r="F7" s="1155"/>
      <c r="G7" s="1155"/>
      <c r="H7" s="1379"/>
      <c r="I7" s="1380" t="str">
        <f>NRC!K6</f>
        <v>With Comparative financial information for the month ended May 31, 2026 )</v>
      </c>
      <c r="L7" s="178">
        <v>213250750</v>
      </c>
    </row>
    <row r="8" spans="1:14" s="466" customFormat="1" ht="14" x14ac:dyDescent="0.35">
      <c r="A8" s="1159" t="str">
        <f>+[12]NRC!B7</f>
        <v>(Disajikan dalam rupiah)</v>
      </c>
      <c r="B8" s="1155"/>
      <c r="C8" s="1377"/>
      <c r="D8" s="1155"/>
      <c r="E8" s="1378"/>
      <c r="F8" s="1155"/>
      <c r="G8" s="1155"/>
      <c r="H8" s="1379"/>
      <c r="I8" s="1380" t="str">
        <f>+[12]NRC!J7</f>
        <v xml:space="preserve"> (Expressed in rupiah)</v>
      </c>
    </row>
    <row r="9" spans="1:14" s="560" customFormat="1" ht="15" customHeight="1" outlineLevel="1" x14ac:dyDescent="0.35">
      <c r="A9" s="1169" t="s">
        <v>531</v>
      </c>
      <c r="B9" s="1381"/>
      <c r="C9" s="1382"/>
      <c r="D9" s="1383"/>
      <c r="E9" s="1384"/>
      <c r="F9" s="1383"/>
      <c r="G9" s="1385"/>
      <c r="H9" s="1382"/>
      <c r="I9" s="1380" t="s">
        <v>532</v>
      </c>
      <c r="K9" s="560">
        <v>37929540</v>
      </c>
    </row>
    <row r="10" spans="1:14" ht="18.75" customHeight="1" thickBot="1" x14ac:dyDescent="0.4">
      <c r="A10" s="1167"/>
      <c r="B10" s="1166"/>
      <c r="C10" s="1379"/>
      <c r="D10" s="1323"/>
      <c r="E10" s="1386"/>
      <c r="F10" s="1323"/>
      <c r="G10" s="1145"/>
      <c r="H10" s="1370"/>
      <c r="I10" s="509"/>
    </row>
    <row r="11" spans="1:14" ht="21" customHeight="1" x14ac:dyDescent="0.35">
      <c r="A11" s="1387" t="s">
        <v>2648</v>
      </c>
      <c r="B11" s="1388" t="s">
        <v>1043</v>
      </c>
      <c r="C11" s="1389" t="s">
        <v>2649</v>
      </c>
      <c r="D11" s="3804" t="str">
        <f>NRC!E9</f>
        <v>30 June 2026/</v>
      </c>
      <c r="E11" s="3804"/>
      <c r="F11" s="3805"/>
      <c r="G11" s="3804" t="str">
        <f>NRC!G9</f>
        <v>31 May 2026/</v>
      </c>
      <c r="H11" s="3804"/>
      <c r="I11" s="3805"/>
    </row>
    <row r="12" spans="1:14" ht="23.25" customHeight="1" thickBot="1" x14ac:dyDescent="0.4">
      <c r="A12" s="1390" t="s">
        <v>2599</v>
      </c>
      <c r="B12" s="1391" t="s">
        <v>447</v>
      </c>
      <c r="C12" s="1392" t="s">
        <v>2650</v>
      </c>
      <c r="D12" s="1393" t="s">
        <v>2651</v>
      </c>
      <c r="E12" s="1394" t="s">
        <v>2652</v>
      </c>
      <c r="F12" s="1395" t="s">
        <v>2653</v>
      </c>
      <c r="G12" s="1396" t="s">
        <v>2651</v>
      </c>
      <c r="H12" s="1397" t="s">
        <v>2652</v>
      </c>
      <c r="I12" s="1398" t="s">
        <v>2653</v>
      </c>
    </row>
    <row r="13" spans="1:14" ht="19.5" customHeight="1" outlineLevel="1" x14ac:dyDescent="0.35">
      <c r="A13" s="1218">
        <v>1</v>
      </c>
      <c r="B13" s="234" t="s">
        <v>2654</v>
      </c>
      <c r="C13" s="1399"/>
      <c r="D13" s="156"/>
      <c r="E13" s="1400"/>
      <c r="F13" s="2902"/>
      <c r="G13" s="63"/>
      <c r="H13" s="1401"/>
      <c r="I13" s="1402"/>
    </row>
    <row r="14" spans="1:14" ht="14.15" customHeight="1" outlineLevel="1" x14ac:dyDescent="0.3">
      <c r="A14" s="1403" t="s">
        <v>2447</v>
      </c>
      <c r="B14" s="1404" t="s">
        <v>2655</v>
      </c>
      <c r="C14" s="1405"/>
      <c r="D14" s="1406"/>
      <c r="E14" s="1400"/>
      <c r="F14" s="1411"/>
      <c r="G14" s="1407"/>
      <c r="H14" s="1401"/>
      <c r="I14" s="1408"/>
      <c r="K14" s="1409" t="e">
        <f>SUM(#REF!)-6958000-750000</f>
        <v>#REF!</v>
      </c>
      <c r="L14" s="735" t="s">
        <v>2656</v>
      </c>
    </row>
    <row r="15" spans="1:14" ht="14.15" customHeight="1" outlineLevel="1" x14ac:dyDescent="0.3">
      <c r="A15" s="1403" t="s">
        <v>23</v>
      </c>
      <c r="B15" s="1404" t="s">
        <v>2657</v>
      </c>
      <c r="C15" s="1405"/>
      <c r="D15" s="1406"/>
      <c r="E15" s="1400"/>
      <c r="F15" s="1412">
        <v>34870000</v>
      </c>
      <c r="G15" s="1407"/>
      <c r="H15" s="1401"/>
      <c r="I15" s="1408">
        <v>34870000</v>
      </c>
      <c r="K15" s="1409"/>
      <c r="L15" s="735"/>
    </row>
    <row r="16" spans="1:14" ht="14.15" customHeight="1" outlineLevel="1" x14ac:dyDescent="0.3">
      <c r="A16" s="1403" t="s">
        <v>27</v>
      </c>
      <c r="B16" s="1404" t="s">
        <v>2658</v>
      </c>
      <c r="C16" s="1405"/>
      <c r="D16" s="1406"/>
      <c r="E16" s="1400"/>
      <c r="F16" s="1412">
        <v>38180496</v>
      </c>
      <c r="G16" s="1411"/>
      <c r="H16" s="1401"/>
      <c r="I16" s="1410">
        <v>38180496</v>
      </c>
      <c r="K16" s="178"/>
      <c r="L16" s="735"/>
      <c r="M16" s="367"/>
      <c r="N16" s="735"/>
    </row>
    <row r="17" spans="1:14" ht="14.15" customHeight="1" outlineLevel="1" x14ac:dyDescent="0.3">
      <c r="A17" s="1403" t="s">
        <v>31</v>
      </c>
      <c r="B17" s="1404" t="s">
        <v>8137</v>
      </c>
      <c r="C17" s="1405"/>
      <c r="D17" s="1406">
        <v>12110000</v>
      </c>
      <c r="E17" s="1400">
        <v>1</v>
      </c>
      <c r="F17" s="1412">
        <f t="shared" ref="F17:F18" si="0">D17*E17</f>
        <v>12110000</v>
      </c>
      <c r="G17" s="3336"/>
      <c r="H17" s="1401"/>
      <c r="I17" s="1410">
        <f>G17*H17</f>
        <v>0</v>
      </c>
      <c r="K17" s="178"/>
      <c r="L17" s="735"/>
      <c r="M17" s="3334"/>
      <c r="N17" s="735"/>
    </row>
    <row r="18" spans="1:14" ht="14.15" customHeight="1" outlineLevel="1" x14ac:dyDescent="0.3">
      <c r="A18" s="1403" t="s">
        <v>36</v>
      </c>
      <c r="B18" s="1404" t="s">
        <v>8138</v>
      </c>
      <c r="C18" s="1405"/>
      <c r="D18" s="1406">
        <v>35528685</v>
      </c>
      <c r="E18" s="1400">
        <v>1</v>
      </c>
      <c r="F18" s="1412">
        <f t="shared" si="0"/>
        <v>35528685</v>
      </c>
      <c r="G18" s="3336"/>
      <c r="H18" s="1401"/>
      <c r="I18" s="1410">
        <f t="shared" ref="I18" si="1">G18*H18</f>
        <v>0</v>
      </c>
      <c r="K18" s="178"/>
      <c r="L18" s="735"/>
      <c r="M18" s="3334"/>
      <c r="N18" s="735"/>
    </row>
    <row r="19" spans="1:14" ht="14.15" customHeight="1" outlineLevel="1" x14ac:dyDescent="0.3">
      <c r="A19" s="1403" t="s">
        <v>2449</v>
      </c>
      <c r="B19" s="1404" t="s">
        <v>8016</v>
      </c>
      <c r="C19" s="1405"/>
      <c r="D19" s="1406">
        <v>75000</v>
      </c>
      <c r="E19" s="1432">
        <v>100</v>
      </c>
      <c r="F19" s="1412">
        <f>D19*E19</f>
        <v>7500000</v>
      </c>
      <c r="G19" s="1407">
        <v>75000</v>
      </c>
      <c r="H19" s="1401">
        <v>100</v>
      </c>
      <c r="I19" s="1410">
        <f>G19*H19</f>
        <v>7500000</v>
      </c>
      <c r="K19" s="178"/>
      <c r="L19" s="735"/>
      <c r="M19" s="367"/>
      <c r="N19" s="735"/>
    </row>
    <row r="20" spans="1:14" outlineLevel="1" x14ac:dyDescent="0.3">
      <c r="A20" s="1403" t="s">
        <v>759</v>
      </c>
      <c r="B20" s="1534" t="s">
        <v>7746</v>
      </c>
      <c r="C20" s="1535"/>
      <c r="D20" s="1536">
        <v>32290</v>
      </c>
      <c r="E20" s="3169">
        <v>100</v>
      </c>
      <c r="F20" s="3170">
        <f>D20*E20</f>
        <v>3229000</v>
      </c>
      <c r="G20" s="1537">
        <v>32290</v>
      </c>
      <c r="H20" s="1538">
        <v>100</v>
      </c>
      <c r="I20" s="1410">
        <f>G20*H20</f>
        <v>3229000</v>
      </c>
      <c r="K20" s="1522" t="s">
        <v>8032</v>
      </c>
      <c r="L20" s="367"/>
    </row>
    <row r="21" spans="1:14" ht="27" customHeight="1" outlineLevel="1" x14ac:dyDescent="0.35">
      <c r="A21" s="1218"/>
      <c r="B21" s="1404"/>
      <c r="C21" s="1405"/>
      <c r="D21" s="1406"/>
      <c r="E21" s="1400"/>
      <c r="F21" s="1412">
        <f>SUM(F14:F20)</f>
        <v>131418181</v>
      </c>
      <c r="G21" s="1407"/>
      <c r="H21" s="1401"/>
      <c r="I21" s="1413">
        <f>SUM(I14:I20)</f>
        <v>83779496</v>
      </c>
      <c r="K21" s="735">
        <f>F21-I21</f>
        <v>47638685</v>
      </c>
      <c r="L21" s="735"/>
    </row>
    <row r="22" spans="1:14" ht="15" customHeight="1" outlineLevel="1" x14ac:dyDescent="0.3">
      <c r="A22" s="1218">
        <v>2</v>
      </c>
      <c r="B22" s="234" t="s">
        <v>2659</v>
      </c>
      <c r="C22" s="1399"/>
      <c r="D22" s="1414"/>
      <c r="E22" s="1400"/>
      <c r="F22" s="1412"/>
      <c r="G22" s="1407"/>
      <c r="H22" s="1401"/>
      <c r="I22" s="1415"/>
      <c r="K22" s="85"/>
    </row>
    <row r="23" spans="1:14" ht="14.15" customHeight="1" outlineLevel="1" x14ac:dyDescent="0.3">
      <c r="A23" s="1416" t="s">
        <v>2447</v>
      </c>
      <c r="B23" s="1404" t="s">
        <v>2660</v>
      </c>
      <c r="C23" s="1417" t="s">
        <v>2661</v>
      </c>
      <c r="D23" s="1418"/>
      <c r="E23" s="1418"/>
      <c r="F23" s="1419">
        <f t="shared" ref="F23:F32" si="2">D23*E23</f>
        <v>0</v>
      </c>
      <c r="G23" s="1418"/>
      <c r="H23" s="1418"/>
      <c r="I23" s="1419">
        <f t="shared" ref="I23:I32" si="3">G23*H23</f>
        <v>0</v>
      </c>
      <c r="K23" s="1420"/>
      <c r="L23" s="735"/>
    </row>
    <row r="24" spans="1:14" ht="14.15" customHeight="1" outlineLevel="1" x14ac:dyDescent="0.3">
      <c r="A24" s="1416" t="s">
        <v>23</v>
      </c>
      <c r="B24" s="1404" t="s">
        <v>2662</v>
      </c>
      <c r="C24" s="1417" t="s">
        <v>2661</v>
      </c>
      <c r="D24" s="1418"/>
      <c r="E24" s="1418"/>
      <c r="F24" s="1419">
        <f t="shared" si="2"/>
        <v>0</v>
      </c>
      <c r="G24" s="1418"/>
      <c r="H24" s="1418"/>
      <c r="I24" s="1419">
        <f t="shared" si="3"/>
        <v>0</v>
      </c>
      <c r="K24" s="1420"/>
      <c r="L24" s="735"/>
    </row>
    <row r="25" spans="1:14" ht="14.15" customHeight="1" outlineLevel="1" x14ac:dyDescent="0.3">
      <c r="A25" s="1416" t="s">
        <v>27</v>
      </c>
      <c r="B25" s="1404" t="s">
        <v>2663</v>
      </c>
      <c r="C25" s="1417" t="s">
        <v>2664</v>
      </c>
      <c r="D25" s="1418"/>
      <c r="E25" s="1418"/>
      <c r="F25" s="1419">
        <f t="shared" si="2"/>
        <v>0</v>
      </c>
      <c r="G25" s="1418"/>
      <c r="H25" s="1418"/>
      <c r="I25" s="1419">
        <f t="shared" si="3"/>
        <v>0</v>
      </c>
      <c r="K25" s="1420"/>
      <c r="L25" s="735"/>
    </row>
    <row r="26" spans="1:14" ht="14.15" customHeight="1" outlineLevel="1" x14ac:dyDescent="0.3">
      <c r="A26" s="1416" t="s">
        <v>31</v>
      </c>
      <c r="B26" s="1404" t="s">
        <v>2665</v>
      </c>
      <c r="C26" s="1417" t="s">
        <v>2661</v>
      </c>
      <c r="D26" s="1418"/>
      <c r="E26" s="1418"/>
      <c r="F26" s="1419">
        <f t="shared" si="2"/>
        <v>0</v>
      </c>
      <c r="G26" s="1418"/>
      <c r="H26" s="1418"/>
      <c r="I26" s="1419">
        <f t="shared" si="3"/>
        <v>0</v>
      </c>
      <c r="K26" s="1420"/>
      <c r="L26" s="735"/>
    </row>
    <row r="27" spans="1:14" ht="14.15" customHeight="1" outlineLevel="1" x14ac:dyDescent="0.3">
      <c r="A27" s="1416" t="s">
        <v>36</v>
      </c>
      <c r="B27" s="1404" t="s">
        <v>2666</v>
      </c>
      <c r="C27" s="1417" t="s">
        <v>2661</v>
      </c>
      <c r="D27" s="1418"/>
      <c r="E27" s="1418"/>
      <c r="F27" s="1419">
        <f t="shared" si="2"/>
        <v>0</v>
      </c>
      <c r="G27" s="1418"/>
      <c r="H27" s="1418"/>
      <c r="I27" s="1419">
        <f t="shared" si="3"/>
        <v>0</v>
      </c>
      <c r="K27" s="1420"/>
      <c r="L27" s="735"/>
    </row>
    <row r="28" spans="1:14" ht="14.15" customHeight="1" outlineLevel="1" x14ac:dyDescent="0.3">
      <c r="A28" s="1416" t="s">
        <v>2449</v>
      </c>
      <c r="B28" s="1404" t="s">
        <v>2667</v>
      </c>
      <c r="C28" s="1417" t="s">
        <v>2661</v>
      </c>
      <c r="D28" s="1418"/>
      <c r="E28" s="1418"/>
      <c r="F28" s="1419">
        <f t="shared" si="2"/>
        <v>0</v>
      </c>
      <c r="G28" s="1418"/>
      <c r="H28" s="1418"/>
      <c r="I28" s="1419">
        <f t="shared" si="3"/>
        <v>0</v>
      </c>
      <c r="K28" s="1420"/>
      <c r="L28" s="735"/>
    </row>
    <row r="29" spans="1:14" ht="14.15" customHeight="1" outlineLevel="1" x14ac:dyDescent="0.3">
      <c r="A29" s="1416" t="s">
        <v>759</v>
      </c>
      <c r="B29" s="1404" t="s">
        <v>2668</v>
      </c>
      <c r="C29" s="1417" t="s">
        <v>2661</v>
      </c>
      <c r="D29" s="1418"/>
      <c r="E29" s="1418"/>
      <c r="F29" s="1419">
        <f t="shared" si="2"/>
        <v>0</v>
      </c>
      <c r="G29" s="1418"/>
      <c r="H29" s="1418"/>
      <c r="I29" s="1419">
        <f t="shared" si="3"/>
        <v>0</v>
      </c>
      <c r="K29" s="1420"/>
      <c r="L29" s="735"/>
    </row>
    <row r="30" spans="1:14" ht="14.15" customHeight="1" outlineLevel="1" x14ac:dyDescent="0.3">
      <c r="A30" s="1416" t="s">
        <v>701</v>
      </c>
      <c r="B30" s="1404" t="s">
        <v>2669</v>
      </c>
      <c r="C30" s="1417" t="s">
        <v>2661</v>
      </c>
      <c r="D30" s="1418"/>
      <c r="E30" s="1418"/>
      <c r="F30" s="1419">
        <f t="shared" si="2"/>
        <v>0</v>
      </c>
      <c r="G30" s="1418"/>
      <c r="H30" s="1418"/>
      <c r="I30" s="1419">
        <f t="shared" si="3"/>
        <v>0</v>
      </c>
      <c r="K30" s="1420"/>
      <c r="L30" s="735"/>
    </row>
    <row r="31" spans="1:14" ht="14.15" customHeight="1" outlineLevel="1" x14ac:dyDescent="0.35">
      <c r="A31" s="1416" t="s">
        <v>1027</v>
      </c>
      <c r="B31" t="s">
        <v>2670</v>
      </c>
      <c r="C31" s="1417" t="s">
        <v>2661</v>
      </c>
      <c r="D31" s="1418"/>
      <c r="E31" s="1418"/>
      <c r="F31" s="1419">
        <f t="shared" si="2"/>
        <v>0</v>
      </c>
      <c r="G31" s="1418"/>
      <c r="H31" s="1418"/>
      <c r="I31" s="1419">
        <f t="shared" si="3"/>
        <v>0</v>
      </c>
      <c r="K31" s="1420"/>
      <c r="L31" s="735"/>
    </row>
    <row r="32" spans="1:14" ht="14.15" customHeight="1" outlineLevel="1" x14ac:dyDescent="0.3">
      <c r="A32" s="1416" t="s">
        <v>762</v>
      </c>
      <c r="B32" s="1404" t="s">
        <v>2671</v>
      </c>
      <c r="C32" s="1417" t="s">
        <v>2661</v>
      </c>
      <c r="D32" s="1418"/>
      <c r="E32" s="1418"/>
      <c r="F32" s="1419">
        <f t="shared" si="2"/>
        <v>0</v>
      </c>
      <c r="G32" s="1418"/>
      <c r="H32" s="1418"/>
      <c r="I32" s="1419">
        <f t="shared" si="3"/>
        <v>0</v>
      </c>
      <c r="K32" s="1420"/>
      <c r="L32" s="735"/>
    </row>
    <row r="33" spans="1:12" outlineLevel="1" x14ac:dyDescent="0.3">
      <c r="A33" s="1416"/>
      <c r="B33" s="1542"/>
      <c r="C33" s="1417"/>
      <c r="D33" s="1423"/>
      <c r="E33" s="1539"/>
      <c r="F33" s="1540"/>
      <c r="G33" s="1230"/>
      <c r="H33" s="1541"/>
      <c r="I33" s="1419"/>
      <c r="J33" s="1424"/>
    </row>
    <row r="34" spans="1:12" ht="27.75" customHeight="1" outlineLevel="1" x14ac:dyDescent="0.35">
      <c r="A34" s="1416"/>
      <c r="B34" s="1404"/>
      <c r="C34" s="1417"/>
      <c r="D34" s="1412">
        <f>SUM(D23:D33)</f>
        <v>0</v>
      </c>
      <c r="E34" s="1412">
        <f>SUM(E23:E33)</f>
        <v>0</v>
      </c>
      <c r="F34" s="1425">
        <f>SUM(F23:F33)</f>
        <v>0</v>
      </c>
      <c r="G34" s="1426">
        <f>SUM(G23:G32)</f>
        <v>0</v>
      </c>
      <c r="H34" s="1426">
        <f>SUM(H23:H32)</f>
        <v>0</v>
      </c>
      <c r="I34" s="1427">
        <f>SUM(I23:I32)</f>
        <v>0</v>
      </c>
      <c r="K34" s="180">
        <f>F34-F35</f>
        <v>-13778616.559080632</v>
      </c>
    </row>
    <row r="35" spans="1:12" ht="15" customHeight="1" outlineLevel="1" x14ac:dyDescent="0.3">
      <c r="A35" s="1218">
        <v>3</v>
      </c>
      <c r="B35" s="234" t="s">
        <v>2675</v>
      </c>
      <c r="C35" s="1417"/>
      <c r="D35" s="1406"/>
      <c r="E35" s="1428">
        <f>[13]ATK!$V$343</f>
        <v>6112</v>
      </c>
      <c r="F35" s="1429">
        <f>[14]ATK!$AL$344</f>
        <v>13778616.559080632</v>
      </c>
      <c r="G35" s="1430"/>
      <c r="H35" s="1417"/>
      <c r="I35" s="1413"/>
      <c r="K35" s="180"/>
      <c r="L35" s="1431">
        <f>E34-E35</f>
        <v>-6112</v>
      </c>
    </row>
    <row r="36" spans="1:12" ht="15" customHeight="1" outlineLevel="1" x14ac:dyDescent="0.3">
      <c r="A36" s="1218"/>
      <c r="B36" s="234"/>
      <c r="C36" s="1417"/>
      <c r="D36" s="1406"/>
      <c r="E36" s="1432"/>
      <c r="F36" s="1433"/>
      <c r="G36" s="1430"/>
      <c r="H36" s="1417"/>
      <c r="I36" s="1413"/>
      <c r="K36" s="180"/>
      <c r="L36" s="1431"/>
    </row>
    <row r="37" spans="1:12" ht="15" customHeight="1" outlineLevel="1" x14ac:dyDescent="0.35">
      <c r="A37" s="1434" t="s">
        <v>2447</v>
      </c>
      <c r="B37" s="1404" t="s">
        <v>2676</v>
      </c>
      <c r="C37" s="1417" t="s">
        <v>2677</v>
      </c>
      <c r="D37" s="1435"/>
      <c r="E37" s="1435"/>
      <c r="F37" s="1436">
        <f t="shared" ref="F37:F100" si="4">D37*E37</f>
        <v>0</v>
      </c>
      <c r="G37" s="1435"/>
      <c r="H37" s="1435"/>
      <c r="I37" s="1436">
        <f t="shared" ref="I37:I100" si="5">G37*H37</f>
        <v>0</v>
      </c>
      <c r="J37" s="181" t="s">
        <v>2678</v>
      </c>
      <c r="K37" s="1437"/>
    </row>
    <row r="38" spans="1:12" ht="15" customHeight="1" outlineLevel="1" x14ac:dyDescent="0.35">
      <c r="A38" s="1434" t="s">
        <v>23</v>
      </c>
      <c r="B38" s="1404" t="s">
        <v>2679</v>
      </c>
      <c r="C38" s="1417" t="s">
        <v>2677</v>
      </c>
      <c r="D38" s="1435"/>
      <c r="E38" s="1435"/>
      <c r="F38" s="1436">
        <f t="shared" si="4"/>
        <v>0</v>
      </c>
      <c r="G38" s="1435"/>
      <c r="H38" s="1435"/>
      <c r="I38" s="1436">
        <f t="shared" si="5"/>
        <v>0</v>
      </c>
      <c r="J38" s="181" t="s">
        <v>2680</v>
      </c>
      <c r="K38" s="1437"/>
    </row>
    <row r="39" spans="1:12" ht="15" customHeight="1" outlineLevel="1" x14ac:dyDescent="0.35">
      <c r="A39" s="1434" t="s">
        <v>27</v>
      </c>
      <c r="B39" s="1404" t="s">
        <v>2681</v>
      </c>
      <c r="C39" s="1417" t="s">
        <v>2672</v>
      </c>
      <c r="D39" s="1435"/>
      <c r="E39" s="1435"/>
      <c r="F39" s="1436">
        <f t="shared" si="4"/>
        <v>0</v>
      </c>
      <c r="G39" s="1435"/>
      <c r="H39" s="1435"/>
      <c r="I39" s="1436">
        <f t="shared" si="5"/>
        <v>0</v>
      </c>
      <c r="J39" s="181" t="s">
        <v>2682</v>
      </c>
      <c r="K39" s="1437"/>
    </row>
    <row r="40" spans="1:12" ht="15" customHeight="1" outlineLevel="1" x14ac:dyDescent="0.35">
      <c r="A40" s="1434" t="s">
        <v>31</v>
      </c>
      <c r="B40" s="1404" t="s">
        <v>2683</v>
      </c>
      <c r="C40" s="1417" t="s">
        <v>2677</v>
      </c>
      <c r="D40" s="1435"/>
      <c r="E40" s="1435"/>
      <c r="F40" s="1436">
        <f t="shared" si="4"/>
        <v>0</v>
      </c>
      <c r="G40" s="1435"/>
      <c r="H40" s="1435"/>
      <c r="I40" s="1436">
        <f t="shared" si="5"/>
        <v>0</v>
      </c>
      <c r="J40" s="181" t="s">
        <v>2684</v>
      </c>
      <c r="K40" s="1437"/>
    </row>
    <row r="41" spans="1:12" ht="15" customHeight="1" outlineLevel="1" x14ac:dyDescent="0.35">
      <c r="A41" s="1434" t="s">
        <v>36</v>
      </c>
      <c r="B41" s="1404" t="s">
        <v>2685</v>
      </c>
      <c r="C41" s="1417" t="s">
        <v>2677</v>
      </c>
      <c r="D41" s="1435"/>
      <c r="E41" s="1435"/>
      <c r="F41" s="1436">
        <f t="shared" si="4"/>
        <v>0</v>
      </c>
      <c r="G41" s="1435"/>
      <c r="H41" s="1435"/>
      <c r="I41" s="1436">
        <f t="shared" si="5"/>
        <v>0</v>
      </c>
      <c r="J41" s="181" t="s">
        <v>2686</v>
      </c>
      <c r="K41" s="1437"/>
    </row>
    <row r="42" spans="1:12" ht="15" customHeight="1" outlineLevel="1" x14ac:dyDescent="0.35">
      <c r="A42" s="1434" t="s">
        <v>2449</v>
      </c>
      <c r="B42" s="1404" t="s">
        <v>2687</v>
      </c>
      <c r="C42" s="1417" t="s">
        <v>2677</v>
      </c>
      <c r="D42" s="1435"/>
      <c r="E42" s="1435"/>
      <c r="F42" s="1436">
        <f t="shared" si="4"/>
        <v>0</v>
      </c>
      <c r="G42" s="1435"/>
      <c r="H42" s="1435"/>
      <c r="I42" s="1436">
        <f t="shared" si="5"/>
        <v>0</v>
      </c>
      <c r="J42" s="181" t="s">
        <v>2688</v>
      </c>
      <c r="K42" s="1437"/>
    </row>
    <row r="43" spans="1:12" ht="15" customHeight="1" outlineLevel="1" x14ac:dyDescent="0.35">
      <c r="A43" s="1434" t="s">
        <v>759</v>
      </c>
      <c r="B43" s="1404" t="s">
        <v>2689</v>
      </c>
      <c r="C43" s="1417" t="s">
        <v>2677</v>
      </c>
      <c r="D43" s="1435"/>
      <c r="E43" s="1435"/>
      <c r="F43" s="1436">
        <f t="shared" si="4"/>
        <v>0</v>
      </c>
      <c r="G43" s="1435"/>
      <c r="H43" s="1435"/>
      <c r="I43" s="1436">
        <f t="shared" si="5"/>
        <v>0</v>
      </c>
      <c r="J43" s="181" t="s">
        <v>2690</v>
      </c>
      <c r="K43" s="1437"/>
    </row>
    <row r="44" spans="1:12" ht="15" customHeight="1" outlineLevel="1" x14ac:dyDescent="0.35">
      <c r="A44" s="1434" t="s">
        <v>701</v>
      </c>
      <c r="B44" s="1404" t="s">
        <v>2691</v>
      </c>
      <c r="C44" s="1417" t="s">
        <v>2677</v>
      </c>
      <c r="D44" s="1435"/>
      <c r="E44" s="1435"/>
      <c r="F44" s="1436">
        <f t="shared" si="4"/>
        <v>0</v>
      </c>
      <c r="G44" s="1435"/>
      <c r="H44" s="1435"/>
      <c r="I44" s="1436">
        <f t="shared" si="5"/>
        <v>0</v>
      </c>
      <c r="J44" s="181" t="s">
        <v>2692</v>
      </c>
      <c r="K44" s="1437"/>
    </row>
    <row r="45" spans="1:12" ht="15" customHeight="1" outlineLevel="1" x14ac:dyDescent="0.35">
      <c r="A45" s="1434" t="s">
        <v>1027</v>
      </c>
      <c r="B45" s="1404" t="s">
        <v>2693</v>
      </c>
      <c r="C45" s="1417" t="s">
        <v>2677</v>
      </c>
      <c r="D45" s="1435"/>
      <c r="E45" s="1435"/>
      <c r="F45" s="1436">
        <f t="shared" si="4"/>
        <v>0</v>
      </c>
      <c r="G45" s="1435"/>
      <c r="H45" s="1435"/>
      <c r="I45" s="1436">
        <f t="shared" si="5"/>
        <v>0</v>
      </c>
      <c r="J45" s="181" t="s">
        <v>2694</v>
      </c>
      <c r="K45" s="1437"/>
    </row>
    <row r="46" spans="1:12" ht="15" customHeight="1" outlineLevel="1" collapsed="1" x14ac:dyDescent="0.35">
      <c r="A46" s="1434" t="s">
        <v>762</v>
      </c>
      <c r="B46" s="1404" t="s">
        <v>2695</v>
      </c>
      <c r="C46" s="1417" t="s">
        <v>2677</v>
      </c>
      <c r="D46" s="1435"/>
      <c r="E46" s="1435"/>
      <c r="F46" s="1436">
        <f t="shared" si="4"/>
        <v>0</v>
      </c>
      <c r="G46" s="1435"/>
      <c r="H46" s="1435"/>
      <c r="I46" s="1436">
        <f t="shared" si="5"/>
        <v>0</v>
      </c>
      <c r="J46" s="181" t="s">
        <v>2696</v>
      </c>
      <c r="K46" s="1437"/>
    </row>
    <row r="47" spans="1:12" ht="15" customHeight="1" outlineLevel="1" x14ac:dyDescent="0.35">
      <c r="A47" s="1434" t="s">
        <v>874</v>
      </c>
      <c r="B47" s="1404" t="s">
        <v>2697</v>
      </c>
      <c r="C47" s="1417" t="s">
        <v>2677</v>
      </c>
      <c r="D47" s="1435"/>
      <c r="E47" s="1435"/>
      <c r="F47" s="1436">
        <f t="shared" si="4"/>
        <v>0</v>
      </c>
      <c r="G47" s="1435"/>
      <c r="H47" s="1435"/>
      <c r="I47" s="1436">
        <f t="shared" si="5"/>
        <v>0</v>
      </c>
      <c r="J47" s="181" t="s">
        <v>2698</v>
      </c>
      <c r="K47" s="1437"/>
    </row>
    <row r="48" spans="1:12" ht="15" customHeight="1" outlineLevel="1" x14ac:dyDescent="0.35">
      <c r="A48" s="1434" t="s">
        <v>2450</v>
      </c>
      <c r="B48" s="1404" t="s">
        <v>2699</v>
      </c>
      <c r="C48" s="1417" t="s">
        <v>2677</v>
      </c>
      <c r="D48" s="1435"/>
      <c r="E48" s="1435"/>
      <c r="F48" s="1436">
        <f t="shared" si="4"/>
        <v>0</v>
      </c>
      <c r="G48" s="1435"/>
      <c r="H48" s="1435"/>
      <c r="I48" s="1436">
        <f t="shared" si="5"/>
        <v>0</v>
      </c>
      <c r="J48" s="181" t="s">
        <v>2700</v>
      </c>
      <c r="K48" s="1437"/>
    </row>
    <row r="49" spans="1:11" ht="15" customHeight="1" outlineLevel="1" x14ac:dyDescent="0.35">
      <c r="A49" s="1434" t="s">
        <v>2451</v>
      </c>
      <c r="B49" s="1404" t="s">
        <v>2701</v>
      </c>
      <c r="C49" s="1417" t="s">
        <v>2677</v>
      </c>
      <c r="D49" s="1435"/>
      <c r="E49" s="1435"/>
      <c r="F49" s="1436">
        <f t="shared" si="4"/>
        <v>0</v>
      </c>
      <c r="G49" s="1435"/>
      <c r="H49" s="1435"/>
      <c r="I49" s="1436">
        <f t="shared" si="5"/>
        <v>0</v>
      </c>
      <c r="J49" s="181" t="s">
        <v>2702</v>
      </c>
      <c r="K49" s="1437" t="s">
        <v>2703</v>
      </c>
    </row>
    <row r="50" spans="1:11" ht="15" customHeight="1" outlineLevel="1" x14ac:dyDescent="0.35">
      <c r="A50" s="1434" t="s">
        <v>2452</v>
      </c>
      <c r="B50" s="1404" t="s">
        <v>2704</v>
      </c>
      <c r="C50" s="1417" t="s">
        <v>2677</v>
      </c>
      <c r="D50" s="1435"/>
      <c r="E50" s="1435"/>
      <c r="F50" s="1436">
        <f t="shared" si="4"/>
        <v>0</v>
      </c>
      <c r="G50" s="1435"/>
      <c r="H50" s="1435"/>
      <c r="I50" s="1436">
        <f t="shared" si="5"/>
        <v>0</v>
      </c>
      <c r="J50" s="181" t="s">
        <v>2705</v>
      </c>
      <c r="K50" s="1437"/>
    </row>
    <row r="51" spans="1:11" ht="15" customHeight="1" outlineLevel="1" x14ac:dyDescent="0.35">
      <c r="A51" s="1434" t="s">
        <v>2453</v>
      </c>
      <c r="B51" s="1404" t="s">
        <v>2706</v>
      </c>
      <c r="C51" s="1417" t="s">
        <v>2677</v>
      </c>
      <c r="D51" s="1435"/>
      <c r="E51" s="1435"/>
      <c r="F51" s="1436">
        <f t="shared" si="4"/>
        <v>0</v>
      </c>
      <c r="G51" s="1435"/>
      <c r="H51" s="1435"/>
      <c r="I51" s="1436">
        <f t="shared" si="5"/>
        <v>0</v>
      </c>
      <c r="J51" s="181" t="s">
        <v>2707</v>
      </c>
      <c r="K51" s="1437"/>
    </row>
    <row r="52" spans="1:11" ht="15" customHeight="1" outlineLevel="1" x14ac:dyDescent="0.35">
      <c r="A52" s="1434" t="s">
        <v>2454</v>
      </c>
      <c r="B52" s="1404" t="s">
        <v>2708</v>
      </c>
      <c r="C52" s="1417" t="s">
        <v>2677</v>
      </c>
      <c r="D52" s="1435"/>
      <c r="E52" s="1435"/>
      <c r="F52" s="1436">
        <f t="shared" si="4"/>
        <v>0</v>
      </c>
      <c r="G52" s="1435"/>
      <c r="H52" s="1435"/>
      <c r="I52" s="1436">
        <f t="shared" si="5"/>
        <v>0</v>
      </c>
      <c r="J52" s="181" t="s">
        <v>2709</v>
      </c>
      <c r="K52" s="1437"/>
    </row>
    <row r="53" spans="1:11" ht="15" customHeight="1" outlineLevel="1" x14ac:dyDescent="0.35">
      <c r="A53" s="1434" t="s">
        <v>2455</v>
      </c>
      <c r="B53" s="1404" t="s">
        <v>2710</v>
      </c>
      <c r="C53" s="1417" t="s">
        <v>2677</v>
      </c>
      <c r="D53" s="1435"/>
      <c r="E53" s="1435"/>
      <c r="F53" s="1436">
        <f t="shared" si="4"/>
        <v>0</v>
      </c>
      <c r="G53" s="1435"/>
      <c r="H53" s="1435"/>
      <c r="I53" s="1436">
        <f t="shared" si="5"/>
        <v>0</v>
      </c>
      <c r="J53" s="181" t="s">
        <v>2711</v>
      </c>
      <c r="K53" s="1437"/>
    </row>
    <row r="54" spans="1:11" ht="14.15" customHeight="1" outlineLevel="1" x14ac:dyDescent="0.35">
      <c r="A54" s="1434" t="s">
        <v>168</v>
      </c>
      <c r="B54" s="1404" t="s">
        <v>2712</v>
      </c>
      <c r="C54" s="1417" t="s">
        <v>2677</v>
      </c>
      <c r="D54" s="1435"/>
      <c r="E54" s="1435"/>
      <c r="F54" s="1436">
        <f t="shared" si="4"/>
        <v>0</v>
      </c>
      <c r="G54" s="1435"/>
      <c r="H54" s="1435"/>
      <c r="I54" s="1436">
        <f t="shared" si="5"/>
        <v>0</v>
      </c>
      <c r="J54" s="181" t="s">
        <v>2713</v>
      </c>
      <c r="K54" s="1437"/>
    </row>
    <row r="55" spans="1:11" ht="14.15" customHeight="1" outlineLevel="1" x14ac:dyDescent="0.35">
      <c r="A55" s="1434" t="s">
        <v>171</v>
      </c>
      <c r="B55" s="1404" t="s">
        <v>2714</v>
      </c>
      <c r="C55" s="1417" t="s">
        <v>2677</v>
      </c>
      <c r="D55" s="1435"/>
      <c r="E55" s="1435"/>
      <c r="F55" s="1436">
        <f t="shared" si="4"/>
        <v>0</v>
      </c>
      <c r="G55" s="1435"/>
      <c r="H55" s="1435"/>
      <c r="I55" s="1436">
        <f t="shared" si="5"/>
        <v>0</v>
      </c>
      <c r="J55" s="181" t="s">
        <v>2715</v>
      </c>
      <c r="K55" s="1437"/>
    </row>
    <row r="56" spans="1:11" ht="14.15" customHeight="1" outlineLevel="1" collapsed="1" x14ac:dyDescent="0.35">
      <c r="A56" s="1434" t="s">
        <v>173</v>
      </c>
      <c r="B56" s="1404" t="s">
        <v>2716</v>
      </c>
      <c r="C56" s="1417" t="s">
        <v>2677</v>
      </c>
      <c r="D56" s="1435"/>
      <c r="E56" s="1435"/>
      <c r="F56" s="1436">
        <f t="shared" si="4"/>
        <v>0</v>
      </c>
      <c r="G56" s="1435"/>
      <c r="H56" s="1435"/>
      <c r="I56" s="1436">
        <f t="shared" si="5"/>
        <v>0</v>
      </c>
      <c r="J56" s="181" t="s">
        <v>2717</v>
      </c>
      <c r="K56" s="1437"/>
    </row>
    <row r="57" spans="1:11" ht="14.15" customHeight="1" outlineLevel="1" x14ac:dyDescent="0.35">
      <c r="A57" s="1434" t="s">
        <v>2456</v>
      </c>
      <c r="B57" s="1404" t="s">
        <v>2718</v>
      </c>
      <c r="C57" s="1417" t="s">
        <v>2677</v>
      </c>
      <c r="D57" s="1435"/>
      <c r="E57" s="1435"/>
      <c r="F57" s="1436">
        <f t="shared" si="4"/>
        <v>0</v>
      </c>
      <c r="G57" s="1435"/>
      <c r="H57" s="1435"/>
      <c r="I57" s="1436">
        <f t="shared" si="5"/>
        <v>0</v>
      </c>
      <c r="J57" s="181" t="s">
        <v>2719</v>
      </c>
      <c r="K57" s="1437"/>
    </row>
    <row r="58" spans="1:11" ht="14.15" customHeight="1" outlineLevel="1" x14ac:dyDescent="0.35">
      <c r="A58" s="1434" t="s">
        <v>2457</v>
      </c>
      <c r="B58" s="1404" t="s">
        <v>2720</v>
      </c>
      <c r="C58" s="1417" t="s">
        <v>2721</v>
      </c>
      <c r="D58" s="1435"/>
      <c r="E58" s="1435"/>
      <c r="F58" s="1436">
        <f t="shared" si="4"/>
        <v>0</v>
      </c>
      <c r="G58" s="1435"/>
      <c r="H58" s="1435"/>
      <c r="I58" s="1436">
        <f t="shared" si="5"/>
        <v>0</v>
      </c>
      <c r="J58" s="181" t="s">
        <v>2722</v>
      </c>
      <c r="K58" s="1437"/>
    </row>
    <row r="59" spans="1:11" ht="14.15" customHeight="1" outlineLevel="1" x14ac:dyDescent="0.35">
      <c r="A59" s="1434" t="s">
        <v>2458</v>
      </c>
      <c r="B59" s="1404" t="s">
        <v>2723</v>
      </c>
      <c r="C59" s="1417" t="s">
        <v>2721</v>
      </c>
      <c r="D59" s="1435"/>
      <c r="E59" s="1435"/>
      <c r="F59" s="1436">
        <f t="shared" si="4"/>
        <v>0</v>
      </c>
      <c r="G59" s="1435"/>
      <c r="H59" s="1435"/>
      <c r="I59" s="1436">
        <f t="shared" si="5"/>
        <v>0</v>
      </c>
      <c r="J59" s="181" t="s">
        <v>2724</v>
      </c>
      <c r="K59" s="1437"/>
    </row>
    <row r="60" spans="1:11" ht="14.15" customHeight="1" outlineLevel="1" x14ac:dyDescent="0.35">
      <c r="A60" s="1434" t="s">
        <v>2459</v>
      </c>
      <c r="B60" s="1404" t="s">
        <v>2725</v>
      </c>
      <c r="C60" s="1417" t="s">
        <v>2721</v>
      </c>
      <c r="D60" s="1435"/>
      <c r="E60" s="1435"/>
      <c r="F60" s="1436">
        <f t="shared" si="4"/>
        <v>0</v>
      </c>
      <c r="G60" s="1435"/>
      <c r="H60" s="1435"/>
      <c r="I60" s="1436">
        <f t="shared" si="5"/>
        <v>0</v>
      </c>
      <c r="J60" s="181" t="s">
        <v>2726</v>
      </c>
      <c r="K60" s="1437"/>
    </row>
    <row r="61" spans="1:11" ht="14.15" customHeight="1" outlineLevel="1" x14ac:dyDescent="0.35">
      <c r="A61" s="1434" t="s">
        <v>2460</v>
      </c>
      <c r="B61" s="1404" t="s">
        <v>2727</v>
      </c>
      <c r="C61" s="1417" t="s">
        <v>2721</v>
      </c>
      <c r="D61" s="1435"/>
      <c r="E61" s="1435"/>
      <c r="F61" s="1436">
        <f t="shared" si="4"/>
        <v>0</v>
      </c>
      <c r="G61" s="1435"/>
      <c r="H61" s="1435"/>
      <c r="I61" s="1436">
        <f t="shared" si="5"/>
        <v>0</v>
      </c>
      <c r="J61" s="181" t="s">
        <v>2728</v>
      </c>
      <c r="K61" s="1437"/>
    </row>
    <row r="62" spans="1:11" ht="14.15" customHeight="1" outlineLevel="1" x14ac:dyDescent="0.35">
      <c r="A62" s="1434" t="s">
        <v>2461</v>
      </c>
      <c r="B62" s="1404" t="s">
        <v>2729</v>
      </c>
      <c r="C62" s="1417" t="s">
        <v>2721</v>
      </c>
      <c r="D62" s="1435"/>
      <c r="E62" s="1435"/>
      <c r="F62" s="1436">
        <f t="shared" si="4"/>
        <v>0</v>
      </c>
      <c r="G62" s="1435"/>
      <c r="H62" s="1435"/>
      <c r="I62" s="1436">
        <f t="shared" si="5"/>
        <v>0</v>
      </c>
      <c r="J62" s="181" t="s">
        <v>2730</v>
      </c>
      <c r="K62" s="1437"/>
    </row>
    <row r="63" spans="1:11" ht="14.15" customHeight="1" outlineLevel="1" x14ac:dyDescent="0.35">
      <c r="A63" s="1434" t="s">
        <v>2462</v>
      </c>
      <c r="B63" s="1404" t="s">
        <v>2731</v>
      </c>
      <c r="C63" s="1417" t="s">
        <v>2721</v>
      </c>
      <c r="D63" s="1435"/>
      <c r="E63" s="1435"/>
      <c r="F63" s="1436">
        <f t="shared" si="4"/>
        <v>0</v>
      </c>
      <c r="G63" s="1435"/>
      <c r="H63" s="1435"/>
      <c r="I63" s="1436">
        <f t="shared" si="5"/>
        <v>0</v>
      </c>
      <c r="J63" s="181" t="s">
        <v>2732</v>
      </c>
      <c r="K63" s="1437"/>
    </row>
    <row r="64" spans="1:11" ht="14.15" customHeight="1" outlineLevel="1" x14ac:dyDescent="0.35">
      <c r="A64" s="1434" t="s">
        <v>2463</v>
      </c>
      <c r="B64" s="1404" t="s">
        <v>2733</v>
      </c>
      <c r="C64" s="1417" t="s">
        <v>2721</v>
      </c>
      <c r="D64" s="1435"/>
      <c r="E64" s="1435"/>
      <c r="F64" s="1436">
        <f t="shared" si="4"/>
        <v>0</v>
      </c>
      <c r="G64" s="1435"/>
      <c r="H64" s="1435"/>
      <c r="I64" s="1436">
        <f t="shared" si="5"/>
        <v>0</v>
      </c>
      <c r="J64" s="181" t="s">
        <v>2734</v>
      </c>
      <c r="K64" s="1437"/>
    </row>
    <row r="65" spans="1:11" ht="14.15" customHeight="1" outlineLevel="1" x14ac:dyDescent="0.35">
      <c r="A65" s="1434" t="s">
        <v>2464</v>
      </c>
      <c r="B65" s="1404" t="s">
        <v>2735</v>
      </c>
      <c r="C65" s="1417" t="s">
        <v>2661</v>
      </c>
      <c r="D65" s="1435"/>
      <c r="E65" s="1435"/>
      <c r="F65" s="1436">
        <f t="shared" si="4"/>
        <v>0</v>
      </c>
      <c r="G65" s="1435"/>
      <c r="H65" s="1435"/>
      <c r="I65" s="1436">
        <f t="shared" si="5"/>
        <v>0</v>
      </c>
      <c r="J65" s="181" t="s">
        <v>2736</v>
      </c>
      <c r="K65" s="1437"/>
    </row>
    <row r="66" spans="1:11" ht="14.15" customHeight="1" outlineLevel="1" x14ac:dyDescent="0.35">
      <c r="A66" s="1434" t="s">
        <v>2465</v>
      </c>
      <c r="B66" s="1404" t="s">
        <v>2737</v>
      </c>
      <c r="C66" s="1417" t="s">
        <v>2721</v>
      </c>
      <c r="D66" s="1435"/>
      <c r="E66" s="1435"/>
      <c r="F66" s="1436">
        <f t="shared" si="4"/>
        <v>0</v>
      </c>
      <c r="G66" s="1435"/>
      <c r="H66" s="1435"/>
      <c r="I66" s="1436">
        <f t="shared" si="5"/>
        <v>0</v>
      </c>
      <c r="J66" s="181" t="s">
        <v>2738</v>
      </c>
      <c r="K66" s="1437"/>
    </row>
    <row r="67" spans="1:11" ht="14.15" customHeight="1" outlineLevel="1" x14ac:dyDescent="0.35">
      <c r="A67" s="1434" t="s">
        <v>2466</v>
      </c>
      <c r="B67" s="1404" t="s">
        <v>2739</v>
      </c>
      <c r="C67" s="1417" t="s">
        <v>2672</v>
      </c>
      <c r="D67" s="1435"/>
      <c r="E67" s="1435"/>
      <c r="F67" s="1436">
        <f t="shared" si="4"/>
        <v>0</v>
      </c>
      <c r="G67" s="1435"/>
      <c r="H67" s="1435"/>
      <c r="I67" s="1436">
        <f t="shared" si="5"/>
        <v>0</v>
      </c>
      <c r="J67" s="181" t="s">
        <v>2740</v>
      </c>
      <c r="K67" s="1437"/>
    </row>
    <row r="68" spans="1:11" ht="14.15" customHeight="1" outlineLevel="1" x14ac:dyDescent="0.35">
      <c r="A68" s="1434" t="s">
        <v>2467</v>
      </c>
      <c r="B68" s="1404" t="s">
        <v>2741</v>
      </c>
      <c r="C68" s="1417" t="s">
        <v>2672</v>
      </c>
      <c r="D68" s="1435"/>
      <c r="E68" s="1435"/>
      <c r="F68" s="1436">
        <f t="shared" si="4"/>
        <v>0</v>
      </c>
      <c r="G68" s="1435"/>
      <c r="H68" s="1435"/>
      <c r="I68" s="1436">
        <f t="shared" si="5"/>
        <v>0</v>
      </c>
      <c r="J68" s="181" t="s">
        <v>2742</v>
      </c>
      <c r="K68" s="1437"/>
    </row>
    <row r="69" spans="1:11" ht="14.15" customHeight="1" outlineLevel="1" x14ac:dyDescent="0.35">
      <c r="A69" s="1434" t="s">
        <v>2468</v>
      </c>
      <c r="B69" s="1404" t="s">
        <v>2743</v>
      </c>
      <c r="C69" s="1417" t="s">
        <v>2672</v>
      </c>
      <c r="D69" s="1435"/>
      <c r="E69" s="1435"/>
      <c r="F69" s="1436">
        <f t="shared" si="4"/>
        <v>0</v>
      </c>
      <c r="G69" s="1435"/>
      <c r="H69" s="1435"/>
      <c r="I69" s="1436">
        <f t="shared" si="5"/>
        <v>0</v>
      </c>
      <c r="J69" s="181" t="s">
        <v>2744</v>
      </c>
      <c r="K69" s="1437"/>
    </row>
    <row r="70" spans="1:11" ht="14.15" customHeight="1" outlineLevel="1" x14ac:dyDescent="0.35">
      <c r="A70" s="1434" t="s">
        <v>2469</v>
      </c>
      <c r="B70" s="1404" t="s">
        <v>2745</v>
      </c>
      <c r="C70" s="1417" t="s">
        <v>2672</v>
      </c>
      <c r="D70" s="1435"/>
      <c r="E70" s="1435"/>
      <c r="F70" s="1436">
        <f t="shared" si="4"/>
        <v>0</v>
      </c>
      <c r="G70" s="1435"/>
      <c r="H70" s="1435"/>
      <c r="I70" s="1436">
        <f t="shared" si="5"/>
        <v>0</v>
      </c>
      <c r="J70" s="181" t="s">
        <v>2746</v>
      </c>
      <c r="K70" s="1437"/>
    </row>
    <row r="71" spans="1:11" ht="14.15" customHeight="1" outlineLevel="1" x14ac:dyDescent="0.35">
      <c r="A71" s="1434" t="s">
        <v>2470</v>
      </c>
      <c r="B71" s="1404" t="s">
        <v>2747</v>
      </c>
      <c r="C71" s="1417" t="s">
        <v>2672</v>
      </c>
      <c r="D71" s="1435"/>
      <c r="E71" s="1435"/>
      <c r="F71" s="1436">
        <f t="shared" si="4"/>
        <v>0</v>
      </c>
      <c r="G71" s="1435"/>
      <c r="H71" s="1435"/>
      <c r="I71" s="1436">
        <f t="shared" si="5"/>
        <v>0</v>
      </c>
      <c r="J71" s="181" t="s">
        <v>2748</v>
      </c>
      <c r="K71" s="1437"/>
    </row>
    <row r="72" spans="1:11" ht="14.15" customHeight="1" outlineLevel="1" x14ac:dyDescent="0.35">
      <c r="A72" s="1434" t="s">
        <v>2471</v>
      </c>
      <c r="B72" s="1404" t="s">
        <v>2749</v>
      </c>
      <c r="C72" s="1417" t="s">
        <v>2721</v>
      </c>
      <c r="D72" s="1435"/>
      <c r="E72" s="1435"/>
      <c r="F72" s="1436">
        <f t="shared" si="4"/>
        <v>0</v>
      </c>
      <c r="G72" s="1435"/>
      <c r="H72" s="1435"/>
      <c r="I72" s="1436">
        <f t="shared" si="5"/>
        <v>0</v>
      </c>
      <c r="J72" s="181" t="s">
        <v>2750</v>
      </c>
      <c r="K72" s="1437"/>
    </row>
    <row r="73" spans="1:11" ht="14.15" customHeight="1" outlineLevel="1" x14ac:dyDescent="0.35">
      <c r="A73" s="1434" t="s">
        <v>2472</v>
      </c>
      <c r="B73" s="1404" t="s">
        <v>2751</v>
      </c>
      <c r="C73" s="1417" t="s">
        <v>2721</v>
      </c>
      <c r="D73" s="1435"/>
      <c r="E73" s="1435"/>
      <c r="F73" s="1436">
        <f t="shared" si="4"/>
        <v>0</v>
      </c>
      <c r="G73" s="1435"/>
      <c r="H73" s="1435"/>
      <c r="I73" s="1436">
        <f t="shared" si="5"/>
        <v>0</v>
      </c>
      <c r="J73" s="181" t="s">
        <v>2752</v>
      </c>
      <c r="K73" s="1437"/>
    </row>
    <row r="74" spans="1:11" ht="14.15" customHeight="1" outlineLevel="1" x14ac:dyDescent="0.35">
      <c r="A74" s="1434" t="s">
        <v>2473</v>
      </c>
      <c r="B74" s="1404" t="s">
        <v>2753</v>
      </c>
      <c r="C74" s="1417" t="s">
        <v>2721</v>
      </c>
      <c r="D74" s="1435"/>
      <c r="E74" s="1435"/>
      <c r="F74" s="1436">
        <f t="shared" si="4"/>
        <v>0</v>
      </c>
      <c r="G74" s="1435"/>
      <c r="H74" s="1435"/>
      <c r="I74" s="1436">
        <f t="shared" si="5"/>
        <v>0</v>
      </c>
      <c r="J74" s="181" t="s">
        <v>2754</v>
      </c>
      <c r="K74" s="1437"/>
    </row>
    <row r="75" spans="1:11" ht="14.15" customHeight="1" outlineLevel="1" x14ac:dyDescent="0.35">
      <c r="A75" s="1434" t="s">
        <v>2474</v>
      </c>
      <c r="B75" s="1404" t="s">
        <v>2755</v>
      </c>
      <c r="C75" s="1417" t="s">
        <v>2721</v>
      </c>
      <c r="D75" s="1435"/>
      <c r="E75" s="1435"/>
      <c r="F75" s="1436">
        <f t="shared" si="4"/>
        <v>0</v>
      </c>
      <c r="G75" s="1435"/>
      <c r="H75" s="1435"/>
      <c r="I75" s="1436">
        <f t="shared" si="5"/>
        <v>0</v>
      </c>
      <c r="J75" s="181" t="s">
        <v>2756</v>
      </c>
      <c r="K75" s="1437"/>
    </row>
    <row r="76" spans="1:11" ht="14.15" customHeight="1" outlineLevel="1" x14ac:dyDescent="0.35">
      <c r="A76" s="1434" t="s">
        <v>2475</v>
      </c>
      <c r="B76" s="1404" t="s">
        <v>2757</v>
      </c>
      <c r="C76" s="1417" t="s">
        <v>2721</v>
      </c>
      <c r="D76" s="1435"/>
      <c r="E76" s="1435"/>
      <c r="F76" s="1436">
        <f t="shared" si="4"/>
        <v>0</v>
      </c>
      <c r="G76" s="1435"/>
      <c r="H76" s="1435"/>
      <c r="I76" s="1436">
        <f t="shared" si="5"/>
        <v>0</v>
      </c>
      <c r="J76" s="181" t="s">
        <v>2758</v>
      </c>
      <c r="K76" s="1437"/>
    </row>
    <row r="77" spans="1:11" ht="14.15" customHeight="1" outlineLevel="1" x14ac:dyDescent="0.35">
      <c r="A77" s="1434" t="s">
        <v>2476</v>
      </c>
      <c r="B77" s="1404" t="s">
        <v>2759</v>
      </c>
      <c r="C77" s="1417" t="s">
        <v>2721</v>
      </c>
      <c r="D77" s="1435"/>
      <c r="E77" s="1435"/>
      <c r="F77" s="1436">
        <f t="shared" si="4"/>
        <v>0</v>
      </c>
      <c r="G77" s="1435"/>
      <c r="H77" s="1435"/>
      <c r="I77" s="1436">
        <f t="shared" si="5"/>
        <v>0</v>
      </c>
      <c r="J77" s="181" t="s">
        <v>2760</v>
      </c>
      <c r="K77" s="1437"/>
    </row>
    <row r="78" spans="1:11" ht="14.15" customHeight="1" outlineLevel="1" x14ac:dyDescent="0.35">
      <c r="A78" s="1434" t="s">
        <v>2477</v>
      </c>
      <c r="B78" s="1404" t="s">
        <v>2761</v>
      </c>
      <c r="C78" s="1417" t="s">
        <v>2721</v>
      </c>
      <c r="D78" s="1435"/>
      <c r="E78" s="1435"/>
      <c r="F78" s="1436">
        <f t="shared" si="4"/>
        <v>0</v>
      </c>
      <c r="G78" s="1435"/>
      <c r="H78" s="1435"/>
      <c r="I78" s="1436">
        <f t="shared" si="5"/>
        <v>0</v>
      </c>
      <c r="J78" s="181" t="s">
        <v>2762</v>
      </c>
      <c r="K78" s="1437"/>
    </row>
    <row r="79" spans="1:11" ht="14.15" customHeight="1" outlineLevel="1" x14ac:dyDescent="0.35">
      <c r="A79" s="1434" t="s">
        <v>2478</v>
      </c>
      <c r="B79" s="1404" t="s">
        <v>2763</v>
      </c>
      <c r="C79" s="1417" t="s">
        <v>2677</v>
      </c>
      <c r="D79" s="1435"/>
      <c r="E79" s="1435"/>
      <c r="F79" s="1436">
        <f t="shared" si="4"/>
        <v>0</v>
      </c>
      <c r="G79" s="1435"/>
      <c r="H79" s="1435"/>
      <c r="I79" s="1436">
        <f t="shared" si="5"/>
        <v>0</v>
      </c>
      <c r="J79" s="181" t="s">
        <v>2764</v>
      </c>
      <c r="K79" s="1437"/>
    </row>
    <row r="80" spans="1:11" ht="14.15" customHeight="1" outlineLevel="1" x14ac:dyDescent="0.35">
      <c r="A80" s="1434" t="s">
        <v>2479</v>
      </c>
      <c r="B80" s="1404" t="s">
        <v>2765</v>
      </c>
      <c r="C80" s="1417" t="s">
        <v>2677</v>
      </c>
      <c r="D80" s="1435"/>
      <c r="E80" s="1435"/>
      <c r="F80" s="1436">
        <f t="shared" si="4"/>
        <v>0</v>
      </c>
      <c r="G80" s="1435"/>
      <c r="H80" s="1435"/>
      <c r="I80" s="1436">
        <f t="shared" si="5"/>
        <v>0</v>
      </c>
      <c r="J80" s="181" t="s">
        <v>2766</v>
      </c>
      <c r="K80" s="1437"/>
    </row>
    <row r="81" spans="1:11" ht="14.15" customHeight="1" outlineLevel="1" x14ac:dyDescent="0.35">
      <c r="A81" s="1434" t="s">
        <v>2480</v>
      </c>
      <c r="B81" s="1404" t="s">
        <v>2767</v>
      </c>
      <c r="C81" s="1417" t="s">
        <v>2677</v>
      </c>
      <c r="D81" s="1435"/>
      <c r="E81" s="1435"/>
      <c r="F81" s="1436">
        <f t="shared" si="4"/>
        <v>0</v>
      </c>
      <c r="G81" s="1435"/>
      <c r="H81" s="1435"/>
      <c r="I81" s="1436">
        <f t="shared" si="5"/>
        <v>0</v>
      </c>
      <c r="J81" s="181" t="s">
        <v>2768</v>
      </c>
      <c r="K81" s="1437"/>
    </row>
    <row r="82" spans="1:11" ht="14.15" customHeight="1" outlineLevel="1" x14ac:dyDescent="0.35">
      <c r="A82" s="1434" t="s">
        <v>2481</v>
      </c>
      <c r="B82" s="1404" t="s">
        <v>2769</v>
      </c>
      <c r="C82" s="1417" t="s">
        <v>2677</v>
      </c>
      <c r="D82" s="1435"/>
      <c r="E82" s="1435"/>
      <c r="F82" s="1436">
        <f t="shared" si="4"/>
        <v>0</v>
      </c>
      <c r="G82" s="1435"/>
      <c r="H82" s="1435"/>
      <c r="I82" s="1436">
        <f t="shared" si="5"/>
        <v>0</v>
      </c>
      <c r="J82" s="181" t="s">
        <v>2770</v>
      </c>
      <c r="K82" s="1437"/>
    </row>
    <row r="83" spans="1:11" ht="14.15" customHeight="1" outlineLevel="1" x14ac:dyDescent="0.35">
      <c r="A83" s="1434" t="s">
        <v>2482</v>
      </c>
      <c r="B83" s="1404" t="s">
        <v>2771</v>
      </c>
      <c r="C83" s="1417" t="s">
        <v>2677</v>
      </c>
      <c r="D83" s="1435"/>
      <c r="E83" s="1435"/>
      <c r="F83" s="1436">
        <f t="shared" si="4"/>
        <v>0</v>
      </c>
      <c r="G83" s="1435"/>
      <c r="H83" s="1435"/>
      <c r="I83" s="1436">
        <f t="shared" si="5"/>
        <v>0</v>
      </c>
      <c r="J83" s="181" t="s">
        <v>2772</v>
      </c>
      <c r="K83" s="1437"/>
    </row>
    <row r="84" spans="1:11" ht="14.15" customHeight="1" outlineLevel="1" x14ac:dyDescent="0.35">
      <c r="A84" s="1434" t="s">
        <v>2483</v>
      </c>
      <c r="B84" s="1404" t="s">
        <v>2773</v>
      </c>
      <c r="C84" s="1417" t="s">
        <v>2677</v>
      </c>
      <c r="D84" s="1435"/>
      <c r="E84" s="1435"/>
      <c r="F84" s="1436">
        <f t="shared" si="4"/>
        <v>0</v>
      </c>
      <c r="G84" s="1435"/>
      <c r="H84" s="1435"/>
      <c r="I84" s="1436">
        <f t="shared" si="5"/>
        <v>0</v>
      </c>
      <c r="J84" s="181" t="s">
        <v>2774</v>
      </c>
      <c r="K84" s="1437"/>
    </row>
    <row r="85" spans="1:11" ht="14.15" customHeight="1" outlineLevel="1" x14ac:dyDescent="0.35">
      <c r="A85" s="1434" t="s">
        <v>2484</v>
      </c>
      <c r="B85" s="1404" t="s">
        <v>2775</v>
      </c>
      <c r="C85" s="1417" t="s">
        <v>2677</v>
      </c>
      <c r="D85" s="1435"/>
      <c r="E85" s="1435"/>
      <c r="F85" s="1436">
        <f t="shared" si="4"/>
        <v>0</v>
      </c>
      <c r="G85" s="1435"/>
      <c r="H85" s="1435"/>
      <c r="I85" s="1436">
        <f t="shared" si="5"/>
        <v>0</v>
      </c>
      <c r="J85" s="181" t="s">
        <v>2776</v>
      </c>
      <c r="K85" s="1437"/>
    </row>
    <row r="86" spans="1:11" ht="14.15" customHeight="1" outlineLevel="1" x14ac:dyDescent="0.35">
      <c r="A86" s="1434" t="s">
        <v>85</v>
      </c>
      <c r="B86" s="1404" t="s">
        <v>2777</v>
      </c>
      <c r="C86" s="1417" t="s">
        <v>2677</v>
      </c>
      <c r="D86" s="1435"/>
      <c r="E86" s="1435"/>
      <c r="F86" s="1436">
        <f t="shared" si="4"/>
        <v>0</v>
      </c>
      <c r="G86" s="1435"/>
      <c r="H86" s="1435"/>
      <c r="I86" s="1436">
        <f t="shared" si="5"/>
        <v>0</v>
      </c>
      <c r="J86" s="181" t="s">
        <v>2778</v>
      </c>
      <c r="K86" s="1437"/>
    </row>
    <row r="87" spans="1:11" ht="14.15" customHeight="1" outlineLevel="1" x14ac:dyDescent="0.35">
      <c r="A87" s="1434" t="s">
        <v>89</v>
      </c>
      <c r="B87" s="1404" t="s">
        <v>2779</v>
      </c>
      <c r="C87" s="1417" t="s">
        <v>2677</v>
      </c>
      <c r="D87" s="1435"/>
      <c r="E87" s="1435"/>
      <c r="F87" s="1436">
        <f t="shared" si="4"/>
        <v>0</v>
      </c>
      <c r="G87" s="1435"/>
      <c r="H87" s="1435"/>
      <c r="I87" s="1436">
        <f t="shared" si="5"/>
        <v>0</v>
      </c>
      <c r="J87" s="181" t="s">
        <v>2780</v>
      </c>
      <c r="K87" s="1437"/>
    </row>
    <row r="88" spans="1:11" ht="14.15" customHeight="1" outlineLevel="1" x14ac:dyDescent="0.35">
      <c r="A88" s="1434" t="s">
        <v>93</v>
      </c>
      <c r="B88" s="1404" t="s">
        <v>2781</v>
      </c>
      <c r="C88" s="1417" t="s">
        <v>2677</v>
      </c>
      <c r="D88" s="1435"/>
      <c r="E88" s="1435"/>
      <c r="F88" s="1436">
        <f t="shared" si="4"/>
        <v>0</v>
      </c>
      <c r="G88" s="1435"/>
      <c r="H88" s="1435"/>
      <c r="I88" s="1436">
        <f t="shared" si="5"/>
        <v>0</v>
      </c>
      <c r="J88" s="181" t="s">
        <v>2782</v>
      </c>
      <c r="K88" s="1437"/>
    </row>
    <row r="89" spans="1:11" ht="14.15" customHeight="1" outlineLevel="1" x14ac:dyDescent="0.35">
      <c r="A89" s="1434" t="s">
        <v>98</v>
      </c>
      <c r="B89" s="1404" t="s">
        <v>2783</v>
      </c>
      <c r="C89" s="1417" t="s">
        <v>2677</v>
      </c>
      <c r="D89" s="1435"/>
      <c r="E89" s="1435"/>
      <c r="F89" s="1436">
        <f t="shared" si="4"/>
        <v>0</v>
      </c>
      <c r="G89" s="1435"/>
      <c r="H89" s="1435"/>
      <c r="I89" s="1436">
        <f t="shared" si="5"/>
        <v>0</v>
      </c>
      <c r="J89" s="181" t="s">
        <v>2784</v>
      </c>
      <c r="K89" s="1437"/>
    </row>
    <row r="90" spans="1:11" ht="14.15" customHeight="1" outlineLevel="1" x14ac:dyDescent="0.35">
      <c r="A90" s="1434" t="s">
        <v>104</v>
      </c>
      <c r="B90" s="1404" t="s">
        <v>2785</v>
      </c>
      <c r="C90" s="1417" t="s">
        <v>2677</v>
      </c>
      <c r="D90" s="1435"/>
      <c r="E90" s="1435"/>
      <c r="F90" s="1436">
        <f t="shared" si="4"/>
        <v>0</v>
      </c>
      <c r="G90" s="1435"/>
      <c r="H90" s="1435"/>
      <c r="I90" s="1436">
        <f t="shared" si="5"/>
        <v>0</v>
      </c>
      <c r="J90" s="181" t="s">
        <v>2786</v>
      </c>
      <c r="K90" s="1437"/>
    </row>
    <row r="91" spans="1:11" ht="14.15" customHeight="1" outlineLevel="1" x14ac:dyDescent="0.35">
      <c r="A91" s="1434" t="s">
        <v>2486</v>
      </c>
      <c r="B91" s="1404" t="s">
        <v>2787</v>
      </c>
      <c r="C91" s="1417" t="s">
        <v>2677</v>
      </c>
      <c r="D91" s="1435"/>
      <c r="E91" s="1435"/>
      <c r="F91" s="1436">
        <f t="shared" si="4"/>
        <v>0</v>
      </c>
      <c r="G91" s="1435"/>
      <c r="H91" s="1435"/>
      <c r="I91" s="1436">
        <f t="shared" si="5"/>
        <v>0</v>
      </c>
      <c r="J91" s="181" t="s">
        <v>2788</v>
      </c>
      <c r="K91" s="1437"/>
    </row>
    <row r="92" spans="1:11" ht="14.15" customHeight="1" outlineLevel="1" x14ac:dyDescent="0.35">
      <c r="A92" s="1434" t="s">
        <v>2487</v>
      </c>
      <c r="B92" s="1404" t="s">
        <v>2789</v>
      </c>
      <c r="C92" s="1417" t="s">
        <v>2677</v>
      </c>
      <c r="D92" s="1435"/>
      <c r="E92" s="1435"/>
      <c r="F92" s="1436">
        <f t="shared" si="4"/>
        <v>0</v>
      </c>
      <c r="G92" s="1435"/>
      <c r="H92" s="1435"/>
      <c r="I92" s="1436">
        <f t="shared" si="5"/>
        <v>0</v>
      </c>
      <c r="J92" s="181" t="s">
        <v>2790</v>
      </c>
      <c r="K92" s="1437"/>
    </row>
    <row r="93" spans="1:11" ht="14.15" customHeight="1" outlineLevel="1" x14ac:dyDescent="0.35">
      <c r="A93" s="1434" t="s">
        <v>120</v>
      </c>
      <c r="B93" s="1404" t="s">
        <v>2791</v>
      </c>
      <c r="C93" s="1417" t="s">
        <v>2677</v>
      </c>
      <c r="D93" s="1435"/>
      <c r="E93" s="1435"/>
      <c r="F93" s="1436">
        <f t="shared" si="4"/>
        <v>0</v>
      </c>
      <c r="G93" s="1435"/>
      <c r="H93" s="1435"/>
      <c r="I93" s="1436">
        <f t="shared" si="5"/>
        <v>0</v>
      </c>
      <c r="J93" s="181" t="s">
        <v>2792</v>
      </c>
      <c r="K93" s="1437"/>
    </row>
    <row r="94" spans="1:11" ht="14.15" customHeight="1" outlineLevel="1" x14ac:dyDescent="0.35">
      <c r="A94" s="1434" t="s">
        <v>127</v>
      </c>
      <c r="B94" s="1404" t="s">
        <v>2793</v>
      </c>
      <c r="C94" s="1417" t="s">
        <v>2677</v>
      </c>
      <c r="D94" s="1435"/>
      <c r="E94" s="1435"/>
      <c r="F94" s="1436">
        <f t="shared" si="4"/>
        <v>0</v>
      </c>
      <c r="G94" s="1435"/>
      <c r="H94" s="1435"/>
      <c r="I94" s="1436">
        <f t="shared" si="5"/>
        <v>0</v>
      </c>
      <c r="J94" s="181" t="s">
        <v>2794</v>
      </c>
      <c r="K94" s="1437"/>
    </row>
    <row r="95" spans="1:11" ht="14.15" customHeight="1" outlineLevel="1" x14ac:dyDescent="0.35">
      <c r="A95" s="1434" t="s">
        <v>2488</v>
      </c>
      <c r="B95" s="1404" t="s">
        <v>2795</v>
      </c>
      <c r="C95" s="1417" t="s">
        <v>2677</v>
      </c>
      <c r="D95" s="1435"/>
      <c r="E95" s="1435"/>
      <c r="F95" s="1436">
        <f t="shared" si="4"/>
        <v>0</v>
      </c>
      <c r="G95" s="1435"/>
      <c r="H95" s="1435"/>
      <c r="I95" s="1436">
        <f t="shared" si="5"/>
        <v>0</v>
      </c>
      <c r="J95" s="181" t="s">
        <v>2796</v>
      </c>
      <c r="K95" s="1437"/>
    </row>
    <row r="96" spans="1:11" ht="14.15" customHeight="1" outlineLevel="1" x14ac:dyDescent="0.35">
      <c r="A96" s="1434" t="s">
        <v>2489</v>
      </c>
      <c r="B96" s="1404" t="s">
        <v>2797</v>
      </c>
      <c r="C96" s="1417" t="s">
        <v>2677</v>
      </c>
      <c r="D96" s="1435"/>
      <c r="E96" s="1435"/>
      <c r="F96" s="1436">
        <f t="shared" si="4"/>
        <v>0</v>
      </c>
      <c r="G96" s="1435"/>
      <c r="H96" s="1435"/>
      <c r="I96" s="1436">
        <f t="shared" si="5"/>
        <v>0</v>
      </c>
      <c r="J96" s="181" t="s">
        <v>2798</v>
      </c>
      <c r="K96" s="1437"/>
    </row>
    <row r="97" spans="1:11" ht="14.15" customHeight="1" outlineLevel="1" x14ac:dyDescent="0.35">
      <c r="A97" s="1434" t="s">
        <v>2490</v>
      </c>
      <c r="B97" s="1404" t="s">
        <v>2799</v>
      </c>
      <c r="C97" s="1417" t="s">
        <v>2677</v>
      </c>
      <c r="D97" s="1435"/>
      <c r="E97" s="1435"/>
      <c r="F97" s="1436">
        <f t="shared" si="4"/>
        <v>0</v>
      </c>
      <c r="G97" s="1435"/>
      <c r="H97" s="1435"/>
      <c r="I97" s="1436">
        <f t="shared" si="5"/>
        <v>0</v>
      </c>
      <c r="J97" s="181" t="s">
        <v>2800</v>
      </c>
      <c r="K97" s="1437"/>
    </row>
    <row r="98" spans="1:11" ht="14.15" customHeight="1" outlineLevel="1" x14ac:dyDescent="0.35">
      <c r="A98" s="1434" t="s">
        <v>2491</v>
      </c>
      <c r="B98" s="1404" t="s">
        <v>2801</v>
      </c>
      <c r="C98" s="1417" t="s">
        <v>2677</v>
      </c>
      <c r="D98" s="1435"/>
      <c r="E98" s="1435"/>
      <c r="F98" s="1436">
        <f t="shared" si="4"/>
        <v>0</v>
      </c>
      <c r="G98" s="1435"/>
      <c r="H98" s="1435"/>
      <c r="I98" s="1436">
        <f t="shared" si="5"/>
        <v>0</v>
      </c>
      <c r="J98" s="181" t="s">
        <v>2802</v>
      </c>
      <c r="K98" s="1437"/>
    </row>
    <row r="99" spans="1:11" ht="14.15" customHeight="1" outlineLevel="1" x14ac:dyDescent="0.35">
      <c r="A99" s="1434" t="s">
        <v>2492</v>
      </c>
      <c r="B99" s="1404" t="s">
        <v>2803</v>
      </c>
      <c r="C99" s="1417" t="s">
        <v>2677</v>
      </c>
      <c r="D99" s="1435"/>
      <c r="E99" s="1435"/>
      <c r="F99" s="1436">
        <f t="shared" si="4"/>
        <v>0</v>
      </c>
      <c r="G99" s="1435"/>
      <c r="H99" s="1435"/>
      <c r="I99" s="1436">
        <f t="shared" si="5"/>
        <v>0</v>
      </c>
      <c r="J99" s="181" t="s">
        <v>2804</v>
      </c>
      <c r="K99" s="1437"/>
    </row>
    <row r="100" spans="1:11" ht="14.15" customHeight="1" outlineLevel="1" x14ac:dyDescent="0.35">
      <c r="A100" s="1434" t="s">
        <v>138</v>
      </c>
      <c r="B100" s="1404" t="s">
        <v>2805</v>
      </c>
      <c r="C100" s="1417" t="s">
        <v>2677</v>
      </c>
      <c r="D100" s="1435"/>
      <c r="E100" s="1435"/>
      <c r="F100" s="1436">
        <f t="shared" si="4"/>
        <v>0</v>
      </c>
      <c r="G100" s="1435"/>
      <c r="H100" s="1435"/>
      <c r="I100" s="1436">
        <f t="shared" si="5"/>
        <v>0</v>
      </c>
      <c r="J100" s="181" t="s">
        <v>2806</v>
      </c>
      <c r="K100" s="1437"/>
    </row>
    <row r="101" spans="1:11" ht="14.15" customHeight="1" outlineLevel="1" x14ac:dyDescent="0.35">
      <c r="A101" s="1434" t="s">
        <v>143</v>
      </c>
      <c r="B101" s="1404" t="s">
        <v>2807</v>
      </c>
      <c r="C101" s="1417" t="s">
        <v>2677</v>
      </c>
      <c r="D101" s="1435"/>
      <c r="E101" s="1435"/>
      <c r="F101" s="1436">
        <f t="shared" ref="F101:F164" si="6">D101*E101</f>
        <v>0</v>
      </c>
      <c r="G101" s="1435"/>
      <c r="H101" s="1435"/>
      <c r="I101" s="1436">
        <f t="shared" ref="I101:I164" si="7">G101*H101</f>
        <v>0</v>
      </c>
      <c r="J101" s="181" t="s">
        <v>2808</v>
      </c>
      <c r="K101" s="1437"/>
    </row>
    <row r="102" spans="1:11" ht="14.15" customHeight="1" outlineLevel="1" x14ac:dyDescent="0.35">
      <c r="A102" s="1434" t="s">
        <v>2493</v>
      </c>
      <c r="B102" s="1404" t="s">
        <v>2809</v>
      </c>
      <c r="C102" s="1417" t="s">
        <v>2677</v>
      </c>
      <c r="D102" s="1435"/>
      <c r="E102" s="1435"/>
      <c r="F102" s="1436">
        <f t="shared" si="6"/>
        <v>0</v>
      </c>
      <c r="G102" s="1435"/>
      <c r="H102" s="1435"/>
      <c r="I102" s="1436">
        <f t="shared" si="7"/>
        <v>0</v>
      </c>
      <c r="J102" s="181" t="s">
        <v>2810</v>
      </c>
      <c r="K102" s="1437"/>
    </row>
    <row r="103" spans="1:11" ht="14.15" customHeight="1" outlineLevel="1" x14ac:dyDescent="0.35">
      <c r="A103" s="1434" t="s">
        <v>2494</v>
      </c>
      <c r="B103" s="1404" t="s">
        <v>2811</v>
      </c>
      <c r="C103" s="1417" t="s">
        <v>2677</v>
      </c>
      <c r="D103" s="1435"/>
      <c r="E103" s="1435"/>
      <c r="F103" s="1436">
        <f t="shared" si="6"/>
        <v>0</v>
      </c>
      <c r="G103" s="1435"/>
      <c r="H103" s="1435"/>
      <c r="I103" s="1436">
        <f t="shared" si="7"/>
        <v>0</v>
      </c>
      <c r="J103" s="181" t="s">
        <v>2812</v>
      </c>
      <c r="K103" s="1437"/>
    </row>
    <row r="104" spans="1:11" ht="14.15" customHeight="1" outlineLevel="1" x14ac:dyDescent="0.35">
      <c r="A104" s="1434" t="s">
        <v>153</v>
      </c>
      <c r="B104" s="1404" t="s">
        <v>2813</v>
      </c>
      <c r="C104" s="1417" t="s">
        <v>2677</v>
      </c>
      <c r="D104" s="1435"/>
      <c r="E104" s="1435"/>
      <c r="F104" s="1436">
        <f t="shared" si="6"/>
        <v>0</v>
      </c>
      <c r="G104" s="1435"/>
      <c r="H104" s="1435"/>
      <c r="I104" s="1436">
        <f t="shared" si="7"/>
        <v>0</v>
      </c>
      <c r="J104" s="181" t="s">
        <v>2814</v>
      </c>
      <c r="K104" s="1437"/>
    </row>
    <row r="105" spans="1:11" ht="14.15" customHeight="1" outlineLevel="1" x14ac:dyDescent="0.35">
      <c r="A105" s="1434" t="s">
        <v>2495</v>
      </c>
      <c r="B105" s="1404" t="s">
        <v>2815</v>
      </c>
      <c r="C105" s="1417" t="s">
        <v>2677</v>
      </c>
      <c r="D105" s="1435"/>
      <c r="E105" s="1435"/>
      <c r="F105" s="1436">
        <f t="shared" si="6"/>
        <v>0</v>
      </c>
      <c r="G105" s="1435"/>
      <c r="H105" s="1435"/>
      <c r="I105" s="1436">
        <f t="shared" si="7"/>
        <v>0</v>
      </c>
      <c r="J105" s="181" t="s">
        <v>2816</v>
      </c>
      <c r="K105" s="1437" t="s">
        <v>2817</v>
      </c>
    </row>
    <row r="106" spans="1:11" ht="14.15" customHeight="1" outlineLevel="1" x14ac:dyDescent="0.35">
      <c r="A106" s="1434" t="s">
        <v>158</v>
      </c>
      <c r="B106" s="1404" t="s">
        <v>2818</v>
      </c>
      <c r="C106" s="1417" t="s">
        <v>2677</v>
      </c>
      <c r="D106" s="1435"/>
      <c r="E106" s="1435"/>
      <c r="F106" s="1436">
        <f t="shared" si="6"/>
        <v>0</v>
      </c>
      <c r="G106" s="1435"/>
      <c r="H106" s="1435"/>
      <c r="I106" s="1436">
        <f t="shared" si="7"/>
        <v>0</v>
      </c>
      <c r="J106" s="181" t="s">
        <v>2819</v>
      </c>
      <c r="K106" s="1437"/>
    </row>
    <row r="107" spans="1:11" ht="14.15" customHeight="1" outlineLevel="1" x14ac:dyDescent="0.35">
      <c r="A107" s="1434" t="s">
        <v>163</v>
      </c>
      <c r="B107" s="1404" t="s">
        <v>2820</v>
      </c>
      <c r="C107" s="1417" t="s">
        <v>2677</v>
      </c>
      <c r="D107" s="1435"/>
      <c r="E107" s="1435"/>
      <c r="F107" s="1436">
        <f t="shared" si="6"/>
        <v>0</v>
      </c>
      <c r="G107" s="1435"/>
      <c r="H107" s="1435"/>
      <c r="I107" s="1436">
        <f t="shared" si="7"/>
        <v>0</v>
      </c>
      <c r="J107" s="181" t="s">
        <v>2821</v>
      </c>
      <c r="K107" s="1437"/>
    </row>
    <row r="108" spans="1:11" ht="14.15" customHeight="1" outlineLevel="1" x14ac:dyDescent="0.35">
      <c r="A108" s="1434" t="s">
        <v>2496</v>
      </c>
      <c r="B108" s="1404" t="s">
        <v>2822</v>
      </c>
      <c r="C108" s="1417" t="s">
        <v>2677</v>
      </c>
      <c r="D108" s="1435"/>
      <c r="E108" s="1435"/>
      <c r="F108" s="1436">
        <f t="shared" si="6"/>
        <v>0</v>
      </c>
      <c r="G108" s="1435"/>
      <c r="H108" s="1435"/>
      <c r="I108" s="1436">
        <f t="shared" si="7"/>
        <v>0</v>
      </c>
      <c r="J108" s="181" t="s">
        <v>2823</v>
      </c>
      <c r="K108" s="1437"/>
    </row>
    <row r="109" spans="1:11" ht="14.15" customHeight="1" outlineLevel="1" x14ac:dyDescent="0.35">
      <c r="A109" s="1434" t="s">
        <v>2497</v>
      </c>
      <c r="B109" s="1404" t="s">
        <v>2824</v>
      </c>
      <c r="C109" s="1417" t="s">
        <v>2721</v>
      </c>
      <c r="D109" s="1435"/>
      <c r="E109" s="1435"/>
      <c r="F109" s="1436">
        <f t="shared" si="6"/>
        <v>0</v>
      </c>
      <c r="G109" s="1435"/>
      <c r="H109" s="1435"/>
      <c r="I109" s="1436">
        <f t="shared" si="7"/>
        <v>0</v>
      </c>
      <c r="J109" s="181" t="s">
        <v>2825</v>
      </c>
      <c r="K109" s="1437"/>
    </row>
    <row r="110" spans="1:11" ht="14.15" customHeight="1" outlineLevel="1" x14ac:dyDescent="0.35">
      <c r="A110" s="1434" t="s">
        <v>2498</v>
      </c>
      <c r="B110" s="1404" t="s">
        <v>2826</v>
      </c>
      <c r="C110" s="1417" t="s">
        <v>2721</v>
      </c>
      <c r="D110" s="1435"/>
      <c r="E110" s="1435"/>
      <c r="F110" s="1436">
        <f t="shared" si="6"/>
        <v>0</v>
      </c>
      <c r="G110" s="1435"/>
      <c r="H110" s="1435"/>
      <c r="I110" s="1436">
        <f t="shared" si="7"/>
        <v>0</v>
      </c>
      <c r="J110" s="181" t="s">
        <v>2827</v>
      </c>
      <c r="K110" s="1437"/>
    </row>
    <row r="111" spans="1:11" ht="14.15" customHeight="1" outlineLevel="1" x14ac:dyDescent="0.35">
      <c r="A111" s="1434" t="s">
        <v>2499</v>
      </c>
      <c r="B111" s="1404" t="s">
        <v>2828</v>
      </c>
      <c r="C111" s="1417" t="s">
        <v>2721</v>
      </c>
      <c r="D111" s="1435"/>
      <c r="E111" s="1435"/>
      <c r="F111" s="1436">
        <f t="shared" si="6"/>
        <v>0</v>
      </c>
      <c r="G111" s="1435"/>
      <c r="H111" s="1435"/>
      <c r="I111" s="1436">
        <f t="shared" si="7"/>
        <v>0</v>
      </c>
      <c r="J111" s="181" t="s">
        <v>2829</v>
      </c>
      <c r="K111" s="1437"/>
    </row>
    <row r="112" spans="1:11" ht="14.15" customHeight="1" outlineLevel="1" x14ac:dyDescent="0.35">
      <c r="A112" s="1434" t="s">
        <v>2500</v>
      </c>
      <c r="B112" s="1404" t="s">
        <v>2830</v>
      </c>
      <c r="C112" s="1417" t="s">
        <v>2672</v>
      </c>
      <c r="D112" s="1435"/>
      <c r="E112" s="1435"/>
      <c r="F112" s="1436">
        <f t="shared" si="6"/>
        <v>0</v>
      </c>
      <c r="G112" s="1435"/>
      <c r="H112" s="1435"/>
      <c r="I112" s="1436">
        <f t="shared" si="7"/>
        <v>0</v>
      </c>
      <c r="J112" s="181" t="s">
        <v>2831</v>
      </c>
      <c r="K112" s="1437"/>
    </row>
    <row r="113" spans="1:11" ht="14.15" customHeight="1" outlineLevel="1" x14ac:dyDescent="0.35">
      <c r="A113" s="1434" t="s">
        <v>2501</v>
      </c>
      <c r="B113" s="1404" t="s">
        <v>2832</v>
      </c>
      <c r="C113" s="1417" t="s">
        <v>2672</v>
      </c>
      <c r="D113" s="1435"/>
      <c r="E113" s="1435"/>
      <c r="F113" s="1436">
        <f t="shared" si="6"/>
        <v>0</v>
      </c>
      <c r="G113" s="1435"/>
      <c r="H113" s="1435"/>
      <c r="I113" s="1436">
        <f t="shared" si="7"/>
        <v>0</v>
      </c>
      <c r="J113" s="181" t="s">
        <v>2833</v>
      </c>
      <c r="K113" s="1437"/>
    </row>
    <row r="114" spans="1:11" ht="14.15" customHeight="1" outlineLevel="1" x14ac:dyDescent="0.35">
      <c r="A114" s="1434" t="s">
        <v>2502</v>
      </c>
      <c r="B114" s="1404" t="s">
        <v>2834</v>
      </c>
      <c r="C114" s="1417" t="s">
        <v>2672</v>
      </c>
      <c r="D114" s="1435"/>
      <c r="E114" s="1435"/>
      <c r="F114" s="1436">
        <f t="shared" si="6"/>
        <v>0</v>
      </c>
      <c r="G114" s="1435"/>
      <c r="H114" s="1435"/>
      <c r="I114" s="1436">
        <f t="shared" si="7"/>
        <v>0</v>
      </c>
      <c r="J114" s="181" t="s">
        <v>2835</v>
      </c>
      <c r="K114" s="1437"/>
    </row>
    <row r="115" spans="1:11" ht="14.15" customHeight="1" outlineLevel="1" x14ac:dyDescent="0.35">
      <c r="A115" s="1434" t="s">
        <v>2503</v>
      </c>
      <c r="B115" s="1404" t="s">
        <v>2836</v>
      </c>
      <c r="C115" s="1417" t="s">
        <v>2672</v>
      </c>
      <c r="D115" s="1435"/>
      <c r="E115" s="1435"/>
      <c r="F115" s="1436">
        <f t="shared" si="6"/>
        <v>0</v>
      </c>
      <c r="G115" s="1435"/>
      <c r="H115" s="1435"/>
      <c r="I115" s="1436">
        <f t="shared" si="7"/>
        <v>0</v>
      </c>
      <c r="J115" s="181" t="s">
        <v>2837</v>
      </c>
      <c r="K115" s="1437"/>
    </row>
    <row r="116" spans="1:11" ht="14.15" customHeight="1" outlineLevel="1" x14ac:dyDescent="0.35">
      <c r="A116" s="1434" t="s">
        <v>2504</v>
      </c>
      <c r="B116" s="1404" t="s">
        <v>2838</v>
      </c>
      <c r="C116" s="1417" t="s">
        <v>2672</v>
      </c>
      <c r="D116" s="1435"/>
      <c r="E116" s="1435"/>
      <c r="F116" s="1436">
        <f t="shared" si="6"/>
        <v>0</v>
      </c>
      <c r="G116" s="1435"/>
      <c r="H116" s="1435"/>
      <c r="I116" s="1436">
        <f t="shared" si="7"/>
        <v>0</v>
      </c>
      <c r="J116" s="181" t="s">
        <v>2839</v>
      </c>
      <c r="K116" s="1437"/>
    </row>
    <row r="117" spans="1:11" ht="14.15" customHeight="1" outlineLevel="1" x14ac:dyDescent="0.35">
      <c r="A117" s="1434" t="s">
        <v>2505</v>
      </c>
      <c r="B117" s="1404" t="s">
        <v>2840</v>
      </c>
      <c r="C117" s="1417" t="s">
        <v>2672</v>
      </c>
      <c r="D117" s="1435"/>
      <c r="E117" s="1435"/>
      <c r="F117" s="1436">
        <f t="shared" si="6"/>
        <v>0</v>
      </c>
      <c r="G117" s="1435"/>
      <c r="H117" s="1435"/>
      <c r="I117" s="1436">
        <f t="shared" si="7"/>
        <v>0</v>
      </c>
      <c r="J117" s="181" t="s">
        <v>2841</v>
      </c>
      <c r="K117" s="1437"/>
    </row>
    <row r="118" spans="1:11" ht="14.15" customHeight="1" outlineLevel="1" x14ac:dyDescent="0.35">
      <c r="A118" s="1434" t="s">
        <v>2506</v>
      </c>
      <c r="B118" s="1404" t="s">
        <v>2842</v>
      </c>
      <c r="C118" s="1417" t="s">
        <v>2672</v>
      </c>
      <c r="D118" s="1435"/>
      <c r="E118" s="1435"/>
      <c r="F118" s="1436">
        <f t="shared" si="6"/>
        <v>0</v>
      </c>
      <c r="G118" s="1435"/>
      <c r="H118" s="1435"/>
      <c r="I118" s="1436">
        <f t="shared" si="7"/>
        <v>0</v>
      </c>
      <c r="J118" s="181" t="s">
        <v>2843</v>
      </c>
      <c r="K118" s="1437"/>
    </row>
    <row r="119" spans="1:11" ht="14.15" customHeight="1" outlineLevel="1" x14ac:dyDescent="0.35">
      <c r="A119" s="1434" t="s">
        <v>2507</v>
      </c>
      <c r="B119" s="1404" t="s">
        <v>2844</v>
      </c>
      <c r="C119" s="1417" t="s">
        <v>2672</v>
      </c>
      <c r="D119" s="1435"/>
      <c r="E119" s="1435"/>
      <c r="F119" s="1436">
        <f t="shared" si="6"/>
        <v>0</v>
      </c>
      <c r="G119" s="1435"/>
      <c r="H119" s="1435"/>
      <c r="I119" s="1436">
        <f t="shared" si="7"/>
        <v>0</v>
      </c>
      <c r="J119" s="181" t="s">
        <v>2845</v>
      </c>
      <c r="K119" s="1437"/>
    </row>
    <row r="120" spans="1:11" ht="14.15" customHeight="1" outlineLevel="1" x14ac:dyDescent="0.35">
      <c r="A120" s="1434" t="s">
        <v>2508</v>
      </c>
      <c r="B120" s="1404" t="s">
        <v>2846</v>
      </c>
      <c r="C120" s="1417" t="s">
        <v>2672</v>
      </c>
      <c r="D120" s="1435"/>
      <c r="E120" s="1435"/>
      <c r="F120" s="1436">
        <f t="shared" si="6"/>
        <v>0</v>
      </c>
      <c r="G120" s="1435"/>
      <c r="H120" s="1435"/>
      <c r="I120" s="1436">
        <f t="shared" si="7"/>
        <v>0</v>
      </c>
      <c r="J120" s="181" t="s">
        <v>2847</v>
      </c>
      <c r="K120" s="1437"/>
    </row>
    <row r="121" spans="1:11" ht="14.15" customHeight="1" outlineLevel="1" x14ac:dyDescent="0.35">
      <c r="A121" s="1434" t="s">
        <v>2509</v>
      </c>
      <c r="B121" s="1404" t="s">
        <v>2848</v>
      </c>
      <c r="C121" s="1417" t="s">
        <v>2721</v>
      </c>
      <c r="D121" s="1435"/>
      <c r="E121" s="1435"/>
      <c r="F121" s="1436">
        <f t="shared" si="6"/>
        <v>0</v>
      </c>
      <c r="G121" s="1435"/>
      <c r="H121" s="1435"/>
      <c r="I121" s="1436">
        <f t="shared" si="7"/>
        <v>0</v>
      </c>
      <c r="J121" s="181" t="s">
        <v>2849</v>
      </c>
      <c r="K121" s="1437"/>
    </row>
    <row r="122" spans="1:11" ht="14.15" customHeight="1" outlineLevel="1" x14ac:dyDescent="0.35">
      <c r="A122" s="1434" t="s">
        <v>2510</v>
      </c>
      <c r="B122" s="1404" t="s">
        <v>2850</v>
      </c>
      <c r="C122" s="1417" t="s">
        <v>2721</v>
      </c>
      <c r="D122" s="1435"/>
      <c r="E122" s="1435"/>
      <c r="F122" s="1436">
        <f t="shared" si="6"/>
        <v>0</v>
      </c>
      <c r="G122" s="1435"/>
      <c r="H122" s="1435"/>
      <c r="I122" s="1436">
        <f t="shared" si="7"/>
        <v>0</v>
      </c>
      <c r="J122" s="181" t="s">
        <v>2851</v>
      </c>
      <c r="K122" s="1437"/>
    </row>
    <row r="123" spans="1:11" ht="14.15" customHeight="1" outlineLevel="1" x14ac:dyDescent="0.35">
      <c r="A123" s="1434" t="s">
        <v>2511</v>
      </c>
      <c r="B123" s="1404" t="s">
        <v>2852</v>
      </c>
      <c r="C123" s="1417" t="s">
        <v>2721</v>
      </c>
      <c r="D123" s="1435"/>
      <c r="E123" s="1435"/>
      <c r="F123" s="1436">
        <f t="shared" si="6"/>
        <v>0</v>
      </c>
      <c r="G123" s="1435"/>
      <c r="H123" s="1435"/>
      <c r="I123" s="1436">
        <f t="shared" si="7"/>
        <v>0</v>
      </c>
      <c r="J123" s="181" t="s">
        <v>2853</v>
      </c>
      <c r="K123" s="1437"/>
    </row>
    <row r="124" spans="1:11" ht="14.15" customHeight="1" outlineLevel="1" x14ac:dyDescent="0.35">
      <c r="A124" s="1434" t="s">
        <v>2512</v>
      </c>
      <c r="B124" s="1404" t="s">
        <v>2854</v>
      </c>
      <c r="C124" s="1417" t="s">
        <v>2721</v>
      </c>
      <c r="D124" s="1435"/>
      <c r="E124" s="1435"/>
      <c r="F124" s="1436">
        <f t="shared" si="6"/>
        <v>0</v>
      </c>
      <c r="G124" s="1435"/>
      <c r="H124" s="1435"/>
      <c r="I124" s="1436">
        <f t="shared" si="7"/>
        <v>0</v>
      </c>
      <c r="J124" s="181" t="s">
        <v>2855</v>
      </c>
      <c r="K124" s="1437"/>
    </row>
    <row r="125" spans="1:11" ht="14.15" customHeight="1" outlineLevel="1" x14ac:dyDescent="0.35">
      <c r="A125" s="1434" t="s">
        <v>2513</v>
      </c>
      <c r="B125" s="1404" t="s">
        <v>2856</v>
      </c>
      <c r="C125" s="1417" t="s">
        <v>2721</v>
      </c>
      <c r="D125" s="1435"/>
      <c r="E125" s="1435"/>
      <c r="F125" s="1436">
        <f t="shared" si="6"/>
        <v>0</v>
      </c>
      <c r="G125" s="1435"/>
      <c r="H125" s="1435"/>
      <c r="I125" s="1436">
        <f t="shared" si="7"/>
        <v>0</v>
      </c>
      <c r="J125" s="181" t="s">
        <v>2857</v>
      </c>
      <c r="K125" s="1437"/>
    </row>
    <row r="126" spans="1:11" ht="14.15" customHeight="1" outlineLevel="1" x14ac:dyDescent="0.35">
      <c r="A126" s="1434" t="s">
        <v>2514</v>
      </c>
      <c r="B126" s="1404" t="s">
        <v>2858</v>
      </c>
      <c r="C126" s="1417" t="s">
        <v>2721</v>
      </c>
      <c r="D126" s="1435"/>
      <c r="E126" s="1435"/>
      <c r="F126" s="1436">
        <f t="shared" si="6"/>
        <v>0</v>
      </c>
      <c r="G126" s="1435"/>
      <c r="H126" s="1435"/>
      <c r="I126" s="1436">
        <f t="shared" si="7"/>
        <v>0</v>
      </c>
      <c r="J126" s="181" t="s">
        <v>2859</v>
      </c>
      <c r="K126" s="1437"/>
    </row>
    <row r="127" spans="1:11" ht="14.15" customHeight="1" outlineLevel="1" x14ac:dyDescent="0.35">
      <c r="A127" s="1434" t="s">
        <v>2515</v>
      </c>
      <c r="B127" s="1404" t="s">
        <v>2860</v>
      </c>
      <c r="C127" s="1417" t="s">
        <v>2721</v>
      </c>
      <c r="D127" s="1435"/>
      <c r="E127" s="1435"/>
      <c r="F127" s="1436">
        <f t="shared" si="6"/>
        <v>0</v>
      </c>
      <c r="G127" s="1435"/>
      <c r="H127" s="1435"/>
      <c r="I127" s="1436">
        <f t="shared" si="7"/>
        <v>0</v>
      </c>
      <c r="J127" s="181" t="s">
        <v>2861</v>
      </c>
      <c r="K127" s="1437"/>
    </row>
    <row r="128" spans="1:11" ht="14.15" customHeight="1" outlineLevel="1" x14ac:dyDescent="0.35">
      <c r="A128" s="1434" t="s">
        <v>2516</v>
      </c>
      <c r="B128" s="1404" t="s">
        <v>2862</v>
      </c>
      <c r="C128" s="1417" t="s">
        <v>2721</v>
      </c>
      <c r="D128" s="1435"/>
      <c r="E128" s="1435"/>
      <c r="F128" s="1436">
        <f t="shared" si="6"/>
        <v>0</v>
      </c>
      <c r="G128" s="1435"/>
      <c r="H128" s="1435"/>
      <c r="I128" s="1436">
        <f t="shared" si="7"/>
        <v>0</v>
      </c>
      <c r="J128" s="181" t="s">
        <v>2863</v>
      </c>
      <c r="K128" s="1437"/>
    </row>
    <row r="129" spans="1:11" ht="14.15" customHeight="1" outlineLevel="1" x14ac:dyDescent="0.35">
      <c r="A129" s="1434" t="s">
        <v>2517</v>
      </c>
      <c r="B129" s="1404" t="s">
        <v>2864</v>
      </c>
      <c r="C129" s="1417" t="s">
        <v>2721</v>
      </c>
      <c r="D129" s="1435"/>
      <c r="E129" s="1435"/>
      <c r="F129" s="1436">
        <f t="shared" si="6"/>
        <v>0</v>
      </c>
      <c r="G129" s="1435"/>
      <c r="H129" s="1435"/>
      <c r="I129" s="1436">
        <f t="shared" si="7"/>
        <v>0</v>
      </c>
      <c r="J129" s="181" t="s">
        <v>2865</v>
      </c>
      <c r="K129" s="1437"/>
    </row>
    <row r="130" spans="1:11" ht="14.15" customHeight="1" outlineLevel="1" x14ac:dyDescent="0.35">
      <c r="A130" s="1434" t="s">
        <v>2518</v>
      </c>
      <c r="B130" s="1404" t="s">
        <v>2866</v>
      </c>
      <c r="C130" s="1417" t="s">
        <v>2721</v>
      </c>
      <c r="D130" s="1435"/>
      <c r="E130" s="1435"/>
      <c r="F130" s="1436">
        <f t="shared" si="6"/>
        <v>0</v>
      </c>
      <c r="G130" s="1435"/>
      <c r="H130" s="1435"/>
      <c r="I130" s="1436">
        <f t="shared" si="7"/>
        <v>0</v>
      </c>
      <c r="J130" s="181" t="s">
        <v>2867</v>
      </c>
      <c r="K130" s="1437"/>
    </row>
    <row r="131" spans="1:11" ht="14.15" customHeight="1" outlineLevel="1" x14ac:dyDescent="0.35">
      <c r="A131" s="1434" t="s">
        <v>2519</v>
      </c>
      <c r="B131" s="1404" t="s">
        <v>2868</v>
      </c>
      <c r="C131" s="1417" t="s">
        <v>2721</v>
      </c>
      <c r="D131" s="1435"/>
      <c r="E131" s="1435"/>
      <c r="F131" s="1436">
        <f t="shared" si="6"/>
        <v>0</v>
      </c>
      <c r="G131" s="1435"/>
      <c r="H131" s="1435"/>
      <c r="I131" s="1436">
        <f t="shared" si="7"/>
        <v>0</v>
      </c>
      <c r="J131" s="181" t="s">
        <v>2869</v>
      </c>
      <c r="K131" s="1437"/>
    </row>
    <row r="132" spans="1:11" ht="14.15" customHeight="1" outlineLevel="1" x14ac:dyDescent="0.35">
      <c r="A132" s="1434" t="s">
        <v>2520</v>
      </c>
      <c r="B132" s="1404" t="s">
        <v>2870</v>
      </c>
      <c r="C132" s="1417" t="s">
        <v>2721</v>
      </c>
      <c r="D132" s="1435"/>
      <c r="E132" s="1435"/>
      <c r="F132" s="1436">
        <f t="shared" si="6"/>
        <v>0</v>
      </c>
      <c r="G132" s="1435"/>
      <c r="H132" s="1435"/>
      <c r="I132" s="1436">
        <f t="shared" si="7"/>
        <v>0</v>
      </c>
      <c r="J132" s="181" t="s">
        <v>2871</v>
      </c>
      <c r="K132" s="1437"/>
    </row>
    <row r="133" spans="1:11" ht="14.15" customHeight="1" outlineLevel="1" x14ac:dyDescent="0.35">
      <c r="A133" s="1434" t="s">
        <v>2521</v>
      </c>
      <c r="B133" s="1404" t="s">
        <v>2872</v>
      </c>
      <c r="C133" s="1417" t="s">
        <v>2661</v>
      </c>
      <c r="D133" s="1435"/>
      <c r="E133" s="1435"/>
      <c r="F133" s="1436">
        <f t="shared" si="6"/>
        <v>0</v>
      </c>
      <c r="G133" s="1435"/>
      <c r="H133" s="1435"/>
      <c r="I133" s="1436">
        <f t="shared" si="7"/>
        <v>0</v>
      </c>
      <c r="J133" s="181" t="s">
        <v>2873</v>
      </c>
      <c r="K133" s="1437"/>
    </row>
    <row r="134" spans="1:11" ht="14.15" customHeight="1" outlineLevel="1" x14ac:dyDescent="0.35">
      <c r="A134" s="1434" t="s">
        <v>2522</v>
      </c>
      <c r="B134" s="1404" t="s">
        <v>2874</v>
      </c>
      <c r="C134" s="1417" t="s">
        <v>2661</v>
      </c>
      <c r="D134" s="1435"/>
      <c r="E134" s="1435"/>
      <c r="F134" s="1436">
        <f t="shared" si="6"/>
        <v>0</v>
      </c>
      <c r="G134" s="1435"/>
      <c r="H134" s="1435"/>
      <c r="I134" s="1436">
        <f t="shared" si="7"/>
        <v>0</v>
      </c>
      <c r="J134" s="181" t="s">
        <v>2875</v>
      </c>
      <c r="K134" s="1437"/>
    </row>
    <row r="135" spans="1:11" ht="14.15" customHeight="1" outlineLevel="1" x14ac:dyDescent="0.35">
      <c r="A135" s="1434" t="s">
        <v>2523</v>
      </c>
      <c r="B135" s="1404" t="s">
        <v>2872</v>
      </c>
      <c r="C135" s="1417" t="s">
        <v>2661</v>
      </c>
      <c r="D135" s="1435"/>
      <c r="E135" s="1435"/>
      <c r="F135" s="1436">
        <f t="shared" si="6"/>
        <v>0</v>
      </c>
      <c r="G135" s="1435"/>
      <c r="H135" s="1435"/>
      <c r="I135" s="1436">
        <f t="shared" si="7"/>
        <v>0</v>
      </c>
      <c r="J135" s="181" t="s">
        <v>2876</v>
      </c>
      <c r="K135" s="1437"/>
    </row>
    <row r="136" spans="1:11" ht="14.15" customHeight="1" outlineLevel="1" x14ac:dyDescent="0.35">
      <c r="A136" s="1434" t="s">
        <v>2524</v>
      </c>
      <c r="B136" s="1404" t="s">
        <v>2877</v>
      </c>
      <c r="C136" s="1417" t="s">
        <v>2661</v>
      </c>
      <c r="D136" s="1435"/>
      <c r="E136" s="1435"/>
      <c r="F136" s="1436">
        <f t="shared" si="6"/>
        <v>0</v>
      </c>
      <c r="G136" s="1435"/>
      <c r="H136" s="1435"/>
      <c r="I136" s="1436">
        <f t="shared" si="7"/>
        <v>0</v>
      </c>
      <c r="J136" s="181" t="s">
        <v>2878</v>
      </c>
      <c r="K136" s="1437"/>
    </row>
    <row r="137" spans="1:11" ht="14.15" customHeight="1" outlineLevel="1" x14ac:dyDescent="0.35">
      <c r="A137" s="1434" t="s">
        <v>2525</v>
      </c>
      <c r="B137" s="1404" t="s">
        <v>2879</v>
      </c>
      <c r="C137" s="1417" t="s">
        <v>2661</v>
      </c>
      <c r="D137" s="1435"/>
      <c r="E137" s="1435"/>
      <c r="F137" s="1436">
        <f t="shared" si="6"/>
        <v>0</v>
      </c>
      <c r="G137" s="1435"/>
      <c r="H137" s="1435"/>
      <c r="I137" s="1436">
        <f t="shared" si="7"/>
        <v>0</v>
      </c>
      <c r="J137" s="181" t="s">
        <v>2880</v>
      </c>
      <c r="K137" s="1437"/>
    </row>
    <row r="138" spans="1:11" ht="14.15" customHeight="1" outlineLevel="1" x14ac:dyDescent="0.35">
      <c r="A138" s="1434" t="s">
        <v>2526</v>
      </c>
      <c r="B138" s="1404" t="s">
        <v>2881</v>
      </c>
      <c r="C138" s="1417" t="s">
        <v>2882</v>
      </c>
      <c r="D138" s="1435"/>
      <c r="E138" s="1435"/>
      <c r="F138" s="1436">
        <f t="shared" si="6"/>
        <v>0</v>
      </c>
      <c r="G138" s="1435"/>
      <c r="H138" s="1435"/>
      <c r="I138" s="1436">
        <f t="shared" si="7"/>
        <v>0</v>
      </c>
      <c r="J138" s="181" t="s">
        <v>2883</v>
      </c>
      <c r="K138" s="1437"/>
    </row>
    <row r="139" spans="1:11" ht="14.15" customHeight="1" outlineLevel="1" x14ac:dyDescent="0.35">
      <c r="A139" s="1434" t="s">
        <v>2527</v>
      </c>
      <c r="B139" s="1404" t="s">
        <v>2884</v>
      </c>
      <c r="C139" s="1417" t="s">
        <v>2661</v>
      </c>
      <c r="D139" s="1435"/>
      <c r="E139" s="1435"/>
      <c r="F139" s="1436">
        <f t="shared" si="6"/>
        <v>0</v>
      </c>
      <c r="G139" s="1435"/>
      <c r="H139" s="1435"/>
      <c r="I139" s="1436">
        <f t="shared" si="7"/>
        <v>0</v>
      </c>
      <c r="J139" s="181" t="s">
        <v>2885</v>
      </c>
      <c r="K139" s="1437"/>
    </row>
    <row r="140" spans="1:11" ht="14.15" customHeight="1" outlineLevel="1" x14ac:dyDescent="0.35">
      <c r="A140" s="1434" t="s">
        <v>2528</v>
      </c>
      <c r="B140" s="1404" t="s">
        <v>2886</v>
      </c>
      <c r="C140" s="1417" t="s">
        <v>2661</v>
      </c>
      <c r="D140" s="1435"/>
      <c r="E140" s="1435"/>
      <c r="F140" s="1436">
        <f t="shared" si="6"/>
        <v>0</v>
      </c>
      <c r="G140" s="1435"/>
      <c r="H140" s="1435"/>
      <c r="I140" s="1436">
        <f t="shared" si="7"/>
        <v>0</v>
      </c>
      <c r="J140" s="181" t="s">
        <v>2887</v>
      </c>
      <c r="K140" s="1437"/>
    </row>
    <row r="141" spans="1:11" ht="14.15" customHeight="1" outlineLevel="1" x14ac:dyDescent="0.35">
      <c r="A141" s="1434" t="s">
        <v>2529</v>
      </c>
      <c r="B141" s="1404" t="s">
        <v>2888</v>
      </c>
      <c r="C141" s="1417" t="s">
        <v>2661</v>
      </c>
      <c r="D141" s="1435"/>
      <c r="E141" s="1435"/>
      <c r="F141" s="1436">
        <f t="shared" si="6"/>
        <v>0</v>
      </c>
      <c r="G141" s="1435"/>
      <c r="H141" s="1435"/>
      <c r="I141" s="1436">
        <f t="shared" si="7"/>
        <v>0</v>
      </c>
      <c r="J141" s="181" t="s">
        <v>2889</v>
      </c>
      <c r="K141" s="1437"/>
    </row>
    <row r="142" spans="1:11" ht="14.15" customHeight="1" outlineLevel="1" x14ac:dyDescent="0.35">
      <c r="A142" s="1434" t="s">
        <v>2530</v>
      </c>
      <c r="B142" s="1404" t="s">
        <v>2890</v>
      </c>
      <c r="C142" s="1417" t="s">
        <v>2661</v>
      </c>
      <c r="D142" s="1435"/>
      <c r="E142" s="1435"/>
      <c r="F142" s="1436">
        <f t="shared" si="6"/>
        <v>0</v>
      </c>
      <c r="G142" s="1435"/>
      <c r="H142" s="1435"/>
      <c r="I142" s="1436">
        <f t="shared" si="7"/>
        <v>0</v>
      </c>
      <c r="J142" s="181" t="s">
        <v>2891</v>
      </c>
      <c r="K142" s="1437"/>
    </row>
    <row r="143" spans="1:11" ht="14.15" customHeight="1" outlineLevel="1" x14ac:dyDescent="0.35">
      <c r="A143" s="1434" t="s">
        <v>2531</v>
      </c>
      <c r="B143" s="1404" t="s">
        <v>2892</v>
      </c>
      <c r="C143" s="1417" t="s">
        <v>2661</v>
      </c>
      <c r="D143" s="1435"/>
      <c r="E143" s="1435"/>
      <c r="F143" s="1436">
        <f t="shared" si="6"/>
        <v>0</v>
      </c>
      <c r="G143" s="1435"/>
      <c r="H143" s="1435"/>
      <c r="I143" s="1436">
        <f t="shared" si="7"/>
        <v>0</v>
      </c>
      <c r="J143" s="181" t="s">
        <v>2893</v>
      </c>
      <c r="K143" s="1437"/>
    </row>
    <row r="144" spans="1:11" ht="14.15" customHeight="1" outlineLevel="1" x14ac:dyDescent="0.35">
      <c r="A144" s="1434" t="s">
        <v>2532</v>
      </c>
      <c r="B144" s="1404" t="s">
        <v>2894</v>
      </c>
      <c r="C144" s="1417" t="s">
        <v>2661</v>
      </c>
      <c r="D144" s="1435"/>
      <c r="E144" s="1435"/>
      <c r="F144" s="1436">
        <f t="shared" si="6"/>
        <v>0</v>
      </c>
      <c r="G144" s="1435"/>
      <c r="H144" s="1435"/>
      <c r="I144" s="1436">
        <f t="shared" si="7"/>
        <v>0</v>
      </c>
      <c r="J144" s="181" t="s">
        <v>2895</v>
      </c>
      <c r="K144" s="1437"/>
    </row>
    <row r="145" spans="1:11" ht="14.15" customHeight="1" outlineLevel="1" x14ac:dyDescent="0.35">
      <c r="A145" s="1434" t="s">
        <v>2533</v>
      </c>
      <c r="B145" s="1404" t="s">
        <v>2896</v>
      </c>
      <c r="C145" s="1417" t="s">
        <v>2661</v>
      </c>
      <c r="D145" s="1435"/>
      <c r="E145" s="1435"/>
      <c r="F145" s="1436">
        <f t="shared" si="6"/>
        <v>0</v>
      </c>
      <c r="G145" s="1435"/>
      <c r="H145" s="1435"/>
      <c r="I145" s="1436">
        <f t="shared" si="7"/>
        <v>0</v>
      </c>
      <c r="J145" s="181" t="s">
        <v>2897</v>
      </c>
      <c r="K145" s="1437"/>
    </row>
    <row r="146" spans="1:11" ht="14.15" customHeight="1" outlineLevel="1" x14ac:dyDescent="0.35">
      <c r="A146" s="1434" t="s">
        <v>2534</v>
      </c>
      <c r="B146" s="1404" t="s">
        <v>2898</v>
      </c>
      <c r="C146" s="1417" t="s">
        <v>2661</v>
      </c>
      <c r="D146" s="1435"/>
      <c r="E146" s="1435"/>
      <c r="F146" s="1436">
        <f t="shared" si="6"/>
        <v>0</v>
      </c>
      <c r="G146" s="1435"/>
      <c r="H146" s="1435"/>
      <c r="I146" s="1436">
        <f t="shared" si="7"/>
        <v>0</v>
      </c>
      <c r="J146" s="181" t="s">
        <v>2899</v>
      </c>
      <c r="K146" s="1437"/>
    </row>
    <row r="147" spans="1:11" ht="14.15" customHeight="1" outlineLevel="1" x14ac:dyDescent="0.35">
      <c r="A147" s="1434" t="s">
        <v>2535</v>
      </c>
      <c r="B147" s="1404" t="s">
        <v>2900</v>
      </c>
      <c r="C147" s="1417" t="s">
        <v>2661</v>
      </c>
      <c r="D147" s="1435"/>
      <c r="E147" s="1435"/>
      <c r="F147" s="1436">
        <f t="shared" si="6"/>
        <v>0</v>
      </c>
      <c r="G147" s="1435"/>
      <c r="H147" s="1435"/>
      <c r="I147" s="1436">
        <f t="shared" si="7"/>
        <v>0</v>
      </c>
      <c r="J147" s="181" t="s">
        <v>2901</v>
      </c>
      <c r="K147" s="1437"/>
    </row>
    <row r="148" spans="1:11" ht="14.15" customHeight="1" outlineLevel="1" x14ac:dyDescent="0.35">
      <c r="A148" s="1434" t="s">
        <v>2536</v>
      </c>
      <c r="B148" s="1404" t="s">
        <v>2902</v>
      </c>
      <c r="C148" s="1417" t="s">
        <v>2661</v>
      </c>
      <c r="D148" s="1435"/>
      <c r="E148" s="1435"/>
      <c r="F148" s="1436">
        <f t="shared" si="6"/>
        <v>0</v>
      </c>
      <c r="G148" s="1435"/>
      <c r="H148" s="1435"/>
      <c r="I148" s="1436">
        <f t="shared" si="7"/>
        <v>0</v>
      </c>
      <c r="J148" s="181" t="s">
        <v>2903</v>
      </c>
      <c r="K148" s="1437"/>
    </row>
    <row r="149" spans="1:11" ht="14.15" customHeight="1" outlineLevel="1" x14ac:dyDescent="0.35">
      <c r="A149" s="1434" t="s">
        <v>2537</v>
      </c>
      <c r="B149" s="1404" t="s">
        <v>2904</v>
      </c>
      <c r="C149" s="1417" t="s">
        <v>2661</v>
      </c>
      <c r="D149" s="1435"/>
      <c r="E149" s="1435"/>
      <c r="F149" s="1436">
        <f t="shared" si="6"/>
        <v>0</v>
      </c>
      <c r="G149" s="1435"/>
      <c r="H149" s="1435"/>
      <c r="I149" s="1436">
        <f t="shared" si="7"/>
        <v>0</v>
      </c>
      <c r="J149" s="181" t="s">
        <v>2905</v>
      </c>
      <c r="K149" s="1437"/>
    </row>
    <row r="150" spans="1:11" ht="14.15" customHeight="1" outlineLevel="1" x14ac:dyDescent="0.35">
      <c r="A150" s="1434" t="s">
        <v>2538</v>
      </c>
      <c r="B150" s="1404" t="s">
        <v>2906</v>
      </c>
      <c r="C150" s="1417" t="s">
        <v>2721</v>
      </c>
      <c r="D150" s="1435"/>
      <c r="E150" s="1435"/>
      <c r="F150" s="1436">
        <f t="shared" si="6"/>
        <v>0</v>
      </c>
      <c r="G150" s="1435"/>
      <c r="H150" s="1435"/>
      <c r="I150" s="1436">
        <f t="shared" si="7"/>
        <v>0</v>
      </c>
      <c r="J150" s="181" t="s">
        <v>2907</v>
      </c>
      <c r="K150" s="1437"/>
    </row>
    <row r="151" spans="1:11" ht="14.15" customHeight="1" outlineLevel="1" x14ac:dyDescent="0.35">
      <c r="A151" s="1434" t="s">
        <v>2539</v>
      </c>
      <c r="B151" s="1404" t="s">
        <v>2908</v>
      </c>
      <c r="C151" s="1417" t="s">
        <v>2882</v>
      </c>
      <c r="D151" s="1435"/>
      <c r="E151" s="1435"/>
      <c r="F151" s="1436">
        <f t="shared" si="6"/>
        <v>0</v>
      </c>
      <c r="G151" s="1435"/>
      <c r="H151" s="1435"/>
      <c r="I151" s="1436">
        <f t="shared" si="7"/>
        <v>0</v>
      </c>
      <c r="J151" s="181" t="s">
        <v>2909</v>
      </c>
      <c r="K151" s="1437"/>
    </row>
    <row r="152" spans="1:11" ht="14.15" customHeight="1" outlineLevel="1" x14ac:dyDescent="0.35">
      <c r="A152" s="1434" t="s">
        <v>2540</v>
      </c>
      <c r="B152" s="1404" t="s">
        <v>2910</v>
      </c>
      <c r="C152" s="1417" t="s">
        <v>2882</v>
      </c>
      <c r="D152" s="1435"/>
      <c r="E152" s="1435"/>
      <c r="F152" s="1436">
        <f t="shared" si="6"/>
        <v>0</v>
      </c>
      <c r="G152" s="1435"/>
      <c r="H152" s="1435"/>
      <c r="I152" s="1436">
        <f t="shared" si="7"/>
        <v>0</v>
      </c>
      <c r="J152" s="181" t="s">
        <v>2911</v>
      </c>
      <c r="K152" s="1437"/>
    </row>
    <row r="153" spans="1:11" ht="14.15" customHeight="1" outlineLevel="1" x14ac:dyDescent="0.35">
      <c r="A153" s="1434" t="s">
        <v>2541</v>
      </c>
      <c r="B153" s="1404" t="s">
        <v>2912</v>
      </c>
      <c r="C153" s="1417" t="s">
        <v>2721</v>
      </c>
      <c r="D153" s="1435"/>
      <c r="E153" s="1435"/>
      <c r="F153" s="1436">
        <f t="shared" si="6"/>
        <v>0</v>
      </c>
      <c r="G153" s="1435"/>
      <c r="H153" s="1435"/>
      <c r="I153" s="1436">
        <f t="shared" si="7"/>
        <v>0</v>
      </c>
      <c r="J153" s="181" t="s">
        <v>2913</v>
      </c>
      <c r="K153" s="1437"/>
    </row>
    <row r="154" spans="1:11" ht="14.15" customHeight="1" x14ac:dyDescent="0.35">
      <c r="A154" s="1434" t="s">
        <v>2542</v>
      </c>
      <c r="B154" s="1404" t="s">
        <v>2914</v>
      </c>
      <c r="C154" s="1417" t="s">
        <v>2677</v>
      </c>
      <c r="D154" s="1435"/>
      <c r="E154" s="1435"/>
      <c r="F154" s="1436">
        <f t="shared" si="6"/>
        <v>0</v>
      </c>
      <c r="G154" s="1435"/>
      <c r="H154" s="1435"/>
      <c r="I154" s="1436">
        <f t="shared" si="7"/>
        <v>0</v>
      </c>
      <c r="J154" s="181" t="s">
        <v>2915</v>
      </c>
      <c r="K154" s="1437"/>
    </row>
    <row r="155" spans="1:11" ht="14.15" customHeight="1" x14ac:dyDescent="0.35">
      <c r="A155" s="1434" t="s">
        <v>2543</v>
      </c>
      <c r="B155" s="1404" t="s">
        <v>2916</v>
      </c>
      <c r="C155" s="1417" t="s">
        <v>2677</v>
      </c>
      <c r="D155" s="1435"/>
      <c r="E155" s="1435"/>
      <c r="F155" s="1436">
        <f t="shared" si="6"/>
        <v>0</v>
      </c>
      <c r="G155" s="1435"/>
      <c r="H155" s="1435"/>
      <c r="I155" s="1436">
        <f t="shared" si="7"/>
        <v>0</v>
      </c>
      <c r="J155" s="181" t="s">
        <v>2917</v>
      </c>
      <c r="K155" s="1437"/>
    </row>
    <row r="156" spans="1:11" ht="14.15" customHeight="1" x14ac:dyDescent="0.35">
      <c r="A156" s="1434" t="s">
        <v>2544</v>
      </c>
      <c r="B156" s="1404" t="s">
        <v>2918</v>
      </c>
      <c r="C156" s="1417" t="s">
        <v>2661</v>
      </c>
      <c r="D156" s="1435"/>
      <c r="E156" s="1435"/>
      <c r="F156" s="1436">
        <f t="shared" si="6"/>
        <v>0</v>
      </c>
      <c r="G156" s="1435"/>
      <c r="H156" s="1435"/>
      <c r="I156" s="1436">
        <f t="shared" si="7"/>
        <v>0</v>
      </c>
      <c r="J156" s="181" t="s">
        <v>2919</v>
      </c>
      <c r="K156" s="1437"/>
    </row>
    <row r="157" spans="1:11" ht="14.15" customHeight="1" x14ac:dyDescent="0.35">
      <c r="A157" s="1434" t="s">
        <v>2545</v>
      </c>
      <c r="B157" s="1404" t="s">
        <v>2920</v>
      </c>
      <c r="C157" s="1417" t="s">
        <v>2661</v>
      </c>
      <c r="D157" s="1435"/>
      <c r="E157" s="1435"/>
      <c r="F157" s="1436">
        <f t="shared" si="6"/>
        <v>0</v>
      </c>
      <c r="G157" s="1435"/>
      <c r="H157" s="1435"/>
      <c r="I157" s="1436">
        <f t="shared" si="7"/>
        <v>0</v>
      </c>
      <c r="J157" s="181" t="s">
        <v>2921</v>
      </c>
      <c r="K157" s="1437"/>
    </row>
    <row r="158" spans="1:11" ht="14.15" customHeight="1" x14ac:dyDescent="0.35">
      <c r="A158" s="1434" t="s">
        <v>2546</v>
      </c>
      <c r="B158" s="1404" t="s">
        <v>2922</v>
      </c>
      <c r="C158" s="1417" t="s">
        <v>2721</v>
      </c>
      <c r="D158" s="1435"/>
      <c r="E158" s="1435"/>
      <c r="F158" s="1436">
        <f t="shared" si="6"/>
        <v>0</v>
      </c>
      <c r="G158" s="1435"/>
      <c r="H158" s="1435"/>
      <c r="I158" s="1436">
        <f t="shared" si="7"/>
        <v>0</v>
      </c>
      <c r="J158" s="181" t="s">
        <v>2923</v>
      </c>
      <c r="K158" s="1437"/>
    </row>
    <row r="159" spans="1:11" ht="14.15" customHeight="1" x14ac:dyDescent="0.35">
      <c r="A159" s="1434" t="s">
        <v>2547</v>
      </c>
      <c r="B159" s="1404" t="s">
        <v>2924</v>
      </c>
      <c r="C159" s="1417" t="s">
        <v>2677</v>
      </c>
      <c r="D159" s="1435"/>
      <c r="E159" s="1435"/>
      <c r="F159" s="1436">
        <f t="shared" si="6"/>
        <v>0</v>
      </c>
      <c r="G159" s="1435"/>
      <c r="H159" s="1435"/>
      <c r="I159" s="1436">
        <f t="shared" si="7"/>
        <v>0</v>
      </c>
      <c r="J159" s="181" t="s">
        <v>2925</v>
      </c>
      <c r="K159" s="1437"/>
    </row>
    <row r="160" spans="1:11" ht="14.15" customHeight="1" x14ac:dyDescent="0.35">
      <c r="A160" s="1434" t="s">
        <v>2548</v>
      </c>
      <c r="B160" s="1404" t="s">
        <v>2926</v>
      </c>
      <c r="C160" s="1417" t="s">
        <v>2672</v>
      </c>
      <c r="D160" s="1435"/>
      <c r="E160" s="1435"/>
      <c r="F160" s="1436">
        <f t="shared" si="6"/>
        <v>0</v>
      </c>
      <c r="G160" s="1435"/>
      <c r="H160" s="1435"/>
      <c r="I160" s="1436">
        <f t="shared" si="7"/>
        <v>0</v>
      </c>
      <c r="J160" s="181" t="s">
        <v>2927</v>
      </c>
      <c r="K160" s="1437"/>
    </row>
    <row r="161" spans="1:11" ht="14.15" customHeight="1" x14ac:dyDescent="0.35">
      <c r="A161" s="1434" t="s">
        <v>2549</v>
      </c>
      <c r="B161" s="1404" t="s">
        <v>2928</v>
      </c>
      <c r="C161" s="1417" t="s">
        <v>2721</v>
      </c>
      <c r="D161" s="1435"/>
      <c r="E161" s="1435"/>
      <c r="F161" s="1436">
        <f t="shared" si="6"/>
        <v>0</v>
      </c>
      <c r="G161" s="1435"/>
      <c r="H161" s="1435"/>
      <c r="I161" s="1436">
        <f t="shared" si="7"/>
        <v>0</v>
      </c>
      <c r="J161" s="181" t="s">
        <v>2929</v>
      </c>
      <c r="K161" s="1437"/>
    </row>
    <row r="162" spans="1:11" ht="14.15" customHeight="1" x14ac:dyDescent="0.35">
      <c r="A162" s="1434" t="s">
        <v>2550</v>
      </c>
      <c r="B162" s="1404" t="s">
        <v>2930</v>
      </c>
      <c r="C162" s="1417" t="s">
        <v>2672</v>
      </c>
      <c r="D162" s="1435"/>
      <c r="E162" s="1435"/>
      <c r="F162" s="1436">
        <f t="shared" si="6"/>
        <v>0</v>
      </c>
      <c r="G162" s="1435"/>
      <c r="H162" s="1435"/>
      <c r="I162" s="1436">
        <f t="shared" si="7"/>
        <v>0</v>
      </c>
      <c r="J162" s="181" t="s">
        <v>2931</v>
      </c>
      <c r="K162" s="1437"/>
    </row>
    <row r="163" spans="1:11" ht="14.15" customHeight="1" x14ac:dyDescent="0.35">
      <c r="A163" s="1434" t="s">
        <v>2551</v>
      </c>
      <c r="B163" s="1404" t="s">
        <v>2932</v>
      </c>
      <c r="C163" s="1417" t="s">
        <v>2721</v>
      </c>
      <c r="D163" s="1435"/>
      <c r="E163" s="1435"/>
      <c r="F163" s="1436">
        <f t="shared" si="6"/>
        <v>0</v>
      </c>
      <c r="G163" s="1435"/>
      <c r="H163" s="1435"/>
      <c r="I163" s="1436">
        <f t="shared" si="7"/>
        <v>0</v>
      </c>
      <c r="J163" s="181" t="s">
        <v>2933</v>
      </c>
      <c r="K163" s="1437"/>
    </row>
    <row r="164" spans="1:11" ht="14.15" customHeight="1" x14ac:dyDescent="0.35">
      <c r="A164" s="1434" t="s">
        <v>2552</v>
      </c>
      <c r="B164" s="1404" t="s">
        <v>2934</v>
      </c>
      <c r="C164" s="1417" t="s">
        <v>2721</v>
      </c>
      <c r="D164" s="1435"/>
      <c r="E164" s="1435"/>
      <c r="F164" s="1436">
        <f t="shared" si="6"/>
        <v>0</v>
      </c>
      <c r="G164" s="1435"/>
      <c r="H164" s="1435"/>
      <c r="I164" s="1436">
        <f t="shared" si="7"/>
        <v>0</v>
      </c>
      <c r="J164" s="181" t="s">
        <v>2935</v>
      </c>
      <c r="K164" s="1437"/>
    </row>
    <row r="165" spans="1:11" ht="14.15" customHeight="1" x14ac:dyDescent="0.35">
      <c r="A165" s="1434" t="s">
        <v>2553</v>
      </c>
      <c r="B165" s="1404" t="s">
        <v>2936</v>
      </c>
      <c r="C165" s="1417" t="s">
        <v>2677</v>
      </c>
      <c r="D165" s="1435"/>
      <c r="E165" s="1435"/>
      <c r="F165" s="1436">
        <f t="shared" ref="F165:F182" si="8">D165*E165</f>
        <v>0</v>
      </c>
      <c r="G165" s="1435"/>
      <c r="H165" s="1435"/>
      <c r="I165" s="1436">
        <f t="shared" ref="I165:I182" si="9">G165*H165</f>
        <v>0</v>
      </c>
      <c r="J165" s="181" t="s">
        <v>2937</v>
      </c>
      <c r="K165" s="1437"/>
    </row>
    <row r="166" spans="1:11" ht="14.15" customHeight="1" x14ac:dyDescent="0.35">
      <c r="A166" s="1434" t="s">
        <v>2554</v>
      </c>
      <c r="B166" s="1404" t="s">
        <v>2938</v>
      </c>
      <c r="C166" s="1417" t="s">
        <v>2677</v>
      </c>
      <c r="D166" s="1435"/>
      <c r="E166" s="1435"/>
      <c r="F166" s="1436">
        <f t="shared" si="8"/>
        <v>0</v>
      </c>
      <c r="G166" s="1435"/>
      <c r="H166" s="1435"/>
      <c r="I166" s="1436">
        <f t="shared" si="9"/>
        <v>0</v>
      </c>
      <c r="J166" s="181" t="s">
        <v>2939</v>
      </c>
      <c r="K166" s="1437"/>
    </row>
    <row r="167" spans="1:11" ht="14.15" customHeight="1" x14ac:dyDescent="0.35">
      <c r="A167" s="1434" t="s">
        <v>2555</v>
      </c>
      <c r="B167" s="1404" t="s">
        <v>2940</v>
      </c>
      <c r="C167" s="1417" t="s">
        <v>2677</v>
      </c>
      <c r="D167" s="1435"/>
      <c r="E167" s="1435"/>
      <c r="F167" s="1436">
        <f t="shared" si="8"/>
        <v>0</v>
      </c>
      <c r="G167" s="1435"/>
      <c r="H167" s="1435"/>
      <c r="I167" s="1436">
        <f t="shared" si="9"/>
        <v>0</v>
      </c>
      <c r="J167" s="181" t="s">
        <v>2941</v>
      </c>
      <c r="K167" s="1437"/>
    </row>
    <row r="168" spans="1:11" ht="14.15" customHeight="1" x14ac:dyDescent="0.35">
      <c r="A168" s="1434" t="s">
        <v>2556</v>
      </c>
      <c r="B168" s="1404" t="s">
        <v>2942</v>
      </c>
      <c r="C168" s="1417" t="s">
        <v>2677</v>
      </c>
      <c r="D168" s="1435"/>
      <c r="E168" s="1435"/>
      <c r="F168" s="1436">
        <f t="shared" si="8"/>
        <v>0</v>
      </c>
      <c r="G168" s="1435"/>
      <c r="H168" s="1435"/>
      <c r="I168" s="1436">
        <f t="shared" si="9"/>
        <v>0</v>
      </c>
      <c r="J168" s="181" t="s">
        <v>2943</v>
      </c>
      <c r="K168" s="1437"/>
    </row>
    <row r="169" spans="1:11" ht="14.15" customHeight="1" x14ac:dyDescent="0.35">
      <c r="A169" s="1434" t="s">
        <v>2557</v>
      </c>
      <c r="B169" s="1404" t="s">
        <v>2944</v>
      </c>
      <c r="C169" s="1417" t="s">
        <v>2721</v>
      </c>
      <c r="D169" s="1435"/>
      <c r="E169" s="1435"/>
      <c r="F169" s="1436">
        <f t="shared" si="8"/>
        <v>0</v>
      </c>
      <c r="G169" s="1435"/>
      <c r="H169" s="1435"/>
      <c r="I169" s="1436">
        <f t="shared" si="9"/>
        <v>0</v>
      </c>
      <c r="J169" s="181" t="s">
        <v>2945</v>
      </c>
      <c r="K169" s="1437"/>
    </row>
    <row r="170" spans="1:11" ht="14.15" customHeight="1" x14ac:dyDescent="0.35">
      <c r="A170" s="1434" t="s">
        <v>2558</v>
      </c>
      <c r="B170" s="1404" t="s">
        <v>2946</v>
      </c>
      <c r="C170" s="1417" t="s">
        <v>2677</v>
      </c>
      <c r="D170" s="1435"/>
      <c r="E170" s="1435"/>
      <c r="F170" s="1436">
        <f t="shared" si="8"/>
        <v>0</v>
      </c>
      <c r="G170" s="1435"/>
      <c r="H170" s="1435"/>
      <c r="I170" s="1436">
        <f t="shared" si="9"/>
        <v>0</v>
      </c>
      <c r="J170" s="181" t="s">
        <v>2947</v>
      </c>
      <c r="K170" s="1437"/>
    </row>
    <row r="171" spans="1:11" ht="14.15" customHeight="1" x14ac:dyDescent="0.35">
      <c r="A171" s="1434" t="s">
        <v>2559</v>
      </c>
      <c r="B171" s="1404" t="s">
        <v>2948</v>
      </c>
      <c r="C171" s="1417" t="s">
        <v>2677</v>
      </c>
      <c r="D171" s="1435"/>
      <c r="E171" s="1435"/>
      <c r="F171" s="1436">
        <f t="shared" si="8"/>
        <v>0</v>
      </c>
      <c r="G171" s="1435"/>
      <c r="H171" s="1435"/>
      <c r="I171" s="1436">
        <f t="shared" si="9"/>
        <v>0</v>
      </c>
      <c r="J171" s="181" t="s">
        <v>2949</v>
      </c>
      <c r="K171" s="1437"/>
    </row>
    <row r="172" spans="1:11" ht="14.15" customHeight="1" x14ac:dyDescent="0.35">
      <c r="A172" s="1434" t="s">
        <v>2560</v>
      </c>
      <c r="B172" s="1404" t="s">
        <v>2950</v>
      </c>
      <c r="C172" s="1417" t="s">
        <v>2677</v>
      </c>
      <c r="D172" s="1435"/>
      <c r="E172" s="1435"/>
      <c r="F172" s="1436">
        <f t="shared" si="8"/>
        <v>0</v>
      </c>
      <c r="G172" s="1435"/>
      <c r="H172" s="1435"/>
      <c r="I172" s="1436">
        <f t="shared" si="9"/>
        <v>0</v>
      </c>
      <c r="J172" s="181" t="s">
        <v>2951</v>
      </c>
      <c r="K172" s="1437"/>
    </row>
    <row r="173" spans="1:11" ht="14.15" customHeight="1" x14ac:dyDescent="0.35">
      <c r="A173" s="1434" t="s">
        <v>2561</v>
      </c>
      <c r="B173" s="1404" t="s">
        <v>2952</v>
      </c>
      <c r="C173" s="1417" t="s">
        <v>2661</v>
      </c>
      <c r="D173" s="1435"/>
      <c r="E173" s="1435"/>
      <c r="F173" s="1436">
        <f t="shared" si="8"/>
        <v>0</v>
      </c>
      <c r="G173" s="1435"/>
      <c r="H173" s="1435"/>
      <c r="I173" s="1436">
        <f t="shared" si="9"/>
        <v>0</v>
      </c>
      <c r="J173" s="181" t="s">
        <v>2953</v>
      </c>
      <c r="K173" s="1437"/>
    </row>
    <row r="174" spans="1:11" ht="14.15" customHeight="1" x14ac:dyDescent="0.35">
      <c r="A174" s="1434" t="s">
        <v>2562</v>
      </c>
      <c r="B174" s="1404" t="s">
        <v>2954</v>
      </c>
      <c r="C174" s="1417" t="s">
        <v>2677</v>
      </c>
      <c r="D174" s="1435"/>
      <c r="E174" s="1435"/>
      <c r="F174" s="1436">
        <f t="shared" si="8"/>
        <v>0</v>
      </c>
      <c r="G174" s="1435"/>
      <c r="H174" s="1435"/>
      <c r="I174" s="1436">
        <f t="shared" si="9"/>
        <v>0</v>
      </c>
      <c r="J174" s="181" t="s">
        <v>2955</v>
      </c>
      <c r="K174" s="1437"/>
    </row>
    <row r="175" spans="1:11" ht="14.15" customHeight="1" x14ac:dyDescent="0.35">
      <c r="A175" s="1434" t="s">
        <v>2563</v>
      </c>
      <c r="B175" s="1404" t="s">
        <v>2956</v>
      </c>
      <c r="C175" s="1417" t="s">
        <v>2677</v>
      </c>
      <c r="D175" s="1435"/>
      <c r="E175" s="1435"/>
      <c r="F175" s="1436">
        <f t="shared" si="8"/>
        <v>0</v>
      </c>
      <c r="G175" s="1435"/>
      <c r="H175" s="1435"/>
      <c r="I175" s="1436">
        <f t="shared" si="9"/>
        <v>0</v>
      </c>
      <c r="J175" s="181" t="s">
        <v>2957</v>
      </c>
      <c r="K175" s="1437"/>
    </row>
    <row r="176" spans="1:11" ht="14.15" customHeight="1" x14ac:dyDescent="0.35">
      <c r="A176" s="1434" t="s">
        <v>2564</v>
      </c>
      <c r="B176" s="1404" t="s">
        <v>2958</v>
      </c>
      <c r="C176" s="1417" t="s">
        <v>2672</v>
      </c>
      <c r="D176" s="1435"/>
      <c r="E176" s="1435"/>
      <c r="F176" s="1436">
        <f t="shared" si="8"/>
        <v>0</v>
      </c>
      <c r="G176" s="1435"/>
      <c r="H176" s="1435"/>
      <c r="I176" s="1436">
        <f t="shared" si="9"/>
        <v>0</v>
      </c>
      <c r="J176" s="181" t="s">
        <v>2959</v>
      </c>
      <c r="K176" s="1437"/>
    </row>
    <row r="177" spans="1:12" ht="14.15" customHeight="1" x14ac:dyDescent="0.35">
      <c r="A177" s="1434" t="s">
        <v>2565</v>
      </c>
      <c r="B177" s="1404" t="s">
        <v>2960</v>
      </c>
      <c r="C177" s="1417" t="s">
        <v>2677</v>
      </c>
      <c r="D177" s="1435"/>
      <c r="E177" s="1435"/>
      <c r="F177" s="1436">
        <f t="shared" si="8"/>
        <v>0</v>
      </c>
      <c r="G177" s="1435"/>
      <c r="H177" s="1435"/>
      <c r="I177" s="1436">
        <f t="shared" si="9"/>
        <v>0</v>
      </c>
      <c r="J177" s="181" t="s">
        <v>2961</v>
      </c>
      <c r="K177" s="1437"/>
    </row>
    <row r="178" spans="1:12" ht="14.15" customHeight="1" x14ac:dyDescent="0.35">
      <c r="A178" s="1434" t="s">
        <v>2566</v>
      </c>
      <c r="B178" s="1404" t="s">
        <v>2962</v>
      </c>
      <c r="C178" s="1417" t="s">
        <v>2721</v>
      </c>
      <c r="D178" s="1435"/>
      <c r="E178" s="1435"/>
      <c r="F178" s="1436">
        <f t="shared" si="8"/>
        <v>0</v>
      </c>
      <c r="G178" s="1435"/>
      <c r="H178" s="1435"/>
      <c r="I178" s="1436">
        <f t="shared" si="9"/>
        <v>0</v>
      </c>
      <c r="J178" s="181" t="s">
        <v>2963</v>
      </c>
      <c r="K178" s="1437"/>
    </row>
    <row r="179" spans="1:12" ht="14.15" customHeight="1" x14ac:dyDescent="0.35">
      <c r="A179" s="1434" t="s">
        <v>2567</v>
      </c>
      <c r="B179" s="1404" t="s">
        <v>2964</v>
      </c>
      <c r="C179" s="1417" t="s">
        <v>2661</v>
      </c>
      <c r="D179" s="1435"/>
      <c r="E179" s="1435"/>
      <c r="F179" s="1436">
        <f t="shared" si="8"/>
        <v>0</v>
      </c>
      <c r="G179" s="1435"/>
      <c r="H179" s="1435"/>
      <c r="I179" s="1436">
        <f t="shared" si="9"/>
        <v>0</v>
      </c>
      <c r="J179" s="181" t="s">
        <v>2965</v>
      </c>
      <c r="K179" s="1437"/>
    </row>
    <row r="180" spans="1:12" ht="14.15" customHeight="1" x14ac:dyDescent="0.35">
      <c r="A180" s="1434" t="s">
        <v>2568</v>
      </c>
      <c r="B180" s="1404" t="s">
        <v>2966</v>
      </c>
      <c r="C180" s="1417" t="s">
        <v>2677</v>
      </c>
      <c r="D180" s="1435"/>
      <c r="E180" s="1435"/>
      <c r="F180" s="1436">
        <f t="shared" si="8"/>
        <v>0</v>
      </c>
      <c r="G180" s="1435"/>
      <c r="H180" s="1435"/>
      <c r="I180" s="1436">
        <f t="shared" si="9"/>
        <v>0</v>
      </c>
      <c r="J180" s="181" t="s">
        <v>2967</v>
      </c>
      <c r="K180" s="1437"/>
    </row>
    <row r="181" spans="1:12" ht="14.15" customHeight="1" x14ac:dyDescent="0.35">
      <c r="A181" s="1434" t="s">
        <v>2569</v>
      </c>
      <c r="B181" s="1404" t="s">
        <v>2968</v>
      </c>
      <c r="C181" s="1417" t="s">
        <v>2661</v>
      </c>
      <c r="D181" s="1435"/>
      <c r="E181" s="1435"/>
      <c r="F181" s="1436">
        <f t="shared" si="8"/>
        <v>0</v>
      </c>
      <c r="G181" s="1435"/>
      <c r="H181" s="1435"/>
      <c r="I181" s="1436">
        <f t="shared" si="9"/>
        <v>0</v>
      </c>
      <c r="J181" s="181" t="s">
        <v>2969</v>
      </c>
      <c r="K181" s="1437"/>
    </row>
    <row r="182" spans="1:12" ht="14.15" customHeight="1" x14ac:dyDescent="0.35">
      <c r="A182" s="1434" t="s">
        <v>2570</v>
      </c>
      <c r="B182" s="1404" t="s">
        <v>2970</v>
      </c>
      <c r="C182" s="1417" t="s">
        <v>2721</v>
      </c>
      <c r="D182" s="1435"/>
      <c r="E182" s="1435"/>
      <c r="F182" s="1436">
        <f t="shared" si="8"/>
        <v>0</v>
      </c>
      <c r="G182" s="1435"/>
      <c r="H182" s="1435"/>
      <c r="I182" s="1436">
        <f t="shared" si="9"/>
        <v>0</v>
      </c>
      <c r="J182" s="181" t="s">
        <v>2971</v>
      </c>
      <c r="K182" s="1437"/>
    </row>
    <row r="183" spans="1:12" ht="14.15" customHeight="1" x14ac:dyDescent="0.3">
      <c r="A183" s="1434"/>
      <c r="B183" s="1438"/>
      <c r="C183" s="1417"/>
      <c r="D183" s="1439"/>
      <c r="E183" s="1441"/>
      <c r="F183" s="1439"/>
      <c r="G183" s="1230"/>
      <c r="H183" s="1440"/>
      <c r="I183" s="1424"/>
      <c r="K183" s="1437"/>
    </row>
    <row r="184" spans="1:12" ht="21.75" customHeight="1" x14ac:dyDescent="0.35">
      <c r="A184" s="1442"/>
      <c r="B184" s="1443"/>
      <c r="C184" s="1422"/>
      <c r="D184" s="1444">
        <f>SUM(D37:D183)</f>
        <v>0</v>
      </c>
      <c r="E184" s="1444">
        <f>SUM(E37:E183)</f>
        <v>0</v>
      </c>
      <c r="F184" s="1444">
        <f>SUM(F37:F183)</f>
        <v>0</v>
      </c>
      <c r="G184" s="1444">
        <f>SUM(G37:G182)</f>
        <v>0</v>
      </c>
      <c r="H184" s="1445">
        <f>SUM(H37:H182)</f>
        <v>0</v>
      </c>
      <c r="I184" s="1446">
        <f>SUM(I37:I183)</f>
        <v>0</v>
      </c>
      <c r="K184" s="1437"/>
      <c r="L184" s="367"/>
    </row>
    <row r="185" spans="1:12" ht="13.5" customHeight="1" x14ac:dyDescent="0.3">
      <c r="A185" s="1447" t="s">
        <v>31</v>
      </c>
      <c r="B185" s="234" t="s">
        <v>2972</v>
      </c>
      <c r="C185" s="1417"/>
      <c r="D185" s="1448"/>
      <c r="E185" s="1449">
        <v>12351</v>
      </c>
      <c r="F185" s="1450"/>
      <c r="G185" s="1430"/>
      <c r="H185" s="1451"/>
      <c r="I185" s="1427"/>
      <c r="K185" s="1437">
        <f>F184-F185</f>
        <v>0</v>
      </c>
      <c r="L185" s="1440">
        <f>E184-E185</f>
        <v>-12351</v>
      </c>
    </row>
    <row r="186" spans="1:12" ht="13.5" customHeight="1" x14ac:dyDescent="0.35">
      <c r="A186" s="1416">
        <v>1</v>
      </c>
      <c r="B186" s="1404" t="s">
        <v>2973</v>
      </c>
      <c r="C186" s="1417" t="s">
        <v>2661</v>
      </c>
      <c r="D186" s="1452"/>
      <c r="E186" s="1453"/>
      <c r="F186" s="1454">
        <f t="shared" ref="F186:F196" si="10">D186*E186</f>
        <v>0</v>
      </c>
      <c r="G186" s="1452"/>
      <c r="H186" s="1453"/>
      <c r="I186" s="1455">
        <f t="shared" ref="I186:I196" si="11">G186*H186</f>
        <v>0</v>
      </c>
      <c r="K186" s="1437"/>
    </row>
    <row r="187" spans="1:12" ht="13.5" customHeight="1" x14ac:dyDescent="0.35">
      <c r="A187" s="1416">
        <v>2</v>
      </c>
      <c r="B187" s="1404" t="s">
        <v>2974</v>
      </c>
      <c r="C187" s="1417" t="s">
        <v>2661</v>
      </c>
      <c r="D187" s="1452"/>
      <c r="E187" s="1453"/>
      <c r="F187" s="1454">
        <f t="shared" si="10"/>
        <v>0</v>
      </c>
      <c r="G187" s="1452"/>
      <c r="H187" s="1453"/>
      <c r="I187" s="1455">
        <f t="shared" si="11"/>
        <v>0</v>
      </c>
      <c r="K187" s="1437"/>
    </row>
    <row r="188" spans="1:12" ht="13.5" customHeight="1" x14ac:dyDescent="0.35">
      <c r="A188" s="1416">
        <v>3</v>
      </c>
      <c r="B188" s="1404" t="s">
        <v>2975</v>
      </c>
      <c r="C188" s="1417" t="s">
        <v>2661</v>
      </c>
      <c r="D188" s="1452"/>
      <c r="E188" s="1453"/>
      <c r="F188" s="1454">
        <f t="shared" si="10"/>
        <v>0</v>
      </c>
      <c r="G188" s="1452"/>
      <c r="H188" s="1453"/>
      <c r="I188" s="1455">
        <f t="shared" si="11"/>
        <v>0</v>
      </c>
      <c r="K188" s="1437"/>
    </row>
    <row r="189" spans="1:12" ht="13.5" customHeight="1" x14ac:dyDescent="0.35">
      <c r="A189" s="1416">
        <v>4</v>
      </c>
      <c r="B189" s="1404" t="s">
        <v>2976</v>
      </c>
      <c r="C189" s="1417" t="s">
        <v>2661</v>
      </c>
      <c r="D189" s="1456"/>
      <c r="E189" s="1453"/>
      <c r="F189" s="1454">
        <f t="shared" si="10"/>
        <v>0</v>
      </c>
      <c r="G189" s="1456"/>
      <c r="H189" s="1453"/>
      <c r="I189" s="1455">
        <f t="shared" si="11"/>
        <v>0</v>
      </c>
      <c r="K189" s="1437"/>
    </row>
    <row r="190" spans="1:12" ht="13.5" customHeight="1" x14ac:dyDescent="0.35">
      <c r="A190" s="1416">
        <v>5</v>
      </c>
      <c r="B190" s="1404" t="s">
        <v>2977</v>
      </c>
      <c r="C190" s="1417" t="s">
        <v>2661</v>
      </c>
      <c r="D190" s="1452"/>
      <c r="E190" s="1453"/>
      <c r="F190" s="1454">
        <f t="shared" si="10"/>
        <v>0</v>
      </c>
      <c r="G190" s="1452"/>
      <c r="H190" s="1453"/>
      <c r="I190" s="1455">
        <f t="shared" si="11"/>
        <v>0</v>
      </c>
      <c r="K190" s="1437"/>
    </row>
    <row r="191" spans="1:12" ht="13.5" customHeight="1" x14ac:dyDescent="0.35">
      <c r="A191" s="1416">
        <v>6</v>
      </c>
      <c r="B191" s="1404" t="s">
        <v>2978</v>
      </c>
      <c r="C191" s="1417" t="s">
        <v>2661</v>
      </c>
      <c r="D191" s="1452"/>
      <c r="E191" s="1453"/>
      <c r="F191" s="1454">
        <f t="shared" si="10"/>
        <v>0</v>
      </c>
      <c r="G191" s="1452"/>
      <c r="H191" s="1453"/>
      <c r="I191" s="1455">
        <f t="shared" si="11"/>
        <v>0</v>
      </c>
      <c r="K191" s="1437"/>
    </row>
    <row r="192" spans="1:12" ht="13.5" customHeight="1" x14ac:dyDescent="0.35">
      <c r="A192" s="1416">
        <v>7</v>
      </c>
      <c r="B192" s="1404" t="s">
        <v>2979</v>
      </c>
      <c r="C192" s="1417" t="s">
        <v>2661</v>
      </c>
      <c r="D192" s="1452"/>
      <c r="E192" s="1453"/>
      <c r="F192" s="1454">
        <f t="shared" si="10"/>
        <v>0</v>
      </c>
      <c r="G192" s="1452"/>
      <c r="H192" s="1453"/>
      <c r="I192" s="1455">
        <f t="shared" si="11"/>
        <v>0</v>
      </c>
      <c r="K192" s="1437"/>
    </row>
    <row r="193" spans="1:13" ht="13.5" customHeight="1" x14ac:dyDescent="0.35">
      <c r="A193" s="1416">
        <v>8</v>
      </c>
      <c r="B193" s="1404" t="s">
        <v>2980</v>
      </c>
      <c r="C193" s="1417" t="s">
        <v>2661</v>
      </c>
      <c r="D193" s="1452"/>
      <c r="E193" s="1453"/>
      <c r="F193" s="1454">
        <f t="shared" si="10"/>
        <v>0</v>
      </c>
      <c r="G193" s="1452"/>
      <c r="H193" s="1453"/>
      <c r="I193" s="1455">
        <f t="shared" si="11"/>
        <v>0</v>
      </c>
      <c r="K193" s="1437"/>
    </row>
    <row r="194" spans="1:13" ht="13.5" customHeight="1" x14ac:dyDescent="0.35">
      <c r="A194" s="1416">
        <v>9</v>
      </c>
      <c r="B194" s="1404" t="s">
        <v>2981</v>
      </c>
      <c r="C194" s="1417" t="s">
        <v>2661</v>
      </c>
      <c r="D194" s="1452"/>
      <c r="E194" s="1453"/>
      <c r="F194" s="1454">
        <f t="shared" si="10"/>
        <v>0</v>
      </c>
      <c r="G194" s="1452"/>
      <c r="H194" s="1453"/>
      <c r="I194" s="1455">
        <f t="shared" si="11"/>
        <v>0</v>
      </c>
      <c r="K194" s="1437"/>
    </row>
    <row r="195" spans="1:13" ht="13.5" customHeight="1" x14ac:dyDescent="0.35">
      <c r="A195" s="1416">
        <v>10</v>
      </c>
      <c r="B195" s="1404" t="s">
        <v>2982</v>
      </c>
      <c r="C195" s="1417" t="s">
        <v>2661</v>
      </c>
      <c r="D195" s="1452"/>
      <c r="E195" s="1453"/>
      <c r="F195" s="1454">
        <f t="shared" si="10"/>
        <v>0</v>
      </c>
      <c r="G195" s="1452"/>
      <c r="H195" s="1453"/>
      <c r="I195" s="1455">
        <f t="shared" si="11"/>
        <v>0</v>
      </c>
      <c r="K195" s="1437"/>
    </row>
    <row r="196" spans="1:13" ht="13.5" customHeight="1" x14ac:dyDescent="0.35">
      <c r="A196" s="1416">
        <v>11</v>
      </c>
      <c r="B196" s="1404" t="s">
        <v>2983</v>
      </c>
      <c r="C196" s="1417" t="s">
        <v>2661</v>
      </c>
      <c r="D196" s="1452"/>
      <c r="E196" s="1543"/>
      <c r="F196" s="1544">
        <f t="shared" si="10"/>
        <v>0</v>
      </c>
      <c r="G196" s="1452"/>
      <c r="H196" s="1543"/>
      <c r="I196" s="1545">
        <f t="shared" si="11"/>
        <v>0</v>
      </c>
      <c r="K196" s="1437"/>
    </row>
    <row r="197" spans="1:13" ht="13.5" customHeight="1" x14ac:dyDescent="0.35">
      <c r="A197" s="1416"/>
      <c r="B197" s="1404"/>
      <c r="C197" s="1458"/>
      <c r="D197" s="1459">
        <f t="shared" ref="D197:I197" si="12">SUM(D186:D196)</f>
        <v>0</v>
      </c>
      <c r="E197" s="1460">
        <f t="shared" si="12"/>
        <v>0</v>
      </c>
      <c r="F197" s="1461">
        <f t="shared" si="12"/>
        <v>0</v>
      </c>
      <c r="G197" s="1451">
        <f t="shared" si="12"/>
        <v>0</v>
      </c>
      <c r="H197" s="1451">
        <f t="shared" si="12"/>
        <v>0</v>
      </c>
      <c r="I197" s="1451">
        <f t="shared" si="12"/>
        <v>0</v>
      </c>
      <c r="K197" s="1457">
        <v>4</v>
      </c>
    </row>
    <row r="198" spans="1:13" ht="13.5" customHeight="1" x14ac:dyDescent="0.3">
      <c r="A198" s="1416"/>
      <c r="B198" s="1404"/>
      <c r="C198" s="1417"/>
      <c r="D198" s="1451"/>
      <c r="E198" s="1462"/>
      <c r="F198" s="1463">
        <v>9213280</v>
      </c>
      <c r="G198" s="1430"/>
      <c r="H198" s="1451"/>
      <c r="I198" s="1412"/>
      <c r="K198" s="1457"/>
    </row>
    <row r="199" spans="1:13" ht="13.5" customHeight="1" x14ac:dyDescent="0.35">
      <c r="A199" s="1218">
        <v>5</v>
      </c>
      <c r="B199" s="234" t="s">
        <v>2984</v>
      </c>
      <c r="C199" s="1417"/>
      <c r="D199" s="1406"/>
      <c r="E199" s="1464"/>
      <c r="F199" s="1411"/>
      <c r="G199" s="1424"/>
      <c r="H199" s="1417"/>
      <c r="I199" s="1421"/>
      <c r="K199" s="1465">
        <f>F197-F198</f>
        <v>-9213280</v>
      </c>
      <c r="L199" s="735"/>
    </row>
    <row r="200" spans="1:13" ht="15" customHeight="1" x14ac:dyDescent="0.3">
      <c r="A200" s="1416">
        <v>1</v>
      </c>
      <c r="B200" s="1404" t="s">
        <v>2985</v>
      </c>
      <c r="C200" s="1417" t="s">
        <v>2986</v>
      </c>
      <c r="D200" s="1466"/>
      <c r="E200" s="1467"/>
      <c r="F200" s="1468">
        <f>D200*E200</f>
        <v>0</v>
      </c>
      <c r="G200" s="1466"/>
      <c r="H200" s="1467"/>
      <c r="I200" s="1469">
        <f>G200*H200</f>
        <v>0</v>
      </c>
      <c r="L200" s="1230">
        <v>9213</v>
      </c>
    </row>
    <row r="201" spans="1:13" ht="15" customHeight="1" x14ac:dyDescent="0.3">
      <c r="A201" s="129">
        <v>2</v>
      </c>
      <c r="B201" s="1404" t="s">
        <v>2987</v>
      </c>
      <c r="C201" s="1417" t="s">
        <v>2988</v>
      </c>
      <c r="D201" s="1466"/>
      <c r="E201" s="1470"/>
      <c r="F201" s="1468">
        <f>D201*E201</f>
        <v>0</v>
      </c>
      <c r="G201" s="1466"/>
      <c r="H201" s="1470"/>
      <c r="I201" s="1469">
        <f>G201*H201</f>
        <v>0</v>
      </c>
      <c r="L201" s="1230">
        <f>F200-L200</f>
        <v>-9213</v>
      </c>
    </row>
    <row r="202" spans="1:13" ht="15" customHeight="1" x14ac:dyDescent="0.3">
      <c r="A202" s="129">
        <v>3</v>
      </c>
      <c r="B202" s="1404" t="s">
        <v>2989</v>
      </c>
      <c r="C202" s="1417"/>
      <c r="D202" s="1466"/>
      <c r="E202" s="1470"/>
      <c r="F202" s="1468"/>
      <c r="G202" s="1466"/>
      <c r="H202" s="1470"/>
      <c r="I202" s="1469"/>
      <c r="L202" s="1230"/>
    </row>
    <row r="203" spans="1:13" ht="15" customHeight="1" x14ac:dyDescent="0.3">
      <c r="A203" s="129">
        <v>4</v>
      </c>
      <c r="B203" s="1404" t="s">
        <v>2990</v>
      </c>
      <c r="C203" s="1417"/>
      <c r="D203" s="1471"/>
      <c r="E203" s="1472"/>
      <c r="F203" s="1473"/>
      <c r="G203" s="1471"/>
      <c r="H203" s="1472"/>
      <c r="I203" s="1474"/>
      <c r="L203" s="1230"/>
    </row>
    <row r="204" spans="1:13" ht="15" customHeight="1" x14ac:dyDescent="0.3">
      <c r="A204" s="129"/>
      <c r="B204" s="1404"/>
      <c r="C204" s="1417"/>
      <c r="D204" s="1475"/>
      <c r="E204" s="1476"/>
      <c r="F204" s="1477">
        <f>SUM(F200:F203)</f>
        <v>0</v>
      </c>
      <c r="G204" s="1430"/>
      <c r="H204" s="1406"/>
      <c r="I204" s="1477">
        <f>SUM(I200:I203)</f>
        <v>0</v>
      </c>
      <c r="L204" s="181" t="e">
        <f>L200/E200</f>
        <v>#DIV/0!</v>
      </c>
      <c r="M204" s="181" t="s">
        <v>2991</v>
      </c>
    </row>
    <row r="205" spans="1:13" ht="15" customHeight="1" x14ac:dyDescent="0.3">
      <c r="A205" s="97">
        <v>6</v>
      </c>
      <c r="B205" s="234" t="s">
        <v>2992</v>
      </c>
      <c r="C205" s="1417"/>
      <c r="D205" s="1475"/>
      <c r="E205" s="1476"/>
      <c r="F205" s="1478"/>
      <c r="G205" s="1430"/>
      <c r="H205" s="1406"/>
      <c r="I205" s="1412"/>
    </row>
    <row r="206" spans="1:13" ht="15" customHeight="1" x14ac:dyDescent="0.3">
      <c r="A206" s="1479" t="s">
        <v>2447</v>
      </c>
      <c r="B206" s="1404" t="s">
        <v>2993</v>
      </c>
      <c r="C206" s="1480"/>
      <c r="D206" s="1481"/>
      <c r="E206" s="1481"/>
      <c r="F206" s="1454">
        <f t="shared" ref="F206:F269" si="13">D206*E206</f>
        <v>0</v>
      </c>
      <c r="G206" s="1481"/>
      <c r="H206" s="1481"/>
      <c r="I206" s="1411">
        <f>G206*H206</f>
        <v>0</v>
      </c>
      <c r="K206" s="1230"/>
    </row>
    <row r="207" spans="1:13" ht="15" customHeight="1" x14ac:dyDescent="0.3">
      <c r="A207" s="1479" t="s">
        <v>23</v>
      </c>
      <c r="B207" s="1404" t="s">
        <v>2994</v>
      </c>
      <c r="C207" s="1480"/>
      <c r="D207" s="1481"/>
      <c r="E207" s="1481"/>
      <c r="F207" s="1454">
        <f t="shared" si="13"/>
        <v>0</v>
      </c>
      <c r="G207" s="1481"/>
      <c r="H207" s="1481"/>
      <c r="I207" s="1411">
        <f t="shared" ref="I207:I270" si="14">G207*H207</f>
        <v>0</v>
      </c>
      <c r="K207" s="1230"/>
      <c r="L207" s="367"/>
    </row>
    <row r="208" spans="1:13" ht="15" customHeight="1" x14ac:dyDescent="0.3">
      <c r="A208" s="1479" t="s">
        <v>27</v>
      </c>
      <c r="B208" s="1404" t="s">
        <v>2995</v>
      </c>
      <c r="C208" s="1480"/>
      <c r="D208" s="1481"/>
      <c r="E208" s="1481"/>
      <c r="F208" s="1454">
        <f t="shared" si="13"/>
        <v>0</v>
      </c>
      <c r="G208" s="1481"/>
      <c r="H208" s="1481"/>
      <c r="I208" s="1411">
        <f t="shared" si="14"/>
        <v>0</v>
      </c>
      <c r="K208" s="1230"/>
    </row>
    <row r="209" spans="1:11" ht="15" customHeight="1" x14ac:dyDescent="0.3">
      <c r="A209" s="1479" t="s">
        <v>31</v>
      </c>
      <c r="B209" s="1404" t="s">
        <v>2996</v>
      </c>
      <c r="C209" s="1480"/>
      <c r="D209" s="1481"/>
      <c r="E209" s="1481"/>
      <c r="F209" s="1454">
        <f t="shared" si="13"/>
        <v>0</v>
      </c>
      <c r="G209" s="1481"/>
      <c r="H209" s="1481"/>
      <c r="I209" s="1411">
        <f t="shared" si="14"/>
        <v>0</v>
      </c>
      <c r="K209" s="1230"/>
    </row>
    <row r="210" spans="1:11" ht="15" customHeight="1" x14ac:dyDescent="0.3">
      <c r="A210" s="1479" t="s">
        <v>36</v>
      </c>
      <c r="B210" s="1404" t="s">
        <v>2997</v>
      </c>
      <c r="C210" s="1480"/>
      <c r="D210" s="1481"/>
      <c r="E210" s="1481"/>
      <c r="F210" s="1454">
        <f t="shared" si="13"/>
        <v>0</v>
      </c>
      <c r="G210" s="1481"/>
      <c r="H210" s="1481"/>
      <c r="I210" s="1411">
        <f t="shared" si="14"/>
        <v>0</v>
      </c>
      <c r="K210" s="1230"/>
    </row>
    <row r="211" spans="1:11" ht="15" customHeight="1" x14ac:dyDescent="0.3">
      <c r="A211" s="1479" t="s">
        <v>2449</v>
      </c>
      <c r="B211" s="1404" t="s">
        <v>2998</v>
      </c>
      <c r="C211" s="1480"/>
      <c r="D211" s="1481"/>
      <c r="E211" s="1481"/>
      <c r="F211" s="1454">
        <f t="shared" si="13"/>
        <v>0</v>
      </c>
      <c r="G211" s="1481"/>
      <c r="H211" s="1481"/>
      <c r="I211" s="1411">
        <f t="shared" si="14"/>
        <v>0</v>
      </c>
      <c r="K211" s="1230"/>
    </row>
    <row r="212" spans="1:11" ht="15" customHeight="1" x14ac:dyDescent="0.3">
      <c r="A212" s="1479" t="s">
        <v>759</v>
      </c>
      <c r="B212" s="1404" t="s">
        <v>2999</v>
      </c>
      <c r="C212" s="1480"/>
      <c r="D212" s="1481"/>
      <c r="E212" s="1481"/>
      <c r="F212" s="1454">
        <f t="shared" si="13"/>
        <v>0</v>
      </c>
      <c r="G212" s="1481"/>
      <c r="H212" s="1481"/>
      <c r="I212" s="1411">
        <f t="shared" si="14"/>
        <v>0</v>
      </c>
      <c r="K212" s="1230"/>
    </row>
    <row r="213" spans="1:11" ht="15" customHeight="1" x14ac:dyDescent="0.3">
      <c r="A213" s="1479" t="s">
        <v>701</v>
      </c>
      <c r="B213" s="1404" t="s">
        <v>3000</v>
      </c>
      <c r="C213" s="1480"/>
      <c r="D213" s="1481"/>
      <c r="E213" s="1481"/>
      <c r="F213" s="1454">
        <f t="shared" si="13"/>
        <v>0</v>
      </c>
      <c r="G213" s="1481"/>
      <c r="H213" s="1481"/>
      <c r="I213" s="1411">
        <f t="shared" si="14"/>
        <v>0</v>
      </c>
      <c r="K213" s="1230"/>
    </row>
    <row r="214" spans="1:11" ht="15" customHeight="1" x14ac:dyDescent="0.3">
      <c r="A214" s="1479" t="s">
        <v>1027</v>
      </c>
      <c r="B214" s="1404" t="s">
        <v>3001</v>
      </c>
      <c r="C214" s="1480"/>
      <c r="D214" s="1481"/>
      <c r="E214" s="1481"/>
      <c r="F214" s="1454">
        <f t="shared" si="13"/>
        <v>0</v>
      </c>
      <c r="G214" s="1481"/>
      <c r="H214" s="1481"/>
      <c r="I214" s="1411">
        <f t="shared" si="14"/>
        <v>0</v>
      </c>
      <c r="K214" s="1230"/>
    </row>
    <row r="215" spans="1:11" ht="15" customHeight="1" x14ac:dyDescent="0.3">
      <c r="A215" s="1479" t="s">
        <v>762</v>
      </c>
      <c r="B215" s="1404" t="s">
        <v>3002</v>
      </c>
      <c r="C215" s="1480"/>
      <c r="D215" s="1481"/>
      <c r="E215" s="1481"/>
      <c r="F215" s="1454">
        <f t="shared" si="13"/>
        <v>0</v>
      </c>
      <c r="G215" s="1481"/>
      <c r="H215" s="1481"/>
      <c r="I215" s="1411">
        <f t="shared" si="14"/>
        <v>0</v>
      </c>
      <c r="K215" s="1230"/>
    </row>
    <row r="216" spans="1:11" ht="15" customHeight="1" x14ac:dyDescent="0.3">
      <c r="A216" s="1479" t="s">
        <v>874</v>
      </c>
      <c r="B216" s="1404" t="s">
        <v>3003</v>
      </c>
      <c r="C216" s="1480"/>
      <c r="D216" s="1481"/>
      <c r="E216" s="1481"/>
      <c r="F216" s="1454">
        <f t="shared" si="13"/>
        <v>0</v>
      </c>
      <c r="G216" s="1481"/>
      <c r="H216" s="1481"/>
      <c r="I216" s="1411">
        <f t="shared" si="14"/>
        <v>0</v>
      </c>
      <c r="K216" s="1230"/>
    </row>
    <row r="217" spans="1:11" ht="15" customHeight="1" x14ac:dyDescent="0.3">
      <c r="A217" s="1479" t="s">
        <v>2450</v>
      </c>
      <c r="B217" s="1404" t="s">
        <v>3004</v>
      </c>
      <c r="C217" s="1480"/>
      <c r="D217" s="1481"/>
      <c r="E217" s="1481"/>
      <c r="F217" s="1454">
        <f t="shared" si="13"/>
        <v>0</v>
      </c>
      <c r="G217" s="1481"/>
      <c r="H217" s="1481"/>
      <c r="I217" s="1411">
        <f t="shared" si="14"/>
        <v>0</v>
      </c>
      <c r="K217" s="1230"/>
    </row>
    <row r="218" spans="1:11" ht="15" customHeight="1" x14ac:dyDescent="0.3">
      <c r="A218" s="1479" t="s">
        <v>2451</v>
      </c>
      <c r="B218" s="1404" t="s">
        <v>3005</v>
      </c>
      <c r="C218" s="1480"/>
      <c r="D218" s="1481"/>
      <c r="E218" s="1481"/>
      <c r="F218" s="1454">
        <f t="shared" si="13"/>
        <v>0</v>
      </c>
      <c r="G218" s="1481"/>
      <c r="H218" s="1481"/>
      <c r="I218" s="1411">
        <f t="shared" si="14"/>
        <v>0</v>
      </c>
      <c r="K218" s="1230"/>
    </row>
    <row r="219" spans="1:11" ht="15" customHeight="1" x14ac:dyDescent="0.3">
      <c r="A219" s="1479" t="s">
        <v>2452</v>
      </c>
      <c r="B219" s="1404" t="s">
        <v>3006</v>
      </c>
      <c r="C219" s="1480"/>
      <c r="D219" s="1481"/>
      <c r="E219" s="1481"/>
      <c r="F219" s="1454">
        <f t="shared" si="13"/>
        <v>0</v>
      </c>
      <c r="G219" s="1481"/>
      <c r="H219" s="1481"/>
      <c r="I219" s="1411">
        <f t="shared" si="14"/>
        <v>0</v>
      </c>
      <c r="K219" s="1230"/>
    </row>
    <row r="220" spans="1:11" ht="15" customHeight="1" x14ac:dyDescent="0.3">
      <c r="A220" s="1479" t="s">
        <v>2453</v>
      </c>
      <c r="B220" s="1404" t="s">
        <v>3007</v>
      </c>
      <c r="C220" s="1480"/>
      <c r="D220" s="1481"/>
      <c r="E220" s="1481"/>
      <c r="F220" s="1454">
        <f t="shared" si="13"/>
        <v>0</v>
      </c>
      <c r="G220" s="1481"/>
      <c r="H220" s="1481"/>
      <c r="I220" s="1411">
        <f t="shared" si="14"/>
        <v>0</v>
      </c>
      <c r="K220" s="1230"/>
    </row>
    <row r="221" spans="1:11" ht="15" customHeight="1" x14ac:dyDescent="0.3">
      <c r="A221" s="1479" t="s">
        <v>2454</v>
      </c>
      <c r="B221" s="1404" t="s">
        <v>2673</v>
      </c>
      <c r="C221" s="1480"/>
      <c r="D221" s="1481"/>
      <c r="E221" s="1481"/>
      <c r="F221" s="1454">
        <f t="shared" si="13"/>
        <v>0</v>
      </c>
      <c r="G221" s="1481"/>
      <c r="H221" s="1481"/>
      <c r="I221" s="1411">
        <f t="shared" si="14"/>
        <v>0</v>
      </c>
      <c r="K221" s="1230"/>
    </row>
    <row r="222" spans="1:11" ht="15" customHeight="1" x14ac:dyDescent="0.3">
      <c r="A222" s="1479" t="s">
        <v>2455</v>
      </c>
      <c r="B222" s="1404" t="s">
        <v>3008</v>
      </c>
      <c r="C222" s="1480"/>
      <c r="D222" s="1481"/>
      <c r="E222" s="1481"/>
      <c r="F222" s="1454">
        <f t="shared" si="13"/>
        <v>0</v>
      </c>
      <c r="G222" s="1481"/>
      <c r="H222" s="1481"/>
      <c r="I222" s="1411">
        <f t="shared" si="14"/>
        <v>0</v>
      </c>
      <c r="K222" s="1230"/>
    </row>
    <row r="223" spans="1:11" ht="15" customHeight="1" x14ac:dyDescent="0.3">
      <c r="A223" s="1479" t="s">
        <v>168</v>
      </c>
      <c r="B223" s="1404" t="s">
        <v>3009</v>
      </c>
      <c r="C223" s="1480"/>
      <c r="D223" s="1481"/>
      <c r="E223" s="1481"/>
      <c r="F223" s="1454">
        <f t="shared" si="13"/>
        <v>0</v>
      </c>
      <c r="G223" s="1481"/>
      <c r="H223" s="1481"/>
      <c r="I223" s="1411">
        <f t="shared" si="14"/>
        <v>0</v>
      </c>
      <c r="K223" s="1230"/>
    </row>
    <row r="224" spans="1:11" ht="15" customHeight="1" x14ac:dyDescent="0.3">
      <c r="A224" s="1479" t="s">
        <v>171</v>
      </c>
      <c r="B224" s="1404" t="s">
        <v>3010</v>
      </c>
      <c r="C224" s="1480"/>
      <c r="D224" s="1481"/>
      <c r="E224" s="1481"/>
      <c r="F224" s="1454">
        <f t="shared" si="13"/>
        <v>0</v>
      </c>
      <c r="G224" s="1481"/>
      <c r="H224" s="1481"/>
      <c r="I224" s="1411">
        <f t="shared" si="14"/>
        <v>0</v>
      </c>
      <c r="K224" s="1230"/>
    </row>
    <row r="225" spans="1:11" ht="15" customHeight="1" x14ac:dyDescent="0.3">
      <c r="A225" s="1479" t="s">
        <v>173</v>
      </c>
      <c r="B225" s="1404" t="s">
        <v>3011</v>
      </c>
      <c r="C225" s="1480"/>
      <c r="D225" s="1481"/>
      <c r="E225" s="1481"/>
      <c r="F225" s="1454">
        <f t="shared" si="13"/>
        <v>0</v>
      </c>
      <c r="G225" s="1481"/>
      <c r="H225" s="1481"/>
      <c r="I225" s="1411">
        <f t="shared" si="14"/>
        <v>0</v>
      </c>
      <c r="K225" s="1230"/>
    </row>
    <row r="226" spans="1:11" ht="15" customHeight="1" x14ac:dyDescent="0.3">
      <c r="A226" s="1479" t="s">
        <v>2456</v>
      </c>
      <c r="B226" s="1404" t="s">
        <v>3012</v>
      </c>
      <c r="C226" s="1480"/>
      <c r="D226" s="1481"/>
      <c r="E226" s="1481"/>
      <c r="F226" s="1454">
        <f t="shared" si="13"/>
        <v>0</v>
      </c>
      <c r="G226" s="1481"/>
      <c r="H226" s="1481"/>
      <c r="I226" s="1411">
        <f t="shared" si="14"/>
        <v>0</v>
      </c>
      <c r="K226" s="1230"/>
    </row>
    <row r="227" spans="1:11" ht="15" customHeight="1" x14ac:dyDescent="0.3">
      <c r="A227" s="1479" t="s">
        <v>2457</v>
      </c>
      <c r="B227" s="1404" t="s">
        <v>3013</v>
      </c>
      <c r="C227" s="1480"/>
      <c r="D227" s="1481"/>
      <c r="E227" s="1481"/>
      <c r="F227" s="1454">
        <f t="shared" si="13"/>
        <v>0</v>
      </c>
      <c r="G227" s="1481"/>
      <c r="H227" s="1481"/>
      <c r="I227" s="1411">
        <f t="shared" si="14"/>
        <v>0</v>
      </c>
      <c r="K227" s="1230"/>
    </row>
    <row r="228" spans="1:11" ht="15" customHeight="1" x14ac:dyDescent="0.3">
      <c r="A228" s="1479" t="s">
        <v>2458</v>
      </c>
      <c r="B228" s="1404" t="s">
        <v>3014</v>
      </c>
      <c r="C228" s="1480"/>
      <c r="D228" s="1481"/>
      <c r="E228" s="1481"/>
      <c r="F228" s="1454">
        <f t="shared" si="13"/>
        <v>0</v>
      </c>
      <c r="G228" s="1481"/>
      <c r="H228" s="1481"/>
      <c r="I228" s="1411">
        <f t="shared" si="14"/>
        <v>0</v>
      </c>
      <c r="K228" s="1230"/>
    </row>
    <row r="229" spans="1:11" ht="15" customHeight="1" x14ac:dyDescent="0.3">
      <c r="A229" s="1479" t="s">
        <v>2459</v>
      </c>
      <c r="B229" s="1404" t="s">
        <v>3015</v>
      </c>
      <c r="C229" s="1480"/>
      <c r="D229" s="1481"/>
      <c r="E229" s="1481"/>
      <c r="F229" s="1454">
        <f t="shared" si="13"/>
        <v>0</v>
      </c>
      <c r="G229" s="1481"/>
      <c r="H229" s="1481"/>
      <c r="I229" s="1411">
        <f t="shared" si="14"/>
        <v>0</v>
      </c>
      <c r="K229" s="1230"/>
    </row>
    <row r="230" spans="1:11" ht="15" customHeight="1" x14ac:dyDescent="0.3">
      <c r="A230" s="1479" t="s">
        <v>2460</v>
      </c>
      <c r="B230" s="1404" t="s">
        <v>3016</v>
      </c>
      <c r="C230" s="1480"/>
      <c r="D230" s="1481"/>
      <c r="E230" s="1481"/>
      <c r="F230" s="1454">
        <f t="shared" si="13"/>
        <v>0</v>
      </c>
      <c r="G230" s="1481"/>
      <c r="H230" s="1481"/>
      <c r="I230" s="1411">
        <f t="shared" si="14"/>
        <v>0</v>
      </c>
      <c r="K230" s="1230"/>
    </row>
    <row r="231" spans="1:11" ht="15" customHeight="1" x14ac:dyDescent="0.3">
      <c r="A231" s="1479" t="s">
        <v>2461</v>
      </c>
      <c r="B231" s="1404" t="s">
        <v>3017</v>
      </c>
      <c r="C231" s="1480"/>
      <c r="D231" s="1481"/>
      <c r="E231" s="1481"/>
      <c r="F231" s="1454">
        <f t="shared" si="13"/>
        <v>0</v>
      </c>
      <c r="G231" s="1481"/>
      <c r="H231" s="1481"/>
      <c r="I231" s="1411">
        <f t="shared" si="14"/>
        <v>0</v>
      </c>
      <c r="K231" s="1230"/>
    </row>
    <row r="232" spans="1:11" ht="15" customHeight="1" x14ac:dyDescent="0.3">
      <c r="A232" s="1479" t="s">
        <v>2462</v>
      </c>
      <c r="B232" s="1404" t="s">
        <v>3018</v>
      </c>
      <c r="C232" s="1480"/>
      <c r="D232" s="1481"/>
      <c r="E232" s="1481"/>
      <c r="F232" s="1454">
        <f t="shared" si="13"/>
        <v>0</v>
      </c>
      <c r="G232" s="1481"/>
      <c r="H232" s="1481"/>
      <c r="I232" s="1411">
        <f t="shared" si="14"/>
        <v>0</v>
      </c>
      <c r="K232" s="1230"/>
    </row>
    <row r="233" spans="1:11" ht="15" customHeight="1" x14ac:dyDescent="0.3">
      <c r="A233" s="1479" t="s">
        <v>2463</v>
      </c>
      <c r="B233" s="1404" t="s">
        <v>3019</v>
      </c>
      <c r="C233" s="1480"/>
      <c r="D233" s="1481"/>
      <c r="E233" s="1481"/>
      <c r="F233" s="1454">
        <f t="shared" si="13"/>
        <v>0</v>
      </c>
      <c r="G233" s="1481"/>
      <c r="H233" s="1481"/>
      <c r="I233" s="1411">
        <f t="shared" si="14"/>
        <v>0</v>
      </c>
      <c r="K233" s="1230"/>
    </row>
    <row r="234" spans="1:11" ht="15" customHeight="1" x14ac:dyDescent="0.3">
      <c r="A234" s="1479" t="s">
        <v>2464</v>
      </c>
      <c r="B234" s="1404" t="s">
        <v>3020</v>
      </c>
      <c r="C234" s="1480"/>
      <c r="D234" s="1481"/>
      <c r="E234" s="1481"/>
      <c r="F234" s="1454">
        <f t="shared" si="13"/>
        <v>0</v>
      </c>
      <c r="G234" s="1481"/>
      <c r="H234" s="1481"/>
      <c r="I234" s="1411">
        <f t="shared" si="14"/>
        <v>0</v>
      </c>
      <c r="K234" s="1230"/>
    </row>
    <row r="235" spans="1:11" ht="15" customHeight="1" x14ac:dyDescent="0.3">
      <c r="A235" s="1479" t="s">
        <v>2465</v>
      </c>
      <c r="B235" s="1404" t="s">
        <v>3021</v>
      </c>
      <c r="C235" s="1480"/>
      <c r="D235" s="1481"/>
      <c r="E235" s="1481"/>
      <c r="F235" s="1454">
        <f t="shared" si="13"/>
        <v>0</v>
      </c>
      <c r="G235" s="1481"/>
      <c r="H235" s="1481"/>
      <c r="I235" s="1411">
        <f t="shared" si="14"/>
        <v>0</v>
      </c>
      <c r="K235" s="1230"/>
    </row>
    <row r="236" spans="1:11" ht="15" customHeight="1" x14ac:dyDescent="0.3">
      <c r="A236" s="1479" t="s">
        <v>2466</v>
      </c>
      <c r="B236" s="1404" t="s">
        <v>3022</v>
      </c>
      <c r="C236" s="1480"/>
      <c r="D236" s="1481"/>
      <c r="E236" s="1481"/>
      <c r="F236" s="1454">
        <f t="shared" si="13"/>
        <v>0</v>
      </c>
      <c r="G236" s="1481"/>
      <c r="H236" s="1481"/>
      <c r="I236" s="1411">
        <f t="shared" si="14"/>
        <v>0</v>
      </c>
      <c r="K236" s="1230"/>
    </row>
    <row r="237" spans="1:11" ht="15" customHeight="1" x14ac:dyDescent="0.3">
      <c r="A237" s="1479" t="s">
        <v>2467</v>
      </c>
      <c r="B237" s="1404" t="s">
        <v>3023</v>
      </c>
      <c r="C237" s="1480"/>
      <c r="D237" s="1481"/>
      <c r="E237" s="1481"/>
      <c r="F237" s="1454">
        <f t="shared" si="13"/>
        <v>0</v>
      </c>
      <c r="G237" s="1481"/>
      <c r="H237" s="1481"/>
      <c r="I237" s="1411">
        <f t="shared" si="14"/>
        <v>0</v>
      </c>
      <c r="K237" s="1230"/>
    </row>
    <row r="238" spans="1:11" ht="15" customHeight="1" x14ac:dyDescent="0.3">
      <c r="A238" s="1479" t="s">
        <v>2468</v>
      </c>
      <c r="B238" s="1404" t="s">
        <v>3024</v>
      </c>
      <c r="C238" s="1480"/>
      <c r="D238" s="1481"/>
      <c r="E238" s="1481"/>
      <c r="F238" s="1454">
        <f t="shared" si="13"/>
        <v>0</v>
      </c>
      <c r="G238" s="1481"/>
      <c r="H238" s="1481"/>
      <c r="I238" s="1411">
        <f t="shared" si="14"/>
        <v>0</v>
      </c>
      <c r="K238" s="1230"/>
    </row>
    <row r="239" spans="1:11" ht="15" customHeight="1" x14ac:dyDescent="0.3">
      <c r="A239" s="1479" t="s">
        <v>2469</v>
      </c>
      <c r="B239" s="1404" t="s">
        <v>3025</v>
      </c>
      <c r="C239" s="1480"/>
      <c r="D239" s="1481"/>
      <c r="E239" s="1481"/>
      <c r="F239" s="1454">
        <f t="shared" si="13"/>
        <v>0</v>
      </c>
      <c r="G239" s="1481"/>
      <c r="H239" s="1481"/>
      <c r="I239" s="1411">
        <f t="shared" si="14"/>
        <v>0</v>
      </c>
      <c r="K239" s="1230"/>
    </row>
    <row r="240" spans="1:11" ht="15" customHeight="1" x14ac:dyDescent="0.3">
      <c r="A240" s="1479" t="s">
        <v>2470</v>
      </c>
      <c r="B240" s="1404" t="s">
        <v>3026</v>
      </c>
      <c r="C240" s="1480"/>
      <c r="D240" s="1481"/>
      <c r="E240" s="1481"/>
      <c r="F240" s="1454">
        <f t="shared" si="13"/>
        <v>0</v>
      </c>
      <c r="G240" s="1481"/>
      <c r="H240" s="1481"/>
      <c r="I240" s="1411">
        <f t="shared" si="14"/>
        <v>0</v>
      </c>
      <c r="K240" s="1230"/>
    </row>
    <row r="241" spans="1:11" ht="15" customHeight="1" x14ac:dyDescent="0.3">
      <c r="A241" s="1479" t="s">
        <v>2471</v>
      </c>
      <c r="B241" s="1404" t="s">
        <v>2674</v>
      </c>
      <c r="C241" s="1480"/>
      <c r="D241" s="1481"/>
      <c r="E241" s="1481"/>
      <c r="F241" s="1454">
        <f t="shared" si="13"/>
        <v>0</v>
      </c>
      <c r="G241" s="1481"/>
      <c r="H241" s="1481"/>
      <c r="I241" s="1411">
        <f t="shared" si="14"/>
        <v>0</v>
      </c>
      <c r="K241" s="1230"/>
    </row>
    <row r="242" spans="1:11" ht="15" customHeight="1" x14ac:dyDescent="0.3">
      <c r="A242" s="1479" t="s">
        <v>2472</v>
      </c>
      <c r="B242" s="1404" t="s">
        <v>3027</v>
      </c>
      <c r="C242" s="1480"/>
      <c r="D242" s="1481"/>
      <c r="E242" s="1481"/>
      <c r="F242" s="1454">
        <f t="shared" si="13"/>
        <v>0</v>
      </c>
      <c r="G242" s="1481"/>
      <c r="H242" s="1481"/>
      <c r="I242" s="1411">
        <f t="shared" si="14"/>
        <v>0</v>
      </c>
      <c r="K242" s="1230"/>
    </row>
    <row r="243" spans="1:11" ht="15" customHeight="1" x14ac:dyDescent="0.3">
      <c r="A243" s="1479" t="s">
        <v>2473</v>
      </c>
      <c r="B243" s="1404" t="s">
        <v>3028</v>
      </c>
      <c r="C243" s="1480"/>
      <c r="D243" s="1481"/>
      <c r="E243" s="1481"/>
      <c r="F243" s="1454">
        <f t="shared" si="13"/>
        <v>0</v>
      </c>
      <c r="G243" s="1481"/>
      <c r="H243" s="1481"/>
      <c r="I243" s="1411">
        <f t="shared" si="14"/>
        <v>0</v>
      </c>
      <c r="K243" s="1230"/>
    </row>
    <row r="244" spans="1:11" ht="15" customHeight="1" x14ac:dyDescent="0.3">
      <c r="A244" s="1479" t="s">
        <v>2474</v>
      </c>
      <c r="B244" s="1404" t="s">
        <v>3029</v>
      </c>
      <c r="C244" s="1480"/>
      <c r="D244" s="1481"/>
      <c r="E244" s="1481"/>
      <c r="F244" s="1454">
        <f t="shared" si="13"/>
        <v>0</v>
      </c>
      <c r="G244" s="1481"/>
      <c r="H244" s="1481"/>
      <c r="I244" s="1411">
        <f t="shared" si="14"/>
        <v>0</v>
      </c>
      <c r="K244" s="1230"/>
    </row>
    <row r="245" spans="1:11" ht="15" customHeight="1" x14ac:dyDescent="0.3">
      <c r="A245" s="1479" t="s">
        <v>2475</v>
      </c>
      <c r="B245" s="1404" t="s">
        <v>3030</v>
      </c>
      <c r="C245" s="1480"/>
      <c r="D245" s="1481"/>
      <c r="E245" s="1481"/>
      <c r="F245" s="1454">
        <f t="shared" si="13"/>
        <v>0</v>
      </c>
      <c r="G245" s="1481"/>
      <c r="H245" s="1481"/>
      <c r="I245" s="1411">
        <f t="shared" si="14"/>
        <v>0</v>
      </c>
      <c r="K245" s="1230"/>
    </row>
    <row r="246" spans="1:11" ht="15" customHeight="1" x14ac:dyDescent="0.3">
      <c r="A246" s="1479" t="s">
        <v>2476</v>
      </c>
      <c r="B246" s="1404" t="s">
        <v>3031</v>
      </c>
      <c r="C246" s="1480"/>
      <c r="D246" s="1481"/>
      <c r="E246" s="1481"/>
      <c r="F246" s="1454">
        <f t="shared" si="13"/>
        <v>0</v>
      </c>
      <c r="G246" s="1481"/>
      <c r="H246" s="1481"/>
      <c r="I246" s="1411">
        <f t="shared" si="14"/>
        <v>0</v>
      </c>
      <c r="K246" s="1230"/>
    </row>
    <row r="247" spans="1:11" ht="15" customHeight="1" x14ac:dyDescent="0.3">
      <c r="A247" s="1479" t="s">
        <v>2477</v>
      </c>
      <c r="B247" s="1404" t="s">
        <v>3032</v>
      </c>
      <c r="C247" s="1480"/>
      <c r="D247" s="1481"/>
      <c r="E247" s="1481"/>
      <c r="F247" s="1454">
        <f t="shared" si="13"/>
        <v>0</v>
      </c>
      <c r="G247" s="1481"/>
      <c r="H247" s="1481"/>
      <c r="I247" s="1411">
        <f t="shared" si="14"/>
        <v>0</v>
      </c>
      <c r="K247" s="1230"/>
    </row>
    <row r="248" spans="1:11" ht="15" customHeight="1" x14ac:dyDescent="0.3">
      <c r="A248" s="1479" t="s">
        <v>2478</v>
      </c>
      <c r="B248" s="1404" t="s">
        <v>3033</v>
      </c>
      <c r="C248" s="1480"/>
      <c r="D248" s="1481"/>
      <c r="E248" s="1481"/>
      <c r="F248" s="1454">
        <f t="shared" si="13"/>
        <v>0</v>
      </c>
      <c r="G248" s="1481"/>
      <c r="H248" s="1481"/>
      <c r="I248" s="1411">
        <f t="shared" si="14"/>
        <v>0</v>
      </c>
      <c r="K248" s="1230"/>
    </row>
    <row r="249" spans="1:11" ht="15" customHeight="1" x14ac:dyDescent="0.3">
      <c r="A249" s="1479" t="s">
        <v>2479</v>
      </c>
      <c r="B249" s="1404" t="s">
        <v>3034</v>
      </c>
      <c r="C249" s="1480"/>
      <c r="D249" s="1481"/>
      <c r="E249" s="1481"/>
      <c r="F249" s="1454">
        <f t="shared" si="13"/>
        <v>0</v>
      </c>
      <c r="G249" s="1481"/>
      <c r="H249" s="1481"/>
      <c r="I249" s="1411">
        <f t="shared" si="14"/>
        <v>0</v>
      </c>
      <c r="K249" s="1230"/>
    </row>
    <row r="250" spans="1:11" ht="15" customHeight="1" x14ac:dyDescent="0.3">
      <c r="A250" s="1479" t="s">
        <v>2480</v>
      </c>
      <c r="B250" s="1404" t="s">
        <v>3035</v>
      </c>
      <c r="C250" s="1480"/>
      <c r="D250" s="1481"/>
      <c r="E250" s="1481"/>
      <c r="F250" s="1454">
        <f t="shared" si="13"/>
        <v>0</v>
      </c>
      <c r="G250" s="1481"/>
      <c r="H250" s="1481"/>
      <c r="I250" s="1411">
        <f t="shared" si="14"/>
        <v>0</v>
      </c>
      <c r="K250" s="1230"/>
    </row>
    <row r="251" spans="1:11" ht="15" customHeight="1" x14ac:dyDescent="0.3">
      <c r="A251" s="1479" t="s">
        <v>2481</v>
      </c>
      <c r="B251" s="1404" t="s">
        <v>3036</v>
      </c>
      <c r="C251" s="1480"/>
      <c r="D251" s="1481"/>
      <c r="E251" s="1481"/>
      <c r="F251" s="1454">
        <f t="shared" si="13"/>
        <v>0</v>
      </c>
      <c r="G251" s="1481"/>
      <c r="H251" s="1481"/>
      <c r="I251" s="1411">
        <f t="shared" si="14"/>
        <v>0</v>
      </c>
      <c r="K251" s="1230"/>
    </row>
    <row r="252" spans="1:11" ht="15" customHeight="1" x14ac:dyDescent="0.3">
      <c r="A252" s="1479" t="s">
        <v>2482</v>
      </c>
      <c r="B252" s="1404" t="s">
        <v>3037</v>
      </c>
      <c r="C252" s="1480"/>
      <c r="D252" s="1481"/>
      <c r="E252" s="1481"/>
      <c r="F252" s="1454">
        <f t="shared" si="13"/>
        <v>0</v>
      </c>
      <c r="G252" s="1481"/>
      <c r="H252" s="1481"/>
      <c r="I252" s="1411">
        <f t="shared" si="14"/>
        <v>0</v>
      </c>
      <c r="K252" s="1230"/>
    </row>
    <row r="253" spans="1:11" ht="15" customHeight="1" x14ac:dyDescent="0.3">
      <c r="A253" s="1479" t="s">
        <v>2483</v>
      </c>
      <c r="B253" s="1404" t="s">
        <v>3038</v>
      </c>
      <c r="C253" s="1480"/>
      <c r="D253" s="1481"/>
      <c r="E253" s="1481"/>
      <c r="F253" s="1454">
        <f t="shared" si="13"/>
        <v>0</v>
      </c>
      <c r="G253" s="1481"/>
      <c r="H253" s="1481"/>
      <c r="I253" s="1411">
        <f t="shared" si="14"/>
        <v>0</v>
      </c>
      <c r="K253" s="1230"/>
    </row>
    <row r="254" spans="1:11" ht="15" customHeight="1" x14ac:dyDescent="0.3">
      <c r="A254" s="1479" t="s">
        <v>2484</v>
      </c>
      <c r="B254" s="1404" t="s">
        <v>3039</v>
      </c>
      <c r="C254" s="1480"/>
      <c r="D254" s="1481"/>
      <c r="E254" s="1481"/>
      <c r="F254" s="1454">
        <f t="shared" si="13"/>
        <v>0</v>
      </c>
      <c r="G254" s="1481"/>
      <c r="H254" s="1481"/>
      <c r="I254" s="1411">
        <f t="shared" si="14"/>
        <v>0</v>
      </c>
      <c r="K254" s="1230"/>
    </row>
    <row r="255" spans="1:11" ht="15" customHeight="1" x14ac:dyDescent="0.3">
      <c r="A255" s="1479" t="s">
        <v>85</v>
      </c>
      <c r="B255" s="1404" t="s">
        <v>3040</v>
      </c>
      <c r="C255" s="1480"/>
      <c r="D255" s="1481"/>
      <c r="E255" s="1481"/>
      <c r="F255" s="1454">
        <f t="shared" si="13"/>
        <v>0</v>
      </c>
      <c r="G255" s="1481"/>
      <c r="H255" s="1481"/>
      <c r="I255" s="1411">
        <f t="shared" si="14"/>
        <v>0</v>
      </c>
      <c r="K255" s="1230"/>
    </row>
    <row r="256" spans="1:11" ht="15" customHeight="1" x14ac:dyDescent="0.3">
      <c r="A256" s="1479" t="s">
        <v>89</v>
      </c>
      <c r="B256" s="1404" t="s">
        <v>3041</v>
      </c>
      <c r="C256" s="1480"/>
      <c r="D256" s="1481"/>
      <c r="E256" s="1481"/>
      <c r="F256" s="1454">
        <f t="shared" si="13"/>
        <v>0</v>
      </c>
      <c r="G256" s="1481"/>
      <c r="H256" s="1481"/>
      <c r="I256" s="1411">
        <f t="shared" si="14"/>
        <v>0</v>
      </c>
      <c r="K256" s="1230"/>
    </row>
    <row r="257" spans="1:11" ht="15" customHeight="1" x14ac:dyDescent="0.3">
      <c r="A257" s="1479" t="s">
        <v>93</v>
      </c>
      <c r="B257" s="1404" t="s">
        <v>3042</v>
      </c>
      <c r="C257" s="1480"/>
      <c r="D257" s="1481"/>
      <c r="E257" s="1481"/>
      <c r="F257" s="1454">
        <f t="shared" si="13"/>
        <v>0</v>
      </c>
      <c r="G257" s="1481"/>
      <c r="H257" s="1481"/>
      <c r="I257" s="1411">
        <f t="shared" si="14"/>
        <v>0</v>
      </c>
      <c r="K257" s="1230"/>
    </row>
    <row r="258" spans="1:11" ht="15" customHeight="1" x14ac:dyDescent="0.3">
      <c r="A258" s="1479" t="s">
        <v>98</v>
      </c>
      <c r="B258" s="1404" t="s">
        <v>3043</v>
      </c>
      <c r="C258" s="1480"/>
      <c r="D258" s="1481"/>
      <c r="E258" s="1481"/>
      <c r="F258" s="1454">
        <f t="shared" si="13"/>
        <v>0</v>
      </c>
      <c r="G258" s="1481"/>
      <c r="H258" s="1481"/>
      <c r="I258" s="1411">
        <f t="shared" si="14"/>
        <v>0</v>
      </c>
      <c r="K258" s="1230"/>
    </row>
    <row r="259" spans="1:11" ht="15" customHeight="1" x14ac:dyDescent="0.3">
      <c r="A259" s="1479" t="s">
        <v>104</v>
      </c>
      <c r="B259" s="1404" t="s">
        <v>3044</v>
      </c>
      <c r="C259" s="1480"/>
      <c r="D259" s="1481"/>
      <c r="E259" s="1481"/>
      <c r="F259" s="1454">
        <f t="shared" si="13"/>
        <v>0</v>
      </c>
      <c r="G259" s="1481"/>
      <c r="H259" s="1481"/>
      <c r="I259" s="1411">
        <f t="shared" si="14"/>
        <v>0</v>
      </c>
      <c r="K259" s="1230"/>
    </row>
    <row r="260" spans="1:11" ht="15" customHeight="1" x14ac:dyDescent="0.3">
      <c r="A260" s="1479" t="s">
        <v>2486</v>
      </c>
      <c r="B260" s="1404" t="s">
        <v>3045</v>
      </c>
      <c r="C260" s="1480"/>
      <c r="D260" s="1481"/>
      <c r="E260" s="1481"/>
      <c r="F260" s="1454">
        <f t="shared" si="13"/>
        <v>0</v>
      </c>
      <c r="G260" s="1481"/>
      <c r="H260" s="1481"/>
      <c r="I260" s="1411">
        <f t="shared" si="14"/>
        <v>0</v>
      </c>
      <c r="K260" s="1230"/>
    </row>
    <row r="261" spans="1:11" ht="15" customHeight="1" x14ac:dyDescent="0.3">
      <c r="A261" s="1479" t="s">
        <v>2487</v>
      </c>
      <c r="B261" s="1404" t="s">
        <v>3046</v>
      </c>
      <c r="C261" s="1480"/>
      <c r="D261" s="1481"/>
      <c r="E261" s="1481"/>
      <c r="F261" s="1454">
        <f t="shared" si="13"/>
        <v>0</v>
      </c>
      <c r="G261" s="1481"/>
      <c r="H261" s="1481"/>
      <c r="I261" s="1411">
        <f t="shared" si="14"/>
        <v>0</v>
      </c>
      <c r="K261" s="1230"/>
    </row>
    <row r="262" spans="1:11" ht="15" customHeight="1" x14ac:dyDescent="0.3">
      <c r="A262" s="1479" t="s">
        <v>120</v>
      </c>
      <c r="B262" s="1404" t="s">
        <v>3047</v>
      </c>
      <c r="C262" s="1480"/>
      <c r="D262" s="1481"/>
      <c r="E262" s="1481"/>
      <c r="F262" s="1454">
        <f t="shared" si="13"/>
        <v>0</v>
      </c>
      <c r="G262" s="1481"/>
      <c r="H262" s="1481"/>
      <c r="I262" s="1411">
        <f t="shared" si="14"/>
        <v>0</v>
      </c>
      <c r="K262" s="1230"/>
    </row>
    <row r="263" spans="1:11" ht="15" customHeight="1" x14ac:dyDescent="0.3">
      <c r="A263" s="1479" t="s">
        <v>127</v>
      </c>
      <c r="B263" s="1404" t="s">
        <v>3048</v>
      </c>
      <c r="C263" s="1480"/>
      <c r="D263" s="1481"/>
      <c r="E263" s="1481"/>
      <c r="F263" s="1454">
        <f t="shared" si="13"/>
        <v>0</v>
      </c>
      <c r="G263" s="1481"/>
      <c r="H263" s="1481"/>
      <c r="I263" s="1411">
        <f t="shared" si="14"/>
        <v>0</v>
      </c>
      <c r="K263" s="1230"/>
    </row>
    <row r="264" spans="1:11" ht="15" customHeight="1" x14ac:dyDescent="0.3">
      <c r="A264" s="1479" t="s">
        <v>2488</v>
      </c>
      <c r="B264" s="1404" t="s">
        <v>3049</v>
      </c>
      <c r="C264" s="1480"/>
      <c r="D264" s="1481"/>
      <c r="E264" s="1481"/>
      <c r="F264" s="1454">
        <f t="shared" si="13"/>
        <v>0</v>
      </c>
      <c r="G264" s="1481"/>
      <c r="H264" s="1481"/>
      <c r="I264" s="1411">
        <f t="shared" si="14"/>
        <v>0</v>
      </c>
      <c r="K264" s="1230"/>
    </row>
    <row r="265" spans="1:11" ht="15" customHeight="1" x14ac:dyDescent="0.3">
      <c r="A265" s="1479" t="s">
        <v>2489</v>
      </c>
      <c r="B265" s="1404" t="s">
        <v>3050</v>
      </c>
      <c r="C265" s="1480"/>
      <c r="D265" s="1481"/>
      <c r="E265" s="1481"/>
      <c r="F265" s="1454">
        <f t="shared" si="13"/>
        <v>0</v>
      </c>
      <c r="G265" s="1481"/>
      <c r="H265" s="1481"/>
      <c r="I265" s="1411">
        <f t="shared" si="14"/>
        <v>0</v>
      </c>
      <c r="K265" s="1230"/>
    </row>
    <row r="266" spans="1:11" ht="15" customHeight="1" x14ac:dyDescent="0.3">
      <c r="A266" s="1479" t="s">
        <v>2490</v>
      </c>
      <c r="B266" s="1404" t="s">
        <v>3051</v>
      </c>
      <c r="C266" s="1480"/>
      <c r="D266" s="1481"/>
      <c r="E266" s="1481"/>
      <c r="F266" s="1454">
        <f t="shared" si="13"/>
        <v>0</v>
      </c>
      <c r="G266" s="1481"/>
      <c r="H266" s="1481"/>
      <c r="I266" s="1411">
        <f t="shared" si="14"/>
        <v>0</v>
      </c>
      <c r="K266" s="1230"/>
    </row>
    <row r="267" spans="1:11" ht="15" customHeight="1" x14ac:dyDescent="0.3">
      <c r="A267" s="1479" t="s">
        <v>2491</v>
      </c>
      <c r="B267" s="1404" t="s">
        <v>3052</v>
      </c>
      <c r="C267" s="1480"/>
      <c r="D267" s="1481"/>
      <c r="E267" s="1481"/>
      <c r="F267" s="1454">
        <f t="shared" si="13"/>
        <v>0</v>
      </c>
      <c r="G267" s="1481"/>
      <c r="H267" s="1481"/>
      <c r="I267" s="1411">
        <f t="shared" si="14"/>
        <v>0</v>
      </c>
      <c r="K267" s="1230"/>
    </row>
    <row r="268" spans="1:11" ht="15" customHeight="1" x14ac:dyDescent="0.3">
      <c r="A268" s="1479" t="s">
        <v>2492</v>
      </c>
      <c r="B268" s="1404" t="s">
        <v>3053</v>
      </c>
      <c r="C268" s="1480"/>
      <c r="D268" s="1481"/>
      <c r="E268" s="1481"/>
      <c r="F268" s="1454">
        <f t="shared" si="13"/>
        <v>0</v>
      </c>
      <c r="G268" s="1481"/>
      <c r="H268" s="1481"/>
      <c r="I268" s="1411">
        <f t="shared" si="14"/>
        <v>0</v>
      </c>
      <c r="K268" s="1230"/>
    </row>
    <row r="269" spans="1:11" ht="15" customHeight="1" x14ac:dyDescent="0.3">
      <c r="A269" s="1479" t="s">
        <v>138</v>
      </c>
      <c r="B269" s="1404" t="s">
        <v>3054</v>
      </c>
      <c r="C269" s="1480"/>
      <c r="D269" s="1481"/>
      <c r="E269" s="1481"/>
      <c r="F269" s="1454">
        <f t="shared" si="13"/>
        <v>0</v>
      </c>
      <c r="G269" s="1481"/>
      <c r="H269" s="1481"/>
      <c r="I269" s="1411">
        <f t="shared" si="14"/>
        <v>0</v>
      </c>
      <c r="K269" s="1230"/>
    </row>
    <row r="270" spans="1:11" ht="15" customHeight="1" x14ac:dyDescent="0.3">
      <c r="A270" s="1479" t="s">
        <v>143</v>
      </c>
      <c r="B270" s="1404" t="s">
        <v>3055</v>
      </c>
      <c r="C270" s="1480"/>
      <c r="D270" s="1481"/>
      <c r="E270" s="1481"/>
      <c r="F270" s="1454">
        <f t="shared" ref="F270:F288" si="15">D270*E270</f>
        <v>0</v>
      </c>
      <c r="G270" s="1481"/>
      <c r="H270" s="1481"/>
      <c r="I270" s="1411">
        <f t="shared" si="14"/>
        <v>0</v>
      </c>
      <c r="K270" s="1230"/>
    </row>
    <row r="271" spans="1:11" ht="15" customHeight="1" x14ac:dyDescent="0.3">
      <c r="A271" s="1479" t="s">
        <v>2493</v>
      </c>
      <c r="B271" s="1404" t="s">
        <v>3056</v>
      </c>
      <c r="C271" s="1480"/>
      <c r="D271" s="1481"/>
      <c r="E271" s="1481"/>
      <c r="F271" s="1454">
        <f t="shared" si="15"/>
        <v>0</v>
      </c>
      <c r="G271" s="1481"/>
      <c r="H271" s="1481"/>
      <c r="I271" s="1411">
        <f t="shared" ref="I271:I288" si="16">G271*H271</f>
        <v>0</v>
      </c>
      <c r="K271" s="1230"/>
    </row>
    <row r="272" spans="1:11" ht="15" customHeight="1" x14ac:dyDescent="0.3">
      <c r="A272" s="1479" t="s">
        <v>2494</v>
      </c>
      <c r="B272" s="1404" t="s">
        <v>3057</v>
      </c>
      <c r="C272" s="1480"/>
      <c r="D272" s="1481"/>
      <c r="E272" s="1481"/>
      <c r="F272" s="1454">
        <f t="shared" si="15"/>
        <v>0</v>
      </c>
      <c r="G272" s="1481"/>
      <c r="H272" s="1481"/>
      <c r="I272" s="1411">
        <f t="shared" si="16"/>
        <v>0</v>
      </c>
      <c r="K272" s="1230"/>
    </row>
    <row r="273" spans="1:11" ht="15" customHeight="1" x14ac:dyDescent="0.3">
      <c r="A273" s="1479" t="s">
        <v>153</v>
      </c>
      <c r="B273" s="1404" t="s">
        <v>3058</v>
      </c>
      <c r="C273" s="1480"/>
      <c r="D273" s="1481"/>
      <c r="E273" s="1481"/>
      <c r="F273" s="1454">
        <f t="shared" si="15"/>
        <v>0</v>
      </c>
      <c r="G273" s="1481"/>
      <c r="H273" s="1481"/>
      <c r="I273" s="1411">
        <f t="shared" si="16"/>
        <v>0</v>
      </c>
      <c r="K273" s="1230"/>
    </row>
    <row r="274" spans="1:11" ht="15" customHeight="1" x14ac:dyDescent="0.3">
      <c r="A274" s="1479" t="s">
        <v>2495</v>
      </c>
      <c r="B274" s="1404" t="s">
        <v>3059</v>
      </c>
      <c r="C274" s="1480"/>
      <c r="D274" s="1481"/>
      <c r="E274" s="1481"/>
      <c r="F274" s="1454">
        <f t="shared" si="15"/>
        <v>0</v>
      </c>
      <c r="G274" s="1481"/>
      <c r="H274" s="1481"/>
      <c r="I274" s="1411">
        <f t="shared" si="16"/>
        <v>0</v>
      </c>
      <c r="K274" s="1230"/>
    </row>
    <row r="275" spans="1:11" ht="15" customHeight="1" x14ac:dyDescent="0.3">
      <c r="A275" s="1479" t="s">
        <v>158</v>
      </c>
      <c r="B275" s="1404" t="s">
        <v>3060</v>
      </c>
      <c r="C275" s="1480"/>
      <c r="D275" s="1481"/>
      <c r="E275" s="1481"/>
      <c r="F275" s="1454">
        <f t="shared" si="15"/>
        <v>0</v>
      </c>
      <c r="G275" s="1481"/>
      <c r="H275" s="1481"/>
      <c r="I275" s="1411">
        <f t="shared" si="16"/>
        <v>0</v>
      </c>
      <c r="K275" s="1230"/>
    </row>
    <row r="276" spans="1:11" ht="15" customHeight="1" x14ac:dyDescent="0.3">
      <c r="A276" s="1479" t="s">
        <v>163</v>
      </c>
      <c r="B276" s="1404" t="s">
        <v>3061</v>
      </c>
      <c r="C276" s="1480"/>
      <c r="D276" s="1481"/>
      <c r="E276" s="1481"/>
      <c r="F276" s="1454">
        <f t="shared" si="15"/>
        <v>0</v>
      </c>
      <c r="G276" s="1481"/>
      <c r="H276" s="1481"/>
      <c r="I276" s="1411">
        <f t="shared" si="16"/>
        <v>0</v>
      </c>
      <c r="K276" s="1230"/>
    </row>
    <row r="277" spans="1:11" ht="15" customHeight="1" x14ac:dyDescent="0.3">
      <c r="A277" s="1479" t="s">
        <v>2496</v>
      </c>
      <c r="B277" s="1404" t="s">
        <v>3062</v>
      </c>
      <c r="C277" s="1480"/>
      <c r="D277" s="1481"/>
      <c r="E277" s="1481"/>
      <c r="F277" s="1454">
        <f t="shared" si="15"/>
        <v>0</v>
      </c>
      <c r="G277" s="1481"/>
      <c r="H277" s="1481"/>
      <c r="I277" s="1411">
        <f t="shared" si="16"/>
        <v>0</v>
      </c>
      <c r="K277" s="1230"/>
    </row>
    <row r="278" spans="1:11" ht="15" customHeight="1" x14ac:dyDescent="0.3">
      <c r="A278" s="1479" t="s">
        <v>2497</v>
      </c>
      <c r="B278" s="1404" t="s">
        <v>3063</v>
      </c>
      <c r="C278" s="1480"/>
      <c r="D278" s="1481"/>
      <c r="E278" s="1481"/>
      <c r="F278" s="1454">
        <f t="shared" si="15"/>
        <v>0</v>
      </c>
      <c r="G278" s="1481"/>
      <c r="H278" s="1481"/>
      <c r="I278" s="1411">
        <f t="shared" si="16"/>
        <v>0</v>
      </c>
      <c r="K278" s="1230"/>
    </row>
    <row r="279" spans="1:11" ht="15" customHeight="1" x14ac:dyDescent="0.3">
      <c r="A279" s="1479" t="s">
        <v>2498</v>
      </c>
      <c r="B279" s="1404" t="s">
        <v>3064</v>
      </c>
      <c r="C279" s="1480"/>
      <c r="D279" s="1481"/>
      <c r="E279" s="1481"/>
      <c r="F279" s="1454">
        <f t="shared" si="15"/>
        <v>0</v>
      </c>
      <c r="G279" s="1481"/>
      <c r="H279" s="1481"/>
      <c r="I279" s="1411">
        <f t="shared" si="16"/>
        <v>0</v>
      </c>
      <c r="K279" s="1230"/>
    </row>
    <row r="280" spans="1:11" ht="15" customHeight="1" x14ac:dyDescent="0.3">
      <c r="A280" s="1479" t="s">
        <v>2499</v>
      </c>
      <c r="B280" s="1404" t="s">
        <v>3065</v>
      </c>
      <c r="C280" s="1480"/>
      <c r="D280" s="1481"/>
      <c r="E280" s="1481"/>
      <c r="F280" s="1454">
        <f t="shared" si="15"/>
        <v>0</v>
      </c>
      <c r="G280" s="1481"/>
      <c r="H280" s="1481"/>
      <c r="I280" s="1411">
        <f t="shared" si="16"/>
        <v>0</v>
      </c>
      <c r="K280" s="1230"/>
    </row>
    <row r="281" spans="1:11" ht="15" customHeight="1" x14ac:dyDescent="0.3">
      <c r="A281" s="1479" t="s">
        <v>2500</v>
      </c>
      <c r="B281" s="1404" t="s">
        <v>3066</v>
      </c>
      <c r="C281" s="1480"/>
      <c r="D281" s="1481"/>
      <c r="E281" s="1481"/>
      <c r="F281" s="1454">
        <f t="shared" si="15"/>
        <v>0</v>
      </c>
      <c r="G281" s="1481"/>
      <c r="H281" s="1481"/>
      <c r="I281" s="1411">
        <f t="shared" si="16"/>
        <v>0</v>
      </c>
      <c r="K281" s="1230"/>
    </row>
    <row r="282" spans="1:11" ht="15" customHeight="1" x14ac:dyDescent="0.3">
      <c r="A282" s="1479" t="s">
        <v>2501</v>
      </c>
      <c r="B282" s="1404" t="s">
        <v>3067</v>
      </c>
      <c r="C282" s="1480"/>
      <c r="D282" s="1481"/>
      <c r="E282" s="1481"/>
      <c r="F282" s="1454">
        <f t="shared" si="15"/>
        <v>0</v>
      </c>
      <c r="G282" s="1481"/>
      <c r="H282" s="1481"/>
      <c r="I282" s="1411">
        <f t="shared" si="16"/>
        <v>0</v>
      </c>
      <c r="K282" s="1230"/>
    </row>
    <row r="283" spans="1:11" ht="15" customHeight="1" x14ac:dyDescent="0.3">
      <c r="A283" s="1479" t="s">
        <v>2502</v>
      </c>
      <c r="B283" s="1404" t="s">
        <v>3068</v>
      </c>
      <c r="C283" s="1480"/>
      <c r="D283" s="1481"/>
      <c r="E283" s="1481"/>
      <c r="F283" s="1454">
        <f t="shared" si="15"/>
        <v>0</v>
      </c>
      <c r="G283" s="1481"/>
      <c r="H283" s="1481"/>
      <c r="I283" s="1411">
        <f t="shared" si="16"/>
        <v>0</v>
      </c>
      <c r="K283" s="1230"/>
    </row>
    <row r="284" spans="1:11" ht="15" customHeight="1" x14ac:dyDescent="0.3">
      <c r="A284" s="1479" t="s">
        <v>2503</v>
      </c>
      <c r="B284" s="1404" t="s">
        <v>3069</v>
      </c>
      <c r="C284" s="1480"/>
      <c r="D284" s="1481"/>
      <c r="E284" s="1481"/>
      <c r="F284" s="1454">
        <f t="shared" si="15"/>
        <v>0</v>
      </c>
      <c r="G284" s="1481"/>
      <c r="H284" s="1481"/>
      <c r="I284" s="1411">
        <f t="shared" si="16"/>
        <v>0</v>
      </c>
      <c r="K284" s="1230"/>
    </row>
    <row r="285" spans="1:11" ht="15" customHeight="1" x14ac:dyDescent="0.3">
      <c r="A285" s="1479" t="s">
        <v>2504</v>
      </c>
      <c r="B285" s="1404" t="s">
        <v>3070</v>
      </c>
      <c r="C285" s="1480"/>
      <c r="D285" s="1481"/>
      <c r="E285" s="1481"/>
      <c r="F285" s="1454">
        <f t="shared" si="15"/>
        <v>0</v>
      </c>
      <c r="G285" s="1481"/>
      <c r="H285" s="1481"/>
      <c r="I285" s="1411">
        <f t="shared" si="16"/>
        <v>0</v>
      </c>
      <c r="K285" s="1230"/>
    </row>
    <row r="286" spans="1:11" ht="15" customHeight="1" x14ac:dyDescent="0.3">
      <c r="A286" s="1479" t="s">
        <v>2505</v>
      </c>
      <c r="B286" s="1404" t="s">
        <v>3071</v>
      </c>
      <c r="C286" s="1480"/>
      <c r="D286" s="1481"/>
      <c r="E286" s="1481"/>
      <c r="F286" s="1454">
        <f t="shared" si="15"/>
        <v>0</v>
      </c>
      <c r="G286" s="1481"/>
      <c r="H286" s="1481"/>
      <c r="I286" s="1411">
        <f t="shared" si="16"/>
        <v>0</v>
      </c>
      <c r="K286" s="1230"/>
    </row>
    <row r="287" spans="1:11" ht="15" customHeight="1" x14ac:dyDescent="0.3">
      <c r="A287" s="1479" t="s">
        <v>2506</v>
      </c>
      <c r="B287" s="1404" t="s">
        <v>3072</v>
      </c>
      <c r="C287" s="1480"/>
      <c r="D287" s="1481"/>
      <c r="E287" s="1481"/>
      <c r="F287" s="1454">
        <f t="shared" si="15"/>
        <v>0</v>
      </c>
      <c r="G287" s="1481"/>
      <c r="H287" s="1481"/>
      <c r="I287" s="1411">
        <f t="shared" si="16"/>
        <v>0</v>
      </c>
      <c r="K287" s="1230"/>
    </row>
    <row r="288" spans="1:11" ht="15" customHeight="1" x14ac:dyDescent="0.3">
      <c r="A288" s="1479" t="s">
        <v>2507</v>
      </c>
      <c r="B288" s="1404" t="s">
        <v>3073</v>
      </c>
      <c r="C288" s="1480"/>
      <c r="D288" s="1481"/>
      <c r="E288" s="1481"/>
      <c r="F288" s="1454">
        <f t="shared" si="15"/>
        <v>0</v>
      </c>
      <c r="G288" s="1481"/>
      <c r="H288" s="1481"/>
      <c r="I288" s="1411">
        <f t="shared" si="16"/>
        <v>0</v>
      </c>
      <c r="K288" s="1230"/>
    </row>
    <row r="289" spans="1:11" ht="15" customHeight="1" x14ac:dyDescent="0.3">
      <c r="A289" s="129"/>
      <c r="B289" s="1404"/>
      <c r="C289" s="1417"/>
      <c r="D289" s="1482"/>
      <c r="E289" s="1483"/>
      <c r="F289" s="1484"/>
      <c r="G289" s="1485"/>
      <c r="H289" s="1486"/>
      <c r="I289" s="1487"/>
      <c r="K289" s="1230"/>
    </row>
    <row r="290" spans="1:11" ht="20.25" customHeight="1" x14ac:dyDescent="0.35">
      <c r="A290" s="129"/>
      <c r="B290" s="1404"/>
      <c r="C290" s="1417"/>
      <c r="D290" s="1488">
        <f t="shared" ref="D290:I290" si="17">SUM(D206:D289)</f>
        <v>0</v>
      </c>
      <c r="E290" s="1489">
        <f t="shared" si="17"/>
        <v>0</v>
      </c>
      <c r="F290" s="1490">
        <f t="shared" si="17"/>
        <v>0</v>
      </c>
      <c r="G290" s="1411">
        <f t="shared" si="17"/>
        <v>0</v>
      </c>
      <c r="H290" s="1411">
        <f t="shared" si="17"/>
        <v>0</v>
      </c>
      <c r="I290" s="1411">
        <f t="shared" si="17"/>
        <v>0</v>
      </c>
    </row>
    <row r="291" spans="1:11" ht="20.25" customHeight="1" x14ac:dyDescent="0.35">
      <c r="A291" s="129"/>
      <c r="B291" s="1404"/>
      <c r="C291" s="1417"/>
      <c r="D291" s="1491"/>
      <c r="E291" s="1492"/>
      <c r="F291" s="1490"/>
      <c r="G291" s="1424"/>
      <c r="H291" s="1493"/>
      <c r="I291" s="1493"/>
    </row>
    <row r="292" spans="1:11" ht="20.25" customHeight="1" x14ac:dyDescent="0.35">
      <c r="A292" s="1218">
        <v>7</v>
      </c>
      <c r="B292" s="234" t="s">
        <v>3074</v>
      </c>
      <c r="C292" s="1417"/>
      <c r="D292" s="1406"/>
      <c r="E292" s="1464"/>
      <c r="F292" s="1411"/>
      <c r="G292" s="1424"/>
      <c r="H292" s="1417"/>
      <c r="I292" s="1421"/>
    </row>
    <row r="293" spans="1:11" ht="20.25" customHeight="1" x14ac:dyDescent="0.3">
      <c r="A293" s="1416">
        <v>1</v>
      </c>
      <c r="B293" s="1404" t="s">
        <v>3074</v>
      </c>
      <c r="C293" s="1417" t="s">
        <v>2986</v>
      </c>
      <c r="D293" s="1466"/>
      <c r="E293" s="1467"/>
      <c r="F293" s="1494"/>
      <c r="G293" s="1466"/>
      <c r="H293" s="1467"/>
      <c r="I293" s="1494"/>
    </row>
    <row r="294" spans="1:11" ht="20.25" customHeight="1" x14ac:dyDescent="0.3">
      <c r="A294" s="129"/>
      <c r="B294" s="1404"/>
      <c r="C294" s="1417"/>
      <c r="D294" s="1546"/>
      <c r="E294" s="1547"/>
      <c r="F294" s="1548">
        <f>D294*E294</f>
        <v>0</v>
      </c>
      <c r="G294" s="1546"/>
      <c r="H294" s="1547"/>
      <c r="I294" s="1549">
        <v>0</v>
      </c>
    </row>
    <row r="295" spans="1:11" ht="20.25" customHeight="1" x14ac:dyDescent="0.3">
      <c r="A295" s="129"/>
      <c r="B295" s="1404"/>
      <c r="C295" s="1417"/>
      <c r="D295" s="1475"/>
      <c r="E295" s="1476"/>
      <c r="F295" s="1477">
        <f>SUM(F293:F294)</f>
        <v>0</v>
      </c>
      <c r="G295" s="1430"/>
      <c r="H295" s="1406"/>
      <c r="I295" s="1477">
        <f>SUM(I293:I294)</f>
        <v>0</v>
      </c>
    </row>
    <row r="296" spans="1:11" ht="20.25" customHeight="1" x14ac:dyDescent="0.35">
      <c r="A296" s="129"/>
      <c r="B296" s="1404"/>
      <c r="C296" s="1417"/>
      <c r="D296" s="1491"/>
      <c r="E296" s="1492"/>
      <c r="F296" s="1490"/>
      <c r="G296" s="1424"/>
      <c r="H296" s="1493"/>
      <c r="I296" s="1493"/>
    </row>
    <row r="297" spans="1:11" ht="20.25" customHeight="1" x14ac:dyDescent="0.35">
      <c r="A297" s="1218">
        <v>8</v>
      </c>
      <c r="B297" s="234" t="s">
        <v>3075</v>
      </c>
      <c r="C297" s="1417"/>
      <c r="D297" s="1406"/>
      <c r="E297" s="1464"/>
      <c r="F297" s="1411"/>
      <c r="G297" s="1424"/>
      <c r="H297" s="1417"/>
      <c r="I297" s="1421"/>
    </row>
    <row r="298" spans="1:11" ht="20.25" customHeight="1" x14ac:dyDescent="0.3">
      <c r="A298" s="1416">
        <v>1</v>
      </c>
      <c r="B298" s="1404" t="s">
        <v>3075</v>
      </c>
      <c r="C298" s="1417" t="s">
        <v>2986</v>
      </c>
      <c r="D298" s="1466"/>
      <c r="E298" s="1467"/>
      <c r="F298" s="1494"/>
      <c r="G298" s="1466"/>
      <c r="H298" s="1467"/>
      <c r="I298" s="1494"/>
    </row>
    <row r="299" spans="1:11" ht="20.25" customHeight="1" x14ac:dyDescent="0.3">
      <c r="A299" s="129">
        <v>2</v>
      </c>
      <c r="B299" s="1404" t="s">
        <v>3076</v>
      </c>
      <c r="C299" s="1417"/>
      <c r="D299" s="1546"/>
      <c r="E299" s="1547"/>
      <c r="F299" s="1550"/>
      <c r="G299" s="1546"/>
      <c r="H299" s="1547"/>
      <c r="I299" s="1550"/>
    </row>
    <row r="300" spans="1:11" ht="20.25" customHeight="1" x14ac:dyDescent="0.3">
      <c r="A300" s="129"/>
      <c r="B300" s="1404"/>
      <c r="C300" s="1417"/>
      <c r="D300" s="1475"/>
      <c r="E300" s="1476"/>
      <c r="F300" s="1477">
        <f>SUM(F298:F299)</f>
        <v>0</v>
      </c>
      <c r="G300" s="1430"/>
      <c r="H300" s="1406"/>
      <c r="I300" s="1477">
        <f>SUM(I298:I299)</f>
        <v>0</v>
      </c>
    </row>
    <row r="301" spans="1:11" ht="20.25" customHeight="1" x14ac:dyDescent="0.35">
      <c r="A301" s="129"/>
      <c r="B301" s="1404"/>
      <c r="C301" s="1417"/>
      <c r="D301" s="1491"/>
      <c r="E301" s="1492"/>
      <c r="F301" s="1490"/>
      <c r="G301" s="1424"/>
      <c r="H301" s="1493"/>
      <c r="I301" s="1493"/>
    </row>
    <row r="302" spans="1:11" ht="20.25" customHeight="1" x14ac:dyDescent="0.35">
      <c r="A302" s="129"/>
      <c r="B302" s="1404"/>
      <c r="C302" s="1417"/>
      <c r="D302" s="1491"/>
      <c r="E302" s="1492"/>
      <c r="F302" s="1490"/>
      <c r="G302" s="1424"/>
      <c r="H302" s="1493"/>
      <c r="I302" s="1493"/>
    </row>
    <row r="303" spans="1:11" s="64" customFormat="1" ht="14.25" customHeight="1" x14ac:dyDescent="0.35">
      <c r="A303" s="97">
        <v>9</v>
      </c>
      <c r="B303" s="234" t="s">
        <v>3077</v>
      </c>
      <c r="C303" s="1401"/>
      <c r="D303" s="1414"/>
      <c r="E303" s="1495">
        <f>[13]SAR!$Z$170</f>
        <v>1261</v>
      </c>
      <c r="F303" s="1496">
        <f>[14]SAR!$AU$170</f>
        <v>9008650.1812648159</v>
      </c>
      <c r="G303" s="1407"/>
      <c r="H303" s="1401"/>
      <c r="I303" s="1413"/>
      <c r="K303" s="1497">
        <f>F290-F303</f>
        <v>-9008650.1812648159</v>
      </c>
    </row>
    <row r="304" spans="1:11" s="64" customFormat="1" ht="14.15" customHeight="1" x14ac:dyDescent="0.35">
      <c r="A304" s="1479" t="s">
        <v>2447</v>
      </c>
      <c r="B304" s="1404" t="s">
        <v>678</v>
      </c>
      <c r="C304" s="1401"/>
      <c r="D304" s="1406"/>
      <c r="E304" s="1400"/>
      <c r="F304" s="1424"/>
      <c r="G304" s="1424"/>
      <c r="H304" s="1401"/>
      <c r="I304" s="1421"/>
    </row>
    <row r="305" spans="1:11" s="64" customFormat="1" ht="14.15" customHeight="1" x14ac:dyDescent="0.35">
      <c r="A305" s="1479" t="s">
        <v>23</v>
      </c>
      <c r="B305" s="1404" t="s">
        <v>680</v>
      </c>
      <c r="C305" s="1401"/>
      <c r="D305" s="1406"/>
      <c r="E305" s="1400"/>
      <c r="F305" s="1424"/>
      <c r="G305" s="1424"/>
      <c r="H305" s="1401"/>
      <c r="I305" s="1421"/>
    </row>
    <row r="306" spans="1:11" s="64" customFormat="1" ht="14.15" customHeight="1" x14ac:dyDescent="0.35">
      <c r="A306" s="1479" t="s">
        <v>27</v>
      </c>
      <c r="B306" s="1404" t="s">
        <v>682</v>
      </c>
      <c r="C306" s="1401"/>
      <c r="D306" s="1406"/>
      <c r="E306" s="1400"/>
      <c r="F306" s="1424"/>
      <c r="G306" s="1424"/>
      <c r="H306" s="1401"/>
      <c r="I306" s="1421"/>
    </row>
    <row r="307" spans="1:11" s="64" customFormat="1" ht="14.15" customHeight="1" x14ac:dyDescent="0.35">
      <c r="A307" s="1479" t="s">
        <v>31</v>
      </c>
      <c r="B307" s="1404" t="s">
        <v>3078</v>
      </c>
      <c r="C307" s="1401"/>
      <c r="D307" s="1406"/>
      <c r="E307" s="1400"/>
      <c r="F307" s="1424"/>
      <c r="G307" s="1424"/>
      <c r="H307" s="1401"/>
      <c r="I307" s="1421"/>
    </row>
    <row r="308" spans="1:11" s="64" customFormat="1" ht="14.15" customHeight="1" x14ac:dyDescent="0.35">
      <c r="A308" s="1479" t="s">
        <v>36</v>
      </c>
      <c r="B308" s="1404" t="s">
        <v>684</v>
      </c>
      <c r="C308" s="1401"/>
      <c r="D308" s="1406"/>
      <c r="E308" s="1400"/>
      <c r="F308" s="1551"/>
      <c r="G308" s="1498"/>
      <c r="H308" s="1499"/>
      <c r="I308" s="1500"/>
    </row>
    <row r="309" spans="1:11" s="1510" customFormat="1" ht="15" customHeight="1" thickBot="1" x14ac:dyDescent="0.35">
      <c r="A309" s="1501"/>
      <c r="B309" s="1502"/>
      <c r="C309" s="1503"/>
      <c r="D309" s="1504">
        <f>SUM(D304:D308)</f>
        <v>0</v>
      </c>
      <c r="E309" s="1505" t="s">
        <v>3079</v>
      </c>
      <c r="F309" s="1506">
        <f>SUM(F304:F308)</f>
        <v>0</v>
      </c>
      <c r="G309" s="1507"/>
      <c r="H309" s="1508"/>
      <c r="I309" s="1509">
        <f>SUM(I304:I308)</f>
        <v>0</v>
      </c>
    </row>
    <row r="310" spans="1:11" s="1517" customFormat="1" ht="18.75" customHeight="1" thickBot="1" x14ac:dyDescent="0.4">
      <c r="A310" s="3801" t="s">
        <v>3080</v>
      </c>
      <c r="B310" s="3802"/>
      <c r="C310" s="1511"/>
      <c r="D310" s="1512"/>
      <c r="E310" s="1513"/>
      <c r="F310" s="1514">
        <f>+F204+F21+F34+F309+F184+F197+F290</f>
        <v>131418181</v>
      </c>
      <c r="G310" s="1515"/>
      <c r="H310" s="1516"/>
      <c r="I310" s="1514">
        <f>+I204+I21+I34+I309+I184+I197+I290</f>
        <v>83779496</v>
      </c>
      <c r="K310" s="1518">
        <f>F310-I310</f>
        <v>47638685</v>
      </c>
    </row>
    <row r="311" spans="1:11" s="49" customFormat="1" ht="27.75" customHeight="1" x14ac:dyDescent="0.35">
      <c r="A311" s="168"/>
      <c r="C311" s="1519"/>
      <c r="D311" s="1520"/>
      <c r="E311" s="1521"/>
      <c r="F311" s="1522"/>
      <c r="G311" s="1230"/>
      <c r="H311" s="1457"/>
      <c r="I311" s="1523" t="s">
        <v>3081</v>
      </c>
    </row>
    <row r="312" spans="1:11" s="49" customFormat="1" ht="44.25" customHeight="1" x14ac:dyDescent="0.35">
      <c r="A312" s="168"/>
      <c r="C312" s="1519"/>
      <c r="D312" s="1520"/>
      <c r="E312" s="1521"/>
      <c r="F312" s="1522"/>
      <c r="G312" s="1230"/>
      <c r="H312" s="1457"/>
      <c r="I312" s="1497"/>
    </row>
    <row r="313" spans="1:11" s="49" customFormat="1" ht="43.5" customHeight="1" x14ac:dyDescent="0.35">
      <c r="A313" s="168"/>
      <c r="C313" s="1519"/>
      <c r="D313" s="1520"/>
      <c r="E313" s="1521"/>
      <c r="F313" s="1522"/>
      <c r="G313" s="1230"/>
      <c r="H313" s="1457"/>
      <c r="I313" s="1497"/>
    </row>
    <row r="314" spans="1:11" s="49" customFormat="1" ht="43.5" customHeight="1" x14ac:dyDescent="0.35">
      <c r="A314" s="168"/>
      <c r="C314" s="1519"/>
      <c r="D314" s="1520"/>
      <c r="E314" s="1521"/>
      <c r="F314" s="1522"/>
      <c r="G314" s="1230"/>
      <c r="H314" s="1457"/>
      <c r="I314" s="1497"/>
    </row>
    <row r="315" spans="1:11" s="49" customFormat="1" ht="43.5" customHeight="1" x14ac:dyDescent="0.35">
      <c r="A315" s="168"/>
      <c r="C315" s="1519"/>
      <c r="D315" s="1520"/>
      <c r="E315" s="1521"/>
      <c r="F315" s="1522"/>
      <c r="G315" s="1230"/>
      <c r="H315" s="1457"/>
      <c r="I315" s="1497"/>
    </row>
    <row r="316" spans="1:11" s="49" customFormat="1" ht="43.5" customHeight="1" x14ac:dyDescent="0.35">
      <c r="A316" s="168"/>
      <c r="C316" s="1519"/>
      <c r="D316" s="1520"/>
      <c r="E316" s="1521"/>
      <c r="F316" s="1522"/>
      <c r="G316" s="1230"/>
      <c r="H316" s="1457"/>
      <c r="I316" s="1497"/>
    </row>
    <row r="317" spans="1:11" s="49" customFormat="1" ht="43.5" customHeight="1" x14ac:dyDescent="0.35">
      <c r="A317" s="168"/>
      <c r="C317" s="1519"/>
      <c r="D317" s="1520"/>
      <c r="E317" s="1521"/>
      <c r="F317" s="1522"/>
      <c r="G317" s="1230"/>
      <c r="H317" s="1457"/>
      <c r="I317" s="1497"/>
    </row>
    <row r="318" spans="1:11" s="49" customFormat="1" ht="43.5" customHeight="1" x14ac:dyDescent="0.35">
      <c r="A318" s="168"/>
      <c r="C318" s="1519"/>
      <c r="D318" s="1520"/>
      <c r="E318" s="1521"/>
      <c r="F318" s="1522"/>
      <c r="G318" s="1230"/>
      <c r="H318" s="1457"/>
      <c r="I318" s="1497"/>
    </row>
    <row r="319" spans="1:11" s="49" customFormat="1" ht="43.5" customHeight="1" x14ac:dyDescent="0.35">
      <c r="A319" s="168"/>
      <c r="C319" s="1519"/>
      <c r="D319" s="1520"/>
      <c r="E319" s="1521"/>
      <c r="F319" s="1522"/>
      <c r="G319" s="1230"/>
      <c r="H319" s="1457"/>
      <c r="I319" s="1497"/>
    </row>
    <row r="320" spans="1:11" s="49" customFormat="1" ht="43.5" customHeight="1" x14ac:dyDescent="0.35">
      <c r="A320" s="168"/>
      <c r="C320" s="1519"/>
      <c r="D320" s="1520"/>
      <c r="E320" s="1521"/>
      <c r="F320" s="1522"/>
      <c r="G320" s="1230"/>
      <c r="H320" s="1457"/>
      <c r="I320" s="1497"/>
    </row>
    <row r="321" spans="1:9" s="49" customFormat="1" ht="43.5" customHeight="1" x14ac:dyDescent="0.35">
      <c r="A321" s="168"/>
      <c r="C321" s="1519"/>
      <c r="D321" s="1520"/>
      <c r="E321" s="1521"/>
      <c r="F321" s="1522"/>
      <c r="G321" s="1230"/>
      <c r="H321" s="1457"/>
      <c r="I321" s="1497"/>
    </row>
    <row r="322" spans="1:9" s="49" customFormat="1" ht="43.5" customHeight="1" x14ac:dyDescent="0.35">
      <c r="A322" s="168"/>
      <c r="C322" s="1519"/>
      <c r="D322" s="1520"/>
      <c r="E322" s="1521"/>
      <c r="F322" s="1522"/>
      <c r="G322" s="1230"/>
      <c r="H322" s="1457"/>
      <c r="I322" s="1497"/>
    </row>
    <row r="323" spans="1:9" s="49" customFormat="1" ht="43.5" customHeight="1" x14ac:dyDescent="0.35">
      <c r="A323" s="168"/>
      <c r="C323" s="1519"/>
      <c r="D323" s="1520"/>
      <c r="E323" s="1521"/>
      <c r="F323" s="1522"/>
      <c r="G323" s="1230"/>
      <c r="H323" s="1457"/>
      <c r="I323" s="1497"/>
    </row>
    <row r="324" spans="1:9" s="49" customFormat="1" ht="43.5" customHeight="1" x14ac:dyDescent="0.35">
      <c r="A324" s="168"/>
      <c r="C324" s="1519"/>
      <c r="D324" s="1520"/>
      <c r="E324" s="1521"/>
      <c r="F324" s="1522"/>
      <c r="G324" s="1230"/>
      <c r="H324" s="1457"/>
      <c r="I324" s="1497"/>
    </row>
    <row r="325" spans="1:9" s="49" customFormat="1" ht="43.5" customHeight="1" x14ac:dyDescent="0.35">
      <c r="A325" s="168"/>
      <c r="C325" s="1519"/>
      <c r="D325" s="1520"/>
      <c r="E325" s="1521"/>
      <c r="F325" s="1522"/>
      <c r="G325" s="1230"/>
      <c r="H325" s="1457"/>
      <c r="I325" s="1497"/>
    </row>
    <row r="326" spans="1:9" s="49" customFormat="1" ht="43.5" customHeight="1" x14ac:dyDescent="0.35">
      <c r="A326" s="168"/>
      <c r="C326" s="1519"/>
      <c r="D326" s="1520"/>
      <c r="E326" s="1521"/>
      <c r="F326" s="1522"/>
      <c r="G326" s="1230"/>
      <c r="H326" s="1457"/>
      <c r="I326" s="1497"/>
    </row>
    <row r="327" spans="1:9" s="49" customFormat="1" ht="43.5" customHeight="1" x14ac:dyDescent="0.35">
      <c r="A327" s="168"/>
      <c r="C327" s="1519"/>
      <c r="D327" s="1520"/>
      <c r="E327" s="1521"/>
      <c r="F327" s="1522"/>
      <c r="G327" s="1230"/>
      <c r="H327" s="1457"/>
      <c r="I327" s="1497"/>
    </row>
    <row r="328" spans="1:9" s="49" customFormat="1" ht="43.5" customHeight="1" x14ac:dyDescent="0.35">
      <c r="A328" s="168"/>
      <c r="C328" s="1519"/>
      <c r="D328" s="1520"/>
      <c r="E328" s="1521"/>
      <c r="F328" s="1522"/>
      <c r="G328" s="1230"/>
      <c r="H328" s="1457"/>
      <c r="I328" s="1497"/>
    </row>
    <row r="329" spans="1:9" s="49" customFormat="1" ht="43.5" customHeight="1" x14ac:dyDescent="0.35">
      <c r="A329" s="168"/>
      <c r="C329" s="1519"/>
      <c r="D329" s="1520"/>
      <c r="E329" s="1521"/>
      <c r="F329" s="1522"/>
      <c r="G329" s="1230"/>
      <c r="H329" s="1457"/>
      <c r="I329" s="1497"/>
    </row>
    <row r="330" spans="1:9" s="49" customFormat="1" ht="25.5" customHeight="1" x14ac:dyDescent="0.35">
      <c r="A330" s="168"/>
      <c r="C330" s="1519"/>
      <c r="D330" s="1520"/>
      <c r="E330" s="1521"/>
      <c r="F330" s="1522"/>
      <c r="G330" s="1230"/>
      <c r="H330" s="1457"/>
      <c r="I330" s="1497"/>
    </row>
    <row r="331" spans="1:9" s="49" customFormat="1" ht="23.25" customHeight="1" x14ac:dyDescent="0.35">
      <c r="A331" s="168"/>
      <c r="C331" s="1519"/>
      <c r="D331" s="1520"/>
      <c r="E331" s="1521"/>
      <c r="F331" s="1522"/>
      <c r="G331" s="1230"/>
      <c r="H331" s="1457"/>
      <c r="I331" s="1497"/>
    </row>
    <row r="332" spans="1:9" s="1533" customFormat="1" ht="21" x14ac:dyDescent="0.35">
      <c r="A332" s="1524" t="str">
        <f>IN!C4</f>
        <v>Laporan Keuangan June 2026</v>
      </c>
      <c r="B332" s="1525"/>
      <c r="C332" s="1526"/>
      <c r="D332" s="1527"/>
      <c r="E332" s="1528" t="s">
        <v>2467</v>
      </c>
      <c r="F332" s="1529"/>
      <c r="G332" s="1530"/>
      <c r="H332" s="1531"/>
      <c r="I332" s="1532" t="str">
        <f>IN!D4</f>
        <v>Financial Statement Jun 2026</v>
      </c>
    </row>
    <row r="333" spans="1:9" ht="15" customHeight="1" x14ac:dyDescent="0.35">
      <c r="F333" s="617"/>
    </row>
    <row r="334" spans="1:9" ht="15" customHeight="1" x14ac:dyDescent="0.35">
      <c r="F334" s="617"/>
    </row>
    <row r="335" spans="1:9" ht="15" customHeight="1" x14ac:dyDescent="0.35">
      <c r="A335" s="181"/>
      <c r="C335" s="181"/>
      <c r="D335" s="181"/>
      <c r="E335" s="497"/>
      <c r="F335" s="617"/>
      <c r="H335" s="181"/>
      <c r="I335" s="181"/>
    </row>
  </sheetData>
  <mergeCells count="6">
    <mergeCell ref="A310:B310"/>
    <mergeCell ref="A2:I2"/>
    <mergeCell ref="A4:I4"/>
    <mergeCell ref="A6:B6"/>
    <mergeCell ref="D11:F11"/>
    <mergeCell ref="G11:I11"/>
  </mergeCells>
  <phoneticPr fontId="174" type="noConversion"/>
  <pageMargins left="0.7" right="0.7" top="0.75" bottom="0.75" header="0.3" footer="0.3"/>
  <pageSetup paperSize="9" orientation="portrait" horizontalDpi="0" verticalDpi="0"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X615"/>
  <sheetViews>
    <sheetView topLeftCell="B10" zoomScale="90" zoomScaleNormal="90" workbookViewId="0">
      <pane xSplit="4" ySplit="5" topLeftCell="O512" activePane="bottomRight" state="frozen"/>
      <selection activeCell="I81" sqref="I81"/>
      <selection pane="topRight" activeCell="I81" sqref="I81"/>
      <selection pane="bottomLeft" activeCell="I81" sqref="I81"/>
      <selection pane="bottomRight" activeCell="Q500" sqref="Q500"/>
    </sheetView>
  </sheetViews>
  <sheetFormatPr defaultColWidth="9" defaultRowHeight="11.5" outlineLevelCol="2" x14ac:dyDescent="0.35"/>
  <cols>
    <col min="1" max="1" width="2.81640625" style="1656" customWidth="1"/>
    <col min="2" max="2" width="3.453125" style="1657" customWidth="1"/>
    <col min="3" max="3" width="34.26953125" style="1658" customWidth="1"/>
    <col min="4" max="4" width="18" style="1555" customWidth="1" outlineLevel="2"/>
    <col min="5" max="5" width="10" style="1659" customWidth="1" outlineLevel="2"/>
    <col min="6" max="6" width="12.54296875" style="1660" customWidth="1" outlineLevel="2"/>
    <col min="7" max="7" width="4.26953125" style="1660" customWidth="1" outlineLevel="2"/>
    <col min="8" max="8" width="3.7265625" style="1660" customWidth="1" outlineLevel="2"/>
    <col min="9" max="9" width="7" style="1661" customWidth="1" outlineLevel="2"/>
    <col min="10" max="10" width="13.54296875" style="1661" customWidth="1" outlineLevel="2"/>
    <col min="11" max="11" width="15.1796875" style="1662" customWidth="1" outlineLevel="2"/>
    <col min="12" max="12" width="18.7265625" style="1663" customWidth="1"/>
    <col min="13" max="13" width="21" style="1663" customWidth="1"/>
    <col min="14" max="14" width="12.7265625" style="1663" customWidth="1"/>
    <col min="15" max="15" width="16.1796875" style="1663" customWidth="1"/>
    <col min="16" max="16" width="17.453125" style="1663" customWidth="1"/>
    <col min="17" max="17" width="18" style="1663" customWidth="1"/>
    <col min="18" max="19" width="15.1796875" style="1663" customWidth="1"/>
    <col min="20" max="20" width="15.453125" style="1663" customWidth="1"/>
    <col min="21" max="21" width="13.26953125" style="1573" bestFit="1" customWidth="1"/>
    <col min="22" max="22" width="18" style="648" customWidth="1"/>
    <col min="23" max="256" width="9" style="1555"/>
    <col min="257" max="257" width="2.81640625" style="1555" customWidth="1"/>
    <col min="258" max="258" width="4.453125" style="1555" customWidth="1"/>
    <col min="259" max="259" width="17.81640625" style="1555" customWidth="1"/>
    <col min="260" max="260" width="8.54296875" style="1555" customWidth="1"/>
    <col min="261" max="261" width="9.26953125" style="1555" customWidth="1"/>
    <col min="262" max="262" width="8" style="1555" customWidth="1"/>
    <col min="263" max="263" width="5.26953125" style="1555" customWidth="1"/>
    <col min="264" max="264" width="4.453125" style="1555" customWidth="1"/>
    <col min="265" max="265" width="7.81640625" style="1555" customWidth="1"/>
    <col min="266" max="266" width="11.26953125" style="1555" customWidth="1"/>
    <col min="267" max="267" width="12.1796875" style="1555" customWidth="1"/>
    <col min="268" max="268" width="12.453125" style="1555" customWidth="1"/>
    <col min="269" max="269" width="16.1796875" style="1555" customWidth="1"/>
    <col min="270" max="270" width="6.81640625" style="1555" customWidth="1"/>
    <col min="271" max="271" width="19.1796875" style="1555" customWidth="1"/>
    <col min="272" max="272" width="12.81640625" style="1555" customWidth="1"/>
    <col min="273" max="273" width="13" style="1555" customWidth="1"/>
    <col min="274" max="274" width="7.453125" style="1555" customWidth="1"/>
    <col min="275" max="275" width="14.1796875" style="1555" customWidth="1"/>
    <col min="276" max="276" width="16.26953125" style="1555" customWidth="1"/>
    <col min="277" max="277" width="9.7265625" style="1555" customWidth="1"/>
    <col min="278" max="512" width="9" style="1555"/>
    <col min="513" max="513" width="2.81640625" style="1555" customWidth="1"/>
    <col min="514" max="514" width="4.453125" style="1555" customWidth="1"/>
    <col min="515" max="515" width="17.81640625" style="1555" customWidth="1"/>
    <col min="516" max="516" width="8.54296875" style="1555" customWidth="1"/>
    <col min="517" max="517" width="9.26953125" style="1555" customWidth="1"/>
    <col min="518" max="518" width="8" style="1555" customWidth="1"/>
    <col min="519" max="519" width="5.26953125" style="1555" customWidth="1"/>
    <col min="520" max="520" width="4.453125" style="1555" customWidth="1"/>
    <col min="521" max="521" width="7.81640625" style="1555" customWidth="1"/>
    <col min="522" max="522" width="11.26953125" style="1555" customWidth="1"/>
    <col min="523" max="523" width="12.1796875" style="1555" customWidth="1"/>
    <col min="524" max="524" width="12.453125" style="1555" customWidth="1"/>
    <col min="525" max="525" width="16.1796875" style="1555" customWidth="1"/>
    <col min="526" max="526" width="6.81640625" style="1555" customWidth="1"/>
    <col min="527" max="527" width="19.1796875" style="1555" customWidth="1"/>
    <col min="528" max="528" width="12.81640625" style="1555" customWidth="1"/>
    <col min="529" max="529" width="13" style="1555" customWidth="1"/>
    <col min="530" max="530" width="7.453125" style="1555" customWidth="1"/>
    <col min="531" max="531" width="14.1796875" style="1555" customWidth="1"/>
    <col min="532" max="532" width="16.26953125" style="1555" customWidth="1"/>
    <col min="533" max="533" width="9.7265625" style="1555" customWidth="1"/>
    <col min="534" max="768" width="9" style="1555"/>
    <col min="769" max="769" width="2.81640625" style="1555" customWidth="1"/>
    <col min="770" max="770" width="4.453125" style="1555" customWidth="1"/>
    <col min="771" max="771" width="17.81640625" style="1555" customWidth="1"/>
    <col min="772" max="772" width="8.54296875" style="1555" customWidth="1"/>
    <col min="773" max="773" width="9.26953125" style="1555" customWidth="1"/>
    <col min="774" max="774" width="8" style="1555" customWidth="1"/>
    <col min="775" max="775" width="5.26953125" style="1555" customWidth="1"/>
    <col min="776" max="776" width="4.453125" style="1555" customWidth="1"/>
    <col min="777" max="777" width="7.81640625" style="1555" customWidth="1"/>
    <col min="778" max="778" width="11.26953125" style="1555" customWidth="1"/>
    <col min="779" max="779" width="12.1796875" style="1555" customWidth="1"/>
    <col min="780" max="780" width="12.453125" style="1555" customWidth="1"/>
    <col min="781" max="781" width="16.1796875" style="1555" customWidth="1"/>
    <col min="782" max="782" width="6.81640625" style="1555" customWidth="1"/>
    <col min="783" max="783" width="19.1796875" style="1555" customWidth="1"/>
    <col min="784" max="784" width="12.81640625" style="1555" customWidth="1"/>
    <col min="785" max="785" width="13" style="1555" customWidth="1"/>
    <col min="786" max="786" width="7.453125" style="1555" customWidth="1"/>
    <col min="787" max="787" width="14.1796875" style="1555" customWidth="1"/>
    <col min="788" max="788" width="16.26953125" style="1555" customWidth="1"/>
    <col min="789" max="789" width="9.7265625" style="1555" customWidth="1"/>
    <col min="790" max="1024" width="9" style="1555"/>
    <col min="1025" max="1025" width="2.81640625" style="1555" customWidth="1"/>
    <col min="1026" max="1026" width="4.453125" style="1555" customWidth="1"/>
    <col min="1027" max="1027" width="17.81640625" style="1555" customWidth="1"/>
    <col min="1028" max="1028" width="8.54296875" style="1555" customWidth="1"/>
    <col min="1029" max="1029" width="9.26953125" style="1555" customWidth="1"/>
    <col min="1030" max="1030" width="8" style="1555" customWidth="1"/>
    <col min="1031" max="1031" width="5.26953125" style="1555" customWidth="1"/>
    <col min="1032" max="1032" width="4.453125" style="1555" customWidth="1"/>
    <col min="1033" max="1033" width="7.81640625" style="1555" customWidth="1"/>
    <col min="1034" max="1034" width="11.26953125" style="1555" customWidth="1"/>
    <col min="1035" max="1035" width="12.1796875" style="1555" customWidth="1"/>
    <col min="1036" max="1036" width="12.453125" style="1555" customWidth="1"/>
    <col min="1037" max="1037" width="16.1796875" style="1555" customWidth="1"/>
    <col min="1038" max="1038" width="6.81640625" style="1555" customWidth="1"/>
    <col min="1039" max="1039" width="19.1796875" style="1555" customWidth="1"/>
    <col min="1040" max="1040" width="12.81640625" style="1555" customWidth="1"/>
    <col min="1041" max="1041" width="13" style="1555" customWidth="1"/>
    <col min="1042" max="1042" width="7.453125" style="1555" customWidth="1"/>
    <col min="1043" max="1043" width="14.1796875" style="1555" customWidth="1"/>
    <col min="1044" max="1044" width="16.26953125" style="1555" customWidth="1"/>
    <col min="1045" max="1045" width="9.7265625" style="1555" customWidth="1"/>
    <col min="1046" max="1280" width="9" style="1555"/>
    <col min="1281" max="1281" width="2.81640625" style="1555" customWidth="1"/>
    <col min="1282" max="1282" width="4.453125" style="1555" customWidth="1"/>
    <col min="1283" max="1283" width="17.81640625" style="1555" customWidth="1"/>
    <col min="1284" max="1284" width="8.54296875" style="1555" customWidth="1"/>
    <col min="1285" max="1285" width="9.26953125" style="1555" customWidth="1"/>
    <col min="1286" max="1286" width="8" style="1555" customWidth="1"/>
    <col min="1287" max="1287" width="5.26953125" style="1555" customWidth="1"/>
    <col min="1288" max="1288" width="4.453125" style="1555" customWidth="1"/>
    <col min="1289" max="1289" width="7.81640625" style="1555" customWidth="1"/>
    <col min="1290" max="1290" width="11.26953125" style="1555" customWidth="1"/>
    <col min="1291" max="1291" width="12.1796875" style="1555" customWidth="1"/>
    <col min="1292" max="1292" width="12.453125" style="1555" customWidth="1"/>
    <col min="1293" max="1293" width="16.1796875" style="1555" customWidth="1"/>
    <col min="1294" max="1294" width="6.81640625" style="1555" customWidth="1"/>
    <col min="1295" max="1295" width="19.1796875" style="1555" customWidth="1"/>
    <col min="1296" max="1296" width="12.81640625" style="1555" customWidth="1"/>
    <col min="1297" max="1297" width="13" style="1555" customWidth="1"/>
    <col min="1298" max="1298" width="7.453125" style="1555" customWidth="1"/>
    <col min="1299" max="1299" width="14.1796875" style="1555" customWidth="1"/>
    <col min="1300" max="1300" width="16.26953125" style="1555" customWidth="1"/>
    <col min="1301" max="1301" width="9.7265625" style="1555" customWidth="1"/>
    <col min="1302" max="1536" width="9" style="1555"/>
    <col min="1537" max="1537" width="2.81640625" style="1555" customWidth="1"/>
    <col min="1538" max="1538" width="4.453125" style="1555" customWidth="1"/>
    <col min="1539" max="1539" width="17.81640625" style="1555" customWidth="1"/>
    <col min="1540" max="1540" width="8.54296875" style="1555" customWidth="1"/>
    <col min="1541" max="1541" width="9.26953125" style="1555" customWidth="1"/>
    <col min="1542" max="1542" width="8" style="1555" customWidth="1"/>
    <col min="1543" max="1543" width="5.26953125" style="1555" customWidth="1"/>
    <col min="1544" max="1544" width="4.453125" style="1555" customWidth="1"/>
    <col min="1545" max="1545" width="7.81640625" style="1555" customWidth="1"/>
    <col min="1546" max="1546" width="11.26953125" style="1555" customWidth="1"/>
    <col min="1547" max="1547" width="12.1796875" style="1555" customWidth="1"/>
    <col min="1548" max="1548" width="12.453125" style="1555" customWidth="1"/>
    <col min="1549" max="1549" width="16.1796875" style="1555" customWidth="1"/>
    <col min="1550" max="1550" width="6.81640625" style="1555" customWidth="1"/>
    <col min="1551" max="1551" width="19.1796875" style="1555" customWidth="1"/>
    <col min="1552" max="1552" width="12.81640625" style="1555" customWidth="1"/>
    <col min="1553" max="1553" width="13" style="1555" customWidth="1"/>
    <col min="1554" max="1554" width="7.453125" style="1555" customWidth="1"/>
    <col min="1555" max="1555" width="14.1796875" style="1555" customWidth="1"/>
    <col min="1556" max="1556" width="16.26953125" style="1555" customWidth="1"/>
    <col min="1557" max="1557" width="9.7265625" style="1555" customWidth="1"/>
    <col min="1558" max="1792" width="9" style="1555"/>
    <col min="1793" max="1793" width="2.81640625" style="1555" customWidth="1"/>
    <col min="1794" max="1794" width="4.453125" style="1555" customWidth="1"/>
    <col min="1795" max="1795" width="17.81640625" style="1555" customWidth="1"/>
    <col min="1796" max="1796" width="8.54296875" style="1555" customWidth="1"/>
    <col min="1797" max="1797" width="9.26953125" style="1555" customWidth="1"/>
    <col min="1798" max="1798" width="8" style="1555" customWidth="1"/>
    <col min="1799" max="1799" width="5.26953125" style="1555" customWidth="1"/>
    <col min="1800" max="1800" width="4.453125" style="1555" customWidth="1"/>
    <col min="1801" max="1801" width="7.81640625" style="1555" customWidth="1"/>
    <col min="1802" max="1802" width="11.26953125" style="1555" customWidth="1"/>
    <col min="1803" max="1803" width="12.1796875" style="1555" customWidth="1"/>
    <col min="1804" max="1804" width="12.453125" style="1555" customWidth="1"/>
    <col min="1805" max="1805" width="16.1796875" style="1555" customWidth="1"/>
    <col min="1806" max="1806" width="6.81640625" style="1555" customWidth="1"/>
    <col min="1807" max="1807" width="19.1796875" style="1555" customWidth="1"/>
    <col min="1808" max="1808" width="12.81640625" style="1555" customWidth="1"/>
    <col min="1809" max="1809" width="13" style="1555" customWidth="1"/>
    <col min="1810" max="1810" width="7.453125" style="1555" customWidth="1"/>
    <col min="1811" max="1811" width="14.1796875" style="1555" customWidth="1"/>
    <col min="1812" max="1812" width="16.26953125" style="1555" customWidth="1"/>
    <col min="1813" max="1813" width="9.7265625" style="1555" customWidth="1"/>
    <col min="1814" max="2048" width="9" style="1555"/>
    <col min="2049" max="2049" width="2.81640625" style="1555" customWidth="1"/>
    <col min="2050" max="2050" width="4.453125" style="1555" customWidth="1"/>
    <col min="2051" max="2051" width="17.81640625" style="1555" customWidth="1"/>
    <col min="2052" max="2052" width="8.54296875" style="1555" customWidth="1"/>
    <col min="2053" max="2053" width="9.26953125" style="1555" customWidth="1"/>
    <col min="2054" max="2054" width="8" style="1555" customWidth="1"/>
    <col min="2055" max="2055" width="5.26953125" style="1555" customWidth="1"/>
    <col min="2056" max="2056" width="4.453125" style="1555" customWidth="1"/>
    <col min="2057" max="2057" width="7.81640625" style="1555" customWidth="1"/>
    <col min="2058" max="2058" width="11.26953125" style="1555" customWidth="1"/>
    <col min="2059" max="2059" width="12.1796875" style="1555" customWidth="1"/>
    <col min="2060" max="2060" width="12.453125" style="1555" customWidth="1"/>
    <col min="2061" max="2061" width="16.1796875" style="1555" customWidth="1"/>
    <col min="2062" max="2062" width="6.81640625" style="1555" customWidth="1"/>
    <col min="2063" max="2063" width="19.1796875" style="1555" customWidth="1"/>
    <col min="2064" max="2064" width="12.81640625" style="1555" customWidth="1"/>
    <col min="2065" max="2065" width="13" style="1555" customWidth="1"/>
    <col min="2066" max="2066" width="7.453125" style="1555" customWidth="1"/>
    <col min="2067" max="2067" width="14.1796875" style="1555" customWidth="1"/>
    <col min="2068" max="2068" width="16.26953125" style="1555" customWidth="1"/>
    <col min="2069" max="2069" width="9.7265625" style="1555" customWidth="1"/>
    <col min="2070" max="2304" width="9" style="1555"/>
    <col min="2305" max="2305" width="2.81640625" style="1555" customWidth="1"/>
    <col min="2306" max="2306" width="4.453125" style="1555" customWidth="1"/>
    <col min="2307" max="2307" width="17.81640625" style="1555" customWidth="1"/>
    <col min="2308" max="2308" width="8.54296875" style="1555" customWidth="1"/>
    <col min="2309" max="2309" width="9.26953125" style="1555" customWidth="1"/>
    <col min="2310" max="2310" width="8" style="1555" customWidth="1"/>
    <col min="2311" max="2311" width="5.26953125" style="1555" customWidth="1"/>
    <col min="2312" max="2312" width="4.453125" style="1555" customWidth="1"/>
    <col min="2313" max="2313" width="7.81640625" style="1555" customWidth="1"/>
    <col min="2314" max="2314" width="11.26953125" style="1555" customWidth="1"/>
    <col min="2315" max="2315" width="12.1796875" style="1555" customWidth="1"/>
    <col min="2316" max="2316" width="12.453125" style="1555" customWidth="1"/>
    <col min="2317" max="2317" width="16.1796875" style="1555" customWidth="1"/>
    <col min="2318" max="2318" width="6.81640625" style="1555" customWidth="1"/>
    <col min="2319" max="2319" width="19.1796875" style="1555" customWidth="1"/>
    <col min="2320" max="2320" width="12.81640625" style="1555" customWidth="1"/>
    <col min="2321" max="2321" width="13" style="1555" customWidth="1"/>
    <col min="2322" max="2322" width="7.453125" style="1555" customWidth="1"/>
    <col min="2323" max="2323" width="14.1796875" style="1555" customWidth="1"/>
    <col min="2324" max="2324" width="16.26953125" style="1555" customWidth="1"/>
    <col min="2325" max="2325" width="9.7265625" style="1555" customWidth="1"/>
    <col min="2326" max="2560" width="9" style="1555"/>
    <col min="2561" max="2561" width="2.81640625" style="1555" customWidth="1"/>
    <col min="2562" max="2562" width="4.453125" style="1555" customWidth="1"/>
    <col min="2563" max="2563" width="17.81640625" style="1555" customWidth="1"/>
    <col min="2564" max="2564" width="8.54296875" style="1555" customWidth="1"/>
    <col min="2565" max="2565" width="9.26953125" style="1555" customWidth="1"/>
    <col min="2566" max="2566" width="8" style="1555" customWidth="1"/>
    <col min="2567" max="2567" width="5.26953125" style="1555" customWidth="1"/>
    <col min="2568" max="2568" width="4.453125" style="1555" customWidth="1"/>
    <col min="2569" max="2569" width="7.81640625" style="1555" customWidth="1"/>
    <col min="2570" max="2570" width="11.26953125" style="1555" customWidth="1"/>
    <col min="2571" max="2571" width="12.1796875" style="1555" customWidth="1"/>
    <col min="2572" max="2572" width="12.453125" style="1555" customWidth="1"/>
    <col min="2573" max="2573" width="16.1796875" style="1555" customWidth="1"/>
    <col min="2574" max="2574" width="6.81640625" style="1555" customWidth="1"/>
    <col min="2575" max="2575" width="19.1796875" style="1555" customWidth="1"/>
    <col min="2576" max="2576" width="12.81640625" style="1555" customWidth="1"/>
    <col min="2577" max="2577" width="13" style="1555" customWidth="1"/>
    <col min="2578" max="2578" width="7.453125" style="1555" customWidth="1"/>
    <col min="2579" max="2579" width="14.1796875" style="1555" customWidth="1"/>
    <col min="2580" max="2580" width="16.26953125" style="1555" customWidth="1"/>
    <col min="2581" max="2581" width="9.7265625" style="1555" customWidth="1"/>
    <col min="2582" max="2816" width="9" style="1555"/>
    <col min="2817" max="2817" width="2.81640625" style="1555" customWidth="1"/>
    <col min="2818" max="2818" width="4.453125" style="1555" customWidth="1"/>
    <col min="2819" max="2819" width="17.81640625" style="1555" customWidth="1"/>
    <col min="2820" max="2820" width="8.54296875" style="1555" customWidth="1"/>
    <col min="2821" max="2821" width="9.26953125" style="1555" customWidth="1"/>
    <col min="2822" max="2822" width="8" style="1555" customWidth="1"/>
    <col min="2823" max="2823" width="5.26953125" style="1555" customWidth="1"/>
    <col min="2824" max="2824" width="4.453125" style="1555" customWidth="1"/>
    <col min="2825" max="2825" width="7.81640625" style="1555" customWidth="1"/>
    <col min="2826" max="2826" width="11.26953125" style="1555" customWidth="1"/>
    <col min="2827" max="2827" width="12.1796875" style="1555" customWidth="1"/>
    <col min="2828" max="2828" width="12.453125" style="1555" customWidth="1"/>
    <col min="2829" max="2829" width="16.1796875" style="1555" customWidth="1"/>
    <col min="2830" max="2830" width="6.81640625" style="1555" customWidth="1"/>
    <col min="2831" max="2831" width="19.1796875" style="1555" customWidth="1"/>
    <col min="2832" max="2832" width="12.81640625" style="1555" customWidth="1"/>
    <col min="2833" max="2833" width="13" style="1555" customWidth="1"/>
    <col min="2834" max="2834" width="7.453125" style="1555" customWidth="1"/>
    <col min="2835" max="2835" width="14.1796875" style="1555" customWidth="1"/>
    <col min="2836" max="2836" width="16.26953125" style="1555" customWidth="1"/>
    <col min="2837" max="2837" width="9.7265625" style="1555" customWidth="1"/>
    <col min="2838" max="3072" width="9" style="1555"/>
    <col min="3073" max="3073" width="2.81640625" style="1555" customWidth="1"/>
    <col min="3074" max="3074" width="4.453125" style="1555" customWidth="1"/>
    <col min="3075" max="3075" width="17.81640625" style="1555" customWidth="1"/>
    <col min="3076" max="3076" width="8.54296875" style="1555" customWidth="1"/>
    <col min="3077" max="3077" width="9.26953125" style="1555" customWidth="1"/>
    <col min="3078" max="3078" width="8" style="1555" customWidth="1"/>
    <col min="3079" max="3079" width="5.26953125" style="1555" customWidth="1"/>
    <col min="3080" max="3080" width="4.453125" style="1555" customWidth="1"/>
    <col min="3081" max="3081" width="7.81640625" style="1555" customWidth="1"/>
    <col min="3082" max="3082" width="11.26953125" style="1555" customWidth="1"/>
    <col min="3083" max="3083" width="12.1796875" style="1555" customWidth="1"/>
    <col min="3084" max="3084" width="12.453125" style="1555" customWidth="1"/>
    <col min="3085" max="3085" width="16.1796875" style="1555" customWidth="1"/>
    <col min="3086" max="3086" width="6.81640625" style="1555" customWidth="1"/>
    <col min="3087" max="3087" width="19.1796875" style="1555" customWidth="1"/>
    <col min="3088" max="3088" width="12.81640625" style="1555" customWidth="1"/>
    <col min="3089" max="3089" width="13" style="1555" customWidth="1"/>
    <col min="3090" max="3090" width="7.453125" style="1555" customWidth="1"/>
    <col min="3091" max="3091" width="14.1796875" style="1555" customWidth="1"/>
    <col min="3092" max="3092" width="16.26953125" style="1555" customWidth="1"/>
    <col min="3093" max="3093" width="9.7265625" style="1555" customWidth="1"/>
    <col min="3094" max="3328" width="9" style="1555"/>
    <col min="3329" max="3329" width="2.81640625" style="1555" customWidth="1"/>
    <col min="3330" max="3330" width="4.453125" style="1555" customWidth="1"/>
    <col min="3331" max="3331" width="17.81640625" style="1555" customWidth="1"/>
    <col min="3332" max="3332" width="8.54296875" style="1555" customWidth="1"/>
    <col min="3333" max="3333" width="9.26953125" style="1555" customWidth="1"/>
    <col min="3334" max="3334" width="8" style="1555" customWidth="1"/>
    <col min="3335" max="3335" width="5.26953125" style="1555" customWidth="1"/>
    <col min="3336" max="3336" width="4.453125" style="1555" customWidth="1"/>
    <col min="3337" max="3337" width="7.81640625" style="1555" customWidth="1"/>
    <col min="3338" max="3338" width="11.26953125" style="1555" customWidth="1"/>
    <col min="3339" max="3339" width="12.1796875" style="1555" customWidth="1"/>
    <col min="3340" max="3340" width="12.453125" style="1555" customWidth="1"/>
    <col min="3341" max="3341" width="16.1796875" style="1555" customWidth="1"/>
    <col min="3342" max="3342" width="6.81640625" style="1555" customWidth="1"/>
    <col min="3343" max="3343" width="19.1796875" style="1555" customWidth="1"/>
    <col min="3344" max="3344" width="12.81640625" style="1555" customWidth="1"/>
    <col min="3345" max="3345" width="13" style="1555" customWidth="1"/>
    <col min="3346" max="3346" width="7.453125" style="1555" customWidth="1"/>
    <col min="3347" max="3347" width="14.1796875" style="1555" customWidth="1"/>
    <col min="3348" max="3348" width="16.26953125" style="1555" customWidth="1"/>
    <col min="3349" max="3349" width="9.7265625" style="1555" customWidth="1"/>
    <col min="3350" max="3584" width="9" style="1555"/>
    <col min="3585" max="3585" width="2.81640625" style="1555" customWidth="1"/>
    <col min="3586" max="3586" width="4.453125" style="1555" customWidth="1"/>
    <col min="3587" max="3587" width="17.81640625" style="1555" customWidth="1"/>
    <col min="3588" max="3588" width="8.54296875" style="1555" customWidth="1"/>
    <col min="3589" max="3589" width="9.26953125" style="1555" customWidth="1"/>
    <col min="3590" max="3590" width="8" style="1555" customWidth="1"/>
    <col min="3591" max="3591" width="5.26953125" style="1555" customWidth="1"/>
    <col min="3592" max="3592" width="4.453125" style="1555" customWidth="1"/>
    <col min="3593" max="3593" width="7.81640625" style="1555" customWidth="1"/>
    <col min="3594" max="3594" width="11.26953125" style="1555" customWidth="1"/>
    <col min="3595" max="3595" width="12.1796875" style="1555" customWidth="1"/>
    <col min="3596" max="3596" width="12.453125" style="1555" customWidth="1"/>
    <col min="3597" max="3597" width="16.1796875" style="1555" customWidth="1"/>
    <col min="3598" max="3598" width="6.81640625" style="1555" customWidth="1"/>
    <col min="3599" max="3599" width="19.1796875" style="1555" customWidth="1"/>
    <col min="3600" max="3600" width="12.81640625" style="1555" customWidth="1"/>
    <col min="3601" max="3601" width="13" style="1555" customWidth="1"/>
    <col min="3602" max="3602" width="7.453125" style="1555" customWidth="1"/>
    <col min="3603" max="3603" width="14.1796875" style="1555" customWidth="1"/>
    <col min="3604" max="3604" width="16.26953125" style="1555" customWidth="1"/>
    <col min="3605" max="3605" width="9.7265625" style="1555" customWidth="1"/>
    <col min="3606" max="3840" width="9" style="1555"/>
    <col min="3841" max="3841" width="2.81640625" style="1555" customWidth="1"/>
    <col min="3842" max="3842" width="4.453125" style="1555" customWidth="1"/>
    <col min="3843" max="3843" width="17.81640625" style="1555" customWidth="1"/>
    <col min="3844" max="3844" width="8.54296875" style="1555" customWidth="1"/>
    <col min="3845" max="3845" width="9.26953125" style="1555" customWidth="1"/>
    <col min="3846" max="3846" width="8" style="1555" customWidth="1"/>
    <col min="3847" max="3847" width="5.26953125" style="1555" customWidth="1"/>
    <col min="3848" max="3848" width="4.453125" style="1555" customWidth="1"/>
    <col min="3849" max="3849" width="7.81640625" style="1555" customWidth="1"/>
    <col min="3850" max="3850" width="11.26953125" style="1555" customWidth="1"/>
    <col min="3851" max="3851" width="12.1796875" style="1555" customWidth="1"/>
    <col min="3852" max="3852" width="12.453125" style="1555" customWidth="1"/>
    <col min="3853" max="3853" width="16.1796875" style="1555" customWidth="1"/>
    <col min="3854" max="3854" width="6.81640625" style="1555" customWidth="1"/>
    <col min="3855" max="3855" width="19.1796875" style="1555" customWidth="1"/>
    <col min="3856" max="3856" width="12.81640625" style="1555" customWidth="1"/>
    <col min="3857" max="3857" width="13" style="1555" customWidth="1"/>
    <col min="3858" max="3858" width="7.453125" style="1555" customWidth="1"/>
    <col min="3859" max="3859" width="14.1796875" style="1555" customWidth="1"/>
    <col min="3860" max="3860" width="16.26953125" style="1555" customWidth="1"/>
    <col min="3861" max="3861" width="9.7265625" style="1555" customWidth="1"/>
    <col min="3862" max="4096" width="9" style="1555"/>
    <col min="4097" max="4097" width="2.81640625" style="1555" customWidth="1"/>
    <col min="4098" max="4098" width="4.453125" style="1555" customWidth="1"/>
    <col min="4099" max="4099" width="17.81640625" style="1555" customWidth="1"/>
    <col min="4100" max="4100" width="8.54296875" style="1555" customWidth="1"/>
    <col min="4101" max="4101" width="9.26953125" style="1555" customWidth="1"/>
    <col min="4102" max="4102" width="8" style="1555" customWidth="1"/>
    <col min="4103" max="4103" width="5.26953125" style="1555" customWidth="1"/>
    <col min="4104" max="4104" width="4.453125" style="1555" customWidth="1"/>
    <col min="4105" max="4105" width="7.81640625" style="1555" customWidth="1"/>
    <col min="4106" max="4106" width="11.26953125" style="1555" customWidth="1"/>
    <col min="4107" max="4107" width="12.1796875" style="1555" customWidth="1"/>
    <col min="4108" max="4108" width="12.453125" style="1555" customWidth="1"/>
    <col min="4109" max="4109" width="16.1796875" style="1555" customWidth="1"/>
    <col min="4110" max="4110" width="6.81640625" style="1555" customWidth="1"/>
    <col min="4111" max="4111" width="19.1796875" style="1555" customWidth="1"/>
    <col min="4112" max="4112" width="12.81640625" style="1555" customWidth="1"/>
    <col min="4113" max="4113" width="13" style="1555" customWidth="1"/>
    <col min="4114" max="4114" width="7.453125" style="1555" customWidth="1"/>
    <col min="4115" max="4115" width="14.1796875" style="1555" customWidth="1"/>
    <col min="4116" max="4116" width="16.26953125" style="1555" customWidth="1"/>
    <col min="4117" max="4117" width="9.7265625" style="1555" customWidth="1"/>
    <col min="4118" max="4352" width="9" style="1555"/>
    <col min="4353" max="4353" width="2.81640625" style="1555" customWidth="1"/>
    <col min="4354" max="4354" width="4.453125" style="1555" customWidth="1"/>
    <col min="4355" max="4355" width="17.81640625" style="1555" customWidth="1"/>
    <col min="4356" max="4356" width="8.54296875" style="1555" customWidth="1"/>
    <col min="4357" max="4357" width="9.26953125" style="1555" customWidth="1"/>
    <col min="4358" max="4358" width="8" style="1555" customWidth="1"/>
    <col min="4359" max="4359" width="5.26953125" style="1555" customWidth="1"/>
    <col min="4360" max="4360" width="4.453125" style="1555" customWidth="1"/>
    <col min="4361" max="4361" width="7.81640625" style="1555" customWidth="1"/>
    <col min="4362" max="4362" width="11.26953125" style="1555" customWidth="1"/>
    <col min="4363" max="4363" width="12.1796875" style="1555" customWidth="1"/>
    <col min="4364" max="4364" width="12.453125" style="1555" customWidth="1"/>
    <col min="4365" max="4365" width="16.1796875" style="1555" customWidth="1"/>
    <col min="4366" max="4366" width="6.81640625" style="1555" customWidth="1"/>
    <col min="4367" max="4367" width="19.1796875" style="1555" customWidth="1"/>
    <col min="4368" max="4368" width="12.81640625" style="1555" customWidth="1"/>
    <col min="4369" max="4369" width="13" style="1555" customWidth="1"/>
    <col min="4370" max="4370" width="7.453125" style="1555" customWidth="1"/>
    <col min="4371" max="4371" width="14.1796875" style="1555" customWidth="1"/>
    <col min="4372" max="4372" width="16.26953125" style="1555" customWidth="1"/>
    <col min="4373" max="4373" width="9.7265625" style="1555" customWidth="1"/>
    <col min="4374" max="4608" width="9" style="1555"/>
    <col min="4609" max="4609" width="2.81640625" style="1555" customWidth="1"/>
    <col min="4610" max="4610" width="4.453125" style="1555" customWidth="1"/>
    <col min="4611" max="4611" width="17.81640625" style="1555" customWidth="1"/>
    <col min="4612" max="4612" width="8.54296875" style="1555" customWidth="1"/>
    <col min="4613" max="4613" width="9.26953125" style="1555" customWidth="1"/>
    <col min="4614" max="4614" width="8" style="1555" customWidth="1"/>
    <col min="4615" max="4615" width="5.26953125" style="1555" customWidth="1"/>
    <col min="4616" max="4616" width="4.453125" style="1555" customWidth="1"/>
    <col min="4617" max="4617" width="7.81640625" style="1555" customWidth="1"/>
    <col min="4618" max="4618" width="11.26953125" style="1555" customWidth="1"/>
    <col min="4619" max="4619" width="12.1796875" style="1555" customWidth="1"/>
    <col min="4620" max="4620" width="12.453125" style="1555" customWidth="1"/>
    <col min="4621" max="4621" width="16.1796875" style="1555" customWidth="1"/>
    <col min="4622" max="4622" width="6.81640625" style="1555" customWidth="1"/>
    <col min="4623" max="4623" width="19.1796875" style="1555" customWidth="1"/>
    <col min="4624" max="4624" width="12.81640625" style="1555" customWidth="1"/>
    <col min="4625" max="4625" width="13" style="1555" customWidth="1"/>
    <col min="4626" max="4626" width="7.453125" style="1555" customWidth="1"/>
    <col min="4627" max="4627" width="14.1796875" style="1555" customWidth="1"/>
    <col min="4628" max="4628" width="16.26953125" style="1555" customWidth="1"/>
    <col min="4629" max="4629" width="9.7265625" style="1555" customWidth="1"/>
    <col min="4630" max="4864" width="9" style="1555"/>
    <col min="4865" max="4865" width="2.81640625" style="1555" customWidth="1"/>
    <col min="4866" max="4866" width="4.453125" style="1555" customWidth="1"/>
    <col min="4867" max="4867" width="17.81640625" style="1555" customWidth="1"/>
    <col min="4868" max="4868" width="8.54296875" style="1555" customWidth="1"/>
    <col min="4869" max="4869" width="9.26953125" style="1555" customWidth="1"/>
    <col min="4870" max="4870" width="8" style="1555" customWidth="1"/>
    <col min="4871" max="4871" width="5.26953125" style="1555" customWidth="1"/>
    <col min="4872" max="4872" width="4.453125" style="1555" customWidth="1"/>
    <col min="4873" max="4873" width="7.81640625" style="1555" customWidth="1"/>
    <col min="4874" max="4874" width="11.26953125" style="1555" customWidth="1"/>
    <col min="4875" max="4875" width="12.1796875" style="1555" customWidth="1"/>
    <col min="4876" max="4876" width="12.453125" style="1555" customWidth="1"/>
    <col min="4877" max="4877" width="16.1796875" style="1555" customWidth="1"/>
    <col min="4878" max="4878" width="6.81640625" style="1555" customWidth="1"/>
    <col min="4879" max="4879" width="19.1796875" style="1555" customWidth="1"/>
    <col min="4880" max="4880" width="12.81640625" style="1555" customWidth="1"/>
    <col min="4881" max="4881" width="13" style="1555" customWidth="1"/>
    <col min="4882" max="4882" width="7.453125" style="1555" customWidth="1"/>
    <col min="4883" max="4883" width="14.1796875" style="1555" customWidth="1"/>
    <col min="4884" max="4884" width="16.26953125" style="1555" customWidth="1"/>
    <col min="4885" max="4885" width="9.7265625" style="1555" customWidth="1"/>
    <col min="4886" max="5120" width="9" style="1555"/>
    <col min="5121" max="5121" width="2.81640625" style="1555" customWidth="1"/>
    <col min="5122" max="5122" width="4.453125" style="1555" customWidth="1"/>
    <col min="5123" max="5123" width="17.81640625" style="1555" customWidth="1"/>
    <col min="5124" max="5124" width="8.54296875" style="1555" customWidth="1"/>
    <col min="5125" max="5125" width="9.26953125" style="1555" customWidth="1"/>
    <col min="5126" max="5126" width="8" style="1555" customWidth="1"/>
    <col min="5127" max="5127" width="5.26953125" style="1555" customWidth="1"/>
    <col min="5128" max="5128" width="4.453125" style="1555" customWidth="1"/>
    <col min="5129" max="5129" width="7.81640625" style="1555" customWidth="1"/>
    <col min="5130" max="5130" width="11.26953125" style="1555" customWidth="1"/>
    <col min="5131" max="5131" width="12.1796875" style="1555" customWidth="1"/>
    <col min="5132" max="5132" width="12.453125" style="1555" customWidth="1"/>
    <col min="5133" max="5133" width="16.1796875" style="1555" customWidth="1"/>
    <col min="5134" max="5134" width="6.81640625" style="1555" customWidth="1"/>
    <col min="5135" max="5135" width="19.1796875" style="1555" customWidth="1"/>
    <col min="5136" max="5136" width="12.81640625" style="1555" customWidth="1"/>
    <col min="5137" max="5137" width="13" style="1555" customWidth="1"/>
    <col min="5138" max="5138" width="7.453125" style="1555" customWidth="1"/>
    <col min="5139" max="5139" width="14.1796875" style="1555" customWidth="1"/>
    <col min="5140" max="5140" width="16.26953125" style="1555" customWidth="1"/>
    <col min="5141" max="5141" width="9.7265625" style="1555" customWidth="1"/>
    <col min="5142" max="5376" width="9" style="1555"/>
    <col min="5377" max="5377" width="2.81640625" style="1555" customWidth="1"/>
    <col min="5378" max="5378" width="4.453125" style="1555" customWidth="1"/>
    <col min="5379" max="5379" width="17.81640625" style="1555" customWidth="1"/>
    <col min="5380" max="5380" width="8.54296875" style="1555" customWidth="1"/>
    <col min="5381" max="5381" width="9.26953125" style="1555" customWidth="1"/>
    <col min="5382" max="5382" width="8" style="1555" customWidth="1"/>
    <col min="5383" max="5383" width="5.26953125" style="1555" customWidth="1"/>
    <col min="5384" max="5384" width="4.453125" style="1555" customWidth="1"/>
    <col min="5385" max="5385" width="7.81640625" style="1555" customWidth="1"/>
    <col min="5386" max="5386" width="11.26953125" style="1555" customWidth="1"/>
    <col min="5387" max="5387" width="12.1796875" style="1555" customWidth="1"/>
    <col min="5388" max="5388" width="12.453125" style="1555" customWidth="1"/>
    <col min="5389" max="5389" width="16.1796875" style="1555" customWidth="1"/>
    <col min="5390" max="5390" width="6.81640625" style="1555" customWidth="1"/>
    <col min="5391" max="5391" width="19.1796875" style="1555" customWidth="1"/>
    <col min="5392" max="5392" width="12.81640625" style="1555" customWidth="1"/>
    <col min="5393" max="5393" width="13" style="1555" customWidth="1"/>
    <col min="5394" max="5394" width="7.453125" style="1555" customWidth="1"/>
    <col min="5395" max="5395" width="14.1796875" style="1555" customWidth="1"/>
    <col min="5396" max="5396" width="16.26953125" style="1555" customWidth="1"/>
    <col min="5397" max="5397" width="9.7265625" style="1555" customWidth="1"/>
    <col min="5398" max="5632" width="9" style="1555"/>
    <col min="5633" max="5633" width="2.81640625" style="1555" customWidth="1"/>
    <col min="5634" max="5634" width="4.453125" style="1555" customWidth="1"/>
    <col min="5635" max="5635" width="17.81640625" style="1555" customWidth="1"/>
    <col min="5636" max="5636" width="8.54296875" style="1555" customWidth="1"/>
    <col min="5637" max="5637" width="9.26953125" style="1555" customWidth="1"/>
    <col min="5638" max="5638" width="8" style="1555" customWidth="1"/>
    <col min="5639" max="5639" width="5.26953125" style="1555" customWidth="1"/>
    <col min="5640" max="5640" width="4.453125" style="1555" customWidth="1"/>
    <col min="5641" max="5641" width="7.81640625" style="1555" customWidth="1"/>
    <col min="5642" max="5642" width="11.26953125" style="1555" customWidth="1"/>
    <col min="5643" max="5643" width="12.1796875" style="1555" customWidth="1"/>
    <col min="5644" max="5644" width="12.453125" style="1555" customWidth="1"/>
    <col min="5645" max="5645" width="16.1796875" style="1555" customWidth="1"/>
    <col min="5646" max="5646" width="6.81640625" style="1555" customWidth="1"/>
    <col min="5647" max="5647" width="19.1796875" style="1555" customWidth="1"/>
    <col min="5648" max="5648" width="12.81640625" style="1555" customWidth="1"/>
    <col min="5649" max="5649" width="13" style="1555" customWidth="1"/>
    <col min="5650" max="5650" width="7.453125" style="1555" customWidth="1"/>
    <col min="5651" max="5651" width="14.1796875" style="1555" customWidth="1"/>
    <col min="5652" max="5652" width="16.26953125" style="1555" customWidth="1"/>
    <col min="5653" max="5653" width="9.7265625" style="1555" customWidth="1"/>
    <col min="5654" max="5888" width="9" style="1555"/>
    <col min="5889" max="5889" width="2.81640625" style="1555" customWidth="1"/>
    <col min="5890" max="5890" width="4.453125" style="1555" customWidth="1"/>
    <col min="5891" max="5891" width="17.81640625" style="1555" customWidth="1"/>
    <col min="5892" max="5892" width="8.54296875" style="1555" customWidth="1"/>
    <col min="5893" max="5893" width="9.26953125" style="1555" customWidth="1"/>
    <col min="5894" max="5894" width="8" style="1555" customWidth="1"/>
    <col min="5895" max="5895" width="5.26953125" style="1555" customWidth="1"/>
    <col min="5896" max="5896" width="4.453125" style="1555" customWidth="1"/>
    <col min="5897" max="5897" width="7.81640625" style="1555" customWidth="1"/>
    <col min="5898" max="5898" width="11.26953125" style="1555" customWidth="1"/>
    <col min="5899" max="5899" width="12.1796875" style="1555" customWidth="1"/>
    <col min="5900" max="5900" width="12.453125" style="1555" customWidth="1"/>
    <col min="5901" max="5901" width="16.1796875" style="1555" customWidth="1"/>
    <col min="5902" max="5902" width="6.81640625" style="1555" customWidth="1"/>
    <col min="5903" max="5903" width="19.1796875" style="1555" customWidth="1"/>
    <col min="5904" max="5904" width="12.81640625" style="1555" customWidth="1"/>
    <col min="5905" max="5905" width="13" style="1555" customWidth="1"/>
    <col min="5906" max="5906" width="7.453125" style="1555" customWidth="1"/>
    <col min="5907" max="5907" width="14.1796875" style="1555" customWidth="1"/>
    <col min="5908" max="5908" width="16.26953125" style="1555" customWidth="1"/>
    <col min="5909" max="5909" width="9.7265625" style="1555" customWidth="1"/>
    <col min="5910" max="6144" width="9" style="1555"/>
    <col min="6145" max="6145" width="2.81640625" style="1555" customWidth="1"/>
    <col min="6146" max="6146" width="4.453125" style="1555" customWidth="1"/>
    <col min="6147" max="6147" width="17.81640625" style="1555" customWidth="1"/>
    <col min="6148" max="6148" width="8.54296875" style="1555" customWidth="1"/>
    <col min="6149" max="6149" width="9.26953125" style="1555" customWidth="1"/>
    <col min="6150" max="6150" width="8" style="1555" customWidth="1"/>
    <col min="6151" max="6151" width="5.26953125" style="1555" customWidth="1"/>
    <col min="6152" max="6152" width="4.453125" style="1555" customWidth="1"/>
    <col min="6153" max="6153" width="7.81640625" style="1555" customWidth="1"/>
    <col min="6154" max="6154" width="11.26953125" style="1555" customWidth="1"/>
    <col min="6155" max="6155" width="12.1796875" style="1555" customWidth="1"/>
    <col min="6156" max="6156" width="12.453125" style="1555" customWidth="1"/>
    <col min="6157" max="6157" width="16.1796875" style="1555" customWidth="1"/>
    <col min="6158" max="6158" width="6.81640625" style="1555" customWidth="1"/>
    <col min="6159" max="6159" width="19.1796875" style="1555" customWidth="1"/>
    <col min="6160" max="6160" width="12.81640625" style="1555" customWidth="1"/>
    <col min="6161" max="6161" width="13" style="1555" customWidth="1"/>
    <col min="6162" max="6162" width="7.453125" style="1555" customWidth="1"/>
    <col min="6163" max="6163" width="14.1796875" style="1555" customWidth="1"/>
    <col min="6164" max="6164" width="16.26953125" style="1555" customWidth="1"/>
    <col min="6165" max="6165" width="9.7265625" style="1555" customWidth="1"/>
    <col min="6166" max="6400" width="9" style="1555"/>
    <col min="6401" max="6401" width="2.81640625" style="1555" customWidth="1"/>
    <col min="6402" max="6402" width="4.453125" style="1555" customWidth="1"/>
    <col min="6403" max="6403" width="17.81640625" style="1555" customWidth="1"/>
    <col min="6404" max="6404" width="8.54296875" style="1555" customWidth="1"/>
    <col min="6405" max="6405" width="9.26953125" style="1555" customWidth="1"/>
    <col min="6406" max="6406" width="8" style="1555" customWidth="1"/>
    <col min="6407" max="6407" width="5.26953125" style="1555" customWidth="1"/>
    <col min="6408" max="6408" width="4.453125" style="1555" customWidth="1"/>
    <col min="6409" max="6409" width="7.81640625" style="1555" customWidth="1"/>
    <col min="6410" max="6410" width="11.26953125" style="1555" customWidth="1"/>
    <col min="6411" max="6411" width="12.1796875" style="1555" customWidth="1"/>
    <col min="6412" max="6412" width="12.453125" style="1555" customWidth="1"/>
    <col min="6413" max="6413" width="16.1796875" style="1555" customWidth="1"/>
    <col min="6414" max="6414" width="6.81640625" style="1555" customWidth="1"/>
    <col min="6415" max="6415" width="19.1796875" style="1555" customWidth="1"/>
    <col min="6416" max="6416" width="12.81640625" style="1555" customWidth="1"/>
    <col min="6417" max="6417" width="13" style="1555" customWidth="1"/>
    <col min="6418" max="6418" width="7.453125" style="1555" customWidth="1"/>
    <col min="6419" max="6419" width="14.1796875" style="1555" customWidth="1"/>
    <col min="6420" max="6420" width="16.26953125" style="1555" customWidth="1"/>
    <col min="6421" max="6421" width="9.7265625" style="1555" customWidth="1"/>
    <col min="6422" max="6656" width="9" style="1555"/>
    <col min="6657" max="6657" width="2.81640625" style="1555" customWidth="1"/>
    <col min="6658" max="6658" width="4.453125" style="1555" customWidth="1"/>
    <col min="6659" max="6659" width="17.81640625" style="1555" customWidth="1"/>
    <col min="6660" max="6660" width="8.54296875" style="1555" customWidth="1"/>
    <col min="6661" max="6661" width="9.26953125" style="1555" customWidth="1"/>
    <col min="6662" max="6662" width="8" style="1555" customWidth="1"/>
    <col min="6663" max="6663" width="5.26953125" style="1555" customWidth="1"/>
    <col min="6664" max="6664" width="4.453125" style="1555" customWidth="1"/>
    <col min="6665" max="6665" width="7.81640625" style="1555" customWidth="1"/>
    <col min="6666" max="6666" width="11.26953125" style="1555" customWidth="1"/>
    <col min="6667" max="6667" width="12.1796875" style="1555" customWidth="1"/>
    <col min="6668" max="6668" width="12.453125" style="1555" customWidth="1"/>
    <col min="6669" max="6669" width="16.1796875" style="1555" customWidth="1"/>
    <col min="6670" max="6670" width="6.81640625" style="1555" customWidth="1"/>
    <col min="6671" max="6671" width="19.1796875" style="1555" customWidth="1"/>
    <col min="6672" max="6672" width="12.81640625" style="1555" customWidth="1"/>
    <col min="6673" max="6673" width="13" style="1555" customWidth="1"/>
    <col min="6674" max="6674" width="7.453125" style="1555" customWidth="1"/>
    <col min="6675" max="6675" width="14.1796875" style="1555" customWidth="1"/>
    <col min="6676" max="6676" width="16.26953125" style="1555" customWidth="1"/>
    <col min="6677" max="6677" width="9.7265625" style="1555" customWidth="1"/>
    <col min="6678" max="6912" width="9" style="1555"/>
    <col min="6913" max="6913" width="2.81640625" style="1555" customWidth="1"/>
    <col min="6914" max="6914" width="4.453125" style="1555" customWidth="1"/>
    <col min="6915" max="6915" width="17.81640625" style="1555" customWidth="1"/>
    <col min="6916" max="6916" width="8.54296875" style="1555" customWidth="1"/>
    <col min="6917" max="6917" width="9.26953125" style="1555" customWidth="1"/>
    <col min="6918" max="6918" width="8" style="1555" customWidth="1"/>
    <col min="6919" max="6919" width="5.26953125" style="1555" customWidth="1"/>
    <col min="6920" max="6920" width="4.453125" style="1555" customWidth="1"/>
    <col min="6921" max="6921" width="7.81640625" style="1555" customWidth="1"/>
    <col min="6922" max="6922" width="11.26953125" style="1555" customWidth="1"/>
    <col min="6923" max="6923" width="12.1796875" style="1555" customWidth="1"/>
    <col min="6924" max="6924" width="12.453125" style="1555" customWidth="1"/>
    <col min="6925" max="6925" width="16.1796875" style="1555" customWidth="1"/>
    <col min="6926" max="6926" width="6.81640625" style="1555" customWidth="1"/>
    <col min="6927" max="6927" width="19.1796875" style="1555" customWidth="1"/>
    <col min="6928" max="6928" width="12.81640625" style="1555" customWidth="1"/>
    <col min="6929" max="6929" width="13" style="1555" customWidth="1"/>
    <col min="6930" max="6930" width="7.453125" style="1555" customWidth="1"/>
    <col min="6931" max="6931" width="14.1796875" style="1555" customWidth="1"/>
    <col min="6932" max="6932" width="16.26953125" style="1555" customWidth="1"/>
    <col min="6933" max="6933" width="9.7265625" style="1555" customWidth="1"/>
    <col min="6934" max="7168" width="9" style="1555"/>
    <col min="7169" max="7169" width="2.81640625" style="1555" customWidth="1"/>
    <col min="7170" max="7170" width="4.453125" style="1555" customWidth="1"/>
    <col min="7171" max="7171" width="17.81640625" style="1555" customWidth="1"/>
    <col min="7172" max="7172" width="8.54296875" style="1555" customWidth="1"/>
    <col min="7173" max="7173" width="9.26953125" style="1555" customWidth="1"/>
    <col min="7174" max="7174" width="8" style="1555" customWidth="1"/>
    <col min="7175" max="7175" width="5.26953125" style="1555" customWidth="1"/>
    <col min="7176" max="7176" width="4.453125" style="1555" customWidth="1"/>
    <col min="7177" max="7177" width="7.81640625" style="1555" customWidth="1"/>
    <col min="7178" max="7178" width="11.26953125" style="1555" customWidth="1"/>
    <col min="7179" max="7179" width="12.1796875" style="1555" customWidth="1"/>
    <col min="7180" max="7180" width="12.453125" style="1555" customWidth="1"/>
    <col min="7181" max="7181" width="16.1796875" style="1555" customWidth="1"/>
    <col min="7182" max="7182" width="6.81640625" style="1555" customWidth="1"/>
    <col min="7183" max="7183" width="19.1796875" style="1555" customWidth="1"/>
    <col min="7184" max="7184" width="12.81640625" style="1555" customWidth="1"/>
    <col min="7185" max="7185" width="13" style="1555" customWidth="1"/>
    <col min="7186" max="7186" width="7.453125" style="1555" customWidth="1"/>
    <col min="7187" max="7187" width="14.1796875" style="1555" customWidth="1"/>
    <col min="7188" max="7188" width="16.26953125" style="1555" customWidth="1"/>
    <col min="7189" max="7189" width="9.7265625" style="1555" customWidth="1"/>
    <col min="7190" max="7424" width="9" style="1555"/>
    <col min="7425" max="7425" width="2.81640625" style="1555" customWidth="1"/>
    <col min="7426" max="7426" width="4.453125" style="1555" customWidth="1"/>
    <col min="7427" max="7427" width="17.81640625" style="1555" customWidth="1"/>
    <col min="7428" max="7428" width="8.54296875" style="1555" customWidth="1"/>
    <col min="7429" max="7429" width="9.26953125" style="1555" customWidth="1"/>
    <col min="7430" max="7430" width="8" style="1555" customWidth="1"/>
    <col min="7431" max="7431" width="5.26953125" style="1555" customWidth="1"/>
    <col min="7432" max="7432" width="4.453125" style="1555" customWidth="1"/>
    <col min="7433" max="7433" width="7.81640625" style="1555" customWidth="1"/>
    <col min="7434" max="7434" width="11.26953125" style="1555" customWidth="1"/>
    <col min="7435" max="7435" width="12.1796875" style="1555" customWidth="1"/>
    <col min="7436" max="7436" width="12.453125" style="1555" customWidth="1"/>
    <col min="7437" max="7437" width="16.1796875" style="1555" customWidth="1"/>
    <col min="7438" max="7438" width="6.81640625" style="1555" customWidth="1"/>
    <col min="7439" max="7439" width="19.1796875" style="1555" customWidth="1"/>
    <col min="7440" max="7440" width="12.81640625" style="1555" customWidth="1"/>
    <col min="7441" max="7441" width="13" style="1555" customWidth="1"/>
    <col min="7442" max="7442" width="7.453125" style="1555" customWidth="1"/>
    <col min="7443" max="7443" width="14.1796875" style="1555" customWidth="1"/>
    <col min="7444" max="7444" width="16.26953125" style="1555" customWidth="1"/>
    <col min="7445" max="7445" width="9.7265625" style="1555" customWidth="1"/>
    <col min="7446" max="7680" width="9" style="1555"/>
    <col min="7681" max="7681" width="2.81640625" style="1555" customWidth="1"/>
    <col min="7682" max="7682" width="4.453125" style="1555" customWidth="1"/>
    <col min="7683" max="7683" width="17.81640625" style="1555" customWidth="1"/>
    <col min="7684" max="7684" width="8.54296875" style="1555" customWidth="1"/>
    <col min="7685" max="7685" width="9.26953125" style="1555" customWidth="1"/>
    <col min="7686" max="7686" width="8" style="1555" customWidth="1"/>
    <col min="7687" max="7687" width="5.26953125" style="1555" customWidth="1"/>
    <col min="7688" max="7688" width="4.453125" style="1555" customWidth="1"/>
    <col min="7689" max="7689" width="7.81640625" style="1555" customWidth="1"/>
    <col min="7690" max="7690" width="11.26953125" style="1555" customWidth="1"/>
    <col min="7691" max="7691" width="12.1796875" style="1555" customWidth="1"/>
    <col min="7692" max="7692" width="12.453125" style="1555" customWidth="1"/>
    <col min="7693" max="7693" width="16.1796875" style="1555" customWidth="1"/>
    <col min="7694" max="7694" width="6.81640625" style="1555" customWidth="1"/>
    <col min="7695" max="7695" width="19.1796875" style="1555" customWidth="1"/>
    <col min="7696" max="7696" width="12.81640625" style="1555" customWidth="1"/>
    <col min="7697" max="7697" width="13" style="1555" customWidth="1"/>
    <col min="7698" max="7698" width="7.453125" style="1555" customWidth="1"/>
    <col min="7699" max="7699" width="14.1796875" style="1555" customWidth="1"/>
    <col min="7700" max="7700" width="16.26953125" style="1555" customWidth="1"/>
    <col min="7701" max="7701" width="9.7265625" style="1555" customWidth="1"/>
    <col min="7702" max="7936" width="9" style="1555"/>
    <col min="7937" max="7937" width="2.81640625" style="1555" customWidth="1"/>
    <col min="7938" max="7938" width="4.453125" style="1555" customWidth="1"/>
    <col min="7939" max="7939" width="17.81640625" style="1555" customWidth="1"/>
    <col min="7940" max="7940" width="8.54296875" style="1555" customWidth="1"/>
    <col min="7941" max="7941" width="9.26953125" style="1555" customWidth="1"/>
    <col min="7942" max="7942" width="8" style="1555" customWidth="1"/>
    <col min="7943" max="7943" width="5.26953125" style="1555" customWidth="1"/>
    <col min="7944" max="7944" width="4.453125" style="1555" customWidth="1"/>
    <col min="7945" max="7945" width="7.81640625" style="1555" customWidth="1"/>
    <col min="7946" max="7946" width="11.26953125" style="1555" customWidth="1"/>
    <col min="7947" max="7947" width="12.1796875" style="1555" customWidth="1"/>
    <col min="7948" max="7948" width="12.453125" style="1555" customWidth="1"/>
    <col min="7949" max="7949" width="16.1796875" style="1555" customWidth="1"/>
    <col min="7950" max="7950" width="6.81640625" style="1555" customWidth="1"/>
    <col min="7951" max="7951" width="19.1796875" style="1555" customWidth="1"/>
    <col min="7952" max="7952" width="12.81640625" style="1555" customWidth="1"/>
    <col min="7953" max="7953" width="13" style="1555" customWidth="1"/>
    <col min="7954" max="7954" width="7.453125" style="1555" customWidth="1"/>
    <col min="7955" max="7955" width="14.1796875" style="1555" customWidth="1"/>
    <col min="7956" max="7956" width="16.26953125" style="1555" customWidth="1"/>
    <col min="7957" max="7957" width="9.7265625" style="1555" customWidth="1"/>
    <col min="7958" max="8192" width="9" style="1555"/>
    <col min="8193" max="8193" width="2.81640625" style="1555" customWidth="1"/>
    <col min="8194" max="8194" width="4.453125" style="1555" customWidth="1"/>
    <col min="8195" max="8195" width="17.81640625" style="1555" customWidth="1"/>
    <col min="8196" max="8196" width="8.54296875" style="1555" customWidth="1"/>
    <col min="8197" max="8197" width="9.26953125" style="1555" customWidth="1"/>
    <col min="8198" max="8198" width="8" style="1555" customWidth="1"/>
    <col min="8199" max="8199" width="5.26953125" style="1555" customWidth="1"/>
    <col min="8200" max="8200" width="4.453125" style="1555" customWidth="1"/>
    <col min="8201" max="8201" width="7.81640625" style="1555" customWidth="1"/>
    <col min="8202" max="8202" width="11.26953125" style="1555" customWidth="1"/>
    <col min="8203" max="8203" width="12.1796875" style="1555" customWidth="1"/>
    <col min="8204" max="8204" width="12.453125" style="1555" customWidth="1"/>
    <col min="8205" max="8205" width="16.1796875" style="1555" customWidth="1"/>
    <col min="8206" max="8206" width="6.81640625" style="1555" customWidth="1"/>
    <col min="8207" max="8207" width="19.1796875" style="1555" customWidth="1"/>
    <col min="8208" max="8208" width="12.81640625" style="1555" customWidth="1"/>
    <col min="8209" max="8209" width="13" style="1555" customWidth="1"/>
    <col min="8210" max="8210" width="7.453125" style="1555" customWidth="1"/>
    <col min="8211" max="8211" width="14.1796875" style="1555" customWidth="1"/>
    <col min="8212" max="8212" width="16.26953125" style="1555" customWidth="1"/>
    <col min="8213" max="8213" width="9.7265625" style="1555" customWidth="1"/>
    <col min="8214" max="8448" width="9" style="1555"/>
    <col min="8449" max="8449" width="2.81640625" style="1555" customWidth="1"/>
    <col min="8450" max="8450" width="4.453125" style="1555" customWidth="1"/>
    <col min="8451" max="8451" width="17.81640625" style="1555" customWidth="1"/>
    <col min="8452" max="8452" width="8.54296875" style="1555" customWidth="1"/>
    <col min="8453" max="8453" width="9.26953125" style="1555" customWidth="1"/>
    <col min="8454" max="8454" width="8" style="1555" customWidth="1"/>
    <col min="8455" max="8455" width="5.26953125" style="1555" customWidth="1"/>
    <col min="8456" max="8456" width="4.453125" style="1555" customWidth="1"/>
    <col min="8457" max="8457" width="7.81640625" style="1555" customWidth="1"/>
    <col min="8458" max="8458" width="11.26953125" style="1555" customWidth="1"/>
    <col min="8459" max="8459" width="12.1796875" style="1555" customWidth="1"/>
    <col min="8460" max="8460" width="12.453125" style="1555" customWidth="1"/>
    <col min="8461" max="8461" width="16.1796875" style="1555" customWidth="1"/>
    <col min="8462" max="8462" width="6.81640625" style="1555" customWidth="1"/>
    <col min="8463" max="8463" width="19.1796875" style="1555" customWidth="1"/>
    <col min="8464" max="8464" width="12.81640625" style="1555" customWidth="1"/>
    <col min="8465" max="8465" width="13" style="1555" customWidth="1"/>
    <col min="8466" max="8466" width="7.453125" style="1555" customWidth="1"/>
    <col min="8467" max="8467" width="14.1796875" style="1555" customWidth="1"/>
    <col min="8468" max="8468" width="16.26953125" style="1555" customWidth="1"/>
    <col min="8469" max="8469" width="9.7265625" style="1555" customWidth="1"/>
    <col min="8470" max="8704" width="9" style="1555"/>
    <col min="8705" max="8705" width="2.81640625" style="1555" customWidth="1"/>
    <col min="8706" max="8706" width="4.453125" style="1555" customWidth="1"/>
    <col min="8707" max="8707" width="17.81640625" style="1555" customWidth="1"/>
    <col min="8708" max="8708" width="8.54296875" style="1555" customWidth="1"/>
    <col min="8709" max="8709" width="9.26953125" style="1555" customWidth="1"/>
    <col min="8710" max="8710" width="8" style="1555" customWidth="1"/>
    <col min="8711" max="8711" width="5.26953125" style="1555" customWidth="1"/>
    <col min="8712" max="8712" width="4.453125" style="1555" customWidth="1"/>
    <col min="8713" max="8713" width="7.81640625" style="1555" customWidth="1"/>
    <col min="8714" max="8714" width="11.26953125" style="1555" customWidth="1"/>
    <col min="8715" max="8715" width="12.1796875" style="1555" customWidth="1"/>
    <col min="8716" max="8716" width="12.453125" style="1555" customWidth="1"/>
    <col min="8717" max="8717" width="16.1796875" style="1555" customWidth="1"/>
    <col min="8718" max="8718" width="6.81640625" style="1555" customWidth="1"/>
    <col min="8719" max="8719" width="19.1796875" style="1555" customWidth="1"/>
    <col min="8720" max="8720" width="12.81640625" style="1555" customWidth="1"/>
    <col min="8721" max="8721" width="13" style="1555" customWidth="1"/>
    <col min="8722" max="8722" width="7.453125" style="1555" customWidth="1"/>
    <col min="8723" max="8723" width="14.1796875" style="1555" customWidth="1"/>
    <col min="8724" max="8724" width="16.26953125" style="1555" customWidth="1"/>
    <col min="8725" max="8725" width="9.7265625" style="1555" customWidth="1"/>
    <col min="8726" max="8960" width="9" style="1555"/>
    <col min="8961" max="8961" width="2.81640625" style="1555" customWidth="1"/>
    <col min="8962" max="8962" width="4.453125" style="1555" customWidth="1"/>
    <col min="8963" max="8963" width="17.81640625" style="1555" customWidth="1"/>
    <col min="8964" max="8964" width="8.54296875" style="1555" customWidth="1"/>
    <col min="8965" max="8965" width="9.26953125" style="1555" customWidth="1"/>
    <col min="8966" max="8966" width="8" style="1555" customWidth="1"/>
    <col min="8967" max="8967" width="5.26953125" style="1555" customWidth="1"/>
    <col min="8968" max="8968" width="4.453125" style="1555" customWidth="1"/>
    <col min="8969" max="8969" width="7.81640625" style="1555" customWidth="1"/>
    <col min="8970" max="8970" width="11.26953125" style="1555" customWidth="1"/>
    <col min="8971" max="8971" width="12.1796875" style="1555" customWidth="1"/>
    <col min="8972" max="8972" width="12.453125" style="1555" customWidth="1"/>
    <col min="8973" max="8973" width="16.1796875" style="1555" customWidth="1"/>
    <col min="8974" max="8974" width="6.81640625" style="1555" customWidth="1"/>
    <col min="8975" max="8975" width="19.1796875" style="1555" customWidth="1"/>
    <col min="8976" max="8976" width="12.81640625" style="1555" customWidth="1"/>
    <col min="8977" max="8977" width="13" style="1555" customWidth="1"/>
    <col min="8978" max="8978" width="7.453125" style="1555" customWidth="1"/>
    <col min="8979" max="8979" width="14.1796875" style="1555" customWidth="1"/>
    <col min="8980" max="8980" width="16.26953125" style="1555" customWidth="1"/>
    <col min="8981" max="8981" width="9.7265625" style="1555" customWidth="1"/>
    <col min="8982" max="9216" width="9" style="1555"/>
    <col min="9217" max="9217" width="2.81640625" style="1555" customWidth="1"/>
    <col min="9218" max="9218" width="4.453125" style="1555" customWidth="1"/>
    <col min="9219" max="9219" width="17.81640625" style="1555" customWidth="1"/>
    <col min="9220" max="9220" width="8.54296875" style="1555" customWidth="1"/>
    <col min="9221" max="9221" width="9.26953125" style="1555" customWidth="1"/>
    <col min="9222" max="9222" width="8" style="1555" customWidth="1"/>
    <col min="9223" max="9223" width="5.26953125" style="1555" customWidth="1"/>
    <col min="9224" max="9224" width="4.453125" style="1555" customWidth="1"/>
    <col min="9225" max="9225" width="7.81640625" style="1555" customWidth="1"/>
    <col min="9226" max="9226" width="11.26953125" style="1555" customWidth="1"/>
    <col min="9227" max="9227" width="12.1796875" style="1555" customWidth="1"/>
    <col min="9228" max="9228" width="12.453125" style="1555" customWidth="1"/>
    <col min="9229" max="9229" width="16.1796875" style="1555" customWidth="1"/>
    <col min="9230" max="9230" width="6.81640625" style="1555" customWidth="1"/>
    <col min="9231" max="9231" width="19.1796875" style="1555" customWidth="1"/>
    <col min="9232" max="9232" width="12.81640625" style="1555" customWidth="1"/>
    <col min="9233" max="9233" width="13" style="1555" customWidth="1"/>
    <col min="9234" max="9234" width="7.453125" style="1555" customWidth="1"/>
    <col min="9235" max="9235" width="14.1796875" style="1555" customWidth="1"/>
    <col min="9236" max="9236" width="16.26953125" style="1555" customWidth="1"/>
    <col min="9237" max="9237" width="9.7265625" style="1555" customWidth="1"/>
    <col min="9238" max="9472" width="9" style="1555"/>
    <col min="9473" max="9473" width="2.81640625" style="1555" customWidth="1"/>
    <col min="9474" max="9474" width="4.453125" style="1555" customWidth="1"/>
    <col min="9475" max="9475" width="17.81640625" style="1555" customWidth="1"/>
    <col min="9476" max="9476" width="8.54296875" style="1555" customWidth="1"/>
    <col min="9477" max="9477" width="9.26953125" style="1555" customWidth="1"/>
    <col min="9478" max="9478" width="8" style="1555" customWidth="1"/>
    <col min="9479" max="9479" width="5.26953125" style="1555" customWidth="1"/>
    <col min="9480" max="9480" width="4.453125" style="1555" customWidth="1"/>
    <col min="9481" max="9481" width="7.81640625" style="1555" customWidth="1"/>
    <col min="9482" max="9482" width="11.26953125" style="1555" customWidth="1"/>
    <col min="9483" max="9483" width="12.1796875" style="1555" customWidth="1"/>
    <col min="9484" max="9484" width="12.453125" style="1555" customWidth="1"/>
    <col min="9485" max="9485" width="16.1796875" style="1555" customWidth="1"/>
    <col min="9486" max="9486" width="6.81640625" style="1555" customWidth="1"/>
    <col min="9487" max="9487" width="19.1796875" style="1555" customWidth="1"/>
    <col min="9488" max="9488" width="12.81640625" style="1555" customWidth="1"/>
    <col min="9489" max="9489" width="13" style="1555" customWidth="1"/>
    <col min="9490" max="9490" width="7.453125" style="1555" customWidth="1"/>
    <col min="9491" max="9491" width="14.1796875" style="1555" customWidth="1"/>
    <col min="9492" max="9492" width="16.26953125" style="1555" customWidth="1"/>
    <col min="9493" max="9493" width="9.7265625" style="1555" customWidth="1"/>
    <col min="9494" max="9728" width="9" style="1555"/>
    <col min="9729" max="9729" width="2.81640625" style="1555" customWidth="1"/>
    <col min="9730" max="9730" width="4.453125" style="1555" customWidth="1"/>
    <col min="9731" max="9731" width="17.81640625" style="1555" customWidth="1"/>
    <col min="9732" max="9732" width="8.54296875" style="1555" customWidth="1"/>
    <col min="9733" max="9733" width="9.26953125" style="1555" customWidth="1"/>
    <col min="9734" max="9734" width="8" style="1555" customWidth="1"/>
    <col min="9735" max="9735" width="5.26953125" style="1555" customWidth="1"/>
    <col min="9736" max="9736" width="4.453125" style="1555" customWidth="1"/>
    <col min="9737" max="9737" width="7.81640625" style="1555" customWidth="1"/>
    <col min="9738" max="9738" width="11.26953125" style="1555" customWidth="1"/>
    <col min="9739" max="9739" width="12.1796875" style="1555" customWidth="1"/>
    <col min="9740" max="9740" width="12.453125" style="1555" customWidth="1"/>
    <col min="9741" max="9741" width="16.1796875" style="1555" customWidth="1"/>
    <col min="9742" max="9742" width="6.81640625" style="1555" customWidth="1"/>
    <col min="9743" max="9743" width="19.1796875" style="1555" customWidth="1"/>
    <col min="9744" max="9744" width="12.81640625" style="1555" customWidth="1"/>
    <col min="9745" max="9745" width="13" style="1555" customWidth="1"/>
    <col min="9746" max="9746" width="7.453125" style="1555" customWidth="1"/>
    <col min="9747" max="9747" width="14.1796875" style="1555" customWidth="1"/>
    <col min="9748" max="9748" width="16.26953125" style="1555" customWidth="1"/>
    <col min="9749" max="9749" width="9.7265625" style="1555" customWidth="1"/>
    <col min="9750" max="9984" width="9" style="1555"/>
    <col min="9985" max="9985" width="2.81640625" style="1555" customWidth="1"/>
    <col min="9986" max="9986" width="4.453125" style="1555" customWidth="1"/>
    <col min="9987" max="9987" width="17.81640625" style="1555" customWidth="1"/>
    <col min="9988" max="9988" width="8.54296875" style="1555" customWidth="1"/>
    <col min="9989" max="9989" width="9.26953125" style="1555" customWidth="1"/>
    <col min="9990" max="9990" width="8" style="1555" customWidth="1"/>
    <col min="9991" max="9991" width="5.26953125" style="1555" customWidth="1"/>
    <col min="9992" max="9992" width="4.453125" style="1555" customWidth="1"/>
    <col min="9993" max="9993" width="7.81640625" style="1555" customWidth="1"/>
    <col min="9994" max="9994" width="11.26953125" style="1555" customWidth="1"/>
    <col min="9995" max="9995" width="12.1796875" style="1555" customWidth="1"/>
    <col min="9996" max="9996" width="12.453125" style="1555" customWidth="1"/>
    <col min="9997" max="9997" width="16.1796875" style="1555" customWidth="1"/>
    <col min="9998" max="9998" width="6.81640625" style="1555" customWidth="1"/>
    <col min="9999" max="9999" width="19.1796875" style="1555" customWidth="1"/>
    <col min="10000" max="10000" width="12.81640625" style="1555" customWidth="1"/>
    <col min="10001" max="10001" width="13" style="1555" customWidth="1"/>
    <col min="10002" max="10002" width="7.453125" style="1555" customWidth="1"/>
    <col min="10003" max="10003" width="14.1796875" style="1555" customWidth="1"/>
    <col min="10004" max="10004" width="16.26953125" style="1555" customWidth="1"/>
    <col min="10005" max="10005" width="9.7265625" style="1555" customWidth="1"/>
    <col min="10006" max="10240" width="9" style="1555"/>
    <col min="10241" max="10241" width="2.81640625" style="1555" customWidth="1"/>
    <col min="10242" max="10242" width="4.453125" style="1555" customWidth="1"/>
    <col min="10243" max="10243" width="17.81640625" style="1555" customWidth="1"/>
    <col min="10244" max="10244" width="8.54296875" style="1555" customWidth="1"/>
    <col min="10245" max="10245" width="9.26953125" style="1555" customWidth="1"/>
    <col min="10246" max="10246" width="8" style="1555" customWidth="1"/>
    <col min="10247" max="10247" width="5.26953125" style="1555" customWidth="1"/>
    <col min="10248" max="10248" width="4.453125" style="1555" customWidth="1"/>
    <col min="10249" max="10249" width="7.81640625" style="1555" customWidth="1"/>
    <col min="10250" max="10250" width="11.26953125" style="1555" customWidth="1"/>
    <col min="10251" max="10251" width="12.1796875" style="1555" customWidth="1"/>
    <col min="10252" max="10252" width="12.453125" style="1555" customWidth="1"/>
    <col min="10253" max="10253" width="16.1796875" style="1555" customWidth="1"/>
    <col min="10254" max="10254" width="6.81640625" style="1555" customWidth="1"/>
    <col min="10255" max="10255" width="19.1796875" style="1555" customWidth="1"/>
    <col min="10256" max="10256" width="12.81640625" style="1555" customWidth="1"/>
    <col min="10257" max="10257" width="13" style="1555" customWidth="1"/>
    <col min="10258" max="10258" width="7.453125" style="1555" customWidth="1"/>
    <col min="10259" max="10259" width="14.1796875" style="1555" customWidth="1"/>
    <col min="10260" max="10260" width="16.26953125" style="1555" customWidth="1"/>
    <col min="10261" max="10261" width="9.7265625" style="1555" customWidth="1"/>
    <col min="10262" max="10496" width="9" style="1555"/>
    <col min="10497" max="10497" width="2.81640625" style="1555" customWidth="1"/>
    <col min="10498" max="10498" width="4.453125" style="1555" customWidth="1"/>
    <col min="10499" max="10499" width="17.81640625" style="1555" customWidth="1"/>
    <col min="10500" max="10500" width="8.54296875" style="1555" customWidth="1"/>
    <col min="10501" max="10501" width="9.26953125" style="1555" customWidth="1"/>
    <col min="10502" max="10502" width="8" style="1555" customWidth="1"/>
    <col min="10503" max="10503" width="5.26953125" style="1555" customWidth="1"/>
    <col min="10504" max="10504" width="4.453125" style="1555" customWidth="1"/>
    <col min="10505" max="10505" width="7.81640625" style="1555" customWidth="1"/>
    <col min="10506" max="10506" width="11.26953125" style="1555" customWidth="1"/>
    <col min="10507" max="10507" width="12.1796875" style="1555" customWidth="1"/>
    <col min="10508" max="10508" width="12.453125" style="1555" customWidth="1"/>
    <col min="10509" max="10509" width="16.1796875" style="1555" customWidth="1"/>
    <col min="10510" max="10510" width="6.81640625" style="1555" customWidth="1"/>
    <col min="10511" max="10511" width="19.1796875" style="1555" customWidth="1"/>
    <col min="10512" max="10512" width="12.81640625" style="1555" customWidth="1"/>
    <col min="10513" max="10513" width="13" style="1555" customWidth="1"/>
    <col min="10514" max="10514" width="7.453125" style="1555" customWidth="1"/>
    <col min="10515" max="10515" width="14.1796875" style="1555" customWidth="1"/>
    <col min="10516" max="10516" width="16.26953125" style="1555" customWidth="1"/>
    <col min="10517" max="10517" width="9.7265625" style="1555" customWidth="1"/>
    <col min="10518" max="10752" width="9" style="1555"/>
    <col min="10753" max="10753" width="2.81640625" style="1555" customWidth="1"/>
    <col min="10754" max="10754" width="4.453125" style="1555" customWidth="1"/>
    <col min="10755" max="10755" width="17.81640625" style="1555" customWidth="1"/>
    <col min="10756" max="10756" width="8.54296875" style="1555" customWidth="1"/>
    <col min="10757" max="10757" width="9.26953125" style="1555" customWidth="1"/>
    <col min="10758" max="10758" width="8" style="1555" customWidth="1"/>
    <col min="10759" max="10759" width="5.26953125" style="1555" customWidth="1"/>
    <col min="10760" max="10760" width="4.453125" style="1555" customWidth="1"/>
    <col min="10761" max="10761" width="7.81640625" style="1555" customWidth="1"/>
    <col min="10762" max="10762" width="11.26953125" style="1555" customWidth="1"/>
    <col min="10763" max="10763" width="12.1796875" style="1555" customWidth="1"/>
    <col min="10764" max="10764" width="12.453125" style="1555" customWidth="1"/>
    <col min="10765" max="10765" width="16.1796875" style="1555" customWidth="1"/>
    <col min="10766" max="10766" width="6.81640625" style="1555" customWidth="1"/>
    <col min="10767" max="10767" width="19.1796875" style="1555" customWidth="1"/>
    <col min="10768" max="10768" width="12.81640625" style="1555" customWidth="1"/>
    <col min="10769" max="10769" width="13" style="1555" customWidth="1"/>
    <col min="10770" max="10770" width="7.453125" style="1555" customWidth="1"/>
    <col min="10771" max="10771" width="14.1796875" style="1555" customWidth="1"/>
    <col min="10772" max="10772" width="16.26953125" style="1555" customWidth="1"/>
    <col min="10773" max="10773" width="9.7265625" style="1555" customWidth="1"/>
    <col min="10774" max="11008" width="9" style="1555"/>
    <col min="11009" max="11009" width="2.81640625" style="1555" customWidth="1"/>
    <col min="11010" max="11010" width="4.453125" style="1555" customWidth="1"/>
    <col min="11011" max="11011" width="17.81640625" style="1555" customWidth="1"/>
    <col min="11012" max="11012" width="8.54296875" style="1555" customWidth="1"/>
    <col min="11013" max="11013" width="9.26953125" style="1555" customWidth="1"/>
    <col min="11014" max="11014" width="8" style="1555" customWidth="1"/>
    <col min="11015" max="11015" width="5.26953125" style="1555" customWidth="1"/>
    <col min="11016" max="11016" width="4.453125" style="1555" customWidth="1"/>
    <col min="11017" max="11017" width="7.81640625" style="1555" customWidth="1"/>
    <col min="11018" max="11018" width="11.26953125" style="1555" customWidth="1"/>
    <col min="11019" max="11019" width="12.1796875" style="1555" customWidth="1"/>
    <col min="11020" max="11020" width="12.453125" style="1555" customWidth="1"/>
    <col min="11021" max="11021" width="16.1796875" style="1555" customWidth="1"/>
    <col min="11022" max="11022" width="6.81640625" style="1555" customWidth="1"/>
    <col min="11023" max="11023" width="19.1796875" style="1555" customWidth="1"/>
    <col min="11024" max="11024" width="12.81640625" style="1555" customWidth="1"/>
    <col min="11025" max="11025" width="13" style="1555" customWidth="1"/>
    <col min="11026" max="11026" width="7.453125" style="1555" customWidth="1"/>
    <col min="11027" max="11027" width="14.1796875" style="1555" customWidth="1"/>
    <col min="11028" max="11028" width="16.26953125" style="1555" customWidth="1"/>
    <col min="11029" max="11029" width="9.7265625" style="1555" customWidth="1"/>
    <col min="11030" max="11264" width="9" style="1555"/>
    <col min="11265" max="11265" width="2.81640625" style="1555" customWidth="1"/>
    <col min="11266" max="11266" width="4.453125" style="1555" customWidth="1"/>
    <col min="11267" max="11267" width="17.81640625" style="1555" customWidth="1"/>
    <col min="11268" max="11268" width="8.54296875" style="1555" customWidth="1"/>
    <col min="11269" max="11269" width="9.26953125" style="1555" customWidth="1"/>
    <col min="11270" max="11270" width="8" style="1555" customWidth="1"/>
    <col min="11271" max="11271" width="5.26953125" style="1555" customWidth="1"/>
    <col min="11272" max="11272" width="4.453125" style="1555" customWidth="1"/>
    <col min="11273" max="11273" width="7.81640625" style="1555" customWidth="1"/>
    <col min="11274" max="11274" width="11.26953125" style="1555" customWidth="1"/>
    <col min="11275" max="11275" width="12.1796875" style="1555" customWidth="1"/>
    <col min="11276" max="11276" width="12.453125" style="1555" customWidth="1"/>
    <col min="11277" max="11277" width="16.1796875" style="1555" customWidth="1"/>
    <col min="11278" max="11278" width="6.81640625" style="1555" customWidth="1"/>
    <col min="11279" max="11279" width="19.1796875" style="1555" customWidth="1"/>
    <col min="11280" max="11280" width="12.81640625" style="1555" customWidth="1"/>
    <col min="11281" max="11281" width="13" style="1555" customWidth="1"/>
    <col min="11282" max="11282" width="7.453125" style="1555" customWidth="1"/>
    <col min="11283" max="11283" width="14.1796875" style="1555" customWidth="1"/>
    <col min="11284" max="11284" width="16.26953125" style="1555" customWidth="1"/>
    <col min="11285" max="11285" width="9.7265625" style="1555" customWidth="1"/>
    <col min="11286" max="11520" width="9" style="1555"/>
    <col min="11521" max="11521" width="2.81640625" style="1555" customWidth="1"/>
    <col min="11522" max="11522" width="4.453125" style="1555" customWidth="1"/>
    <col min="11523" max="11523" width="17.81640625" style="1555" customWidth="1"/>
    <col min="11524" max="11524" width="8.54296875" style="1555" customWidth="1"/>
    <col min="11525" max="11525" width="9.26953125" style="1555" customWidth="1"/>
    <col min="11526" max="11526" width="8" style="1555" customWidth="1"/>
    <col min="11527" max="11527" width="5.26953125" style="1555" customWidth="1"/>
    <col min="11528" max="11528" width="4.453125" style="1555" customWidth="1"/>
    <col min="11529" max="11529" width="7.81640625" style="1555" customWidth="1"/>
    <col min="11530" max="11530" width="11.26953125" style="1555" customWidth="1"/>
    <col min="11531" max="11531" width="12.1796875" style="1555" customWidth="1"/>
    <col min="11532" max="11532" width="12.453125" style="1555" customWidth="1"/>
    <col min="11533" max="11533" width="16.1796875" style="1555" customWidth="1"/>
    <col min="11534" max="11534" width="6.81640625" style="1555" customWidth="1"/>
    <col min="11535" max="11535" width="19.1796875" style="1555" customWidth="1"/>
    <col min="11536" max="11536" width="12.81640625" style="1555" customWidth="1"/>
    <col min="11537" max="11537" width="13" style="1555" customWidth="1"/>
    <col min="11538" max="11538" width="7.453125" style="1555" customWidth="1"/>
    <col min="11539" max="11539" width="14.1796875" style="1555" customWidth="1"/>
    <col min="11540" max="11540" width="16.26953125" style="1555" customWidth="1"/>
    <col min="11541" max="11541" width="9.7265625" style="1555" customWidth="1"/>
    <col min="11542" max="11776" width="9" style="1555"/>
    <col min="11777" max="11777" width="2.81640625" style="1555" customWidth="1"/>
    <col min="11778" max="11778" width="4.453125" style="1555" customWidth="1"/>
    <col min="11779" max="11779" width="17.81640625" style="1555" customWidth="1"/>
    <col min="11780" max="11780" width="8.54296875" style="1555" customWidth="1"/>
    <col min="11781" max="11781" width="9.26953125" style="1555" customWidth="1"/>
    <col min="11782" max="11782" width="8" style="1555" customWidth="1"/>
    <col min="11783" max="11783" width="5.26953125" style="1555" customWidth="1"/>
    <col min="11784" max="11784" width="4.453125" style="1555" customWidth="1"/>
    <col min="11785" max="11785" width="7.81640625" style="1555" customWidth="1"/>
    <col min="11786" max="11786" width="11.26953125" style="1555" customWidth="1"/>
    <col min="11787" max="11787" width="12.1796875" style="1555" customWidth="1"/>
    <col min="11788" max="11788" width="12.453125" style="1555" customWidth="1"/>
    <col min="11789" max="11789" width="16.1796875" style="1555" customWidth="1"/>
    <col min="11790" max="11790" width="6.81640625" style="1555" customWidth="1"/>
    <col min="11791" max="11791" width="19.1796875" style="1555" customWidth="1"/>
    <col min="11792" max="11792" width="12.81640625" style="1555" customWidth="1"/>
    <col min="11793" max="11793" width="13" style="1555" customWidth="1"/>
    <col min="11794" max="11794" width="7.453125" style="1555" customWidth="1"/>
    <col min="11795" max="11795" width="14.1796875" style="1555" customWidth="1"/>
    <col min="11796" max="11796" width="16.26953125" style="1555" customWidth="1"/>
    <col min="11797" max="11797" width="9.7265625" style="1555" customWidth="1"/>
    <col min="11798" max="12032" width="9" style="1555"/>
    <col min="12033" max="12033" width="2.81640625" style="1555" customWidth="1"/>
    <col min="12034" max="12034" width="4.453125" style="1555" customWidth="1"/>
    <col min="12035" max="12035" width="17.81640625" style="1555" customWidth="1"/>
    <col min="12036" max="12036" width="8.54296875" style="1555" customWidth="1"/>
    <col min="12037" max="12037" width="9.26953125" style="1555" customWidth="1"/>
    <col min="12038" max="12038" width="8" style="1555" customWidth="1"/>
    <col min="12039" max="12039" width="5.26953125" style="1555" customWidth="1"/>
    <col min="12040" max="12040" width="4.453125" style="1555" customWidth="1"/>
    <col min="12041" max="12041" width="7.81640625" style="1555" customWidth="1"/>
    <col min="12042" max="12042" width="11.26953125" style="1555" customWidth="1"/>
    <col min="12043" max="12043" width="12.1796875" style="1555" customWidth="1"/>
    <col min="12044" max="12044" width="12.453125" style="1555" customWidth="1"/>
    <col min="12045" max="12045" width="16.1796875" style="1555" customWidth="1"/>
    <col min="12046" max="12046" width="6.81640625" style="1555" customWidth="1"/>
    <col min="12047" max="12047" width="19.1796875" style="1555" customWidth="1"/>
    <col min="12048" max="12048" width="12.81640625" style="1555" customWidth="1"/>
    <col min="12049" max="12049" width="13" style="1555" customWidth="1"/>
    <col min="12050" max="12050" width="7.453125" style="1555" customWidth="1"/>
    <col min="12051" max="12051" width="14.1796875" style="1555" customWidth="1"/>
    <col min="12052" max="12052" width="16.26953125" style="1555" customWidth="1"/>
    <col min="12053" max="12053" width="9.7265625" style="1555" customWidth="1"/>
    <col min="12054" max="12288" width="9" style="1555"/>
    <col min="12289" max="12289" width="2.81640625" style="1555" customWidth="1"/>
    <col min="12290" max="12290" width="4.453125" style="1555" customWidth="1"/>
    <col min="12291" max="12291" width="17.81640625" style="1555" customWidth="1"/>
    <col min="12292" max="12292" width="8.54296875" style="1555" customWidth="1"/>
    <col min="12293" max="12293" width="9.26953125" style="1555" customWidth="1"/>
    <col min="12294" max="12294" width="8" style="1555" customWidth="1"/>
    <col min="12295" max="12295" width="5.26953125" style="1555" customWidth="1"/>
    <col min="12296" max="12296" width="4.453125" style="1555" customWidth="1"/>
    <col min="12297" max="12297" width="7.81640625" style="1555" customWidth="1"/>
    <col min="12298" max="12298" width="11.26953125" style="1555" customWidth="1"/>
    <col min="12299" max="12299" width="12.1796875" style="1555" customWidth="1"/>
    <col min="12300" max="12300" width="12.453125" style="1555" customWidth="1"/>
    <col min="12301" max="12301" width="16.1796875" style="1555" customWidth="1"/>
    <col min="12302" max="12302" width="6.81640625" style="1555" customWidth="1"/>
    <col min="12303" max="12303" width="19.1796875" style="1555" customWidth="1"/>
    <col min="12304" max="12304" width="12.81640625" style="1555" customWidth="1"/>
    <col min="12305" max="12305" width="13" style="1555" customWidth="1"/>
    <col min="12306" max="12306" width="7.453125" style="1555" customWidth="1"/>
    <col min="12307" max="12307" width="14.1796875" style="1555" customWidth="1"/>
    <col min="12308" max="12308" width="16.26953125" style="1555" customWidth="1"/>
    <col min="12309" max="12309" width="9.7265625" style="1555" customWidth="1"/>
    <col min="12310" max="12544" width="9" style="1555"/>
    <col min="12545" max="12545" width="2.81640625" style="1555" customWidth="1"/>
    <col min="12546" max="12546" width="4.453125" style="1555" customWidth="1"/>
    <col min="12547" max="12547" width="17.81640625" style="1555" customWidth="1"/>
    <col min="12548" max="12548" width="8.54296875" style="1555" customWidth="1"/>
    <col min="12549" max="12549" width="9.26953125" style="1555" customWidth="1"/>
    <col min="12550" max="12550" width="8" style="1555" customWidth="1"/>
    <col min="12551" max="12551" width="5.26953125" style="1555" customWidth="1"/>
    <col min="12552" max="12552" width="4.453125" style="1555" customWidth="1"/>
    <col min="12553" max="12553" width="7.81640625" style="1555" customWidth="1"/>
    <col min="12554" max="12554" width="11.26953125" style="1555" customWidth="1"/>
    <col min="12555" max="12555" width="12.1796875" style="1555" customWidth="1"/>
    <col min="12556" max="12556" width="12.453125" style="1555" customWidth="1"/>
    <col min="12557" max="12557" width="16.1796875" style="1555" customWidth="1"/>
    <col min="12558" max="12558" width="6.81640625" style="1555" customWidth="1"/>
    <col min="12559" max="12559" width="19.1796875" style="1555" customWidth="1"/>
    <col min="12560" max="12560" width="12.81640625" style="1555" customWidth="1"/>
    <col min="12561" max="12561" width="13" style="1555" customWidth="1"/>
    <col min="12562" max="12562" width="7.453125" style="1555" customWidth="1"/>
    <col min="12563" max="12563" width="14.1796875" style="1555" customWidth="1"/>
    <col min="12564" max="12564" width="16.26953125" style="1555" customWidth="1"/>
    <col min="12565" max="12565" width="9.7265625" style="1555" customWidth="1"/>
    <col min="12566" max="12800" width="9" style="1555"/>
    <col min="12801" max="12801" width="2.81640625" style="1555" customWidth="1"/>
    <col min="12802" max="12802" width="4.453125" style="1555" customWidth="1"/>
    <col min="12803" max="12803" width="17.81640625" style="1555" customWidth="1"/>
    <col min="12804" max="12804" width="8.54296875" style="1555" customWidth="1"/>
    <col min="12805" max="12805" width="9.26953125" style="1555" customWidth="1"/>
    <col min="12806" max="12806" width="8" style="1555" customWidth="1"/>
    <col min="12807" max="12807" width="5.26953125" style="1555" customWidth="1"/>
    <col min="12808" max="12808" width="4.453125" style="1555" customWidth="1"/>
    <col min="12809" max="12809" width="7.81640625" style="1555" customWidth="1"/>
    <col min="12810" max="12810" width="11.26953125" style="1555" customWidth="1"/>
    <col min="12811" max="12811" width="12.1796875" style="1555" customWidth="1"/>
    <col min="12812" max="12812" width="12.453125" style="1555" customWidth="1"/>
    <col min="12813" max="12813" width="16.1796875" style="1555" customWidth="1"/>
    <col min="12814" max="12814" width="6.81640625" style="1555" customWidth="1"/>
    <col min="12815" max="12815" width="19.1796875" style="1555" customWidth="1"/>
    <col min="12816" max="12816" width="12.81640625" style="1555" customWidth="1"/>
    <col min="12817" max="12817" width="13" style="1555" customWidth="1"/>
    <col min="12818" max="12818" width="7.453125" style="1555" customWidth="1"/>
    <col min="12819" max="12819" width="14.1796875" style="1555" customWidth="1"/>
    <col min="12820" max="12820" width="16.26953125" style="1555" customWidth="1"/>
    <col min="12821" max="12821" width="9.7265625" style="1555" customWidth="1"/>
    <col min="12822" max="13056" width="9" style="1555"/>
    <col min="13057" max="13057" width="2.81640625" style="1555" customWidth="1"/>
    <col min="13058" max="13058" width="4.453125" style="1555" customWidth="1"/>
    <col min="13059" max="13059" width="17.81640625" style="1555" customWidth="1"/>
    <col min="13060" max="13060" width="8.54296875" style="1555" customWidth="1"/>
    <col min="13061" max="13061" width="9.26953125" style="1555" customWidth="1"/>
    <col min="13062" max="13062" width="8" style="1555" customWidth="1"/>
    <col min="13063" max="13063" width="5.26953125" style="1555" customWidth="1"/>
    <col min="13064" max="13064" width="4.453125" style="1555" customWidth="1"/>
    <col min="13065" max="13065" width="7.81640625" style="1555" customWidth="1"/>
    <col min="13066" max="13066" width="11.26953125" style="1555" customWidth="1"/>
    <col min="13067" max="13067" width="12.1796875" style="1555" customWidth="1"/>
    <col min="13068" max="13068" width="12.453125" style="1555" customWidth="1"/>
    <col min="13069" max="13069" width="16.1796875" style="1555" customWidth="1"/>
    <col min="13070" max="13070" width="6.81640625" style="1555" customWidth="1"/>
    <col min="13071" max="13071" width="19.1796875" style="1555" customWidth="1"/>
    <col min="13072" max="13072" width="12.81640625" style="1555" customWidth="1"/>
    <col min="13073" max="13073" width="13" style="1555" customWidth="1"/>
    <col min="13074" max="13074" width="7.453125" style="1555" customWidth="1"/>
    <col min="13075" max="13075" width="14.1796875" style="1555" customWidth="1"/>
    <col min="13076" max="13076" width="16.26953125" style="1555" customWidth="1"/>
    <col min="13077" max="13077" width="9.7265625" style="1555" customWidth="1"/>
    <col min="13078" max="13312" width="9" style="1555"/>
    <col min="13313" max="13313" width="2.81640625" style="1555" customWidth="1"/>
    <col min="13314" max="13314" width="4.453125" style="1555" customWidth="1"/>
    <col min="13315" max="13315" width="17.81640625" style="1555" customWidth="1"/>
    <col min="13316" max="13316" width="8.54296875" style="1555" customWidth="1"/>
    <col min="13317" max="13317" width="9.26953125" style="1555" customWidth="1"/>
    <col min="13318" max="13318" width="8" style="1555" customWidth="1"/>
    <col min="13319" max="13319" width="5.26953125" style="1555" customWidth="1"/>
    <col min="13320" max="13320" width="4.453125" style="1555" customWidth="1"/>
    <col min="13321" max="13321" width="7.81640625" style="1555" customWidth="1"/>
    <col min="13322" max="13322" width="11.26953125" style="1555" customWidth="1"/>
    <col min="13323" max="13323" width="12.1796875" style="1555" customWidth="1"/>
    <col min="13324" max="13324" width="12.453125" style="1555" customWidth="1"/>
    <col min="13325" max="13325" width="16.1796875" style="1555" customWidth="1"/>
    <col min="13326" max="13326" width="6.81640625" style="1555" customWidth="1"/>
    <col min="13327" max="13327" width="19.1796875" style="1555" customWidth="1"/>
    <col min="13328" max="13328" width="12.81640625" style="1555" customWidth="1"/>
    <col min="13329" max="13329" width="13" style="1555" customWidth="1"/>
    <col min="13330" max="13330" width="7.453125" style="1555" customWidth="1"/>
    <col min="13331" max="13331" width="14.1796875" style="1555" customWidth="1"/>
    <col min="13332" max="13332" width="16.26953125" style="1555" customWidth="1"/>
    <col min="13333" max="13333" width="9.7265625" style="1555" customWidth="1"/>
    <col min="13334" max="13568" width="9" style="1555"/>
    <col min="13569" max="13569" width="2.81640625" style="1555" customWidth="1"/>
    <col min="13570" max="13570" width="4.453125" style="1555" customWidth="1"/>
    <col min="13571" max="13571" width="17.81640625" style="1555" customWidth="1"/>
    <col min="13572" max="13572" width="8.54296875" style="1555" customWidth="1"/>
    <col min="13573" max="13573" width="9.26953125" style="1555" customWidth="1"/>
    <col min="13574" max="13574" width="8" style="1555" customWidth="1"/>
    <col min="13575" max="13575" width="5.26953125" style="1555" customWidth="1"/>
    <col min="13576" max="13576" width="4.453125" style="1555" customWidth="1"/>
    <col min="13577" max="13577" width="7.81640625" style="1555" customWidth="1"/>
    <col min="13578" max="13578" width="11.26953125" style="1555" customWidth="1"/>
    <col min="13579" max="13579" width="12.1796875" style="1555" customWidth="1"/>
    <col min="13580" max="13580" width="12.453125" style="1555" customWidth="1"/>
    <col min="13581" max="13581" width="16.1796875" style="1555" customWidth="1"/>
    <col min="13582" max="13582" width="6.81640625" style="1555" customWidth="1"/>
    <col min="13583" max="13583" width="19.1796875" style="1555" customWidth="1"/>
    <col min="13584" max="13584" width="12.81640625" style="1555" customWidth="1"/>
    <col min="13585" max="13585" width="13" style="1555" customWidth="1"/>
    <col min="13586" max="13586" width="7.453125" style="1555" customWidth="1"/>
    <col min="13587" max="13587" width="14.1796875" style="1555" customWidth="1"/>
    <col min="13588" max="13588" width="16.26953125" style="1555" customWidth="1"/>
    <col min="13589" max="13589" width="9.7265625" style="1555" customWidth="1"/>
    <col min="13590" max="13824" width="9" style="1555"/>
    <col min="13825" max="13825" width="2.81640625" style="1555" customWidth="1"/>
    <col min="13826" max="13826" width="4.453125" style="1555" customWidth="1"/>
    <col min="13827" max="13827" width="17.81640625" style="1555" customWidth="1"/>
    <col min="13828" max="13828" width="8.54296875" style="1555" customWidth="1"/>
    <col min="13829" max="13829" width="9.26953125" style="1555" customWidth="1"/>
    <col min="13830" max="13830" width="8" style="1555" customWidth="1"/>
    <col min="13831" max="13831" width="5.26953125" style="1555" customWidth="1"/>
    <col min="13832" max="13832" width="4.453125" style="1555" customWidth="1"/>
    <col min="13833" max="13833" width="7.81640625" style="1555" customWidth="1"/>
    <col min="13834" max="13834" width="11.26953125" style="1555" customWidth="1"/>
    <col min="13835" max="13835" width="12.1796875" style="1555" customWidth="1"/>
    <col min="13836" max="13836" width="12.453125" style="1555" customWidth="1"/>
    <col min="13837" max="13837" width="16.1796875" style="1555" customWidth="1"/>
    <col min="13838" max="13838" width="6.81640625" style="1555" customWidth="1"/>
    <col min="13839" max="13839" width="19.1796875" style="1555" customWidth="1"/>
    <col min="13840" max="13840" width="12.81640625" style="1555" customWidth="1"/>
    <col min="13841" max="13841" width="13" style="1555" customWidth="1"/>
    <col min="13842" max="13842" width="7.453125" style="1555" customWidth="1"/>
    <col min="13843" max="13843" width="14.1796875" style="1555" customWidth="1"/>
    <col min="13844" max="13844" width="16.26953125" style="1555" customWidth="1"/>
    <col min="13845" max="13845" width="9.7265625" style="1555" customWidth="1"/>
    <col min="13846" max="14080" width="9" style="1555"/>
    <col min="14081" max="14081" width="2.81640625" style="1555" customWidth="1"/>
    <col min="14082" max="14082" width="4.453125" style="1555" customWidth="1"/>
    <col min="14083" max="14083" width="17.81640625" style="1555" customWidth="1"/>
    <col min="14084" max="14084" width="8.54296875" style="1555" customWidth="1"/>
    <col min="14085" max="14085" width="9.26953125" style="1555" customWidth="1"/>
    <col min="14086" max="14086" width="8" style="1555" customWidth="1"/>
    <col min="14087" max="14087" width="5.26953125" style="1555" customWidth="1"/>
    <col min="14088" max="14088" width="4.453125" style="1555" customWidth="1"/>
    <col min="14089" max="14089" width="7.81640625" style="1555" customWidth="1"/>
    <col min="14090" max="14090" width="11.26953125" style="1555" customWidth="1"/>
    <col min="14091" max="14091" width="12.1796875" style="1555" customWidth="1"/>
    <col min="14092" max="14092" width="12.453125" style="1555" customWidth="1"/>
    <col min="14093" max="14093" width="16.1796875" style="1555" customWidth="1"/>
    <col min="14094" max="14094" width="6.81640625" style="1555" customWidth="1"/>
    <col min="14095" max="14095" width="19.1796875" style="1555" customWidth="1"/>
    <col min="14096" max="14096" width="12.81640625" style="1555" customWidth="1"/>
    <col min="14097" max="14097" width="13" style="1555" customWidth="1"/>
    <col min="14098" max="14098" width="7.453125" style="1555" customWidth="1"/>
    <col min="14099" max="14099" width="14.1796875" style="1555" customWidth="1"/>
    <col min="14100" max="14100" width="16.26953125" style="1555" customWidth="1"/>
    <col min="14101" max="14101" width="9.7265625" style="1555" customWidth="1"/>
    <col min="14102" max="14336" width="9" style="1555"/>
    <col min="14337" max="14337" width="2.81640625" style="1555" customWidth="1"/>
    <col min="14338" max="14338" width="4.453125" style="1555" customWidth="1"/>
    <col min="14339" max="14339" width="17.81640625" style="1555" customWidth="1"/>
    <col min="14340" max="14340" width="8.54296875" style="1555" customWidth="1"/>
    <col min="14341" max="14341" width="9.26953125" style="1555" customWidth="1"/>
    <col min="14342" max="14342" width="8" style="1555" customWidth="1"/>
    <col min="14343" max="14343" width="5.26953125" style="1555" customWidth="1"/>
    <col min="14344" max="14344" width="4.453125" style="1555" customWidth="1"/>
    <col min="14345" max="14345" width="7.81640625" style="1555" customWidth="1"/>
    <col min="14346" max="14346" width="11.26953125" style="1555" customWidth="1"/>
    <col min="14347" max="14347" width="12.1796875" style="1555" customWidth="1"/>
    <col min="14348" max="14348" width="12.453125" style="1555" customWidth="1"/>
    <col min="14349" max="14349" width="16.1796875" style="1555" customWidth="1"/>
    <col min="14350" max="14350" width="6.81640625" style="1555" customWidth="1"/>
    <col min="14351" max="14351" width="19.1796875" style="1555" customWidth="1"/>
    <col min="14352" max="14352" width="12.81640625" style="1555" customWidth="1"/>
    <col min="14353" max="14353" width="13" style="1555" customWidth="1"/>
    <col min="14354" max="14354" width="7.453125" style="1555" customWidth="1"/>
    <col min="14355" max="14355" width="14.1796875" style="1555" customWidth="1"/>
    <col min="14356" max="14356" width="16.26953125" style="1555" customWidth="1"/>
    <col min="14357" max="14357" width="9.7265625" style="1555" customWidth="1"/>
    <col min="14358" max="14592" width="9" style="1555"/>
    <col min="14593" max="14593" width="2.81640625" style="1555" customWidth="1"/>
    <col min="14594" max="14594" width="4.453125" style="1555" customWidth="1"/>
    <col min="14595" max="14595" width="17.81640625" style="1555" customWidth="1"/>
    <col min="14596" max="14596" width="8.54296875" style="1555" customWidth="1"/>
    <col min="14597" max="14597" width="9.26953125" style="1555" customWidth="1"/>
    <col min="14598" max="14598" width="8" style="1555" customWidth="1"/>
    <col min="14599" max="14599" width="5.26953125" style="1555" customWidth="1"/>
    <col min="14600" max="14600" width="4.453125" style="1555" customWidth="1"/>
    <col min="14601" max="14601" width="7.81640625" style="1555" customWidth="1"/>
    <col min="14602" max="14602" width="11.26953125" style="1555" customWidth="1"/>
    <col min="14603" max="14603" width="12.1796875" style="1555" customWidth="1"/>
    <col min="14604" max="14604" width="12.453125" style="1555" customWidth="1"/>
    <col min="14605" max="14605" width="16.1796875" style="1555" customWidth="1"/>
    <col min="14606" max="14606" width="6.81640625" style="1555" customWidth="1"/>
    <col min="14607" max="14607" width="19.1796875" style="1555" customWidth="1"/>
    <col min="14608" max="14608" width="12.81640625" style="1555" customWidth="1"/>
    <col min="14609" max="14609" width="13" style="1555" customWidth="1"/>
    <col min="14610" max="14610" width="7.453125" style="1555" customWidth="1"/>
    <col min="14611" max="14611" width="14.1796875" style="1555" customWidth="1"/>
    <col min="14612" max="14612" width="16.26953125" style="1555" customWidth="1"/>
    <col min="14613" max="14613" width="9.7265625" style="1555" customWidth="1"/>
    <col min="14614" max="14848" width="9" style="1555"/>
    <col min="14849" max="14849" width="2.81640625" style="1555" customWidth="1"/>
    <col min="14850" max="14850" width="4.453125" style="1555" customWidth="1"/>
    <col min="14851" max="14851" width="17.81640625" style="1555" customWidth="1"/>
    <col min="14852" max="14852" width="8.54296875" style="1555" customWidth="1"/>
    <col min="14853" max="14853" width="9.26953125" style="1555" customWidth="1"/>
    <col min="14854" max="14854" width="8" style="1555" customWidth="1"/>
    <col min="14855" max="14855" width="5.26953125" style="1555" customWidth="1"/>
    <col min="14856" max="14856" width="4.453125" style="1555" customWidth="1"/>
    <col min="14857" max="14857" width="7.81640625" style="1555" customWidth="1"/>
    <col min="14858" max="14858" width="11.26953125" style="1555" customWidth="1"/>
    <col min="14859" max="14859" width="12.1796875" style="1555" customWidth="1"/>
    <col min="14860" max="14860" width="12.453125" style="1555" customWidth="1"/>
    <col min="14861" max="14861" width="16.1796875" style="1555" customWidth="1"/>
    <col min="14862" max="14862" width="6.81640625" style="1555" customWidth="1"/>
    <col min="14863" max="14863" width="19.1796875" style="1555" customWidth="1"/>
    <col min="14864" max="14864" width="12.81640625" style="1555" customWidth="1"/>
    <col min="14865" max="14865" width="13" style="1555" customWidth="1"/>
    <col min="14866" max="14866" width="7.453125" style="1555" customWidth="1"/>
    <col min="14867" max="14867" width="14.1796875" style="1555" customWidth="1"/>
    <col min="14868" max="14868" width="16.26953125" style="1555" customWidth="1"/>
    <col min="14869" max="14869" width="9.7265625" style="1555" customWidth="1"/>
    <col min="14870" max="15104" width="9" style="1555"/>
    <col min="15105" max="15105" width="2.81640625" style="1555" customWidth="1"/>
    <col min="15106" max="15106" width="4.453125" style="1555" customWidth="1"/>
    <col min="15107" max="15107" width="17.81640625" style="1555" customWidth="1"/>
    <col min="15108" max="15108" width="8.54296875" style="1555" customWidth="1"/>
    <col min="15109" max="15109" width="9.26953125" style="1555" customWidth="1"/>
    <col min="15110" max="15110" width="8" style="1555" customWidth="1"/>
    <col min="15111" max="15111" width="5.26953125" style="1555" customWidth="1"/>
    <col min="15112" max="15112" width="4.453125" style="1555" customWidth="1"/>
    <col min="15113" max="15113" width="7.81640625" style="1555" customWidth="1"/>
    <col min="15114" max="15114" width="11.26953125" style="1555" customWidth="1"/>
    <col min="15115" max="15115" width="12.1796875" style="1555" customWidth="1"/>
    <col min="15116" max="15116" width="12.453125" style="1555" customWidth="1"/>
    <col min="15117" max="15117" width="16.1796875" style="1555" customWidth="1"/>
    <col min="15118" max="15118" width="6.81640625" style="1555" customWidth="1"/>
    <col min="15119" max="15119" width="19.1796875" style="1555" customWidth="1"/>
    <col min="15120" max="15120" width="12.81640625" style="1555" customWidth="1"/>
    <col min="15121" max="15121" width="13" style="1555" customWidth="1"/>
    <col min="15122" max="15122" width="7.453125" style="1555" customWidth="1"/>
    <col min="15123" max="15123" width="14.1796875" style="1555" customWidth="1"/>
    <col min="15124" max="15124" width="16.26953125" style="1555" customWidth="1"/>
    <col min="15125" max="15125" width="9.7265625" style="1555" customWidth="1"/>
    <col min="15126" max="15360" width="9" style="1555"/>
    <col min="15361" max="15361" width="2.81640625" style="1555" customWidth="1"/>
    <col min="15362" max="15362" width="4.453125" style="1555" customWidth="1"/>
    <col min="15363" max="15363" width="17.81640625" style="1555" customWidth="1"/>
    <col min="15364" max="15364" width="8.54296875" style="1555" customWidth="1"/>
    <col min="15365" max="15365" width="9.26953125" style="1555" customWidth="1"/>
    <col min="15366" max="15366" width="8" style="1555" customWidth="1"/>
    <col min="15367" max="15367" width="5.26953125" style="1555" customWidth="1"/>
    <col min="15368" max="15368" width="4.453125" style="1555" customWidth="1"/>
    <col min="15369" max="15369" width="7.81640625" style="1555" customWidth="1"/>
    <col min="15370" max="15370" width="11.26953125" style="1555" customWidth="1"/>
    <col min="15371" max="15371" width="12.1796875" style="1555" customWidth="1"/>
    <col min="15372" max="15372" width="12.453125" style="1555" customWidth="1"/>
    <col min="15373" max="15373" width="16.1796875" style="1555" customWidth="1"/>
    <col min="15374" max="15374" width="6.81640625" style="1555" customWidth="1"/>
    <col min="15375" max="15375" width="19.1796875" style="1555" customWidth="1"/>
    <col min="15376" max="15376" width="12.81640625" style="1555" customWidth="1"/>
    <col min="15377" max="15377" width="13" style="1555" customWidth="1"/>
    <col min="15378" max="15378" width="7.453125" style="1555" customWidth="1"/>
    <col min="15379" max="15379" width="14.1796875" style="1555" customWidth="1"/>
    <col min="15380" max="15380" width="16.26953125" style="1555" customWidth="1"/>
    <col min="15381" max="15381" width="9.7265625" style="1555" customWidth="1"/>
    <col min="15382" max="15616" width="9" style="1555"/>
    <col min="15617" max="15617" width="2.81640625" style="1555" customWidth="1"/>
    <col min="15618" max="15618" width="4.453125" style="1555" customWidth="1"/>
    <col min="15619" max="15619" width="17.81640625" style="1555" customWidth="1"/>
    <col min="15620" max="15620" width="8.54296875" style="1555" customWidth="1"/>
    <col min="15621" max="15621" width="9.26953125" style="1555" customWidth="1"/>
    <col min="15622" max="15622" width="8" style="1555" customWidth="1"/>
    <col min="15623" max="15623" width="5.26953125" style="1555" customWidth="1"/>
    <col min="15624" max="15624" width="4.453125" style="1555" customWidth="1"/>
    <col min="15625" max="15625" width="7.81640625" style="1555" customWidth="1"/>
    <col min="15626" max="15626" width="11.26953125" style="1555" customWidth="1"/>
    <col min="15627" max="15627" width="12.1796875" style="1555" customWidth="1"/>
    <col min="15628" max="15628" width="12.453125" style="1555" customWidth="1"/>
    <col min="15629" max="15629" width="16.1796875" style="1555" customWidth="1"/>
    <col min="15630" max="15630" width="6.81640625" style="1555" customWidth="1"/>
    <col min="15631" max="15631" width="19.1796875" style="1555" customWidth="1"/>
    <col min="15632" max="15632" width="12.81640625" style="1555" customWidth="1"/>
    <col min="15633" max="15633" width="13" style="1555" customWidth="1"/>
    <col min="15634" max="15634" width="7.453125" style="1555" customWidth="1"/>
    <col min="15635" max="15635" width="14.1796875" style="1555" customWidth="1"/>
    <col min="15636" max="15636" width="16.26953125" style="1555" customWidth="1"/>
    <col min="15637" max="15637" width="9.7265625" style="1555" customWidth="1"/>
    <col min="15638" max="15872" width="9" style="1555"/>
    <col min="15873" max="15873" width="2.81640625" style="1555" customWidth="1"/>
    <col min="15874" max="15874" width="4.453125" style="1555" customWidth="1"/>
    <col min="15875" max="15875" width="17.81640625" style="1555" customWidth="1"/>
    <col min="15876" max="15876" width="8.54296875" style="1555" customWidth="1"/>
    <col min="15877" max="15877" width="9.26953125" style="1555" customWidth="1"/>
    <col min="15878" max="15878" width="8" style="1555" customWidth="1"/>
    <col min="15879" max="15879" width="5.26953125" style="1555" customWidth="1"/>
    <col min="15880" max="15880" width="4.453125" style="1555" customWidth="1"/>
    <col min="15881" max="15881" width="7.81640625" style="1555" customWidth="1"/>
    <col min="15882" max="15882" width="11.26953125" style="1555" customWidth="1"/>
    <col min="15883" max="15883" width="12.1796875" style="1555" customWidth="1"/>
    <col min="15884" max="15884" width="12.453125" style="1555" customWidth="1"/>
    <col min="15885" max="15885" width="16.1796875" style="1555" customWidth="1"/>
    <col min="15886" max="15886" width="6.81640625" style="1555" customWidth="1"/>
    <col min="15887" max="15887" width="19.1796875" style="1555" customWidth="1"/>
    <col min="15888" max="15888" width="12.81640625" style="1555" customWidth="1"/>
    <col min="15889" max="15889" width="13" style="1555" customWidth="1"/>
    <col min="15890" max="15890" width="7.453125" style="1555" customWidth="1"/>
    <col min="15891" max="15891" width="14.1796875" style="1555" customWidth="1"/>
    <col min="15892" max="15892" width="16.26953125" style="1555" customWidth="1"/>
    <col min="15893" max="15893" width="9.7265625" style="1555" customWidth="1"/>
    <col min="15894" max="16128" width="9" style="1555"/>
    <col min="16129" max="16129" width="2.81640625" style="1555" customWidth="1"/>
    <col min="16130" max="16130" width="4.453125" style="1555" customWidth="1"/>
    <col min="16131" max="16131" width="17.81640625" style="1555" customWidth="1"/>
    <col min="16132" max="16132" width="8.54296875" style="1555" customWidth="1"/>
    <col min="16133" max="16133" width="9.26953125" style="1555" customWidth="1"/>
    <col min="16134" max="16134" width="8" style="1555" customWidth="1"/>
    <col min="16135" max="16135" width="5.26953125" style="1555" customWidth="1"/>
    <col min="16136" max="16136" width="4.453125" style="1555" customWidth="1"/>
    <col min="16137" max="16137" width="7.81640625" style="1555" customWidth="1"/>
    <col min="16138" max="16138" width="11.26953125" style="1555" customWidth="1"/>
    <col min="16139" max="16139" width="12.1796875" style="1555" customWidth="1"/>
    <col min="16140" max="16140" width="12.453125" style="1555" customWidth="1"/>
    <col min="16141" max="16141" width="16.1796875" style="1555" customWidth="1"/>
    <col min="16142" max="16142" width="6.81640625" style="1555" customWidth="1"/>
    <col min="16143" max="16143" width="19.1796875" style="1555" customWidth="1"/>
    <col min="16144" max="16144" width="12.81640625" style="1555" customWidth="1"/>
    <col min="16145" max="16145" width="13" style="1555" customWidth="1"/>
    <col min="16146" max="16146" width="7.453125" style="1555" customWidth="1"/>
    <col min="16147" max="16147" width="14.1796875" style="1555" customWidth="1"/>
    <col min="16148" max="16148" width="16.26953125" style="1555" customWidth="1"/>
    <col min="16149" max="16149" width="9.7265625" style="1555" customWidth="1"/>
    <col min="16150" max="16384" width="9" style="1555"/>
  </cols>
  <sheetData>
    <row r="1" spans="1:22" x14ac:dyDescent="0.35">
      <c r="A1" s="3807"/>
      <c r="B1" s="3808"/>
      <c r="C1" s="3808"/>
      <c r="D1" s="3808"/>
      <c r="E1" s="3808"/>
      <c r="F1" s="3808"/>
      <c r="G1" s="3808"/>
      <c r="H1" s="3808"/>
      <c r="I1" s="3808"/>
      <c r="J1" s="3808"/>
      <c r="K1" s="3808"/>
      <c r="L1" s="3808"/>
      <c r="M1" s="3808"/>
      <c r="N1" s="3808"/>
      <c r="O1" s="3808"/>
      <c r="P1" s="1553"/>
      <c r="Q1" s="1553"/>
      <c r="R1" s="1553"/>
      <c r="S1" s="1553"/>
      <c r="T1" s="1553"/>
      <c r="U1" s="1554"/>
    </row>
    <row r="2" spans="1:22" s="1557" customFormat="1" ht="14" x14ac:dyDescent="0.35">
      <c r="A2" s="3809" t="s">
        <v>8</v>
      </c>
      <c r="B2" s="3810"/>
      <c r="C2" s="3810"/>
      <c r="D2" s="3810"/>
      <c r="E2" s="3810"/>
      <c r="F2" s="3810"/>
      <c r="G2" s="3810"/>
      <c r="H2" s="3810"/>
      <c r="I2" s="3810"/>
      <c r="J2" s="3810"/>
      <c r="K2" s="3810"/>
      <c r="L2" s="3810"/>
      <c r="M2" s="3810"/>
      <c r="N2" s="3810"/>
      <c r="O2" s="3810"/>
      <c r="P2" s="3810"/>
      <c r="Q2" s="3810"/>
      <c r="R2" s="3810"/>
      <c r="S2" s="3810"/>
      <c r="T2" s="3810"/>
      <c r="U2" s="1556"/>
      <c r="V2" s="466"/>
    </row>
    <row r="3" spans="1:22" s="1557" customFormat="1" ht="14" x14ac:dyDescent="0.35">
      <c r="A3" s="1373"/>
      <c r="B3" s="1558"/>
      <c r="D3" s="1559"/>
      <c r="E3" s="1560"/>
      <c r="F3" s="1561"/>
      <c r="G3" s="1561"/>
      <c r="H3" s="1561"/>
      <c r="I3" s="1562"/>
      <c r="J3" s="1562"/>
      <c r="K3" s="1563"/>
      <c r="L3" s="1563"/>
      <c r="M3" s="1564"/>
      <c r="N3" s="1564"/>
      <c r="O3" s="1565"/>
      <c r="P3" s="1565"/>
      <c r="Q3" s="1565"/>
      <c r="R3" s="1565"/>
      <c r="S3" s="1565"/>
      <c r="T3" s="1565"/>
      <c r="U3" s="1556"/>
      <c r="V3" s="466"/>
    </row>
    <row r="4" spans="1:22" s="1557" customFormat="1" ht="14" x14ac:dyDescent="0.35">
      <c r="A4" s="3795"/>
      <c r="B4" s="3811"/>
      <c r="C4" s="3811"/>
      <c r="D4" s="3811"/>
      <c r="E4" s="3811"/>
      <c r="F4" s="3811"/>
      <c r="G4" s="3811"/>
      <c r="H4" s="3811"/>
      <c r="I4" s="3811"/>
      <c r="J4" s="3811"/>
      <c r="K4" s="3811"/>
      <c r="L4" s="3811"/>
      <c r="M4" s="3811"/>
      <c r="N4" s="3811"/>
      <c r="O4" s="3811"/>
      <c r="P4" s="3811"/>
      <c r="Q4" s="3811"/>
      <c r="R4" s="3811"/>
      <c r="S4" s="3811"/>
      <c r="T4" s="3811"/>
      <c r="U4" s="1556"/>
      <c r="V4" s="466"/>
    </row>
    <row r="5" spans="1:22" s="1557" customFormat="1" ht="14" x14ac:dyDescent="0.35">
      <c r="A5" s="3812" t="s">
        <v>3087</v>
      </c>
      <c r="B5" s="3813"/>
      <c r="C5" s="3813"/>
      <c r="D5" s="3813"/>
      <c r="E5" s="3813"/>
      <c r="F5" s="3813"/>
      <c r="G5" s="3813"/>
      <c r="H5" s="3813"/>
      <c r="I5" s="3813"/>
      <c r="J5" s="3813"/>
      <c r="K5" s="3813"/>
      <c r="L5" s="3813"/>
      <c r="M5" s="3813"/>
      <c r="N5" s="3813"/>
      <c r="O5" s="3813"/>
      <c r="P5" s="3813"/>
      <c r="Q5" s="3813"/>
      <c r="R5" s="3813"/>
      <c r="S5" s="3813"/>
      <c r="T5" s="3813"/>
      <c r="U5" s="1556"/>
      <c r="V5" s="466"/>
    </row>
    <row r="6" spans="1:22" s="1557" customFormat="1" ht="14" x14ac:dyDescent="0.35">
      <c r="A6" s="3814">
        <v>45138</v>
      </c>
      <c r="B6" s="3814"/>
      <c r="C6" s="3814"/>
      <c r="D6" s="3814"/>
      <c r="E6" s="3814"/>
      <c r="F6" s="3814"/>
      <c r="G6" s="3814"/>
      <c r="H6" s="3814"/>
      <c r="I6" s="3814"/>
      <c r="J6" s="3814"/>
      <c r="K6" s="3814"/>
      <c r="L6" s="3814"/>
      <c r="M6" s="3814"/>
      <c r="N6" s="3814"/>
      <c r="O6" s="3814"/>
      <c r="P6" s="3814"/>
      <c r="Q6" s="3814"/>
      <c r="R6" s="3814"/>
      <c r="S6" s="3814"/>
      <c r="T6" s="3814"/>
      <c r="U6" s="1556"/>
      <c r="V6" s="466"/>
    </row>
    <row r="7" spans="1:22" s="1557" customFormat="1" ht="14" x14ac:dyDescent="0.35">
      <c r="A7" s="3796" t="s">
        <v>3088</v>
      </c>
      <c r="B7" s="3806"/>
      <c r="C7" s="3806"/>
      <c r="D7" s="3806"/>
      <c r="E7" s="3806"/>
      <c r="F7" s="3806"/>
      <c r="G7" s="3806"/>
      <c r="H7" s="3806"/>
      <c r="I7" s="3806"/>
      <c r="J7" s="3806"/>
      <c r="K7" s="3806"/>
      <c r="L7" s="3806"/>
      <c r="M7" s="3806"/>
      <c r="N7" s="3806"/>
      <c r="O7" s="3806"/>
      <c r="P7" s="3806"/>
      <c r="Q7" s="3806"/>
      <c r="R7" s="3806"/>
      <c r="S7" s="3806"/>
      <c r="T7" s="3806"/>
      <c r="U7" s="1556"/>
      <c r="V7" s="466"/>
    </row>
    <row r="8" spans="1:22" s="1557" customFormat="1" ht="14" x14ac:dyDescent="0.35">
      <c r="A8" s="3796" t="s">
        <v>176</v>
      </c>
      <c r="B8" s="3806"/>
      <c r="C8" s="3806"/>
      <c r="D8" s="3806"/>
      <c r="E8" s="3806"/>
      <c r="F8" s="3806"/>
      <c r="G8" s="3806"/>
      <c r="H8" s="3806"/>
      <c r="I8" s="3806"/>
      <c r="J8" s="3806"/>
      <c r="K8" s="3806"/>
      <c r="L8" s="3806"/>
      <c r="M8" s="3806"/>
      <c r="N8" s="3806"/>
      <c r="O8" s="3806"/>
      <c r="P8" s="3806"/>
      <c r="Q8" s="3806"/>
      <c r="R8" s="3806"/>
      <c r="S8" s="3806"/>
      <c r="T8" s="3806"/>
      <c r="U8" s="1556"/>
      <c r="V8" s="466"/>
    </row>
    <row r="9" spans="1:22" ht="13" thickBot="1" x14ac:dyDescent="0.3">
      <c r="A9" s="1566"/>
      <c r="B9" s="1567"/>
      <c r="C9" s="1568"/>
      <c r="D9" s="1569"/>
      <c r="E9" s="1568"/>
      <c r="F9" s="1287"/>
      <c r="G9" s="1568"/>
      <c r="H9" s="1568"/>
      <c r="I9" s="1568"/>
      <c r="J9" s="1570"/>
      <c r="K9" s="1570"/>
      <c r="L9" s="1571"/>
      <c r="M9" s="1572"/>
      <c r="N9" s="1572"/>
      <c r="O9" s="1571"/>
      <c r="P9" s="1571"/>
      <c r="Q9" s="1571"/>
      <c r="R9" s="1571"/>
      <c r="S9" s="1571"/>
      <c r="T9" s="1571"/>
    </row>
    <row r="10" spans="1:22" s="1581" customFormat="1" ht="12" thickBot="1" x14ac:dyDescent="0.4">
      <c r="A10" s="3818" t="s">
        <v>3089</v>
      </c>
      <c r="B10" s="3819"/>
      <c r="C10" s="1574" t="s">
        <v>1043</v>
      </c>
      <c r="D10" s="1575" t="s">
        <v>3090</v>
      </c>
      <c r="E10" s="1576" t="s">
        <v>3091</v>
      </c>
      <c r="F10" s="3822" t="s">
        <v>3092</v>
      </c>
      <c r="G10" s="3822" t="s">
        <v>903</v>
      </c>
      <c r="H10" s="3822" t="s">
        <v>3093</v>
      </c>
      <c r="I10" s="1577" t="s">
        <v>904</v>
      </c>
      <c r="J10" s="1577" t="s">
        <v>3094</v>
      </c>
      <c r="K10" s="3824" t="s">
        <v>3095</v>
      </c>
      <c r="L10" s="3826" t="s">
        <v>3096</v>
      </c>
      <c r="M10" s="3826"/>
      <c r="N10" s="3826"/>
      <c r="O10" s="3826"/>
      <c r="P10" s="3827" t="s">
        <v>3097</v>
      </c>
      <c r="Q10" s="3827"/>
      <c r="R10" s="3827"/>
      <c r="S10" s="3827"/>
      <c r="T10" s="1578" t="s">
        <v>755</v>
      </c>
      <c r="U10" s="1579"/>
      <c r="V10" s="1580"/>
    </row>
    <row r="11" spans="1:22" s="1581" customFormat="1" ht="12.5" thickBot="1" x14ac:dyDescent="0.4">
      <c r="A11" s="3820"/>
      <c r="B11" s="3821"/>
      <c r="C11" s="1582" t="s">
        <v>447</v>
      </c>
      <c r="D11" s="1583" t="s">
        <v>3098</v>
      </c>
      <c r="E11" s="1584"/>
      <c r="F11" s="3823"/>
      <c r="G11" s="3823"/>
      <c r="H11" s="3823"/>
      <c r="I11" s="1585"/>
      <c r="J11" s="1585"/>
      <c r="K11" s="3825"/>
      <c r="L11" s="1586" t="str">
        <f>IN!C8</f>
        <v>31 May 2026</v>
      </c>
      <c r="M11" s="1587" t="s">
        <v>3099</v>
      </c>
      <c r="N11" s="1587" t="s">
        <v>3100</v>
      </c>
      <c r="O11" s="1586" t="str">
        <f>IN!C5</f>
        <v>30 June 2026</v>
      </c>
      <c r="P11" s="1586" t="str">
        <f>L11</f>
        <v>31 May 2026</v>
      </c>
      <c r="Q11" s="1587" t="s">
        <v>3099</v>
      </c>
      <c r="R11" s="1587" t="s">
        <v>3100</v>
      </c>
      <c r="S11" s="1586" t="str">
        <f>O11</f>
        <v>30 June 2026</v>
      </c>
      <c r="T11" s="1586" t="str">
        <f>S11</f>
        <v>30 June 2026</v>
      </c>
      <c r="U11" s="1579"/>
      <c r="V11" s="1580"/>
    </row>
    <row r="12" spans="1:22" s="1581" customFormat="1" ht="12" thickBot="1" x14ac:dyDescent="0.4">
      <c r="A12" s="3820"/>
      <c r="B12" s="3821"/>
      <c r="C12" s="1588"/>
      <c r="D12" s="1589"/>
      <c r="E12" s="1584"/>
      <c r="F12" s="3823"/>
      <c r="G12" s="3823"/>
      <c r="H12" s="3823"/>
      <c r="I12" s="1585"/>
      <c r="J12" s="1585"/>
      <c r="K12" s="3825"/>
      <c r="L12" s="1590"/>
      <c r="M12" s="1591" t="s">
        <v>3101</v>
      </c>
      <c r="N12" s="1591" t="s">
        <v>3101</v>
      </c>
      <c r="O12" s="1590"/>
      <c r="P12" s="1592"/>
      <c r="Q12" s="1591" t="s">
        <v>3101</v>
      </c>
      <c r="R12" s="1591" t="s">
        <v>3101</v>
      </c>
      <c r="S12" s="1593"/>
      <c r="T12" s="1594"/>
      <c r="U12" s="1579"/>
      <c r="V12" s="1580"/>
    </row>
    <row r="13" spans="1:22" s="1581" customFormat="1" ht="12" thickBot="1" x14ac:dyDescent="0.4">
      <c r="A13" s="3820"/>
      <c r="B13" s="3821"/>
      <c r="C13" s="1588"/>
      <c r="D13" s="1589"/>
      <c r="E13" s="1584"/>
      <c r="F13" s="3823"/>
      <c r="G13" s="3823"/>
      <c r="H13" s="3823"/>
      <c r="I13" s="1585"/>
      <c r="J13" s="1585"/>
      <c r="K13" s="3825"/>
      <c r="L13" s="1595"/>
      <c r="M13" s="1593" t="s">
        <v>3102</v>
      </c>
      <c r="N13" s="1593" t="s">
        <v>3103</v>
      </c>
      <c r="O13" s="1595"/>
      <c r="P13" s="1596"/>
      <c r="Q13" s="1593" t="s">
        <v>3102</v>
      </c>
      <c r="R13" s="1593" t="s">
        <v>3103</v>
      </c>
      <c r="S13" s="1591"/>
      <c r="T13" s="3828"/>
      <c r="U13" s="1579"/>
      <c r="V13" s="1580"/>
    </row>
    <row r="14" spans="1:22" s="1605" customFormat="1" ht="10.5" customHeight="1" thickBot="1" x14ac:dyDescent="0.4">
      <c r="A14" s="3820"/>
      <c r="B14" s="3821"/>
      <c r="C14" s="1597"/>
      <c r="D14" s="1598"/>
      <c r="E14" s="1599"/>
      <c r="F14" s="3823"/>
      <c r="G14" s="3823"/>
      <c r="H14" s="3823"/>
      <c r="I14" s="1600"/>
      <c r="J14" s="1600"/>
      <c r="K14" s="3825"/>
      <c r="L14" s="1601"/>
      <c r="M14" s="1602" t="s">
        <v>3104</v>
      </c>
      <c r="N14" s="1602" t="s">
        <v>3104</v>
      </c>
      <c r="O14" s="1600"/>
      <c r="P14" s="1601"/>
      <c r="Q14" s="1602" t="s">
        <v>3104</v>
      </c>
      <c r="R14" s="1602" t="s">
        <v>3104</v>
      </c>
      <c r="S14" s="1600"/>
      <c r="T14" s="3829"/>
      <c r="U14" s="1603"/>
      <c r="V14" s="1604"/>
    </row>
    <row r="15" spans="1:22" s="1605" customFormat="1" ht="7" x14ac:dyDescent="0.35">
      <c r="A15" s="1606"/>
      <c r="B15" s="1607"/>
      <c r="C15" s="1608"/>
      <c r="D15" s="1609"/>
      <c r="E15" s="1610"/>
      <c r="F15" s="1609"/>
      <c r="G15" s="1609"/>
      <c r="H15" s="1609"/>
      <c r="I15" s="1611"/>
      <c r="J15" s="1611"/>
      <c r="K15" s="1611"/>
      <c r="L15" s="1612"/>
      <c r="M15" s="1613"/>
      <c r="N15" s="1613"/>
      <c r="O15" s="1614"/>
      <c r="P15" s="1612"/>
      <c r="Q15" s="1613"/>
      <c r="R15" s="1615"/>
      <c r="S15" s="1611"/>
      <c r="T15" s="1616"/>
      <c r="U15" s="1603"/>
      <c r="V15" s="1604"/>
    </row>
    <row r="16" spans="1:22" s="1631" customFormat="1" ht="7" x14ac:dyDescent="0.35">
      <c r="A16" s="1617">
        <v>1</v>
      </c>
      <c r="B16" s="1618" t="s">
        <v>3105</v>
      </c>
      <c r="C16" s="1619"/>
      <c r="D16" s="1620"/>
      <c r="E16" s="1621"/>
      <c r="F16" s="1622"/>
      <c r="G16" s="1623"/>
      <c r="H16" s="1623"/>
      <c r="I16" s="1624"/>
      <c r="J16" s="1624"/>
      <c r="K16" s="1625"/>
      <c r="L16" s="1626"/>
      <c r="M16" s="1627"/>
      <c r="N16" s="1625"/>
      <c r="O16" s="1628"/>
      <c r="P16" s="1628"/>
      <c r="Q16" s="1628"/>
      <c r="R16" s="1628"/>
      <c r="S16" s="1628"/>
      <c r="T16" s="1629"/>
      <c r="U16" s="1630"/>
    </row>
    <row r="17" spans="1:22" s="1634" customFormat="1" ht="9.75" customHeight="1" x14ac:dyDescent="0.35">
      <c r="A17" s="1632"/>
      <c r="B17" s="1683" t="s">
        <v>2447</v>
      </c>
      <c r="C17" s="1684" t="s">
        <v>6946</v>
      </c>
      <c r="D17" s="1684" t="s">
        <v>6947</v>
      </c>
      <c r="E17" s="1685">
        <v>44742</v>
      </c>
      <c r="F17" s="1683"/>
      <c r="G17" s="1684">
        <v>1</v>
      </c>
      <c r="H17" s="1684"/>
      <c r="I17" s="1686"/>
      <c r="J17" s="1686"/>
      <c r="K17" s="1686">
        <v>2820000000</v>
      </c>
      <c r="L17" s="1686">
        <v>2820000000</v>
      </c>
      <c r="M17" s="1686"/>
      <c r="N17" s="1686"/>
      <c r="O17" s="1686">
        <f>L17+M17-N17</f>
        <v>2820000000</v>
      </c>
      <c r="P17" s="1686">
        <v>0</v>
      </c>
      <c r="Q17" s="1686"/>
      <c r="R17" s="1686"/>
      <c r="S17" s="1686">
        <v>0</v>
      </c>
      <c r="T17" s="1687">
        <f>O17-S17</f>
        <v>2820000000</v>
      </c>
      <c r="U17" s="1633">
        <v>1</v>
      </c>
      <c r="V17" s="1631"/>
    </row>
    <row r="18" spans="1:22" s="1631" customFormat="1" ht="9.75" customHeight="1" x14ac:dyDescent="0.35">
      <c r="A18" s="1632"/>
      <c r="B18" s="1683" t="s">
        <v>23</v>
      </c>
      <c r="C18" s="1636" t="s">
        <v>6946</v>
      </c>
      <c r="D18" s="1636" t="s">
        <v>6947</v>
      </c>
      <c r="E18" s="1637">
        <v>44834</v>
      </c>
      <c r="F18" s="1635"/>
      <c r="G18" s="1636">
        <v>1</v>
      </c>
      <c r="H18" s="1636"/>
      <c r="I18" s="1638"/>
      <c r="J18" s="1638"/>
      <c r="K18" s="1638">
        <v>286270000</v>
      </c>
      <c r="L18" s="1638">
        <v>286270000</v>
      </c>
      <c r="M18" s="1638"/>
      <c r="N18" s="1638"/>
      <c r="O18" s="1686">
        <f t="shared" ref="O18:O23" si="0">L18+M18-N18</f>
        <v>286270000</v>
      </c>
      <c r="P18" s="1638">
        <v>0</v>
      </c>
      <c r="Q18" s="1638"/>
      <c r="R18" s="1638"/>
      <c r="S18" s="1638">
        <v>0</v>
      </c>
      <c r="T18" s="1687">
        <f t="shared" ref="T18:T23" si="1">O18-S18</f>
        <v>286270000</v>
      </c>
      <c r="U18" s="1640">
        <v>1</v>
      </c>
    </row>
    <row r="19" spans="1:22" s="1631" customFormat="1" ht="9.75" customHeight="1" x14ac:dyDescent="0.35">
      <c r="A19" s="1632"/>
      <c r="B19" s="1683" t="s">
        <v>27</v>
      </c>
      <c r="C19" s="1641" t="s">
        <v>7981</v>
      </c>
      <c r="D19" s="1636" t="s">
        <v>6947</v>
      </c>
      <c r="E19" s="1637">
        <v>44957</v>
      </c>
      <c r="F19" s="1635"/>
      <c r="G19" s="1636">
        <v>1</v>
      </c>
      <c r="H19" s="1636"/>
      <c r="I19" s="1638"/>
      <c r="J19" s="1638"/>
      <c r="K19" s="1638">
        <v>253700000</v>
      </c>
      <c r="L19" s="1638">
        <v>253700000</v>
      </c>
      <c r="M19" s="1638"/>
      <c r="N19" s="1638"/>
      <c r="O19" s="1686">
        <f t="shared" si="0"/>
        <v>253700000</v>
      </c>
      <c r="P19" s="1638"/>
      <c r="Q19" s="1638"/>
      <c r="R19" s="1638"/>
      <c r="S19" s="1638">
        <v>0</v>
      </c>
      <c r="T19" s="1687">
        <f t="shared" si="1"/>
        <v>253700000</v>
      </c>
      <c r="U19" s="1640">
        <v>1</v>
      </c>
    </row>
    <row r="20" spans="1:22" s="1631" customFormat="1" ht="9.75" customHeight="1" x14ac:dyDescent="0.35">
      <c r="A20" s="1632"/>
      <c r="B20" s="1683" t="s">
        <v>31</v>
      </c>
      <c r="C20" s="1641" t="s">
        <v>7982</v>
      </c>
      <c r="D20" s="1636" t="s">
        <v>6947</v>
      </c>
      <c r="E20" s="1637">
        <v>45293</v>
      </c>
      <c r="F20" s="1635" t="s">
        <v>6948</v>
      </c>
      <c r="G20" s="1636">
        <v>1</v>
      </c>
      <c r="H20" s="1636"/>
      <c r="I20" s="1638"/>
      <c r="J20" s="1638"/>
      <c r="K20" s="1638">
        <v>30000000</v>
      </c>
      <c r="L20" s="1638">
        <v>30000000</v>
      </c>
      <c r="M20" s="1638"/>
      <c r="N20" s="1638"/>
      <c r="O20" s="1686">
        <f t="shared" si="0"/>
        <v>30000000</v>
      </c>
      <c r="P20" s="1638"/>
      <c r="Q20" s="1638"/>
      <c r="R20" s="1638"/>
      <c r="S20" s="1638">
        <v>0</v>
      </c>
      <c r="T20" s="1687">
        <f t="shared" si="1"/>
        <v>30000000</v>
      </c>
      <c r="U20" s="1640">
        <v>1</v>
      </c>
    </row>
    <row r="21" spans="1:22" s="1631" customFormat="1" ht="9.75" customHeight="1" x14ac:dyDescent="0.35">
      <c r="A21" s="1632"/>
      <c r="B21" s="1683" t="s">
        <v>36</v>
      </c>
      <c r="C21" s="1641" t="s">
        <v>7983</v>
      </c>
      <c r="D21" s="1636" t="s">
        <v>6947</v>
      </c>
      <c r="E21" s="1637">
        <v>45293</v>
      </c>
      <c r="F21" s="1635" t="s">
        <v>6949</v>
      </c>
      <c r="G21" s="1636">
        <v>1</v>
      </c>
      <c r="H21" s="1636"/>
      <c r="I21" s="1638"/>
      <c r="J21" s="1638"/>
      <c r="K21" s="1638">
        <v>20000000</v>
      </c>
      <c r="L21" s="1638">
        <v>20000000</v>
      </c>
      <c r="M21" s="1638"/>
      <c r="N21" s="1638"/>
      <c r="O21" s="1686">
        <f t="shared" si="0"/>
        <v>20000000</v>
      </c>
      <c r="P21" s="1638"/>
      <c r="Q21" s="1638"/>
      <c r="R21" s="1638"/>
      <c r="S21" s="1638">
        <v>0</v>
      </c>
      <c r="T21" s="1687">
        <f t="shared" si="1"/>
        <v>20000000</v>
      </c>
      <c r="U21" s="1640">
        <v>1</v>
      </c>
    </row>
    <row r="22" spans="1:22" s="1631" customFormat="1" ht="9.75" customHeight="1" x14ac:dyDescent="0.35">
      <c r="A22" s="1632"/>
      <c r="B22" s="1683" t="s">
        <v>2449</v>
      </c>
      <c r="C22" s="1641" t="s">
        <v>7984</v>
      </c>
      <c r="D22" s="1636" t="s">
        <v>6947</v>
      </c>
      <c r="E22" s="1637">
        <v>45350</v>
      </c>
      <c r="F22" s="1635" t="s">
        <v>6950</v>
      </c>
      <c r="G22" s="1636">
        <v>1</v>
      </c>
      <c r="H22" s="1636"/>
      <c r="I22" s="1638"/>
      <c r="J22" s="1638"/>
      <c r="K22" s="1638">
        <v>174000000</v>
      </c>
      <c r="L22" s="1638">
        <v>174000000</v>
      </c>
      <c r="M22" s="1638"/>
      <c r="N22" s="1638"/>
      <c r="O22" s="1686">
        <f t="shared" si="0"/>
        <v>174000000</v>
      </c>
      <c r="P22" s="1638"/>
      <c r="Q22" s="1638"/>
      <c r="R22" s="1638"/>
      <c r="S22" s="1638">
        <v>0</v>
      </c>
      <c r="T22" s="1687">
        <f t="shared" si="1"/>
        <v>174000000</v>
      </c>
      <c r="U22" s="1640">
        <v>1</v>
      </c>
    </row>
    <row r="23" spans="1:22" s="1631" customFormat="1" ht="7" x14ac:dyDescent="0.35">
      <c r="A23" s="1632"/>
      <c r="B23" s="1683" t="s">
        <v>759</v>
      </c>
      <c r="C23" s="1641" t="s">
        <v>7985</v>
      </c>
      <c r="D23" s="1636" t="s">
        <v>6947</v>
      </c>
      <c r="E23" s="1637">
        <v>45777</v>
      </c>
      <c r="F23" s="1635" t="s">
        <v>7673</v>
      </c>
      <c r="G23" s="1636">
        <v>1</v>
      </c>
      <c r="H23" s="1636"/>
      <c r="I23" s="1638"/>
      <c r="J23" s="1638"/>
      <c r="K23" s="1638">
        <v>300000000</v>
      </c>
      <c r="L23" s="1638">
        <v>300000000</v>
      </c>
      <c r="M23" s="1638"/>
      <c r="N23" s="1638"/>
      <c r="O23" s="1686">
        <f t="shared" si="0"/>
        <v>300000000</v>
      </c>
      <c r="P23" s="1638"/>
      <c r="Q23" s="1638"/>
      <c r="R23" s="1638"/>
      <c r="S23" s="1638"/>
      <c r="T23" s="1687">
        <f t="shared" si="1"/>
        <v>300000000</v>
      </c>
      <c r="U23" s="1640">
        <v>1</v>
      </c>
    </row>
    <row r="24" spans="1:22" s="1631" customFormat="1" ht="7.5" thickBot="1" x14ac:dyDescent="0.4">
      <c r="A24" s="2696"/>
      <c r="B24" s="2697"/>
      <c r="C24" s="2698"/>
      <c r="D24" s="1636"/>
      <c r="E24" s="1637"/>
      <c r="F24" s="1635"/>
      <c r="G24" s="1636"/>
      <c r="H24" s="1636"/>
      <c r="I24" s="1638"/>
      <c r="J24" s="1638"/>
      <c r="K24" s="1638"/>
      <c r="L24" s="1638"/>
      <c r="M24" s="1638"/>
      <c r="N24" s="1638"/>
      <c r="O24" s="1638"/>
      <c r="P24" s="1638"/>
      <c r="Q24" s="1638"/>
      <c r="R24" s="1638"/>
      <c r="S24" s="1638"/>
      <c r="T24" s="2699"/>
      <c r="U24" s="1640"/>
    </row>
    <row r="25" spans="1:22" s="1642" customFormat="1" ht="12" thickBot="1" x14ac:dyDescent="0.4">
      <c r="A25" s="1689"/>
      <c r="B25" s="1690"/>
      <c r="C25" s="1689" t="s">
        <v>3106</v>
      </c>
      <c r="D25" s="1691"/>
      <c r="E25" s="1692"/>
      <c r="F25" s="1693"/>
      <c r="G25" s="1691"/>
      <c r="H25" s="1691"/>
      <c r="I25" s="1694"/>
      <c r="J25" s="1694"/>
      <c r="K25" s="1694"/>
      <c r="L25" s="1695">
        <f>SUM(L17:L23)</f>
        <v>3883970000</v>
      </c>
      <c r="M25" s="1695">
        <f>SUM(M17:M23)</f>
        <v>0</v>
      </c>
      <c r="N25" s="1695">
        <f>SUM(N17:N23)</f>
        <v>0</v>
      </c>
      <c r="O25" s="1695">
        <f>SUM(O17:O23)</f>
        <v>3883970000</v>
      </c>
      <c r="P25" s="1695">
        <v>0</v>
      </c>
      <c r="Q25" s="1695">
        <f>SUM(Q17:Q23)</f>
        <v>0</v>
      </c>
      <c r="R25" s="1695">
        <f>SUM(R17:R23)</f>
        <v>0</v>
      </c>
      <c r="S25" s="1695">
        <f>SUM(S17:S23)</f>
        <v>0</v>
      </c>
      <c r="T25" s="1695">
        <f>SUM(T17:T23)</f>
        <v>3883970000</v>
      </c>
      <c r="U25" s="1652"/>
      <c r="V25" s="1653"/>
    </row>
    <row r="26" spans="1:22" s="1631" customFormat="1" ht="7" x14ac:dyDescent="0.35">
      <c r="A26" s="1643">
        <v>2</v>
      </c>
      <c r="B26" s="1644" t="s">
        <v>3107</v>
      </c>
      <c r="C26" s="1645"/>
      <c r="D26" s="1636"/>
      <c r="E26" s="1637"/>
      <c r="F26" s="1635"/>
      <c r="G26" s="1636"/>
      <c r="H26" s="1636"/>
      <c r="I26" s="1638"/>
      <c r="J26" s="1638"/>
      <c r="K26" s="1638"/>
      <c r="L26" s="1638"/>
      <c r="M26" s="1638"/>
      <c r="N26" s="1638"/>
      <c r="O26" s="1638"/>
      <c r="P26" s="1638"/>
      <c r="Q26" s="1638"/>
      <c r="R26" s="1638"/>
      <c r="S26" s="1638"/>
      <c r="T26" s="1639"/>
      <c r="U26" s="1640"/>
    </row>
    <row r="27" spans="1:22" s="1631" customFormat="1" ht="7" x14ac:dyDescent="0.35">
      <c r="A27" s="1643"/>
      <c r="B27" s="1644">
        <v>1</v>
      </c>
      <c r="C27" s="1645" t="s">
        <v>1094</v>
      </c>
      <c r="D27" s="1636"/>
      <c r="E27" s="1637"/>
      <c r="F27" s="1635"/>
      <c r="G27" s="1636"/>
      <c r="H27" s="1636"/>
      <c r="I27" s="1638"/>
      <c r="J27" s="1638"/>
      <c r="K27" s="1638"/>
      <c r="L27" s="1638"/>
      <c r="M27" s="1638"/>
      <c r="N27" s="1638"/>
      <c r="O27" s="1638"/>
      <c r="P27" s="1638"/>
      <c r="Q27" s="1638"/>
      <c r="R27" s="1638"/>
      <c r="S27" s="1638"/>
      <c r="T27" s="1639"/>
      <c r="U27" s="1640"/>
    </row>
    <row r="28" spans="1:22" s="1634" customFormat="1" ht="7" x14ac:dyDescent="0.35">
      <c r="A28" s="1643"/>
      <c r="B28" s="1707" t="s">
        <v>2447</v>
      </c>
      <c r="C28" s="1684" t="s">
        <v>6953</v>
      </c>
      <c r="D28" s="1684" t="s">
        <v>6947</v>
      </c>
      <c r="E28" s="1685">
        <v>43647</v>
      </c>
      <c r="F28" s="1683"/>
      <c r="G28" s="1684">
        <v>1</v>
      </c>
      <c r="H28" s="1684">
        <v>20</v>
      </c>
      <c r="I28" s="1686">
        <v>240</v>
      </c>
      <c r="J28" s="1686">
        <v>7083333.333333333</v>
      </c>
      <c r="K28" s="1686">
        <v>1700000000</v>
      </c>
      <c r="L28" s="1686">
        <v>1700000000</v>
      </c>
      <c r="M28" s="1686"/>
      <c r="N28" s="1686"/>
      <c r="O28" s="1686">
        <f t="shared" ref="O28:O29" si="2">L28+M28-N28</f>
        <v>1700000000</v>
      </c>
      <c r="P28" s="1686">
        <v>587916666.66666639</v>
      </c>
      <c r="Q28" s="1686">
        <f>J28</f>
        <v>7083333.333333333</v>
      </c>
      <c r="R28" s="1686"/>
      <c r="S28" s="1686">
        <f>P28+Q28-R28</f>
        <v>594999999.99999976</v>
      </c>
      <c r="T28" s="1687">
        <f>O28-S28</f>
        <v>1105000000.0000002</v>
      </c>
      <c r="U28" s="1603">
        <v>3</v>
      </c>
      <c r="V28" s="1631"/>
    </row>
    <row r="29" spans="1:22" s="1634" customFormat="1" ht="7" x14ac:dyDescent="0.35">
      <c r="A29" s="1643"/>
      <c r="B29" s="1683">
        <v>2</v>
      </c>
      <c r="C29" s="2700" t="s">
        <v>6951</v>
      </c>
      <c r="D29" s="1684" t="s">
        <v>7590</v>
      </c>
      <c r="E29" s="2702">
        <v>44743</v>
      </c>
      <c r="F29" s="2703"/>
      <c r="G29" s="1684">
        <v>1</v>
      </c>
      <c r="H29" s="2701">
        <v>20</v>
      </c>
      <c r="I29" s="2705">
        <f t="shared" ref="I29" si="3">12*H29</f>
        <v>240</v>
      </c>
      <c r="J29" s="2705">
        <f t="shared" ref="J29" si="4">K29/I29</f>
        <v>8090218.833333333</v>
      </c>
      <c r="K29" s="2705">
        <v>1941652520</v>
      </c>
      <c r="L29" s="2705">
        <v>1941652520</v>
      </c>
      <c r="M29" s="2705"/>
      <c r="N29" s="2705"/>
      <c r="O29" s="2705">
        <f t="shared" si="2"/>
        <v>1941652520</v>
      </c>
      <c r="P29" s="2705">
        <v>380240285.16666627</v>
      </c>
      <c r="Q29" s="1686">
        <f t="shared" ref="Q29:Q30" si="5">J29</f>
        <v>8090218.833333333</v>
      </c>
      <c r="R29" s="2705"/>
      <c r="S29" s="1686">
        <f t="shared" ref="S29:S32" si="6">P29+Q29-R29</f>
        <v>388330503.99999958</v>
      </c>
      <c r="T29" s="1687">
        <f>O29-S29</f>
        <v>1553322016.0000005</v>
      </c>
      <c r="U29" s="1603">
        <v>3</v>
      </c>
      <c r="V29" s="1631"/>
    </row>
    <row r="30" spans="1:22" s="1634" customFormat="1" ht="7" x14ac:dyDescent="0.35">
      <c r="A30" s="1643"/>
      <c r="B30" s="1707" t="s">
        <v>23</v>
      </c>
      <c r="C30" s="1684" t="s">
        <v>7589</v>
      </c>
      <c r="D30" s="1684" t="s">
        <v>7591</v>
      </c>
      <c r="E30" s="1685">
        <v>45179</v>
      </c>
      <c r="F30" s="1683"/>
      <c r="G30" s="1684">
        <v>1</v>
      </c>
      <c r="H30" s="1684">
        <v>20</v>
      </c>
      <c r="I30" s="1686">
        <v>240</v>
      </c>
      <c r="J30" s="1686">
        <f>K30*G30/I30</f>
        <v>2229720</v>
      </c>
      <c r="K30" s="1686">
        <v>535132800</v>
      </c>
      <c r="L30" s="1686">
        <f>K30</f>
        <v>535132800</v>
      </c>
      <c r="M30" s="1686"/>
      <c r="N30" s="1686"/>
      <c r="O30" s="1686">
        <f t="shared" ref="O30:O32" si="7">L30+M30-N30</f>
        <v>535132800</v>
      </c>
      <c r="P30" s="1686">
        <v>42364680</v>
      </c>
      <c r="Q30" s="1686">
        <f t="shared" si="5"/>
        <v>2229720</v>
      </c>
      <c r="R30" s="1686"/>
      <c r="S30" s="1686">
        <f t="shared" si="6"/>
        <v>44594400</v>
      </c>
      <c r="T30" s="1687">
        <f t="shared" ref="T30:T32" si="8">O30-S30</f>
        <v>490538400</v>
      </c>
      <c r="U30" s="1603">
        <v>3</v>
      </c>
      <c r="V30" s="1631"/>
    </row>
    <row r="31" spans="1:22" s="1634" customFormat="1" ht="7" x14ac:dyDescent="0.35">
      <c r="A31" s="1643"/>
      <c r="B31" s="1683">
        <v>3</v>
      </c>
      <c r="C31" s="1684"/>
      <c r="D31" s="1684"/>
      <c r="E31" s="1685"/>
      <c r="F31" s="1683"/>
      <c r="G31" s="1684"/>
      <c r="H31" s="1684"/>
      <c r="I31" s="1686"/>
      <c r="J31" s="1686"/>
      <c r="K31" s="1686"/>
      <c r="L31" s="1686">
        <v>0</v>
      </c>
      <c r="M31" s="1686"/>
      <c r="N31" s="1686"/>
      <c r="O31" s="1686">
        <f t="shared" si="7"/>
        <v>0</v>
      </c>
      <c r="P31" s="1686">
        <v>0</v>
      </c>
      <c r="Q31" s="1686">
        <f t="shared" ref="Q31:Q32" si="9">J31</f>
        <v>0</v>
      </c>
      <c r="R31" s="1686"/>
      <c r="S31" s="1686">
        <f t="shared" si="6"/>
        <v>0</v>
      </c>
      <c r="T31" s="1687">
        <f t="shared" si="8"/>
        <v>0</v>
      </c>
      <c r="U31" s="1603">
        <v>3</v>
      </c>
      <c r="V31" s="1631"/>
    </row>
    <row r="32" spans="1:22" s="1634" customFormat="1" ht="7.5" thickBot="1" x14ac:dyDescent="0.4">
      <c r="A32" s="1643"/>
      <c r="B32" s="1707" t="s">
        <v>27</v>
      </c>
      <c r="C32" s="1684"/>
      <c r="D32" s="1684"/>
      <c r="E32" s="1685"/>
      <c r="F32" s="1683"/>
      <c r="G32" s="1684"/>
      <c r="H32" s="1684"/>
      <c r="I32" s="1686"/>
      <c r="J32" s="1686"/>
      <c r="K32" s="1686"/>
      <c r="L32" s="1686">
        <v>0</v>
      </c>
      <c r="M32" s="1686"/>
      <c r="N32" s="1686"/>
      <c r="O32" s="1686">
        <f t="shared" si="7"/>
        <v>0</v>
      </c>
      <c r="P32" s="1686">
        <v>0</v>
      </c>
      <c r="Q32" s="1686">
        <f t="shared" si="9"/>
        <v>0</v>
      </c>
      <c r="R32" s="1686"/>
      <c r="S32" s="1686">
        <f t="shared" si="6"/>
        <v>0</v>
      </c>
      <c r="T32" s="1687">
        <f t="shared" si="8"/>
        <v>0</v>
      </c>
      <c r="U32" s="1603">
        <v>3</v>
      </c>
      <c r="V32" s="1631"/>
    </row>
    <row r="33" spans="1:22" s="1634" customFormat="1" ht="10.5" x14ac:dyDescent="0.35">
      <c r="A33" s="1643"/>
      <c r="B33" s="1688"/>
      <c r="C33" s="1703"/>
      <c r="D33" s="1697"/>
      <c r="E33" s="1698"/>
      <c r="F33" s="1699"/>
      <c r="G33" s="1697"/>
      <c r="H33" s="1697"/>
      <c r="I33" s="1700"/>
      <c r="J33" s="1700">
        <f t="shared" ref="J33:T33" si="10">SUM(J28:J32)</f>
        <v>17403272.166666664</v>
      </c>
      <c r="K33" s="1700">
        <f t="shared" si="10"/>
        <v>4176785320</v>
      </c>
      <c r="L33" s="1700">
        <f>SUM(L28:L32)</f>
        <v>4176785320</v>
      </c>
      <c r="M33" s="1700">
        <f t="shared" si="10"/>
        <v>0</v>
      </c>
      <c r="N33" s="1700">
        <f t="shared" si="10"/>
        <v>0</v>
      </c>
      <c r="O33" s="1700">
        <f t="shared" si="10"/>
        <v>4176785320</v>
      </c>
      <c r="P33" s="1700">
        <f t="shared" si="10"/>
        <v>1010521631.8333327</v>
      </c>
      <c r="Q33" s="1700">
        <f t="shared" si="10"/>
        <v>17403272.166666664</v>
      </c>
      <c r="R33" s="1700">
        <f t="shared" si="10"/>
        <v>0</v>
      </c>
      <c r="S33" s="1700">
        <f t="shared" si="10"/>
        <v>1027924903.9999993</v>
      </c>
      <c r="T33" s="1702">
        <f t="shared" si="10"/>
        <v>3148860416.000001</v>
      </c>
      <c r="U33" s="1603"/>
      <c r="V33" s="1631"/>
    </row>
    <row r="34" spans="1:22" s="1634" customFormat="1" ht="7" x14ac:dyDescent="0.35">
      <c r="A34" s="1643"/>
      <c r="B34" s="1706">
        <v>2</v>
      </c>
      <c r="C34" s="1608" t="s">
        <v>1530</v>
      </c>
      <c r="D34" s="1684"/>
      <c r="E34" s="1685"/>
      <c r="F34" s="1683"/>
      <c r="G34" s="1684"/>
      <c r="H34" s="1684"/>
      <c r="I34" s="1686"/>
      <c r="J34" s="1686"/>
      <c r="K34" s="1686"/>
      <c r="L34" s="1686"/>
      <c r="M34" s="1686"/>
      <c r="N34" s="1686"/>
      <c r="O34" s="1686"/>
      <c r="P34" s="1686"/>
      <c r="Q34" s="1686"/>
      <c r="R34" s="1686"/>
      <c r="S34" s="1686"/>
      <c r="T34" s="1687"/>
      <c r="U34" s="1640"/>
      <c r="V34" s="1631"/>
    </row>
    <row r="35" spans="1:22" s="1634" customFormat="1" ht="7" x14ac:dyDescent="0.35">
      <c r="A35" s="1643"/>
      <c r="B35" s="1683">
        <v>1</v>
      </c>
      <c r="C35" s="1684" t="s">
        <v>7170</v>
      </c>
      <c r="D35" s="1684" t="s">
        <v>6947</v>
      </c>
      <c r="E35" s="1685">
        <v>45260</v>
      </c>
      <c r="F35" s="1683"/>
      <c r="G35" s="1684">
        <v>1</v>
      </c>
      <c r="H35" s="1684">
        <v>20</v>
      </c>
      <c r="I35" s="1686">
        <v>240</v>
      </c>
      <c r="J35" s="1686">
        <f>K35*G35/I35</f>
        <v>13408750</v>
      </c>
      <c r="K35" s="1686">
        <v>3218100000</v>
      </c>
      <c r="L35" s="1686">
        <f>K35</f>
        <v>3218100000</v>
      </c>
      <c r="M35" s="1686"/>
      <c r="N35" s="1686"/>
      <c r="O35" s="1686">
        <f>L35+M35-N35</f>
        <v>3218100000</v>
      </c>
      <c r="P35" s="1686">
        <v>254766250</v>
      </c>
      <c r="Q35" s="1686">
        <f>J35</f>
        <v>13408750</v>
      </c>
      <c r="R35" s="1686"/>
      <c r="S35" s="1686">
        <f t="shared" ref="S35:S37" si="11">P35+Q35-R35</f>
        <v>268175000</v>
      </c>
      <c r="T35" s="1687">
        <f>O35-S35</f>
        <v>2949925000</v>
      </c>
      <c r="U35" s="1640">
        <v>4</v>
      </c>
      <c r="V35" s="1631"/>
    </row>
    <row r="36" spans="1:22" s="1634" customFormat="1" ht="7" x14ac:dyDescent="0.35">
      <c r="A36" s="1643"/>
      <c r="B36" s="1683">
        <v>2</v>
      </c>
      <c r="C36" s="1684"/>
      <c r="D36" s="1684"/>
      <c r="E36" s="1685"/>
      <c r="F36" s="1683"/>
      <c r="G36" s="1684"/>
      <c r="H36" s="1684"/>
      <c r="I36" s="1686"/>
      <c r="J36" s="1686"/>
      <c r="K36" s="1686"/>
      <c r="L36" s="1686"/>
      <c r="M36" s="1686"/>
      <c r="N36" s="1686"/>
      <c r="O36" s="1686"/>
      <c r="P36" s="1686"/>
      <c r="Q36" s="1686"/>
      <c r="R36" s="1686"/>
      <c r="S36" s="1686"/>
      <c r="T36" s="1687"/>
      <c r="U36" s="1640">
        <v>4</v>
      </c>
      <c r="V36" s="1631"/>
    </row>
    <row r="37" spans="1:22" s="1634" customFormat="1" ht="7.5" thickBot="1" x14ac:dyDescent="0.4">
      <c r="A37" s="1643"/>
      <c r="B37" s="1683">
        <v>3</v>
      </c>
      <c r="C37" s="1684"/>
      <c r="D37" s="1684"/>
      <c r="E37" s="1685"/>
      <c r="F37" s="1683"/>
      <c r="G37" s="1684"/>
      <c r="H37" s="1684"/>
      <c r="I37" s="1686"/>
      <c r="J37" s="1686"/>
      <c r="K37" s="1686"/>
      <c r="L37" s="1686">
        <v>0</v>
      </c>
      <c r="M37" s="1686"/>
      <c r="N37" s="1686"/>
      <c r="O37" s="1686">
        <f>L37+M37-N37</f>
        <v>0</v>
      </c>
      <c r="P37" s="1686">
        <v>0</v>
      </c>
      <c r="Q37" s="1686">
        <f>J37</f>
        <v>0</v>
      </c>
      <c r="R37" s="1686"/>
      <c r="S37" s="1686">
        <f t="shared" si="11"/>
        <v>0</v>
      </c>
      <c r="T37" s="1687">
        <f>O37-S37</f>
        <v>0</v>
      </c>
      <c r="U37" s="1640">
        <v>4</v>
      </c>
      <c r="V37" s="1631"/>
    </row>
    <row r="38" spans="1:22" s="1634" customFormat="1" ht="10.5" x14ac:dyDescent="0.35">
      <c r="A38" s="1643"/>
      <c r="B38" s="1688"/>
      <c r="C38" s="1703"/>
      <c r="D38" s="1697"/>
      <c r="E38" s="1698"/>
      <c r="F38" s="1699"/>
      <c r="G38" s="1697"/>
      <c r="H38" s="1697"/>
      <c r="I38" s="1700"/>
      <c r="J38" s="1700">
        <f>SUM(J35:J37)</f>
        <v>13408750</v>
      </c>
      <c r="K38" s="1700">
        <f t="shared" ref="K38:T38" si="12">SUM(K35:K37)</f>
        <v>3218100000</v>
      </c>
      <c r="L38" s="1700">
        <f t="shared" si="12"/>
        <v>3218100000</v>
      </c>
      <c r="M38" s="1700">
        <f t="shared" si="12"/>
        <v>0</v>
      </c>
      <c r="N38" s="1700">
        <f t="shared" si="12"/>
        <v>0</v>
      </c>
      <c r="O38" s="1700">
        <f t="shared" si="12"/>
        <v>3218100000</v>
      </c>
      <c r="P38" s="1700">
        <f t="shared" si="12"/>
        <v>254766250</v>
      </c>
      <c r="Q38" s="1700">
        <f t="shared" si="12"/>
        <v>13408750</v>
      </c>
      <c r="R38" s="1700">
        <f t="shared" si="12"/>
        <v>0</v>
      </c>
      <c r="S38" s="1700">
        <f t="shared" si="12"/>
        <v>268175000</v>
      </c>
      <c r="T38" s="1702">
        <f t="shared" si="12"/>
        <v>2949925000</v>
      </c>
      <c r="U38" s="1640"/>
      <c r="V38" s="1631"/>
    </row>
    <row r="39" spans="1:22" s="1634" customFormat="1" ht="7" x14ac:dyDescent="0.35">
      <c r="A39" s="1643"/>
      <c r="B39" s="1706">
        <v>3</v>
      </c>
      <c r="C39" s="1645" t="s">
        <v>1532</v>
      </c>
      <c r="D39" s="1636"/>
      <c r="E39" s="1637"/>
      <c r="F39" s="1635"/>
      <c r="G39" s="1636"/>
      <c r="H39" s="1636"/>
      <c r="I39" s="1638"/>
      <c r="J39" s="1638"/>
      <c r="K39" s="1638"/>
      <c r="L39" s="1638"/>
      <c r="M39" s="1638"/>
      <c r="N39" s="1638"/>
      <c r="O39" s="1638"/>
      <c r="P39" s="1638"/>
      <c r="Q39" s="1638"/>
      <c r="R39" s="1638"/>
      <c r="S39" s="1638"/>
      <c r="T39" s="1639"/>
      <c r="U39" s="1640"/>
      <c r="V39" s="1631"/>
    </row>
    <row r="40" spans="1:22" s="1634" customFormat="1" ht="7" x14ac:dyDescent="0.35">
      <c r="A40" s="1643"/>
      <c r="B40" s="1683">
        <v>1</v>
      </c>
      <c r="C40" s="2701" t="s">
        <v>6954</v>
      </c>
      <c r="D40" s="2701"/>
      <c r="E40" s="2702">
        <v>43647</v>
      </c>
      <c r="F40" s="2703"/>
      <c r="G40" s="2704">
        <v>2</v>
      </c>
      <c r="H40" s="2701">
        <v>20</v>
      </c>
      <c r="I40" s="2705">
        <f t="shared" ref="I40" si="13">12*H40</f>
        <v>240</v>
      </c>
      <c r="J40" s="2705">
        <f>K40*G40/I40</f>
        <v>1083333.3333333333</v>
      </c>
      <c r="K40" s="2705">
        <v>130000000</v>
      </c>
      <c r="L40" s="2705">
        <f>K40*G40</f>
        <v>260000000</v>
      </c>
      <c r="M40" s="2705"/>
      <c r="N40" s="2705"/>
      <c r="O40" s="2705">
        <f t="shared" ref="O40:O42" si="14">L40+M40-N40</f>
        <v>260000000</v>
      </c>
      <c r="P40" s="2705">
        <v>89916666.666666597</v>
      </c>
      <c r="Q40" s="2705">
        <f t="shared" ref="Q40:Q42" si="15">J40</f>
        <v>1083333.3333333333</v>
      </c>
      <c r="R40" s="2705"/>
      <c r="S40" s="1686">
        <f>P40+Q40-R40</f>
        <v>90999999.999999925</v>
      </c>
      <c r="T40" s="1687">
        <f>O40-S40</f>
        <v>169000000.00000006</v>
      </c>
      <c r="U40" s="1640">
        <v>5</v>
      </c>
      <c r="V40" s="1631"/>
    </row>
    <row r="41" spans="1:22" s="1634" customFormat="1" ht="7" x14ac:dyDescent="0.35">
      <c r="A41" s="1643"/>
      <c r="B41" s="1688">
        <v>2</v>
      </c>
      <c r="C41" s="2967" t="s">
        <v>7587</v>
      </c>
      <c r="D41" s="2701"/>
      <c r="E41" s="2702">
        <v>45350</v>
      </c>
      <c r="F41" s="2703"/>
      <c r="G41" s="2704">
        <v>1</v>
      </c>
      <c r="H41" s="2701">
        <v>20</v>
      </c>
      <c r="I41" s="2705">
        <v>240</v>
      </c>
      <c r="J41" s="2705">
        <f>K41*G41/I41</f>
        <v>3269275</v>
      </c>
      <c r="K41" s="2705">
        <v>784626000</v>
      </c>
      <c r="L41" s="2705">
        <f>K41*G41</f>
        <v>784626000</v>
      </c>
      <c r="M41" s="2705"/>
      <c r="N41" s="2705"/>
      <c r="O41" s="2705">
        <f>L41+M41-N41</f>
        <v>784626000</v>
      </c>
      <c r="P41" s="2705">
        <v>62116225</v>
      </c>
      <c r="Q41" s="2705">
        <f t="shared" si="15"/>
        <v>3269275</v>
      </c>
      <c r="R41" s="2705"/>
      <c r="S41" s="1686">
        <f t="shared" ref="S41:S42" si="16">P41+Q41-R41</f>
        <v>65385500</v>
      </c>
      <c r="T41" s="1687">
        <f t="shared" ref="T41:T42" si="17">O41-S41</f>
        <v>719240500</v>
      </c>
      <c r="U41" s="1640">
        <v>5</v>
      </c>
      <c r="V41" s="1631"/>
    </row>
    <row r="42" spans="1:22" s="1634" customFormat="1" ht="7" x14ac:dyDescent="0.35">
      <c r="A42" s="1643"/>
      <c r="B42" s="1683">
        <v>3</v>
      </c>
      <c r="C42" s="2967"/>
      <c r="D42" s="2701"/>
      <c r="E42" s="2702"/>
      <c r="F42" s="2703"/>
      <c r="G42" s="2704"/>
      <c r="H42" s="2701"/>
      <c r="I42" s="2705"/>
      <c r="J42" s="2705"/>
      <c r="K42" s="2705"/>
      <c r="L42" s="2705"/>
      <c r="M42" s="2705"/>
      <c r="N42" s="2705"/>
      <c r="O42" s="2705">
        <f t="shared" si="14"/>
        <v>0</v>
      </c>
      <c r="P42" s="2705">
        <v>0</v>
      </c>
      <c r="Q42" s="2705">
        <f t="shared" si="15"/>
        <v>0</v>
      </c>
      <c r="R42" s="2705"/>
      <c r="S42" s="1686">
        <f t="shared" si="16"/>
        <v>0</v>
      </c>
      <c r="T42" s="1687">
        <f t="shared" si="17"/>
        <v>0</v>
      </c>
      <c r="U42" s="1640">
        <v>5</v>
      </c>
      <c r="V42" s="1631"/>
    </row>
    <row r="43" spans="1:22" s="1634" customFormat="1" ht="7.5" thickBot="1" x14ac:dyDescent="0.4">
      <c r="A43" s="1643"/>
      <c r="B43" s="1688">
        <v>4</v>
      </c>
      <c r="C43" s="2968"/>
      <c r="D43" s="2701"/>
      <c r="E43" s="2702"/>
      <c r="F43" s="2703"/>
      <c r="G43" s="2704"/>
      <c r="H43" s="2701"/>
      <c r="I43" s="2705"/>
      <c r="J43" s="2705"/>
      <c r="K43" s="2705"/>
      <c r="L43" s="2705"/>
      <c r="M43" s="2705"/>
      <c r="N43" s="2705"/>
      <c r="O43" s="2705"/>
      <c r="P43" s="2705"/>
      <c r="Q43" s="2705"/>
      <c r="R43" s="2705"/>
      <c r="S43" s="1686"/>
      <c r="T43" s="2969"/>
      <c r="U43" s="1640">
        <v>5</v>
      </c>
      <c r="V43" s="1631"/>
    </row>
    <row r="44" spans="1:22" s="1634" customFormat="1" ht="10.5" x14ac:dyDescent="0.35">
      <c r="A44" s="1643"/>
      <c r="B44" s="1688"/>
      <c r="C44" s="1703"/>
      <c r="D44" s="1697"/>
      <c r="E44" s="1698"/>
      <c r="F44" s="1699"/>
      <c r="G44" s="1697"/>
      <c r="H44" s="1697"/>
      <c r="I44" s="1700"/>
      <c r="J44" s="1700">
        <f>SUM(J40:J43)</f>
        <v>4352608.333333333</v>
      </c>
      <c r="K44" s="1700">
        <f t="shared" ref="K44" si="18">SUM(K40:K43)</f>
        <v>914626000</v>
      </c>
      <c r="L44" s="1700">
        <f>SUM(L40:L43)</f>
        <v>1044626000</v>
      </c>
      <c r="M44" s="1700">
        <f t="shared" ref="M44" si="19">SUM(M40:M43)</f>
        <v>0</v>
      </c>
      <c r="N44" s="1700">
        <f t="shared" ref="N44" si="20">SUM(N40:N43)</f>
        <v>0</v>
      </c>
      <c r="O44" s="1700">
        <f>SUM(O40:O43)</f>
        <v>1044626000</v>
      </c>
      <c r="P44" s="1700">
        <f>SUM(P40:P43)</f>
        <v>152032891.6666666</v>
      </c>
      <c r="Q44" s="1700">
        <f t="shared" ref="Q44" si="21">SUM(Q40:Q43)</f>
        <v>4352608.333333333</v>
      </c>
      <c r="R44" s="1700">
        <f t="shared" ref="R44" si="22">SUM(R40:R43)</f>
        <v>0</v>
      </c>
      <c r="S44" s="1700">
        <f t="shared" ref="S44" si="23">SUM(S40:S43)</f>
        <v>156385499.99999994</v>
      </c>
      <c r="T44" s="1702">
        <f t="shared" ref="T44" si="24">SUM(T40:T43)</f>
        <v>888240500</v>
      </c>
      <c r="U44" s="1640"/>
      <c r="V44" s="1631"/>
    </row>
    <row r="45" spans="1:22" s="1634" customFormat="1" ht="7" x14ac:dyDescent="0.35">
      <c r="A45" s="1643"/>
      <c r="B45" s="1683">
        <v>4</v>
      </c>
      <c r="C45" s="1645" t="s">
        <v>1534</v>
      </c>
      <c r="D45" s="1636"/>
      <c r="E45" s="1637"/>
      <c r="F45" s="1635"/>
      <c r="G45" s="1636"/>
      <c r="H45" s="1636"/>
      <c r="I45" s="1638"/>
      <c r="J45" s="1638"/>
      <c r="K45" s="1638"/>
      <c r="L45" s="1638"/>
      <c r="M45" s="1638"/>
      <c r="N45" s="1638"/>
      <c r="O45" s="1638"/>
      <c r="P45" s="1638"/>
      <c r="Q45" s="1638"/>
      <c r="R45" s="1638"/>
      <c r="S45" s="1638"/>
      <c r="T45" s="2970"/>
      <c r="U45" s="1640"/>
      <c r="V45" s="1631"/>
    </row>
    <row r="46" spans="1:22" s="1631" customFormat="1" ht="9" customHeight="1" x14ac:dyDescent="0.35">
      <c r="A46" s="1632"/>
      <c r="B46" s="1683">
        <v>1</v>
      </c>
      <c r="C46" s="1684" t="s">
        <v>7973</v>
      </c>
      <c r="D46" s="1684" t="s">
        <v>6947</v>
      </c>
      <c r="E46" s="1685">
        <v>43647</v>
      </c>
      <c r="F46" s="1683"/>
      <c r="G46" s="1684" t="s">
        <v>6952</v>
      </c>
      <c r="H46" s="1684">
        <v>20</v>
      </c>
      <c r="I46" s="1686">
        <v>240</v>
      </c>
      <c r="J46" s="1686">
        <v>2725387.8624999998</v>
      </c>
      <c r="K46" s="1686">
        <v>654093087</v>
      </c>
      <c r="L46" s="1686">
        <v>654093087</v>
      </c>
      <c r="M46" s="1686"/>
      <c r="N46" s="1686"/>
      <c r="O46" s="2705">
        <f t="shared" ref="O46:O49" si="25">L46+M46-N46</f>
        <v>654093087</v>
      </c>
      <c r="P46" s="1686">
        <v>226207192.58750033</v>
      </c>
      <c r="Q46" s="1686">
        <v>2725387.8624999998</v>
      </c>
      <c r="R46" s="1686"/>
      <c r="S46" s="1686">
        <f>P46+Q46-R46</f>
        <v>228932580.45000035</v>
      </c>
      <c r="T46" s="2969">
        <f t="shared" ref="T46:T47" si="26">O46-S46</f>
        <v>425160506.54999965</v>
      </c>
      <c r="U46" s="1603">
        <v>6</v>
      </c>
    </row>
    <row r="47" spans="1:22" s="1631" customFormat="1" ht="7" x14ac:dyDescent="0.35">
      <c r="A47" s="1632"/>
      <c r="B47" s="1707">
        <v>2</v>
      </c>
      <c r="C47" s="1684" t="s">
        <v>6957</v>
      </c>
      <c r="D47" s="1684" t="s">
        <v>6947</v>
      </c>
      <c r="E47" s="1685">
        <v>43647</v>
      </c>
      <c r="F47" s="1683"/>
      <c r="G47" s="1684" t="s">
        <v>6952</v>
      </c>
      <c r="H47" s="1684">
        <v>20</v>
      </c>
      <c r="I47" s="1686">
        <v>240</v>
      </c>
      <c r="J47" s="1686">
        <v>612500</v>
      </c>
      <c r="K47" s="1686">
        <v>147000000</v>
      </c>
      <c r="L47" s="1686">
        <v>147000000</v>
      </c>
      <c r="M47" s="1686"/>
      <c r="N47" s="1686"/>
      <c r="O47" s="2705">
        <f t="shared" si="25"/>
        <v>147000000</v>
      </c>
      <c r="P47" s="1686">
        <v>50837500</v>
      </c>
      <c r="Q47" s="1686">
        <v>612500</v>
      </c>
      <c r="R47" s="1686"/>
      <c r="S47" s="1686">
        <f t="shared" ref="S47" si="27">P47+Q47-R47</f>
        <v>51450000</v>
      </c>
      <c r="T47" s="1687">
        <f t="shared" si="26"/>
        <v>95550000</v>
      </c>
      <c r="U47" s="1603">
        <v>6</v>
      </c>
    </row>
    <row r="48" spans="1:22" s="1631" customFormat="1" ht="7" x14ac:dyDescent="0.35">
      <c r="A48" s="1632"/>
      <c r="B48" s="1683">
        <v>3</v>
      </c>
      <c r="C48" s="1684" t="s">
        <v>8017</v>
      </c>
      <c r="D48" s="1684" t="s">
        <v>6947</v>
      </c>
      <c r="E48" s="1685">
        <v>45961</v>
      </c>
      <c r="F48" s="1683" t="s">
        <v>7974</v>
      </c>
      <c r="G48" s="1684">
        <v>1</v>
      </c>
      <c r="H48" s="1684">
        <v>20</v>
      </c>
      <c r="I48" s="1686">
        <v>240</v>
      </c>
      <c r="J48" s="1686">
        <f>K48*G48/I48</f>
        <v>10380578.541666666</v>
      </c>
      <c r="K48" s="1686">
        <v>2491338850</v>
      </c>
      <c r="L48" s="1686">
        <f>K48*G48</f>
        <v>2491338850</v>
      </c>
      <c r="M48" s="1686"/>
      <c r="N48" s="1686"/>
      <c r="O48" s="2705">
        <f t="shared" si="25"/>
        <v>2491338850</v>
      </c>
      <c r="P48" s="1686">
        <v>83044628.333333328</v>
      </c>
      <c r="Q48" s="1686">
        <f>J48</f>
        <v>10380578.541666666</v>
      </c>
      <c r="R48" s="1686"/>
      <c r="S48" s="1686">
        <f t="shared" ref="S48:S49" si="28">P48+Q48-R48</f>
        <v>93425206.875</v>
      </c>
      <c r="T48" s="1687">
        <f t="shared" ref="T48:T50" si="29">O48-S48</f>
        <v>2397913643.125</v>
      </c>
      <c r="U48" s="1603">
        <v>6</v>
      </c>
    </row>
    <row r="49" spans="1:21" s="1631" customFormat="1" ht="7" x14ac:dyDescent="0.35">
      <c r="A49" s="1632"/>
      <c r="B49" s="1707">
        <v>4</v>
      </c>
      <c r="C49" s="1684" t="s">
        <v>8018</v>
      </c>
      <c r="D49" s="1684" t="s">
        <v>6947</v>
      </c>
      <c r="E49" s="1685">
        <v>46016</v>
      </c>
      <c r="F49" s="1683" t="s">
        <v>8019</v>
      </c>
      <c r="G49" s="1684">
        <v>1</v>
      </c>
      <c r="H49" s="1684">
        <v>20</v>
      </c>
      <c r="I49" s="1686">
        <v>240</v>
      </c>
      <c r="J49" s="1686">
        <f>K49*G49/I49</f>
        <v>73828.333333333328</v>
      </c>
      <c r="K49" s="1686">
        <v>17718800</v>
      </c>
      <c r="L49" s="1686">
        <f>K49*G49</f>
        <v>17718800</v>
      </c>
      <c r="M49" s="1686"/>
      <c r="N49" s="1686"/>
      <c r="O49" s="2705">
        <f t="shared" si="25"/>
        <v>17718800</v>
      </c>
      <c r="P49" s="1686">
        <v>442969.99999999994</v>
      </c>
      <c r="Q49" s="1686">
        <f>J49</f>
        <v>73828.333333333328</v>
      </c>
      <c r="R49" s="1686"/>
      <c r="S49" s="1686">
        <f t="shared" si="28"/>
        <v>516798.33333333326</v>
      </c>
      <c r="T49" s="1687">
        <f t="shared" si="29"/>
        <v>17202001.666666668</v>
      </c>
      <c r="U49" s="1603">
        <v>6</v>
      </c>
    </row>
    <row r="50" spans="1:21" s="1631" customFormat="1" ht="7" x14ac:dyDescent="0.35">
      <c r="A50" s="1632"/>
      <c r="B50" s="1683">
        <v>5</v>
      </c>
      <c r="C50" s="1684"/>
      <c r="D50" s="1684"/>
      <c r="E50" s="1685"/>
      <c r="F50" s="1683"/>
      <c r="G50" s="1684"/>
      <c r="H50" s="1684"/>
      <c r="I50" s="1686"/>
      <c r="J50" s="1686"/>
      <c r="K50" s="1686"/>
      <c r="L50" s="1686"/>
      <c r="M50" s="1686"/>
      <c r="N50" s="1686"/>
      <c r="O50" s="2705"/>
      <c r="P50" s="1686"/>
      <c r="Q50" s="1686"/>
      <c r="R50" s="1686"/>
      <c r="S50" s="1686"/>
      <c r="T50" s="1687">
        <f t="shared" si="29"/>
        <v>0</v>
      </c>
      <c r="U50" s="1603">
        <v>6</v>
      </c>
    </row>
    <row r="51" spans="1:21" s="1631" customFormat="1" ht="7.5" thickBot="1" x14ac:dyDescent="0.4">
      <c r="A51" s="1632"/>
      <c r="B51" s="1707">
        <v>6</v>
      </c>
      <c r="C51" s="1684"/>
      <c r="D51" s="1684"/>
      <c r="E51" s="1685"/>
      <c r="F51" s="1683"/>
      <c r="G51" s="1684"/>
      <c r="H51" s="1684"/>
      <c r="I51" s="1686"/>
      <c r="J51" s="1686"/>
      <c r="K51" s="1686"/>
      <c r="L51" s="1686"/>
      <c r="M51" s="1686"/>
      <c r="N51" s="1686"/>
      <c r="O51" s="1686"/>
      <c r="P51" s="1686"/>
      <c r="Q51" s="1686"/>
      <c r="R51" s="1686"/>
      <c r="S51" s="1686"/>
      <c r="T51" s="1687"/>
      <c r="U51" s="1603">
        <v>6</v>
      </c>
    </row>
    <row r="52" spans="1:21" s="1631" customFormat="1" ht="10.5" x14ac:dyDescent="0.35">
      <c r="A52" s="1632"/>
      <c r="B52" s="1688"/>
      <c r="C52" s="1703"/>
      <c r="D52" s="1697"/>
      <c r="E52" s="1698"/>
      <c r="F52" s="1699"/>
      <c r="G52" s="1697"/>
      <c r="H52" s="1697"/>
      <c r="I52" s="1700"/>
      <c r="J52" s="1700">
        <f>SUM(J46:J51)</f>
        <v>13792294.737499999</v>
      </c>
      <c r="K52" s="1700">
        <f t="shared" ref="K52:T52" si="30">SUM(K46:K51)</f>
        <v>3310150737</v>
      </c>
      <c r="L52" s="1700">
        <f t="shared" si="30"/>
        <v>3310150737</v>
      </c>
      <c r="M52" s="1700">
        <f t="shared" si="30"/>
        <v>0</v>
      </c>
      <c r="N52" s="1700">
        <f t="shared" si="30"/>
        <v>0</v>
      </c>
      <c r="O52" s="1700">
        <f t="shared" si="30"/>
        <v>3310150737</v>
      </c>
      <c r="P52" s="1700">
        <f t="shared" si="30"/>
        <v>360532290.92083365</v>
      </c>
      <c r="Q52" s="1700">
        <f t="shared" si="30"/>
        <v>13792294.737499999</v>
      </c>
      <c r="R52" s="1700">
        <f t="shared" si="30"/>
        <v>0</v>
      </c>
      <c r="S52" s="1700">
        <f t="shared" si="30"/>
        <v>374324585.65833366</v>
      </c>
      <c r="T52" s="1702">
        <f t="shared" si="30"/>
        <v>2935826151.3416662</v>
      </c>
      <c r="U52" s="1603"/>
    </row>
    <row r="53" spans="1:21" s="1631" customFormat="1" ht="7" x14ac:dyDescent="0.35">
      <c r="A53" s="1632"/>
      <c r="B53" s="1706">
        <v>5</v>
      </c>
      <c r="C53" s="1608" t="s">
        <v>1538</v>
      </c>
      <c r="D53" s="1684"/>
      <c r="E53" s="1685"/>
      <c r="F53" s="1683"/>
      <c r="G53" s="1684"/>
      <c r="H53" s="1684"/>
      <c r="I53" s="1686"/>
      <c r="J53" s="1686"/>
      <c r="K53" s="1686"/>
      <c r="L53" s="1686"/>
      <c r="M53" s="1686"/>
      <c r="N53" s="1686"/>
      <c r="O53" s="1686"/>
      <c r="P53" s="1686"/>
      <c r="Q53" s="1686"/>
      <c r="R53" s="1686"/>
      <c r="S53" s="1686"/>
      <c r="T53" s="1687"/>
      <c r="U53" s="1603"/>
    </row>
    <row r="54" spans="1:21" s="1631" customFormat="1" ht="7" x14ac:dyDescent="0.35">
      <c r="A54" s="1632"/>
      <c r="B54" s="1683">
        <v>1</v>
      </c>
      <c r="C54" s="1636"/>
      <c r="D54" s="1636"/>
      <c r="E54" s="1637"/>
      <c r="F54" s="1635"/>
      <c r="G54" s="1636"/>
      <c r="H54" s="1636"/>
      <c r="I54" s="1638"/>
      <c r="J54" s="1638"/>
      <c r="K54" s="1638"/>
      <c r="L54" s="1638"/>
      <c r="M54" s="1638"/>
      <c r="N54" s="1638"/>
      <c r="O54" s="1638"/>
      <c r="P54" s="1638"/>
      <c r="Q54" s="1638"/>
      <c r="R54" s="1638"/>
      <c r="S54" s="1638"/>
      <c r="T54" s="1639"/>
      <c r="U54" s="1603">
        <v>8</v>
      </c>
    </row>
    <row r="55" spans="1:21" s="1631" customFormat="1" ht="7.5" thickBot="1" x14ac:dyDescent="0.4">
      <c r="A55" s="1632"/>
      <c r="B55" s="1683">
        <v>2</v>
      </c>
      <c r="C55" s="1636"/>
      <c r="D55" s="1636"/>
      <c r="E55" s="1637"/>
      <c r="F55" s="1635"/>
      <c r="G55" s="1636"/>
      <c r="H55" s="1636"/>
      <c r="I55" s="1638"/>
      <c r="J55" s="1638"/>
      <c r="K55" s="1638"/>
      <c r="L55" s="1638"/>
      <c r="M55" s="1638"/>
      <c r="N55" s="1638"/>
      <c r="O55" s="1638"/>
      <c r="P55" s="1638"/>
      <c r="Q55" s="1638"/>
      <c r="R55" s="1638"/>
      <c r="S55" s="1638"/>
      <c r="T55" s="1639"/>
      <c r="U55" s="1603">
        <v>8</v>
      </c>
    </row>
    <row r="56" spans="1:21" s="1647" customFormat="1" ht="10.5" x14ac:dyDescent="0.35">
      <c r="A56" s="1646"/>
      <c r="B56" s="1705"/>
      <c r="C56" s="1703"/>
      <c r="D56" s="1697"/>
      <c r="E56" s="1698"/>
      <c r="F56" s="1699"/>
      <c r="G56" s="1697"/>
      <c r="H56" s="1697"/>
      <c r="I56" s="1700"/>
      <c r="J56" s="1700">
        <f>SUM(J54:J55)</f>
        <v>0</v>
      </c>
      <c r="K56" s="1700">
        <f t="shared" ref="K56:T56" si="31">SUM(K54:K55)</f>
        <v>0</v>
      </c>
      <c r="L56" s="1704">
        <v>0</v>
      </c>
      <c r="M56" s="1700">
        <f t="shared" si="31"/>
        <v>0</v>
      </c>
      <c r="N56" s="1700">
        <f t="shared" si="31"/>
        <v>0</v>
      </c>
      <c r="O56" s="1700">
        <f t="shared" si="31"/>
        <v>0</v>
      </c>
      <c r="P56" s="1700">
        <v>0</v>
      </c>
      <c r="Q56" s="1700">
        <f t="shared" si="31"/>
        <v>0</v>
      </c>
      <c r="R56" s="1700">
        <f t="shared" si="31"/>
        <v>0</v>
      </c>
      <c r="S56" s="1700">
        <f t="shared" si="31"/>
        <v>0</v>
      </c>
      <c r="T56" s="1702">
        <f t="shared" si="31"/>
        <v>0</v>
      </c>
      <c r="U56" s="1715"/>
    </row>
    <row r="57" spans="1:21" s="1631" customFormat="1" ht="7" x14ac:dyDescent="0.35">
      <c r="A57" s="1632"/>
      <c r="B57" s="1706">
        <v>6</v>
      </c>
      <c r="C57" s="1645" t="s">
        <v>1540</v>
      </c>
      <c r="D57" s="1636"/>
      <c r="E57" s="1637"/>
      <c r="F57" s="1635"/>
      <c r="G57" s="1636"/>
      <c r="H57" s="1636"/>
      <c r="I57" s="1638"/>
      <c r="J57" s="1638"/>
      <c r="K57" s="1638"/>
      <c r="L57" s="1638"/>
      <c r="M57" s="1638"/>
      <c r="N57" s="1638"/>
      <c r="O57" s="1638"/>
      <c r="P57" s="1638"/>
      <c r="Q57" s="1638"/>
      <c r="R57" s="1638"/>
      <c r="S57" s="1638"/>
      <c r="T57" s="1639"/>
      <c r="U57" s="1603"/>
    </row>
    <row r="58" spans="1:21" s="1631" customFormat="1" ht="7" x14ac:dyDescent="0.35">
      <c r="A58" s="1632"/>
      <c r="B58" s="1707" t="s">
        <v>2447</v>
      </c>
      <c r="C58" s="1684" t="s">
        <v>6958</v>
      </c>
      <c r="D58" s="1684"/>
      <c r="E58" s="1685">
        <v>43647</v>
      </c>
      <c r="F58" s="1683"/>
      <c r="G58" s="1684" t="s">
        <v>6952</v>
      </c>
      <c r="H58" s="1684">
        <v>20</v>
      </c>
      <c r="I58" s="1686">
        <v>240</v>
      </c>
      <c r="J58" s="1686">
        <v>1166666.6666666667</v>
      </c>
      <c r="K58" s="1686">
        <v>280000000</v>
      </c>
      <c r="L58" s="1686">
        <v>280000000</v>
      </c>
      <c r="M58" s="1686"/>
      <c r="N58" s="1686"/>
      <c r="O58" s="2705">
        <f t="shared" ref="O58:O61" si="32">L58+M58-N58</f>
        <v>280000000</v>
      </c>
      <c r="P58" s="1686">
        <v>96833333.333333433</v>
      </c>
      <c r="Q58" s="1686">
        <v>1166666.6666666667</v>
      </c>
      <c r="R58" s="1686"/>
      <c r="S58" s="1686">
        <f>P58+Q58-R58</f>
        <v>98000000.000000104</v>
      </c>
      <c r="T58" s="1687">
        <f t="shared" ref="T58:T59" si="33">O58-S58</f>
        <v>181999999.99999988</v>
      </c>
      <c r="U58" s="1603">
        <v>9</v>
      </c>
    </row>
    <row r="59" spans="1:21" s="1631" customFormat="1" ht="7" x14ac:dyDescent="0.35">
      <c r="A59" s="1632"/>
      <c r="B59" s="1707">
        <v>2</v>
      </c>
      <c r="C59" s="1684" t="s">
        <v>7588</v>
      </c>
      <c r="D59" s="1684"/>
      <c r="E59" s="1685">
        <v>45350</v>
      </c>
      <c r="F59" s="1683"/>
      <c r="G59" s="1684">
        <v>1</v>
      </c>
      <c r="H59" s="1684">
        <v>20</v>
      </c>
      <c r="I59" s="1686">
        <v>240</v>
      </c>
      <c r="J59" s="1686">
        <f>K59*G59/I59</f>
        <v>1126394.7916666667</v>
      </c>
      <c r="K59" s="1686">
        <v>270334750</v>
      </c>
      <c r="L59" s="1686">
        <f>K59</f>
        <v>270334750</v>
      </c>
      <c r="M59" s="1686"/>
      <c r="N59" s="1686"/>
      <c r="O59" s="2705">
        <f t="shared" si="32"/>
        <v>270334750</v>
      </c>
      <c r="P59" s="1686">
        <v>21925035.416666668</v>
      </c>
      <c r="Q59" s="1686">
        <f>J59</f>
        <v>1126394.7916666667</v>
      </c>
      <c r="R59" s="1686"/>
      <c r="S59" s="1686">
        <f>P59+Q59-R59</f>
        <v>23051430.208333336</v>
      </c>
      <c r="T59" s="1687">
        <f t="shared" si="33"/>
        <v>247283319.79166666</v>
      </c>
      <c r="U59" s="1603">
        <v>9</v>
      </c>
    </row>
    <row r="60" spans="1:21" s="1631" customFormat="1" ht="7" x14ac:dyDescent="0.35">
      <c r="A60" s="1632"/>
      <c r="B60" s="1707" t="s">
        <v>23</v>
      </c>
      <c r="C60" s="1684" t="s">
        <v>8020</v>
      </c>
      <c r="D60" s="1683" t="s">
        <v>8021</v>
      </c>
      <c r="E60" s="1685">
        <v>46022</v>
      </c>
      <c r="F60" s="1683"/>
      <c r="G60" s="1684">
        <v>1</v>
      </c>
      <c r="H60" s="1684">
        <v>20</v>
      </c>
      <c r="I60" s="1686">
        <v>240</v>
      </c>
      <c r="J60" s="1686">
        <f>K60*G60/I60</f>
        <v>43197.916666666664</v>
      </c>
      <c r="K60" s="1686">
        <v>10367500</v>
      </c>
      <c r="L60" s="1686">
        <f>K60*G60</f>
        <v>10367500</v>
      </c>
      <c r="M60" s="1686"/>
      <c r="N60" s="1686"/>
      <c r="O60" s="2705">
        <f t="shared" si="32"/>
        <v>10367500</v>
      </c>
      <c r="P60" s="1686">
        <v>259187.49999999997</v>
      </c>
      <c r="Q60" s="1686">
        <f t="shared" ref="Q60:Q61" si="34">J60</f>
        <v>43197.916666666664</v>
      </c>
      <c r="R60" s="1686"/>
      <c r="S60" s="1686">
        <f t="shared" ref="S60:S61" si="35">P60+Q60-R60</f>
        <v>302385.41666666663</v>
      </c>
      <c r="T60" s="1687">
        <f t="shared" ref="T60:T61" si="36">O60-S60</f>
        <v>10065114.583333334</v>
      </c>
      <c r="U60" s="1603">
        <v>9</v>
      </c>
    </row>
    <row r="61" spans="1:21" s="1631" customFormat="1" ht="7" x14ac:dyDescent="0.35">
      <c r="A61" s="1632"/>
      <c r="B61" s="1707">
        <v>3</v>
      </c>
      <c r="C61" s="1684"/>
      <c r="D61" s="1684"/>
      <c r="E61" s="1685"/>
      <c r="F61" s="1683"/>
      <c r="G61" s="1684"/>
      <c r="H61" s="1684"/>
      <c r="I61" s="1686"/>
      <c r="J61" s="1686"/>
      <c r="K61" s="1686"/>
      <c r="L61" s="1686"/>
      <c r="M61" s="1686"/>
      <c r="N61" s="1686"/>
      <c r="O61" s="2705">
        <f t="shared" si="32"/>
        <v>0</v>
      </c>
      <c r="P61" s="1686">
        <v>0</v>
      </c>
      <c r="Q61" s="1686">
        <f t="shared" si="34"/>
        <v>0</v>
      </c>
      <c r="R61" s="1686"/>
      <c r="S61" s="1686">
        <f t="shared" si="35"/>
        <v>0</v>
      </c>
      <c r="T61" s="1687">
        <f t="shared" si="36"/>
        <v>0</v>
      </c>
      <c r="U61" s="1603">
        <v>9</v>
      </c>
    </row>
    <row r="62" spans="1:21" s="1631" customFormat="1" ht="7.5" thickBot="1" x14ac:dyDescent="0.4">
      <c r="A62" s="1632"/>
      <c r="B62" s="1707" t="s">
        <v>27</v>
      </c>
      <c r="C62" s="1684"/>
      <c r="D62" s="1684"/>
      <c r="E62" s="1685"/>
      <c r="F62" s="1683"/>
      <c r="G62" s="1684"/>
      <c r="H62" s="1684"/>
      <c r="I62" s="1686"/>
      <c r="J62" s="1686"/>
      <c r="K62" s="1686"/>
      <c r="L62" s="1686"/>
      <c r="M62" s="1686"/>
      <c r="N62" s="1686"/>
      <c r="O62" s="1686"/>
      <c r="P62" s="1686"/>
      <c r="Q62" s="1686"/>
      <c r="R62" s="1686"/>
      <c r="S62" s="1686"/>
      <c r="T62" s="1687"/>
      <c r="U62" s="1603">
        <v>9</v>
      </c>
    </row>
    <row r="63" spans="1:21" s="1631" customFormat="1" ht="10.5" x14ac:dyDescent="0.35">
      <c r="A63" s="1632"/>
      <c r="B63" s="1688"/>
      <c r="C63" s="1703"/>
      <c r="D63" s="1697"/>
      <c r="E63" s="1698"/>
      <c r="F63" s="1699"/>
      <c r="G63" s="1697"/>
      <c r="H63" s="1697"/>
      <c r="I63" s="1700"/>
      <c r="J63" s="1700">
        <f>SUM(J58:J62)</f>
        <v>2336259.375</v>
      </c>
      <c r="K63" s="1700">
        <f>SUM(K58:K62)</f>
        <v>560702250</v>
      </c>
      <c r="L63" s="1700">
        <f t="shared" ref="L63:T63" si="37">SUM(L58:L62)</f>
        <v>560702250</v>
      </c>
      <c r="M63" s="1700">
        <f t="shared" si="37"/>
        <v>0</v>
      </c>
      <c r="N63" s="1700">
        <f t="shared" si="37"/>
        <v>0</v>
      </c>
      <c r="O63" s="1700">
        <f t="shared" si="37"/>
        <v>560702250</v>
      </c>
      <c r="P63" s="1700">
        <f t="shared" si="37"/>
        <v>119017556.2500001</v>
      </c>
      <c r="Q63" s="1700">
        <f t="shared" si="37"/>
        <v>2336259.375</v>
      </c>
      <c r="R63" s="1700">
        <f t="shared" si="37"/>
        <v>0</v>
      </c>
      <c r="S63" s="1700">
        <f t="shared" si="37"/>
        <v>121353815.6250001</v>
      </c>
      <c r="T63" s="1702">
        <f t="shared" si="37"/>
        <v>439348434.37499982</v>
      </c>
      <c r="U63" s="1640"/>
    </row>
    <row r="64" spans="1:21" s="1631" customFormat="1" ht="7" x14ac:dyDescent="0.35">
      <c r="A64" s="1632"/>
      <c r="B64" s="1706">
        <v>7</v>
      </c>
      <c r="C64" s="1645" t="s">
        <v>1542</v>
      </c>
      <c r="D64" s="1636"/>
      <c r="E64" s="1637"/>
      <c r="F64" s="1635"/>
      <c r="G64" s="1636"/>
      <c r="H64" s="1636"/>
      <c r="I64" s="1638"/>
      <c r="J64" s="1638"/>
      <c r="K64" s="1638"/>
      <c r="L64" s="1638"/>
      <c r="M64" s="1638"/>
      <c r="N64" s="1638"/>
      <c r="O64" s="1638"/>
      <c r="P64" s="1638"/>
      <c r="Q64" s="1638"/>
      <c r="R64" s="1638"/>
      <c r="S64" s="1638"/>
      <c r="T64" s="1639"/>
      <c r="U64" s="1640"/>
    </row>
    <row r="65" spans="1:22" s="1631" customFormat="1" ht="7" x14ac:dyDescent="0.35">
      <c r="A65" s="1632"/>
      <c r="B65" s="1683">
        <v>1</v>
      </c>
      <c r="C65" s="1684" t="s">
        <v>6959</v>
      </c>
      <c r="D65" s="1684"/>
      <c r="E65" s="1685">
        <v>43647</v>
      </c>
      <c r="F65" s="1683"/>
      <c r="G65" s="1684" t="s">
        <v>6952</v>
      </c>
      <c r="H65" s="1684">
        <v>20</v>
      </c>
      <c r="I65" s="1686">
        <v>240</v>
      </c>
      <c r="J65" s="1686">
        <v>50000</v>
      </c>
      <c r="K65" s="1686">
        <v>12000000</v>
      </c>
      <c r="L65" s="1686">
        <v>12000000</v>
      </c>
      <c r="M65" s="1686"/>
      <c r="N65" s="1686"/>
      <c r="O65" s="2705">
        <f t="shared" ref="O65:O66" si="38">L65+M65-N65</f>
        <v>12000000</v>
      </c>
      <c r="P65" s="1686">
        <v>4150008</v>
      </c>
      <c r="Q65" s="1686">
        <v>50000</v>
      </c>
      <c r="R65" s="1686"/>
      <c r="S65" s="1686">
        <f t="shared" ref="S65:S66" si="39">P65+Q65-R65</f>
        <v>4200008</v>
      </c>
      <c r="T65" s="1687">
        <f t="shared" ref="T65:T66" si="40">O65-S65</f>
        <v>7799992</v>
      </c>
      <c r="U65" s="1603">
        <v>10</v>
      </c>
    </row>
    <row r="66" spans="1:22" s="1631" customFormat="1" ht="7" x14ac:dyDescent="0.35">
      <c r="A66" s="1632"/>
      <c r="B66" s="1683">
        <v>2</v>
      </c>
      <c r="C66" s="1684" t="s">
        <v>6960</v>
      </c>
      <c r="D66" s="1684"/>
      <c r="E66" s="1685">
        <v>43647</v>
      </c>
      <c r="F66" s="1683"/>
      <c r="G66" s="1684" t="s">
        <v>6952</v>
      </c>
      <c r="H66" s="1684">
        <v>5</v>
      </c>
      <c r="I66" s="1686">
        <v>60</v>
      </c>
      <c r="J66" s="1686">
        <v>416666.66666666669</v>
      </c>
      <c r="K66" s="1686">
        <v>25000000</v>
      </c>
      <c r="L66" s="1686">
        <v>25000000</v>
      </c>
      <c r="M66" s="1686"/>
      <c r="N66" s="1686"/>
      <c r="O66" s="2705">
        <f t="shared" si="38"/>
        <v>25000000</v>
      </c>
      <c r="P66" s="1686">
        <v>24999999.000000004</v>
      </c>
      <c r="Q66" s="1686">
        <v>0</v>
      </c>
      <c r="R66" s="1686"/>
      <c r="S66" s="1686">
        <f t="shared" si="39"/>
        <v>24999999.000000004</v>
      </c>
      <c r="T66" s="1687">
        <f t="shared" si="40"/>
        <v>0.9999999962747097</v>
      </c>
      <c r="U66" s="1603">
        <v>10</v>
      </c>
    </row>
    <row r="67" spans="1:22" s="1631" customFormat="1" ht="7" x14ac:dyDescent="0.35">
      <c r="A67" s="1632"/>
      <c r="B67" s="1683">
        <v>3</v>
      </c>
      <c r="C67" s="1684"/>
      <c r="D67" s="1684"/>
      <c r="E67" s="1685"/>
      <c r="F67" s="1683"/>
      <c r="G67" s="1684"/>
      <c r="H67" s="1684"/>
      <c r="I67" s="1686"/>
      <c r="J67" s="1686"/>
      <c r="K67" s="1686"/>
      <c r="L67" s="1686"/>
      <c r="M67" s="1686"/>
      <c r="N67" s="1686"/>
      <c r="O67" s="2705"/>
      <c r="P67" s="1686"/>
      <c r="Q67" s="1686"/>
      <c r="R67" s="1686"/>
      <c r="S67" s="1686"/>
      <c r="T67" s="1687"/>
      <c r="U67" s="1603">
        <v>10</v>
      </c>
    </row>
    <row r="68" spans="1:22" s="1631" customFormat="1" ht="7.5" thickBot="1" x14ac:dyDescent="0.4">
      <c r="A68" s="1632"/>
      <c r="B68" s="1683">
        <v>4</v>
      </c>
      <c r="C68" s="1636"/>
      <c r="D68" s="1636"/>
      <c r="E68" s="1637"/>
      <c r="F68" s="1635"/>
      <c r="G68" s="1636"/>
      <c r="H68" s="1636"/>
      <c r="I68" s="1638"/>
      <c r="J68" s="1638"/>
      <c r="K68" s="1638"/>
      <c r="L68" s="1638"/>
      <c r="M68" s="1638"/>
      <c r="N68" s="1638"/>
      <c r="O68" s="1638"/>
      <c r="P68" s="1638"/>
      <c r="Q68" s="1638"/>
      <c r="R68" s="1638"/>
      <c r="S68" s="1638"/>
      <c r="T68" s="1639"/>
      <c r="U68" s="1640">
        <v>10</v>
      </c>
    </row>
    <row r="69" spans="1:22" s="1631" customFormat="1" ht="10.5" x14ac:dyDescent="0.35">
      <c r="A69" s="1632"/>
      <c r="B69" s="1648"/>
      <c r="C69" s="1703"/>
      <c r="D69" s="1697"/>
      <c r="E69" s="1698"/>
      <c r="F69" s="1699"/>
      <c r="G69" s="1697"/>
      <c r="H69" s="1697"/>
      <c r="I69" s="1700"/>
      <c r="J69" s="1700">
        <f>SUM(J65:J68)</f>
        <v>466666.66666666669</v>
      </c>
      <c r="K69" s="1700">
        <f t="shared" ref="K69:T69" si="41">SUM(K65:K68)</f>
        <v>37000000</v>
      </c>
      <c r="L69" s="1700">
        <f t="shared" si="41"/>
        <v>37000000</v>
      </c>
      <c r="M69" s="1700">
        <f t="shared" si="41"/>
        <v>0</v>
      </c>
      <c r="N69" s="1700">
        <f t="shared" si="41"/>
        <v>0</v>
      </c>
      <c r="O69" s="1700">
        <f>SUM(O65:O68)</f>
        <v>37000000</v>
      </c>
      <c r="P69" s="1700">
        <f>SUM(P65:P68)</f>
        <v>29150007.000000004</v>
      </c>
      <c r="Q69" s="1700">
        <f t="shared" si="41"/>
        <v>50000</v>
      </c>
      <c r="R69" s="1700">
        <f t="shared" si="41"/>
        <v>0</v>
      </c>
      <c r="S69" s="1700">
        <f t="shared" si="41"/>
        <v>29200007.000000004</v>
      </c>
      <c r="T69" s="1702">
        <f t="shared" si="41"/>
        <v>7799992.9999999963</v>
      </c>
      <c r="U69" s="1640"/>
    </row>
    <row r="70" spans="1:22" s="1631" customFormat="1" ht="7.5" thickBot="1" x14ac:dyDescent="0.4">
      <c r="A70" s="1632"/>
      <c r="B70" s="1635"/>
      <c r="C70" s="1636"/>
      <c r="D70" s="1636"/>
      <c r="E70" s="1637"/>
      <c r="F70" s="1635"/>
      <c r="G70" s="1636"/>
      <c r="H70" s="1636"/>
      <c r="I70" s="1638"/>
      <c r="J70" s="1638"/>
      <c r="K70" s="1638"/>
      <c r="L70" s="1638"/>
      <c r="M70" s="1638"/>
      <c r="N70" s="1638"/>
      <c r="O70" s="1638"/>
      <c r="P70" s="1638"/>
      <c r="Q70" s="1638"/>
      <c r="R70" s="1638"/>
      <c r="S70" s="1638"/>
      <c r="T70" s="1639"/>
      <c r="U70" s="1640"/>
    </row>
    <row r="71" spans="1:22" s="1631" customFormat="1" ht="12" thickBot="1" x14ac:dyDescent="0.4">
      <c r="A71" s="1708"/>
      <c r="B71" s="1709"/>
      <c r="C71" s="1710" t="s">
        <v>3108</v>
      </c>
      <c r="D71" s="1710"/>
      <c r="E71" s="1711"/>
      <c r="F71" s="1712"/>
      <c r="G71" s="1710"/>
      <c r="H71" s="1710"/>
      <c r="I71" s="1713"/>
      <c r="J71" s="1713">
        <f>J33+J38+J44+J52+J56+J63+J69</f>
        <v>51759851.279166661</v>
      </c>
      <c r="K71" s="1713">
        <f t="shared" ref="K71:T71" si="42">K33+K38+K44+K52+K56+K63+K69</f>
        <v>12217364307</v>
      </c>
      <c r="L71" s="1713">
        <f t="shared" si="42"/>
        <v>12347364307</v>
      </c>
      <c r="M71" s="1713">
        <f t="shared" si="42"/>
        <v>0</v>
      </c>
      <c r="N71" s="1713">
        <f t="shared" si="42"/>
        <v>0</v>
      </c>
      <c r="O71" s="1713">
        <f t="shared" si="42"/>
        <v>12347364307</v>
      </c>
      <c r="P71" s="1713">
        <f t="shared" si="42"/>
        <v>1926020627.6708326</v>
      </c>
      <c r="Q71" s="1713">
        <f t="shared" si="42"/>
        <v>51343184.612499997</v>
      </c>
      <c r="R71" s="1713">
        <f t="shared" si="42"/>
        <v>0</v>
      </c>
      <c r="S71" s="1713">
        <f t="shared" si="42"/>
        <v>1977363812.2833328</v>
      </c>
      <c r="T71" s="1714">
        <f t="shared" si="42"/>
        <v>10370000494.716667</v>
      </c>
      <c r="U71" s="1652"/>
      <c r="V71" s="1653"/>
    </row>
    <row r="72" spans="1:22" s="1631" customFormat="1" ht="7" x14ac:dyDescent="0.35">
      <c r="A72" s="1632"/>
      <c r="B72" s="1635"/>
      <c r="C72" s="1636"/>
      <c r="D72" s="1636"/>
      <c r="E72" s="1637"/>
      <c r="F72" s="1635"/>
      <c r="G72" s="1636"/>
      <c r="H72" s="1636"/>
      <c r="I72" s="1638">
        <f>12*H72</f>
        <v>0</v>
      </c>
      <c r="J72" s="1638"/>
      <c r="K72" s="1638"/>
      <c r="L72" s="1638"/>
      <c r="M72" s="1638"/>
      <c r="N72" s="1638"/>
      <c r="O72" s="1638"/>
      <c r="P72" s="1638"/>
      <c r="Q72" s="1638"/>
      <c r="R72" s="1638"/>
      <c r="S72" s="1638"/>
      <c r="T72" s="1639"/>
      <c r="U72" s="1640"/>
    </row>
    <row r="73" spans="1:22" s="1631" customFormat="1" ht="7" x14ac:dyDescent="0.35">
      <c r="A73" s="1632"/>
      <c r="B73" s="1644" t="s">
        <v>7105</v>
      </c>
      <c r="C73" s="1636"/>
      <c r="D73" s="1636"/>
      <c r="E73" s="1637"/>
      <c r="F73" s="1635"/>
      <c r="G73" s="1636"/>
      <c r="H73" s="1636"/>
      <c r="I73" s="1638"/>
      <c r="J73" s="1638"/>
      <c r="K73" s="1638"/>
      <c r="L73" s="1638"/>
      <c r="M73" s="1638"/>
      <c r="N73" s="1638"/>
      <c r="O73" s="1638"/>
      <c r="P73" s="1638"/>
      <c r="Q73" s="1638"/>
      <c r="R73" s="1638"/>
      <c r="S73" s="1638"/>
      <c r="T73" s="1639"/>
      <c r="U73" s="1640"/>
    </row>
    <row r="74" spans="1:22" s="1631" customFormat="1" ht="7" x14ac:dyDescent="0.35">
      <c r="A74" s="1632"/>
      <c r="B74" s="1725">
        <v>1</v>
      </c>
      <c r="C74" s="1645" t="s">
        <v>7106</v>
      </c>
      <c r="D74" s="1636"/>
      <c r="E74" s="1637"/>
      <c r="F74" s="1635"/>
      <c r="G74" s="1636"/>
      <c r="H74" s="1636"/>
      <c r="I74" s="1638"/>
      <c r="J74" s="1638"/>
      <c r="K74" s="1638"/>
      <c r="L74" s="1638"/>
      <c r="M74" s="1638"/>
      <c r="N74" s="1638"/>
      <c r="O74" s="1638"/>
      <c r="P74" s="1638"/>
      <c r="Q74" s="1638"/>
      <c r="R74" s="1638"/>
      <c r="S74" s="1638"/>
      <c r="T74" s="1639"/>
      <c r="U74" s="1640"/>
    </row>
    <row r="75" spans="1:22" s="1631" customFormat="1" ht="7" x14ac:dyDescent="0.35">
      <c r="A75" s="1632"/>
      <c r="B75" s="1635">
        <v>1</v>
      </c>
      <c r="C75" s="1636" t="s">
        <v>7108</v>
      </c>
      <c r="D75" s="1636"/>
      <c r="E75" s="1637">
        <v>44986</v>
      </c>
      <c r="F75" s="1635"/>
      <c r="G75" s="1636"/>
      <c r="H75" s="1636">
        <v>5</v>
      </c>
      <c r="I75" s="1638">
        <v>60</v>
      </c>
      <c r="J75" s="1638">
        <v>19425</v>
      </c>
      <c r="K75" s="1638">
        <v>1165500</v>
      </c>
      <c r="L75" s="1638">
        <v>1165500</v>
      </c>
      <c r="M75" s="1638"/>
      <c r="N75" s="1638"/>
      <c r="O75" s="2705">
        <f t="shared" ref="O75:O78" si="43">L75+M75-N75</f>
        <v>1165500</v>
      </c>
      <c r="P75" s="1638">
        <v>757575</v>
      </c>
      <c r="Q75" s="1638">
        <f>J75</f>
        <v>19425</v>
      </c>
      <c r="R75" s="1638"/>
      <c r="S75" s="1686">
        <f t="shared" ref="S75:S78" si="44">P75+Q75-R75</f>
        <v>777000</v>
      </c>
      <c r="T75" s="1687">
        <f t="shared" ref="T75:T78" si="45">O75-S75</f>
        <v>388500</v>
      </c>
      <c r="U75" s="1640">
        <v>51</v>
      </c>
    </row>
    <row r="76" spans="1:22" s="1631" customFormat="1" ht="7" x14ac:dyDescent="0.35">
      <c r="A76" s="1632"/>
      <c r="B76" s="1635">
        <v>2</v>
      </c>
      <c r="C76" s="1636" t="s">
        <v>7109</v>
      </c>
      <c r="D76" s="1636"/>
      <c r="E76" s="1637">
        <v>45017</v>
      </c>
      <c r="F76" s="1635"/>
      <c r="G76" s="1636"/>
      <c r="H76" s="1636">
        <v>5</v>
      </c>
      <c r="I76" s="1638">
        <v>60</v>
      </c>
      <c r="J76" s="1638">
        <v>19000</v>
      </c>
      <c r="K76" s="1638">
        <v>1140000</v>
      </c>
      <c r="L76" s="1638">
        <v>1140000</v>
      </c>
      <c r="M76" s="1638"/>
      <c r="N76" s="1638"/>
      <c r="O76" s="2705">
        <f t="shared" si="43"/>
        <v>1140000</v>
      </c>
      <c r="P76" s="1638">
        <v>722002</v>
      </c>
      <c r="Q76" s="1638">
        <f t="shared" ref="Q76:Q78" si="46">J76</f>
        <v>19000</v>
      </c>
      <c r="R76" s="1638"/>
      <c r="S76" s="1686">
        <f t="shared" si="44"/>
        <v>741002</v>
      </c>
      <c r="T76" s="1687">
        <f t="shared" si="45"/>
        <v>398998</v>
      </c>
      <c r="U76" s="1640">
        <v>51</v>
      </c>
    </row>
    <row r="77" spans="1:22" s="1631" customFormat="1" ht="7" x14ac:dyDescent="0.35">
      <c r="A77" s="1632"/>
      <c r="B77" s="1635">
        <v>3</v>
      </c>
      <c r="C77" s="1636" t="s">
        <v>7111</v>
      </c>
      <c r="D77" s="1636"/>
      <c r="E77" s="1637">
        <v>44593</v>
      </c>
      <c r="F77" s="1635"/>
      <c r="G77" s="1636" t="s">
        <v>6952</v>
      </c>
      <c r="H77" s="1636">
        <v>5</v>
      </c>
      <c r="I77" s="1638">
        <v>60</v>
      </c>
      <c r="J77" s="1638">
        <v>510700</v>
      </c>
      <c r="K77" s="1638">
        <v>30642000</v>
      </c>
      <c r="L77" s="1638">
        <v>30642000</v>
      </c>
      <c r="M77" s="1638"/>
      <c r="N77" s="1638"/>
      <c r="O77" s="2705">
        <f t="shared" si="43"/>
        <v>30642000</v>
      </c>
      <c r="P77" s="1638">
        <v>26556400</v>
      </c>
      <c r="Q77" s="1638">
        <f t="shared" si="46"/>
        <v>510700</v>
      </c>
      <c r="R77" s="1638"/>
      <c r="S77" s="1686">
        <f t="shared" si="44"/>
        <v>27067100</v>
      </c>
      <c r="T77" s="1687">
        <f t="shared" si="45"/>
        <v>3574900</v>
      </c>
      <c r="U77" s="1640">
        <v>51</v>
      </c>
    </row>
    <row r="78" spans="1:22" s="1631" customFormat="1" ht="7" x14ac:dyDescent="0.35">
      <c r="A78" s="1632"/>
      <c r="B78" s="1635">
        <v>4</v>
      </c>
      <c r="C78" s="1636" t="s">
        <v>7113</v>
      </c>
      <c r="D78" s="1636"/>
      <c r="E78" s="1637">
        <v>44805</v>
      </c>
      <c r="F78" s="1635"/>
      <c r="G78" s="1636"/>
      <c r="H78" s="1636">
        <v>5</v>
      </c>
      <c r="I78" s="1638">
        <v>60</v>
      </c>
      <c r="J78" s="1638">
        <v>35533.333333333336</v>
      </c>
      <c r="K78" s="1638">
        <v>2132000</v>
      </c>
      <c r="L78" s="1638">
        <v>2132000</v>
      </c>
      <c r="M78" s="1638"/>
      <c r="N78" s="1638"/>
      <c r="O78" s="2705">
        <f t="shared" si="43"/>
        <v>2132000</v>
      </c>
      <c r="P78" s="1638">
        <v>1598994.9999999956</v>
      </c>
      <c r="Q78" s="1638">
        <f t="shared" si="46"/>
        <v>35533.333333333336</v>
      </c>
      <c r="R78" s="1638"/>
      <c r="S78" s="1686">
        <f t="shared" si="44"/>
        <v>1634528.3333333288</v>
      </c>
      <c r="T78" s="1687">
        <f t="shared" si="45"/>
        <v>497471.66666667117</v>
      </c>
      <c r="U78" s="1640">
        <v>51</v>
      </c>
    </row>
    <row r="79" spans="1:22" s="1631" customFormat="1" ht="7.5" thickBot="1" x14ac:dyDescent="0.4">
      <c r="A79" s="1632"/>
      <c r="B79" s="1635"/>
      <c r="C79" s="2707"/>
      <c r="D79" s="2707"/>
      <c r="E79" s="2708"/>
      <c r="F79" s="2709"/>
      <c r="G79" s="2707"/>
      <c r="H79" s="2707"/>
      <c r="I79" s="2710"/>
      <c r="J79" s="2710"/>
      <c r="K79" s="2710"/>
      <c r="L79" s="2710"/>
      <c r="M79" s="2710"/>
      <c r="N79" s="2710"/>
      <c r="O79" s="2710"/>
      <c r="P79" s="2710"/>
      <c r="Q79" s="2710"/>
      <c r="R79" s="2710"/>
      <c r="S79" s="2710"/>
      <c r="T79" s="2711"/>
      <c r="U79" s="1640"/>
    </row>
    <row r="80" spans="1:22" s="2714" customFormat="1" ht="7" x14ac:dyDescent="0.35">
      <c r="A80" s="1643"/>
      <c r="B80" s="1725"/>
      <c r="C80" s="1645"/>
      <c r="D80" s="1645"/>
      <c r="E80" s="2712"/>
      <c r="F80" s="1725"/>
      <c r="G80" s="1645"/>
      <c r="H80" s="1645"/>
      <c r="I80" s="2713"/>
      <c r="J80" s="2713">
        <f>SUM(J75:J79)</f>
        <v>584658.33333333337</v>
      </c>
      <c r="K80" s="2713">
        <f t="shared" ref="K80:T80" si="47">SUM(K75:K79)</f>
        <v>35079500</v>
      </c>
      <c r="L80" s="2713">
        <f t="shared" si="47"/>
        <v>35079500</v>
      </c>
      <c r="M80" s="2713">
        <f t="shared" si="47"/>
        <v>0</v>
      </c>
      <c r="N80" s="2713">
        <f t="shared" si="47"/>
        <v>0</v>
      </c>
      <c r="O80" s="2713">
        <f t="shared" si="47"/>
        <v>35079500</v>
      </c>
      <c r="P80" s="2713">
        <f t="shared" si="47"/>
        <v>29634971.999999996</v>
      </c>
      <c r="Q80" s="2713">
        <f t="shared" si="47"/>
        <v>584658.33333333337</v>
      </c>
      <c r="R80" s="2713">
        <f t="shared" si="47"/>
        <v>0</v>
      </c>
      <c r="S80" s="2713">
        <f t="shared" si="47"/>
        <v>30219630.333333328</v>
      </c>
      <c r="T80" s="2713">
        <f t="shared" si="47"/>
        <v>4859869.6666666716</v>
      </c>
      <c r="U80" s="1640"/>
    </row>
    <row r="81" spans="1:21" s="1631" customFormat="1" ht="7" x14ac:dyDescent="0.35">
      <c r="A81" s="1632"/>
      <c r="B81" s="1725">
        <v>2</v>
      </c>
      <c r="C81" s="1645" t="s">
        <v>7107</v>
      </c>
      <c r="D81" s="1636"/>
      <c r="E81" s="1637"/>
      <c r="F81" s="1635"/>
      <c r="G81" s="1636"/>
      <c r="H81" s="1636"/>
      <c r="I81" s="1638"/>
      <c r="J81" s="1638"/>
      <c r="K81" s="1638"/>
      <c r="L81" s="1638"/>
      <c r="M81" s="1638"/>
      <c r="N81" s="1638"/>
      <c r="O81" s="1638"/>
      <c r="P81" s="1638"/>
      <c r="Q81" s="1638"/>
      <c r="R81" s="1638"/>
      <c r="S81" s="1638"/>
      <c r="T81" s="1639"/>
      <c r="U81" s="1640"/>
    </row>
    <row r="82" spans="1:21" s="1631" customFormat="1" ht="7" x14ac:dyDescent="0.35">
      <c r="A82" s="1632"/>
      <c r="B82" s="1635"/>
      <c r="C82" s="1636"/>
      <c r="D82" s="1636"/>
      <c r="E82" s="1637"/>
      <c r="F82" s="1635"/>
      <c r="G82" s="1636"/>
      <c r="H82" s="1636"/>
      <c r="I82" s="1638"/>
      <c r="J82" s="1638"/>
      <c r="K82" s="1638"/>
      <c r="L82" s="1638"/>
      <c r="M82" s="1638"/>
      <c r="N82" s="1638"/>
      <c r="O82" s="1638"/>
      <c r="P82" s="1638"/>
      <c r="Q82" s="1638"/>
      <c r="R82" s="1638"/>
      <c r="S82" s="1638"/>
      <c r="T82" s="1639"/>
      <c r="U82" s="1640">
        <v>52</v>
      </c>
    </row>
    <row r="83" spans="1:21" s="1631" customFormat="1" ht="7.5" thickBot="1" x14ac:dyDescent="0.4">
      <c r="A83" s="1632"/>
      <c r="B83" s="1635"/>
      <c r="C83" s="2707"/>
      <c r="D83" s="2707"/>
      <c r="E83" s="2708"/>
      <c r="F83" s="2709"/>
      <c r="G83" s="2707"/>
      <c r="H83" s="2707"/>
      <c r="I83" s="2710"/>
      <c r="J83" s="2710"/>
      <c r="K83" s="2710"/>
      <c r="L83" s="2710"/>
      <c r="M83" s="2710"/>
      <c r="N83" s="2710"/>
      <c r="O83" s="2710"/>
      <c r="P83" s="2710"/>
      <c r="Q83" s="2710"/>
      <c r="R83" s="2710"/>
      <c r="S83" s="2710"/>
      <c r="T83" s="2711"/>
      <c r="U83" s="1640">
        <v>52</v>
      </c>
    </row>
    <row r="84" spans="1:21" s="1631" customFormat="1" ht="7" x14ac:dyDescent="0.35">
      <c r="A84" s="1632"/>
      <c r="B84" s="1635"/>
      <c r="C84" s="1636"/>
      <c r="D84" s="1636"/>
      <c r="E84" s="1637"/>
      <c r="F84" s="1635"/>
      <c r="G84" s="1636"/>
      <c r="H84" s="1636"/>
      <c r="I84" s="1638"/>
      <c r="J84" s="1638"/>
      <c r="K84" s="1638"/>
      <c r="L84" s="1638"/>
      <c r="M84" s="1638"/>
      <c r="N84" s="1638"/>
      <c r="O84" s="1638"/>
      <c r="P84" s="1638"/>
      <c r="Q84" s="1638">
        <f>SUM(Q82:Q83)</f>
        <v>0</v>
      </c>
      <c r="R84" s="1638"/>
      <c r="S84" s="1638"/>
      <c r="T84" s="1639"/>
      <c r="U84" s="1640"/>
    </row>
    <row r="85" spans="1:21" s="1631" customFormat="1" ht="7" x14ac:dyDescent="0.35">
      <c r="A85" s="1632"/>
      <c r="B85" s="1725">
        <v>3</v>
      </c>
      <c r="C85" s="1645" t="s">
        <v>7110</v>
      </c>
      <c r="D85" s="1636"/>
      <c r="E85" s="1637"/>
      <c r="F85" s="1635"/>
      <c r="G85" s="1636"/>
      <c r="H85" s="1636"/>
      <c r="I85" s="1638"/>
      <c r="J85" s="1638"/>
      <c r="K85" s="1638"/>
      <c r="L85" s="1638"/>
      <c r="M85" s="1638"/>
      <c r="N85" s="1638"/>
      <c r="O85" s="1638"/>
      <c r="P85" s="1638"/>
      <c r="Q85" s="1638"/>
      <c r="R85" s="1638"/>
      <c r="S85" s="1638"/>
      <c r="T85" s="1639"/>
      <c r="U85" s="1640"/>
    </row>
    <row r="86" spans="1:21" s="1631" customFormat="1" ht="7" x14ac:dyDescent="0.35">
      <c r="A86" s="1632"/>
      <c r="B86" s="1635">
        <v>1</v>
      </c>
      <c r="C86" s="1636" t="s">
        <v>7112</v>
      </c>
      <c r="D86" s="1636"/>
      <c r="E86" s="1637">
        <v>44713</v>
      </c>
      <c r="F86" s="1635"/>
      <c r="G86" s="1636" t="s">
        <v>6974</v>
      </c>
      <c r="H86" s="1636">
        <v>2</v>
      </c>
      <c r="I86" s="1638">
        <v>24</v>
      </c>
      <c r="J86" s="1638">
        <v>220833.33333333334</v>
      </c>
      <c r="K86" s="1638">
        <v>5300000</v>
      </c>
      <c r="L86" s="1638">
        <v>5300000</v>
      </c>
      <c r="M86" s="1638"/>
      <c r="N86" s="1638"/>
      <c r="O86" s="2705">
        <f t="shared" ref="O86:O89" si="48">L86+M86-N86</f>
        <v>5300000</v>
      </c>
      <c r="P86" s="1638">
        <v>5299998.9999999963</v>
      </c>
      <c r="Q86" s="1638">
        <v>0</v>
      </c>
      <c r="R86" s="1638"/>
      <c r="S86" s="1686">
        <f t="shared" ref="S86:S89" si="49">P86+Q86-R86</f>
        <v>5299998.9999999963</v>
      </c>
      <c r="T86" s="1687">
        <f t="shared" ref="T86:T89" si="50">O86-S86</f>
        <v>1.0000000037252903</v>
      </c>
      <c r="U86" s="1640">
        <v>53</v>
      </c>
    </row>
    <row r="87" spans="1:21" s="1631" customFormat="1" ht="7" x14ac:dyDescent="0.35">
      <c r="A87" s="1632"/>
      <c r="B87" s="1635">
        <v>2</v>
      </c>
      <c r="C87" s="1636" t="s">
        <v>7114</v>
      </c>
      <c r="D87" s="1636"/>
      <c r="E87" s="1637">
        <v>45231</v>
      </c>
      <c r="F87" s="1635"/>
      <c r="G87" s="1636"/>
      <c r="H87" s="1636">
        <v>2</v>
      </c>
      <c r="I87" s="1638">
        <v>24</v>
      </c>
      <c r="J87" s="1638">
        <v>208333.33333333334</v>
      </c>
      <c r="K87" s="1638">
        <v>5000000</v>
      </c>
      <c r="L87" s="1638">
        <v>5000000</v>
      </c>
      <c r="M87" s="1638"/>
      <c r="N87" s="1638"/>
      <c r="O87" s="2705">
        <f t="shared" si="48"/>
        <v>5000000</v>
      </c>
      <c r="P87" s="1638">
        <v>4999998.9966666624</v>
      </c>
      <c r="Q87" s="1638">
        <v>0</v>
      </c>
      <c r="R87" s="1638"/>
      <c r="S87" s="1686">
        <f t="shared" si="49"/>
        <v>4999998.9966666624</v>
      </c>
      <c r="T87" s="1687">
        <f t="shared" si="50"/>
        <v>1.0033333376049995</v>
      </c>
      <c r="U87" s="1640">
        <v>53</v>
      </c>
    </row>
    <row r="88" spans="1:21" s="1631" customFormat="1" ht="7" x14ac:dyDescent="0.35">
      <c r="A88" s="1632"/>
      <c r="B88" s="1635">
        <v>3</v>
      </c>
      <c r="C88" s="1636" t="s">
        <v>7115</v>
      </c>
      <c r="D88" s="1636"/>
      <c r="E88" s="1637">
        <v>45261</v>
      </c>
      <c r="F88" s="1635"/>
      <c r="G88" s="1636"/>
      <c r="H88" s="1636">
        <v>2</v>
      </c>
      <c r="I88" s="1638">
        <v>24</v>
      </c>
      <c r="J88" s="1638">
        <v>208333.33333333334</v>
      </c>
      <c r="K88" s="1638">
        <v>5000000</v>
      </c>
      <c r="L88" s="1638">
        <v>5000000</v>
      </c>
      <c r="M88" s="1638"/>
      <c r="N88" s="1638"/>
      <c r="O88" s="2705">
        <f t="shared" si="48"/>
        <v>5000000</v>
      </c>
      <c r="P88" s="1638">
        <v>4999998.9999999963</v>
      </c>
      <c r="Q88" s="1638">
        <v>0</v>
      </c>
      <c r="R88" s="1638"/>
      <c r="S88" s="1686">
        <f t="shared" si="49"/>
        <v>4999998.9999999963</v>
      </c>
      <c r="T88" s="1687">
        <f t="shared" si="50"/>
        <v>1.0000000037252903</v>
      </c>
      <c r="U88" s="1640">
        <v>53</v>
      </c>
    </row>
    <row r="89" spans="1:21" s="1631" customFormat="1" ht="7" x14ac:dyDescent="0.35">
      <c r="A89" s="1632"/>
      <c r="B89" s="1635">
        <v>4</v>
      </c>
      <c r="C89" s="1636" t="s">
        <v>7938</v>
      </c>
      <c r="D89" s="1636" t="s">
        <v>7317</v>
      </c>
      <c r="E89" s="1637">
        <v>45907</v>
      </c>
      <c r="F89" s="1635" t="s">
        <v>7937</v>
      </c>
      <c r="G89" s="1636">
        <v>1</v>
      </c>
      <c r="H89" s="1636">
        <v>5</v>
      </c>
      <c r="I89" s="1638">
        <v>60</v>
      </c>
      <c r="J89" s="1638">
        <f>K89*G89/I89</f>
        <v>58333.333333333336</v>
      </c>
      <c r="K89" s="1638">
        <v>3500000</v>
      </c>
      <c r="L89" s="1638">
        <f>K89*G89</f>
        <v>3500000</v>
      </c>
      <c r="M89" s="1638"/>
      <c r="N89" s="1638"/>
      <c r="O89" s="2705">
        <f t="shared" si="48"/>
        <v>3500000</v>
      </c>
      <c r="P89" s="1638">
        <v>525000</v>
      </c>
      <c r="Q89" s="1638">
        <f>J89</f>
        <v>58333.333333333336</v>
      </c>
      <c r="R89" s="1638"/>
      <c r="S89" s="1686">
        <f t="shared" si="49"/>
        <v>583333.33333333337</v>
      </c>
      <c r="T89" s="1687">
        <f t="shared" si="50"/>
        <v>2916666.6666666665</v>
      </c>
      <c r="U89" s="1640"/>
    </row>
    <row r="90" spans="1:21" s="1631" customFormat="1" ht="7.5" thickBot="1" x14ac:dyDescent="0.4">
      <c r="A90" s="1632"/>
      <c r="B90" s="1635"/>
      <c r="C90" s="2707"/>
      <c r="D90" s="2707"/>
      <c r="E90" s="2708"/>
      <c r="F90" s="2709"/>
      <c r="G90" s="2707"/>
      <c r="H90" s="2707"/>
      <c r="I90" s="2710"/>
      <c r="J90" s="2710"/>
      <c r="K90" s="2710"/>
      <c r="L90" s="2710"/>
      <c r="M90" s="2710"/>
      <c r="N90" s="2710"/>
      <c r="O90" s="2710"/>
      <c r="P90" s="2710"/>
      <c r="Q90" s="2710"/>
      <c r="R90" s="2710"/>
      <c r="S90" s="2710"/>
      <c r="T90" s="2711"/>
      <c r="U90" s="1640"/>
    </row>
    <row r="91" spans="1:21" s="1631" customFormat="1" ht="7" x14ac:dyDescent="0.35">
      <c r="A91" s="1632"/>
      <c r="B91" s="1635"/>
      <c r="C91" s="1636"/>
      <c r="D91" s="1636"/>
      <c r="E91" s="1637"/>
      <c r="F91" s="1635"/>
      <c r="G91" s="1636"/>
      <c r="H91" s="1636"/>
      <c r="I91" s="1638"/>
      <c r="J91" s="1638"/>
      <c r="K91" s="2713">
        <f>SUM(K86:K90)</f>
        <v>18800000</v>
      </c>
      <c r="L91" s="2713">
        <f t="shared" ref="L91:T91" si="51">SUM(L86:L90)</f>
        <v>18800000</v>
      </c>
      <c r="M91" s="2713">
        <f t="shared" si="51"/>
        <v>0</v>
      </c>
      <c r="N91" s="2713">
        <f t="shared" si="51"/>
        <v>0</v>
      </c>
      <c r="O91" s="2713">
        <f t="shared" si="51"/>
        <v>18800000</v>
      </c>
      <c r="P91" s="2713">
        <f t="shared" si="51"/>
        <v>15824996.996666655</v>
      </c>
      <c r="Q91" s="2713">
        <f t="shared" si="51"/>
        <v>58333.333333333336</v>
      </c>
      <c r="R91" s="2713">
        <f t="shared" si="51"/>
        <v>0</v>
      </c>
      <c r="S91" s="2713">
        <f>SUM(S86:S90)</f>
        <v>15883330.329999989</v>
      </c>
      <c r="T91" s="2713">
        <f t="shared" si="51"/>
        <v>2916669.6700000116</v>
      </c>
      <c r="U91" s="1640"/>
    </row>
    <row r="92" spans="1:21" s="1631" customFormat="1" ht="7" x14ac:dyDescent="0.35">
      <c r="A92" s="1632"/>
      <c r="B92" s="1635"/>
      <c r="C92" s="1636"/>
      <c r="D92" s="1636"/>
      <c r="E92" s="1637"/>
      <c r="F92" s="1635"/>
      <c r="G92" s="1636"/>
      <c r="H92" s="1636"/>
      <c r="I92" s="1638"/>
      <c r="J92" s="1638"/>
      <c r="K92" s="2713"/>
      <c r="L92" s="2713"/>
      <c r="M92" s="2713"/>
      <c r="N92" s="2713"/>
      <c r="O92" s="2713"/>
      <c r="P92" s="2713"/>
      <c r="Q92" s="2713"/>
      <c r="R92" s="2713"/>
      <c r="S92" s="2713"/>
      <c r="T92" s="3040"/>
      <c r="U92" s="1640"/>
    </row>
    <row r="93" spans="1:21" s="1631" customFormat="1" ht="7" x14ac:dyDescent="0.35">
      <c r="A93" s="1632"/>
      <c r="B93" s="1725">
        <v>4</v>
      </c>
      <c r="C93" s="1645" t="s">
        <v>7116</v>
      </c>
      <c r="D93" s="1636"/>
      <c r="E93" s="1637"/>
      <c r="F93" s="1635"/>
      <c r="G93" s="1636"/>
      <c r="H93" s="1636"/>
      <c r="I93" s="1638"/>
      <c r="J93" s="1638"/>
      <c r="K93" s="1638"/>
      <c r="L93" s="1638"/>
      <c r="M93" s="1638"/>
      <c r="N93" s="1638"/>
      <c r="O93" s="1638"/>
      <c r="P93" s="1638"/>
      <c r="Q93" s="1638"/>
      <c r="R93" s="1638"/>
      <c r="S93" s="1638"/>
      <c r="T93" s="1639"/>
      <c r="U93" s="1640"/>
    </row>
    <row r="94" spans="1:21" s="1631" customFormat="1" ht="7" x14ac:dyDescent="0.35">
      <c r="A94" s="1632"/>
      <c r="B94" s="1635">
        <v>1</v>
      </c>
      <c r="C94" s="1636" t="s">
        <v>7117</v>
      </c>
      <c r="D94" s="1636"/>
      <c r="E94" s="1637">
        <v>44593</v>
      </c>
      <c r="F94" s="1635"/>
      <c r="G94" s="1636" t="s">
        <v>6974</v>
      </c>
      <c r="H94" s="1636">
        <v>4</v>
      </c>
      <c r="I94" s="1638">
        <v>48</v>
      </c>
      <c r="J94" s="1638">
        <v>46979.166666666664</v>
      </c>
      <c r="K94" s="1638">
        <v>2255000</v>
      </c>
      <c r="L94" s="1638">
        <v>2255000</v>
      </c>
      <c r="M94" s="1638"/>
      <c r="N94" s="1638"/>
      <c r="O94" s="2705">
        <f t="shared" ref="O94:O100" si="52">L94+M94-N94</f>
        <v>2255000</v>
      </c>
      <c r="P94" s="1638">
        <v>2254999.9999999977</v>
      </c>
      <c r="Q94" s="1638">
        <v>-1</v>
      </c>
      <c r="R94" s="1638"/>
      <c r="S94" s="1686">
        <f>P94+Q94-R94</f>
        <v>2254998.9999999977</v>
      </c>
      <c r="T94" s="1687">
        <f t="shared" ref="T94:T100" si="53">O94-S94</f>
        <v>1.0000000023283064</v>
      </c>
      <c r="U94" s="1640">
        <v>54</v>
      </c>
    </row>
    <row r="95" spans="1:21" s="1631" customFormat="1" ht="7" x14ac:dyDescent="0.35">
      <c r="A95" s="1632"/>
      <c r="B95" s="1635">
        <v>2</v>
      </c>
      <c r="C95" s="1636" t="s">
        <v>7080</v>
      </c>
      <c r="D95" s="1636"/>
      <c r="E95" s="1637">
        <v>44593</v>
      </c>
      <c r="F95" s="1635"/>
      <c r="G95" s="1636" t="s">
        <v>7118</v>
      </c>
      <c r="H95" s="1636">
        <v>2</v>
      </c>
      <c r="I95" s="1638">
        <v>24</v>
      </c>
      <c r="J95" s="1638">
        <v>33512.5</v>
      </c>
      <c r="K95" s="1638">
        <v>804300</v>
      </c>
      <c r="L95" s="1638">
        <v>804300</v>
      </c>
      <c r="M95" s="1638"/>
      <c r="N95" s="1638"/>
      <c r="O95" s="2705">
        <f t="shared" si="52"/>
        <v>804300</v>
      </c>
      <c r="P95" s="1638">
        <v>804299</v>
      </c>
      <c r="Q95" s="1638">
        <v>0</v>
      </c>
      <c r="R95" s="1638"/>
      <c r="S95" s="1686">
        <f t="shared" ref="S95:S100" si="54">P95+Q95-R95</f>
        <v>804299</v>
      </c>
      <c r="T95" s="1687">
        <f t="shared" si="53"/>
        <v>1</v>
      </c>
      <c r="U95" s="1640">
        <v>54</v>
      </c>
    </row>
    <row r="96" spans="1:21" s="1631" customFormat="1" ht="7" x14ac:dyDescent="0.35">
      <c r="A96" s="1632"/>
      <c r="B96" s="1635">
        <v>3</v>
      </c>
      <c r="C96" s="1636" t="s">
        <v>7119</v>
      </c>
      <c r="D96" s="1636"/>
      <c r="E96" s="1637">
        <v>44652</v>
      </c>
      <c r="F96" s="1635"/>
      <c r="G96" s="1636" t="s">
        <v>6974</v>
      </c>
      <c r="H96" s="1636">
        <v>2</v>
      </c>
      <c r="I96" s="1638">
        <v>24</v>
      </c>
      <c r="J96" s="1638">
        <v>212500</v>
      </c>
      <c r="K96" s="1638">
        <v>5100000</v>
      </c>
      <c r="L96" s="1638">
        <v>5100000</v>
      </c>
      <c r="M96" s="1638"/>
      <c r="N96" s="1638"/>
      <c r="O96" s="2705">
        <f t="shared" si="52"/>
        <v>5100000</v>
      </c>
      <c r="P96" s="1638">
        <v>5099999</v>
      </c>
      <c r="Q96" s="1638">
        <v>0</v>
      </c>
      <c r="R96" s="1638"/>
      <c r="S96" s="1686">
        <f t="shared" si="54"/>
        <v>5099999</v>
      </c>
      <c r="T96" s="1687">
        <f t="shared" si="53"/>
        <v>1</v>
      </c>
      <c r="U96" s="1640">
        <v>54</v>
      </c>
    </row>
    <row r="97" spans="1:22" s="1631" customFormat="1" ht="7" x14ac:dyDescent="0.35">
      <c r="A97" s="1632"/>
      <c r="B97" s="1635">
        <v>4</v>
      </c>
      <c r="C97" s="1636" t="s">
        <v>7120</v>
      </c>
      <c r="D97" s="1636"/>
      <c r="E97" s="1637">
        <v>44713</v>
      </c>
      <c r="F97" s="1635"/>
      <c r="G97" s="1636" t="s">
        <v>6974</v>
      </c>
      <c r="H97" s="1636">
        <v>2</v>
      </c>
      <c r="I97" s="1638">
        <v>24</v>
      </c>
      <c r="J97" s="1638">
        <v>83333.333333333328</v>
      </c>
      <c r="K97" s="1638">
        <v>2000000</v>
      </c>
      <c r="L97" s="1638">
        <v>2000000</v>
      </c>
      <c r="M97" s="1638"/>
      <c r="N97" s="1638"/>
      <c r="O97" s="2705">
        <f t="shared" si="52"/>
        <v>2000000</v>
      </c>
      <c r="P97" s="1638">
        <v>1999998.9999999995</v>
      </c>
      <c r="Q97" s="1638">
        <v>0</v>
      </c>
      <c r="R97" s="1638"/>
      <c r="S97" s="1686">
        <f t="shared" si="54"/>
        <v>1999998.9999999995</v>
      </c>
      <c r="T97" s="1687">
        <f t="shared" si="53"/>
        <v>1.0000000004656613</v>
      </c>
      <c r="U97" s="1640">
        <v>54</v>
      </c>
    </row>
    <row r="98" spans="1:22" s="1631" customFormat="1" ht="7" x14ac:dyDescent="0.35">
      <c r="A98" s="1632"/>
      <c r="B98" s="1635">
        <v>5</v>
      </c>
      <c r="C98" s="1636" t="s">
        <v>7121</v>
      </c>
      <c r="D98" s="1636"/>
      <c r="E98" s="1637">
        <v>44713</v>
      </c>
      <c r="F98" s="1635"/>
      <c r="G98" s="1636" t="s">
        <v>6974</v>
      </c>
      <c r="H98" s="1636">
        <v>2</v>
      </c>
      <c r="I98" s="1638">
        <v>24</v>
      </c>
      <c r="J98" s="1638">
        <v>367083.33333333331</v>
      </c>
      <c r="K98" s="1638">
        <v>8810000</v>
      </c>
      <c r="L98" s="1638">
        <v>8810000</v>
      </c>
      <c r="M98" s="1638"/>
      <c r="N98" s="1638"/>
      <c r="O98" s="2705">
        <f t="shared" si="52"/>
        <v>8810000</v>
      </c>
      <c r="P98" s="1638">
        <v>8809998.9999999981</v>
      </c>
      <c r="Q98" s="1638">
        <v>0</v>
      </c>
      <c r="R98" s="1638"/>
      <c r="S98" s="1686">
        <f t="shared" si="54"/>
        <v>8809998.9999999981</v>
      </c>
      <c r="T98" s="1687">
        <f t="shared" si="53"/>
        <v>1.0000000018626451</v>
      </c>
      <c r="U98" s="1640">
        <v>54</v>
      </c>
    </row>
    <row r="99" spans="1:22" s="1631" customFormat="1" ht="7" x14ac:dyDescent="0.35">
      <c r="A99" s="1632"/>
      <c r="B99" s="1635">
        <v>6</v>
      </c>
      <c r="C99" s="1636" t="s">
        <v>7122</v>
      </c>
      <c r="D99" s="1636"/>
      <c r="E99" s="1637">
        <v>45108</v>
      </c>
      <c r="F99" s="1635"/>
      <c r="G99" s="1636" t="s">
        <v>6974</v>
      </c>
      <c r="H99" s="1636">
        <v>2</v>
      </c>
      <c r="I99" s="1638">
        <v>24</v>
      </c>
      <c r="J99" s="1638">
        <v>245833.33333333334</v>
      </c>
      <c r="K99" s="1638">
        <v>5900000</v>
      </c>
      <c r="L99" s="1638">
        <v>5900000</v>
      </c>
      <c r="M99" s="1638"/>
      <c r="N99" s="1638"/>
      <c r="O99" s="2705">
        <f t="shared" si="52"/>
        <v>5900000</v>
      </c>
      <c r="P99" s="1638">
        <v>5899999.0033333292</v>
      </c>
      <c r="Q99" s="1638">
        <v>0</v>
      </c>
      <c r="R99" s="1638"/>
      <c r="S99" s="1686">
        <f t="shared" si="54"/>
        <v>5899999.0033333292</v>
      </c>
      <c r="T99" s="1687">
        <f t="shared" si="53"/>
        <v>0.99666667077690363</v>
      </c>
      <c r="U99" s="1640">
        <v>54</v>
      </c>
    </row>
    <row r="100" spans="1:22" s="1631" customFormat="1" ht="7" x14ac:dyDescent="0.35">
      <c r="A100" s="1632"/>
      <c r="B100" s="1635">
        <v>7</v>
      </c>
      <c r="C100" s="1636" t="s">
        <v>7123</v>
      </c>
      <c r="D100" s="1636"/>
      <c r="E100" s="1637">
        <v>45231</v>
      </c>
      <c r="F100" s="1635"/>
      <c r="G100" s="1636">
        <v>1</v>
      </c>
      <c r="H100" s="1636">
        <v>2</v>
      </c>
      <c r="I100" s="1638">
        <v>24</v>
      </c>
      <c r="J100" s="1638">
        <v>50000</v>
      </c>
      <c r="K100" s="1638">
        <v>1200000</v>
      </c>
      <c r="L100" s="1638">
        <v>1200000</v>
      </c>
      <c r="M100" s="1638"/>
      <c r="N100" s="1638"/>
      <c r="O100" s="2705">
        <f t="shared" si="52"/>
        <v>1200000</v>
      </c>
      <c r="P100" s="1638">
        <v>1199999</v>
      </c>
      <c r="Q100" s="1638">
        <v>0</v>
      </c>
      <c r="R100" s="1638"/>
      <c r="S100" s="1686">
        <f t="shared" si="54"/>
        <v>1199999</v>
      </c>
      <c r="T100" s="1687">
        <f t="shared" si="53"/>
        <v>1</v>
      </c>
      <c r="U100" s="1640">
        <v>54</v>
      </c>
      <c r="V100" s="1631">
        <v>900000</v>
      </c>
    </row>
    <row r="101" spans="1:22" s="1631" customFormat="1" ht="7" x14ac:dyDescent="0.35">
      <c r="A101" s="1632"/>
      <c r="B101" s="1635"/>
      <c r="C101" s="1636"/>
      <c r="D101" s="1636"/>
      <c r="E101" s="1637"/>
      <c r="F101" s="1635"/>
      <c r="G101" s="1636"/>
      <c r="H101" s="1636"/>
      <c r="I101" s="1638"/>
      <c r="J101" s="1638"/>
      <c r="K101" s="1638"/>
      <c r="L101" s="1638"/>
      <c r="M101" s="1638"/>
      <c r="N101" s="1638"/>
      <c r="O101" s="1638"/>
      <c r="P101" s="1638"/>
      <c r="Q101" s="1638"/>
      <c r="R101" s="1638"/>
      <c r="S101" s="1638"/>
      <c r="T101" s="1639"/>
      <c r="U101" s="1640"/>
    </row>
    <row r="102" spans="1:22" s="1631" customFormat="1" ht="7.5" thickBot="1" x14ac:dyDescent="0.4">
      <c r="A102" s="1632"/>
      <c r="B102" s="1635"/>
      <c r="C102" s="2707"/>
      <c r="D102" s="2707"/>
      <c r="E102" s="2708"/>
      <c r="F102" s="2709"/>
      <c r="G102" s="2707"/>
      <c r="H102" s="2707"/>
      <c r="I102" s="2710"/>
      <c r="J102" s="2710"/>
      <c r="K102" s="2710"/>
      <c r="L102" s="2710"/>
      <c r="M102" s="2710"/>
      <c r="N102" s="2710"/>
      <c r="O102" s="2710"/>
      <c r="P102" s="2710"/>
      <c r="Q102" s="2710"/>
      <c r="R102" s="2710"/>
      <c r="S102" s="2710"/>
      <c r="T102" s="2711"/>
      <c r="U102" s="1640"/>
    </row>
    <row r="103" spans="1:22" s="1631" customFormat="1" ht="7" x14ac:dyDescent="0.35">
      <c r="A103" s="1632"/>
      <c r="B103" s="1635"/>
      <c r="C103" s="1636"/>
      <c r="D103" s="1636"/>
      <c r="E103" s="1637"/>
      <c r="F103" s="1635"/>
      <c r="G103" s="1636"/>
      <c r="H103" s="1636"/>
      <c r="I103" s="1638"/>
      <c r="J103" s="1638"/>
      <c r="K103" s="2713">
        <f>SUM(K94:K102)</f>
        <v>26069300</v>
      </c>
      <c r="L103" s="2713">
        <f t="shared" ref="L103:T103" si="55">SUM(L94:L102)</f>
        <v>26069300</v>
      </c>
      <c r="M103" s="2713">
        <f t="shared" si="55"/>
        <v>0</v>
      </c>
      <c r="N103" s="2713">
        <f t="shared" si="55"/>
        <v>0</v>
      </c>
      <c r="O103" s="2713">
        <f t="shared" si="55"/>
        <v>26069300</v>
      </c>
      <c r="P103" s="2713">
        <f t="shared" si="55"/>
        <v>26069294.003333326</v>
      </c>
      <c r="Q103" s="2713">
        <f t="shared" si="55"/>
        <v>-1</v>
      </c>
      <c r="R103" s="2713">
        <f t="shared" si="55"/>
        <v>0</v>
      </c>
      <c r="S103" s="2713">
        <f t="shared" si="55"/>
        <v>26069293.003333326</v>
      </c>
      <c r="T103" s="3046">
        <f t="shared" si="55"/>
        <v>6.9966666754335165</v>
      </c>
      <c r="U103" s="1640"/>
    </row>
    <row r="104" spans="1:22" s="1631" customFormat="1" ht="7" x14ac:dyDescent="0.35">
      <c r="A104" s="1632"/>
      <c r="B104" s="1725">
        <v>5</v>
      </c>
      <c r="C104" s="1645" t="s">
        <v>7698</v>
      </c>
      <c r="D104" s="1636"/>
      <c r="E104" s="1637"/>
      <c r="F104" s="1635"/>
      <c r="G104" s="1636"/>
      <c r="H104" s="1636"/>
      <c r="I104" s="1638"/>
      <c r="J104" s="1638"/>
      <c r="K104" s="2713"/>
      <c r="L104" s="2713"/>
      <c r="M104" s="2713"/>
      <c r="N104" s="2713"/>
      <c r="O104" s="2713"/>
      <c r="P104" s="2713"/>
      <c r="Q104" s="2713"/>
      <c r="R104" s="2713"/>
      <c r="S104" s="2713"/>
      <c r="T104" s="3047"/>
      <c r="U104" s="1640"/>
    </row>
    <row r="105" spans="1:22" s="1631" customFormat="1" ht="7" x14ac:dyDescent="0.35">
      <c r="A105" s="1632"/>
      <c r="B105" s="1635">
        <v>1</v>
      </c>
      <c r="C105" s="1636" t="s">
        <v>7699</v>
      </c>
      <c r="D105" s="1636"/>
      <c r="E105" s="1637">
        <v>45838</v>
      </c>
      <c r="F105" s="1635"/>
      <c r="G105" s="1636">
        <v>1</v>
      </c>
      <c r="H105" s="1636">
        <v>20</v>
      </c>
      <c r="I105" s="1638">
        <v>240</v>
      </c>
      <c r="J105" s="1638">
        <f>K105*G105/I105</f>
        <v>3299047.9166666665</v>
      </c>
      <c r="K105" s="2713">
        <v>791771500</v>
      </c>
      <c r="L105" s="2713">
        <f>G105*K105</f>
        <v>791771500</v>
      </c>
      <c r="M105" s="2713"/>
      <c r="N105" s="2713"/>
      <c r="O105" s="2705">
        <f>L105+M105-N105</f>
        <v>791771500</v>
      </c>
      <c r="P105" s="2705">
        <v>39588575</v>
      </c>
      <c r="Q105" s="1638">
        <f>J105</f>
        <v>3299047.9166666665</v>
      </c>
      <c r="R105" s="2713"/>
      <c r="S105" s="1686">
        <f>P105+Q105-R105</f>
        <v>42887622.916666664</v>
      </c>
      <c r="T105" s="1687">
        <f t="shared" ref="T105" si="56">O105-S105</f>
        <v>748883877.08333337</v>
      </c>
      <c r="U105" s="1640"/>
    </row>
    <row r="106" spans="1:22" s="1631" customFormat="1" ht="7" x14ac:dyDescent="0.35">
      <c r="A106" s="1632"/>
      <c r="B106" s="1635"/>
      <c r="C106" s="1636"/>
      <c r="D106" s="1636"/>
      <c r="E106" s="1637"/>
      <c r="F106" s="1635"/>
      <c r="G106" s="1636"/>
      <c r="H106" s="1636"/>
      <c r="I106" s="1638"/>
      <c r="J106" s="1638"/>
      <c r="K106" s="2713"/>
      <c r="L106" s="2713"/>
      <c r="M106" s="2713"/>
      <c r="N106" s="2713"/>
      <c r="O106" s="2713"/>
      <c r="P106" s="2713"/>
      <c r="Q106" s="2713"/>
      <c r="R106" s="2713"/>
      <c r="S106" s="2713"/>
      <c r="T106" s="3047"/>
      <c r="U106" s="1640"/>
    </row>
    <row r="107" spans="1:22" s="1631" customFormat="1" ht="7" x14ac:dyDescent="0.35">
      <c r="A107" s="1632"/>
      <c r="B107" s="1635"/>
      <c r="C107" s="1636"/>
      <c r="D107" s="1636"/>
      <c r="E107" s="1637"/>
      <c r="F107" s="1635"/>
      <c r="G107" s="1636"/>
      <c r="H107" s="1636"/>
      <c r="I107" s="1638"/>
      <c r="J107" s="1638"/>
      <c r="K107" s="2713"/>
      <c r="L107" s="2713"/>
      <c r="M107" s="2713"/>
      <c r="N107" s="2713"/>
      <c r="O107" s="2713"/>
      <c r="P107" s="2713"/>
      <c r="Q107" s="2713"/>
      <c r="R107" s="2713"/>
      <c r="S107" s="2713"/>
      <c r="T107" s="3047"/>
      <c r="U107" s="1640"/>
    </row>
    <row r="108" spans="1:22" s="1631" customFormat="1" ht="7.5" thickBot="1" x14ac:dyDescent="0.4">
      <c r="A108" s="1632"/>
      <c r="B108" s="1635"/>
      <c r="C108" s="3103"/>
      <c r="D108" s="3103"/>
      <c r="E108" s="3104"/>
      <c r="F108" s="3105"/>
      <c r="G108" s="3103"/>
      <c r="H108" s="3103"/>
      <c r="I108" s="3106"/>
      <c r="J108" s="3106"/>
      <c r="K108" s="3107"/>
      <c r="L108" s="3107"/>
      <c r="M108" s="3107"/>
      <c r="N108" s="3107"/>
      <c r="O108" s="3107"/>
      <c r="P108" s="3107"/>
      <c r="Q108" s="3107"/>
      <c r="R108" s="3107"/>
      <c r="S108" s="3107"/>
      <c r="T108" s="3108"/>
      <c r="U108" s="1640"/>
    </row>
    <row r="109" spans="1:22" s="1631" customFormat="1" ht="7" x14ac:dyDescent="0.35">
      <c r="A109" s="1632"/>
      <c r="B109" s="1635"/>
      <c r="C109" s="1636"/>
      <c r="D109" s="1636"/>
      <c r="E109" s="1637"/>
      <c r="F109" s="1635"/>
      <c r="G109" s="1636"/>
      <c r="H109" s="1636"/>
      <c r="I109" s="1638"/>
      <c r="J109" s="1638"/>
      <c r="K109" s="2713">
        <f>SUM(K105:K108)</f>
        <v>791771500</v>
      </c>
      <c r="L109" s="2713">
        <f t="shared" ref="L109:T109" si="57">SUM(L105:L108)</f>
        <v>791771500</v>
      </c>
      <c r="M109" s="2713">
        <f t="shared" si="57"/>
        <v>0</v>
      </c>
      <c r="N109" s="2713">
        <f t="shared" si="57"/>
        <v>0</v>
      </c>
      <c r="O109" s="2713">
        <f t="shared" si="57"/>
        <v>791771500</v>
      </c>
      <c r="P109" s="2713">
        <f t="shared" si="57"/>
        <v>39588575</v>
      </c>
      <c r="Q109" s="2713">
        <f t="shared" si="57"/>
        <v>3299047.9166666665</v>
      </c>
      <c r="R109" s="2713">
        <f t="shared" si="57"/>
        <v>0</v>
      </c>
      <c r="S109" s="2713">
        <f t="shared" si="57"/>
        <v>42887622.916666664</v>
      </c>
      <c r="T109" s="2713">
        <f t="shared" si="57"/>
        <v>748883877.08333337</v>
      </c>
      <c r="U109" s="1640"/>
    </row>
    <row r="110" spans="1:22" s="1631" customFormat="1" ht="7" x14ac:dyDescent="0.35">
      <c r="A110" s="1632"/>
      <c r="B110" s="1725">
        <v>7</v>
      </c>
      <c r="C110" s="1645" t="s">
        <v>7658</v>
      </c>
      <c r="D110" s="1636"/>
      <c r="E110" s="1637"/>
      <c r="F110" s="1635"/>
      <c r="G110" s="1636"/>
      <c r="H110" s="1636"/>
      <c r="I110" s="1638"/>
      <c r="J110" s="1638"/>
      <c r="K110" s="2713"/>
      <c r="L110" s="2713"/>
      <c r="M110" s="2713"/>
      <c r="N110" s="2713"/>
      <c r="O110" s="2713"/>
      <c r="P110" s="2713"/>
      <c r="Q110" s="2713"/>
      <c r="R110" s="3040"/>
      <c r="S110" s="3048"/>
      <c r="T110" s="3049"/>
      <c r="U110" s="1640"/>
    </row>
    <row r="111" spans="1:22" s="1631" customFormat="1" ht="7" x14ac:dyDescent="0.35">
      <c r="A111" s="1632"/>
      <c r="B111" s="1635">
        <v>1</v>
      </c>
      <c r="C111" s="1636" t="s">
        <v>7659</v>
      </c>
      <c r="D111" s="1636" t="s">
        <v>7661</v>
      </c>
      <c r="E111" s="1637">
        <v>45716</v>
      </c>
      <c r="F111" s="1635" t="s">
        <v>7660</v>
      </c>
      <c r="G111" s="1636">
        <v>1</v>
      </c>
      <c r="H111" s="1636">
        <v>8</v>
      </c>
      <c r="I111" s="1638">
        <v>96</v>
      </c>
      <c r="J111" s="1638">
        <f t="shared" ref="J111:J116" si="58">K111*G111/I111</f>
        <v>685156.25</v>
      </c>
      <c r="K111" s="1638">
        <v>65775000</v>
      </c>
      <c r="L111" s="1638">
        <f>K111*G111</f>
        <v>65775000</v>
      </c>
      <c r="M111" s="2713"/>
      <c r="N111" s="2713"/>
      <c r="O111" s="2705">
        <f t="shared" ref="O111:O117" si="59">L111+M111-N111</f>
        <v>65775000</v>
      </c>
      <c r="P111" s="1638">
        <v>12195781.25</v>
      </c>
      <c r="Q111" s="1638">
        <f>J111</f>
        <v>685156.25</v>
      </c>
      <c r="R111" s="3040"/>
      <c r="S111" s="3050">
        <f>P111+Q111-R111</f>
        <v>12880937.5</v>
      </c>
      <c r="T111" s="3051">
        <f t="shared" ref="T111:T112" si="60">O111-S111</f>
        <v>52894062.5</v>
      </c>
      <c r="U111" s="1640"/>
    </row>
    <row r="112" spans="1:22" s="1631" customFormat="1" ht="7" x14ac:dyDescent="0.35">
      <c r="A112" s="1632"/>
      <c r="B112" s="1635">
        <v>2</v>
      </c>
      <c r="C112" s="1636" t="s">
        <v>7667</v>
      </c>
      <c r="D112" s="1636" t="s">
        <v>7661</v>
      </c>
      <c r="E112" s="1637">
        <v>45747</v>
      </c>
      <c r="F112" s="1635" t="s">
        <v>7668</v>
      </c>
      <c r="G112" s="1636">
        <v>1</v>
      </c>
      <c r="H112" s="1636">
        <v>8</v>
      </c>
      <c r="I112" s="1638">
        <v>96</v>
      </c>
      <c r="J112" s="1638">
        <f t="shared" si="58"/>
        <v>182093.75</v>
      </c>
      <c r="K112" s="1638">
        <v>17481000</v>
      </c>
      <c r="L112" s="1638">
        <f>K112*G112</f>
        <v>17481000</v>
      </c>
      <c r="M112" s="2713"/>
      <c r="N112" s="2713"/>
      <c r="O112" s="2705">
        <f t="shared" si="59"/>
        <v>17481000</v>
      </c>
      <c r="P112" s="1638">
        <v>2949918.75</v>
      </c>
      <c r="Q112" s="1638">
        <f>J112</f>
        <v>182093.75</v>
      </c>
      <c r="R112" s="3040"/>
      <c r="S112" s="3050">
        <f>P112+Q112-R112</f>
        <v>3132012.5</v>
      </c>
      <c r="T112" s="3051">
        <f t="shared" si="60"/>
        <v>14348987.5</v>
      </c>
      <c r="U112" s="1640"/>
    </row>
    <row r="113" spans="1:21" s="1631" customFormat="1" ht="7" x14ac:dyDescent="0.35">
      <c r="A113" s="1632"/>
      <c r="B113" s="1635">
        <v>3</v>
      </c>
      <c r="C113" s="1636" t="s">
        <v>7686</v>
      </c>
      <c r="D113" s="1636" t="s">
        <v>7661</v>
      </c>
      <c r="E113" s="1637">
        <v>45808</v>
      </c>
      <c r="F113" s="1635" t="s">
        <v>7687</v>
      </c>
      <c r="G113" s="1636">
        <v>1</v>
      </c>
      <c r="H113" s="1636">
        <v>8</v>
      </c>
      <c r="I113" s="1638">
        <v>96</v>
      </c>
      <c r="J113" s="1638">
        <f t="shared" si="58"/>
        <v>387607.63541666669</v>
      </c>
      <c r="K113" s="1638">
        <v>37210333</v>
      </c>
      <c r="L113" s="1638">
        <f>G113*K113</f>
        <v>37210333</v>
      </c>
      <c r="M113" s="2713"/>
      <c r="N113" s="2713"/>
      <c r="O113" s="2705">
        <f t="shared" si="59"/>
        <v>37210333</v>
      </c>
      <c r="P113" s="1638">
        <v>5038899.260416667</v>
      </c>
      <c r="Q113" s="1638">
        <f>J113</f>
        <v>387607.63541666669</v>
      </c>
      <c r="R113" s="3040"/>
      <c r="S113" s="3050">
        <f t="shared" ref="S113:S117" si="61">P113+Q113-R113</f>
        <v>5426506.895833334</v>
      </c>
      <c r="T113" s="3051">
        <f t="shared" ref="T113:T117" si="62">O113-S113</f>
        <v>31783826.104166664</v>
      </c>
      <c r="U113" s="1640"/>
    </row>
    <row r="114" spans="1:21" s="1631" customFormat="1" ht="7" x14ac:dyDescent="0.35">
      <c r="A114" s="1632"/>
      <c r="B114" s="1635">
        <v>4</v>
      </c>
      <c r="C114" s="1636" t="s">
        <v>7700</v>
      </c>
      <c r="D114" s="1636" t="s">
        <v>7661</v>
      </c>
      <c r="E114" s="1637">
        <v>45824</v>
      </c>
      <c r="F114" s="1635" t="s">
        <v>7701</v>
      </c>
      <c r="G114" s="1636">
        <v>1</v>
      </c>
      <c r="H114" s="1636">
        <v>8</v>
      </c>
      <c r="I114" s="1638">
        <v>96</v>
      </c>
      <c r="J114" s="1638">
        <f t="shared" si="58"/>
        <v>105713.54166666667</v>
      </c>
      <c r="K114" s="1638">
        <v>10148500</v>
      </c>
      <c r="L114" s="1638">
        <f>G114*K114</f>
        <v>10148500</v>
      </c>
      <c r="M114" s="2713"/>
      <c r="N114" s="2713"/>
      <c r="O114" s="2705">
        <f t="shared" si="59"/>
        <v>10148500</v>
      </c>
      <c r="P114" s="1638">
        <v>1268562.5</v>
      </c>
      <c r="Q114" s="1638">
        <f t="shared" ref="Q114:Q116" si="63">J114</f>
        <v>105713.54166666667</v>
      </c>
      <c r="R114" s="3040"/>
      <c r="S114" s="3050">
        <f t="shared" ref="S114:S115" si="64">P114+Q114-R114</f>
        <v>1374276.0416666667</v>
      </c>
      <c r="T114" s="3051">
        <f t="shared" ref="T114:T115" si="65">O114-S114</f>
        <v>8774223.958333334</v>
      </c>
      <c r="U114" s="1640"/>
    </row>
    <row r="115" spans="1:21" s="1631" customFormat="1" ht="7" x14ac:dyDescent="0.35">
      <c r="A115" s="1632"/>
      <c r="B115" s="1635">
        <v>5</v>
      </c>
      <c r="C115" s="1636" t="s">
        <v>7702</v>
      </c>
      <c r="D115" s="1636" t="s">
        <v>7661</v>
      </c>
      <c r="E115" s="1637">
        <v>45838</v>
      </c>
      <c r="F115" s="1635" t="s">
        <v>7703</v>
      </c>
      <c r="G115" s="1636">
        <v>4</v>
      </c>
      <c r="H115" s="1636">
        <v>8</v>
      </c>
      <c r="I115" s="1638">
        <v>96</v>
      </c>
      <c r="J115" s="1638">
        <f t="shared" si="58"/>
        <v>139583.33333333334</v>
      </c>
      <c r="K115" s="1638">
        <v>3350000</v>
      </c>
      <c r="L115" s="1638">
        <f>G115*K115</f>
        <v>13400000</v>
      </c>
      <c r="M115" s="2713"/>
      <c r="N115" s="2713"/>
      <c r="O115" s="2705">
        <f t="shared" si="59"/>
        <v>13400000</v>
      </c>
      <c r="P115" s="1638">
        <v>1674999.9999999998</v>
      </c>
      <c r="Q115" s="1638">
        <f t="shared" si="63"/>
        <v>139583.33333333334</v>
      </c>
      <c r="R115" s="3040"/>
      <c r="S115" s="3050">
        <f t="shared" si="64"/>
        <v>1814583.333333333</v>
      </c>
      <c r="T115" s="3051">
        <f t="shared" si="65"/>
        <v>11585416.666666668</v>
      </c>
      <c r="U115" s="1640"/>
    </row>
    <row r="116" spans="1:21" s="1631" customFormat="1" ht="7" x14ac:dyDescent="0.35">
      <c r="A116" s="1632"/>
      <c r="B116" s="1635">
        <v>6</v>
      </c>
      <c r="C116" s="1636" t="s">
        <v>7130</v>
      </c>
      <c r="D116" s="1636" t="s">
        <v>8046</v>
      </c>
      <c r="E116" s="1637">
        <v>46046</v>
      </c>
      <c r="F116" s="1635" t="s">
        <v>8047</v>
      </c>
      <c r="G116" s="1636">
        <v>1</v>
      </c>
      <c r="H116" s="1636">
        <v>8</v>
      </c>
      <c r="I116" s="1638">
        <v>96</v>
      </c>
      <c r="J116" s="1638">
        <f t="shared" si="58"/>
        <v>44000</v>
      </c>
      <c r="K116" s="1638">
        <f>4224000</f>
        <v>4224000</v>
      </c>
      <c r="L116" s="1638">
        <f>K116*G116</f>
        <v>4224000</v>
      </c>
      <c r="M116" s="2713"/>
      <c r="N116" s="2713"/>
      <c r="O116" s="2705">
        <f t="shared" si="59"/>
        <v>4224000</v>
      </c>
      <c r="P116" s="1638">
        <v>220000</v>
      </c>
      <c r="Q116" s="1638">
        <f t="shared" si="63"/>
        <v>44000</v>
      </c>
      <c r="R116" s="3040"/>
      <c r="S116" s="3050">
        <f t="shared" ref="S116" si="66">P116+Q116-R116</f>
        <v>264000</v>
      </c>
      <c r="T116" s="3051">
        <f t="shared" ref="T116" si="67">O116-S116</f>
        <v>3960000</v>
      </c>
      <c r="U116" s="1640"/>
    </row>
    <row r="117" spans="1:21" s="1631" customFormat="1" ht="7.5" thickBot="1" x14ac:dyDescent="0.4">
      <c r="A117" s="1632"/>
      <c r="B117" s="1635">
        <v>7</v>
      </c>
      <c r="C117" s="3041"/>
      <c r="D117" s="3041"/>
      <c r="E117" s="3042"/>
      <c r="F117" s="3043"/>
      <c r="G117" s="3041"/>
      <c r="H117" s="3041"/>
      <c r="I117" s="3044"/>
      <c r="J117" s="3044"/>
      <c r="K117" s="3044"/>
      <c r="L117" s="3044"/>
      <c r="M117" s="3045"/>
      <c r="N117" s="3045"/>
      <c r="O117" s="3056">
        <f t="shared" si="59"/>
        <v>0</v>
      </c>
      <c r="P117" s="3045">
        <v>0</v>
      </c>
      <c r="Q117" s="3045"/>
      <c r="R117" s="3045"/>
      <c r="S117" s="3109">
        <f t="shared" si="61"/>
        <v>0</v>
      </c>
      <c r="T117" s="3110">
        <f t="shared" si="62"/>
        <v>0</v>
      </c>
      <c r="U117" s="1640"/>
    </row>
    <row r="118" spans="1:21" s="1631" customFormat="1" ht="7" x14ac:dyDescent="0.35">
      <c r="A118" s="1632"/>
      <c r="B118" s="1635"/>
      <c r="C118" s="1636"/>
      <c r="D118" s="1636"/>
      <c r="E118" s="1637"/>
      <c r="F118" s="1635"/>
      <c r="G118" s="1636"/>
      <c r="H118" s="1636"/>
      <c r="I118" s="1638"/>
      <c r="J118" s="1638"/>
      <c r="K118" s="2713">
        <f>SUM(K111:K117)</f>
        <v>138188833</v>
      </c>
      <c r="L118" s="2713">
        <f t="shared" ref="L118:T118" si="68">SUM(L111:L117)</f>
        <v>148238833</v>
      </c>
      <c r="M118" s="2713">
        <f t="shared" si="68"/>
        <v>0</v>
      </c>
      <c r="N118" s="2713">
        <f t="shared" si="68"/>
        <v>0</v>
      </c>
      <c r="O118" s="2713">
        <f>SUM(O111:O117)</f>
        <v>148238833</v>
      </c>
      <c r="P118" s="2713">
        <f>SUM(P111:P117)</f>
        <v>23348161.760416668</v>
      </c>
      <c r="Q118" s="2713">
        <f>SUM(Q111:Q117)</f>
        <v>1544154.5104166667</v>
      </c>
      <c r="R118" s="2713">
        <f t="shared" si="68"/>
        <v>0</v>
      </c>
      <c r="S118" s="2713">
        <f t="shared" si="68"/>
        <v>24892316.270833336</v>
      </c>
      <c r="T118" s="2713">
        <f t="shared" si="68"/>
        <v>123346516.72916666</v>
      </c>
      <c r="U118" s="1640"/>
    </row>
    <row r="119" spans="1:21" s="1631" customFormat="1" ht="7" x14ac:dyDescent="0.35">
      <c r="A119" s="1632"/>
      <c r="B119" s="1635"/>
      <c r="C119" s="1636"/>
      <c r="D119" s="1636"/>
      <c r="E119" s="1637"/>
      <c r="F119" s="1635"/>
      <c r="G119" s="1636"/>
      <c r="H119" s="1636"/>
      <c r="I119" s="1638"/>
      <c r="J119" s="1638"/>
      <c r="K119" s="2713"/>
      <c r="L119" s="2713"/>
      <c r="M119" s="2713"/>
      <c r="N119" s="2713"/>
      <c r="O119" s="2713"/>
      <c r="P119" s="2713"/>
      <c r="Q119" s="2713"/>
      <c r="R119" s="2713"/>
      <c r="S119" s="2713"/>
      <c r="T119" s="3047"/>
      <c r="U119" s="1640"/>
    </row>
    <row r="120" spans="1:21" s="1631" customFormat="1" ht="7" x14ac:dyDescent="0.35">
      <c r="A120" s="1632"/>
      <c r="B120" s="1725">
        <v>8</v>
      </c>
      <c r="C120" s="1645" t="s">
        <v>7124</v>
      </c>
      <c r="D120" s="1636"/>
      <c r="E120" s="1637"/>
      <c r="F120" s="1635"/>
      <c r="G120" s="1636"/>
      <c r="H120" s="1636"/>
      <c r="I120" s="1638"/>
      <c r="J120" s="1638"/>
      <c r="K120" s="1638"/>
      <c r="L120" s="1638"/>
      <c r="M120" s="1638"/>
      <c r="N120" s="1638"/>
      <c r="O120" s="1638"/>
      <c r="P120" s="1638"/>
      <c r="Q120" s="1638"/>
      <c r="R120" s="1638"/>
      <c r="S120" s="1638"/>
      <c r="T120" s="1639"/>
      <c r="U120" s="1640"/>
    </row>
    <row r="121" spans="1:21" s="1631" customFormat="1" ht="7" x14ac:dyDescent="0.35">
      <c r="A121" s="1632"/>
      <c r="B121" s="2715" t="s">
        <v>2447</v>
      </c>
      <c r="C121" s="1636" t="s">
        <v>7083</v>
      </c>
      <c r="D121" s="1636"/>
      <c r="E121" s="1637">
        <v>44713</v>
      </c>
      <c r="F121" s="1635"/>
      <c r="G121" s="1636" t="s">
        <v>6974</v>
      </c>
      <c r="H121" s="1636">
        <v>2</v>
      </c>
      <c r="I121" s="1638">
        <v>24</v>
      </c>
      <c r="J121" s="1638">
        <v>237083.33333333334</v>
      </c>
      <c r="K121" s="1638">
        <v>5690000</v>
      </c>
      <c r="L121" s="1638">
        <v>5690000</v>
      </c>
      <c r="M121" s="1638"/>
      <c r="N121" s="1638"/>
      <c r="O121" s="2705">
        <f t="shared" ref="O121:O131" si="69">L121+M121-N121</f>
        <v>5690000</v>
      </c>
      <c r="P121" s="1638">
        <v>5689998.9999999963</v>
      </c>
      <c r="Q121" s="1638">
        <v>0</v>
      </c>
      <c r="R121" s="1638"/>
      <c r="S121" s="1686">
        <f t="shared" ref="S121:S129" si="70">P121+Q121-R121</f>
        <v>5689998.9999999963</v>
      </c>
      <c r="T121" s="1687">
        <f t="shared" ref="T121:T129" si="71">O121-S121</f>
        <v>1.0000000037252903</v>
      </c>
      <c r="U121" s="1640">
        <v>55</v>
      </c>
    </row>
    <row r="122" spans="1:21" s="1631" customFormat="1" ht="7" x14ac:dyDescent="0.35">
      <c r="A122" s="1632"/>
      <c r="B122" s="2715" t="s">
        <v>23</v>
      </c>
      <c r="C122" s="1636" t="s">
        <v>7125</v>
      </c>
      <c r="D122" s="1636"/>
      <c r="E122" s="1637">
        <v>45108</v>
      </c>
      <c r="F122" s="1635"/>
      <c r="G122" s="1636" t="s">
        <v>6974</v>
      </c>
      <c r="H122" s="1636">
        <v>4</v>
      </c>
      <c r="I122" s="1638">
        <v>48</v>
      </c>
      <c r="J122" s="1638">
        <v>51562.5</v>
      </c>
      <c r="K122" s="1638">
        <v>2475000</v>
      </c>
      <c r="L122" s="1638">
        <v>2475000</v>
      </c>
      <c r="M122" s="1638"/>
      <c r="N122" s="1638"/>
      <c r="O122" s="2705">
        <f t="shared" si="69"/>
        <v>2475000</v>
      </c>
      <c r="P122" s="1638">
        <v>2423429</v>
      </c>
      <c r="Q122" s="1638">
        <f>51562.5+8.5</f>
        <v>51571</v>
      </c>
      <c r="R122" s="1638"/>
      <c r="S122" s="1686">
        <f t="shared" si="70"/>
        <v>2475000</v>
      </c>
      <c r="T122" s="1687">
        <f t="shared" si="71"/>
        <v>0</v>
      </c>
      <c r="U122" s="1640">
        <v>55</v>
      </c>
    </row>
    <row r="123" spans="1:21" s="1631" customFormat="1" ht="7" x14ac:dyDescent="0.35">
      <c r="A123" s="1632"/>
      <c r="B123" s="2715" t="s">
        <v>27</v>
      </c>
      <c r="C123" s="1636" t="s">
        <v>7126</v>
      </c>
      <c r="D123" s="1636"/>
      <c r="E123" s="1637">
        <v>44835</v>
      </c>
      <c r="F123" s="1635"/>
      <c r="G123" s="1636"/>
      <c r="H123" s="1636">
        <v>2</v>
      </c>
      <c r="I123" s="1638">
        <v>24</v>
      </c>
      <c r="J123" s="1638">
        <v>608291.66666666663</v>
      </c>
      <c r="K123" s="1638">
        <v>14599000</v>
      </c>
      <c r="L123" s="1638">
        <v>14599000</v>
      </c>
      <c r="M123" s="1638"/>
      <c r="N123" s="1638"/>
      <c r="O123" s="2705">
        <f t="shared" si="69"/>
        <v>14599000</v>
      </c>
      <c r="P123" s="1638">
        <v>14598998.996666666</v>
      </c>
      <c r="Q123" s="1638">
        <v>0</v>
      </c>
      <c r="R123" s="1638"/>
      <c r="S123" s="1686">
        <f t="shared" si="70"/>
        <v>14598998.996666666</v>
      </c>
      <c r="T123" s="1687">
        <f t="shared" si="71"/>
        <v>1.0033333338797092</v>
      </c>
      <c r="U123" s="1640">
        <v>55</v>
      </c>
    </row>
    <row r="124" spans="1:21" s="1631" customFormat="1" ht="7" x14ac:dyDescent="0.35">
      <c r="A124" s="1632"/>
      <c r="B124" s="2715" t="s">
        <v>31</v>
      </c>
      <c r="C124" s="1636" t="s">
        <v>7127</v>
      </c>
      <c r="D124" s="1636"/>
      <c r="E124" s="1637">
        <v>44836</v>
      </c>
      <c r="F124" s="1635"/>
      <c r="G124" s="1636"/>
      <c r="H124" s="1636">
        <v>4</v>
      </c>
      <c r="I124" s="1638">
        <v>48</v>
      </c>
      <c r="J124" s="1638">
        <v>208333.33333333334</v>
      </c>
      <c r="K124" s="1638">
        <v>10000000</v>
      </c>
      <c r="L124" s="1638">
        <v>10000000</v>
      </c>
      <c r="M124" s="1638"/>
      <c r="N124" s="1638"/>
      <c r="O124" s="2705">
        <f t="shared" si="69"/>
        <v>10000000</v>
      </c>
      <c r="P124" s="1638">
        <v>9166661.9999999925</v>
      </c>
      <c r="Q124" s="1638">
        <v>208333.33333333334</v>
      </c>
      <c r="R124" s="1638"/>
      <c r="S124" s="1686">
        <f t="shared" si="70"/>
        <v>9374995.3333333265</v>
      </c>
      <c r="T124" s="1687">
        <f t="shared" si="71"/>
        <v>625004.6666666735</v>
      </c>
      <c r="U124" s="1640">
        <v>55</v>
      </c>
    </row>
    <row r="125" spans="1:21" s="1631" customFormat="1" ht="7" x14ac:dyDescent="0.35">
      <c r="A125" s="1632"/>
      <c r="B125" s="2715" t="s">
        <v>36</v>
      </c>
      <c r="C125" s="1636" t="s">
        <v>7127</v>
      </c>
      <c r="D125" s="1636"/>
      <c r="E125" s="1637">
        <v>44837</v>
      </c>
      <c r="F125" s="1635"/>
      <c r="G125" s="1636"/>
      <c r="H125" s="1636">
        <v>4</v>
      </c>
      <c r="I125" s="1638">
        <v>48</v>
      </c>
      <c r="J125" s="1638">
        <v>83333.333333333328</v>
      </c>
      <c r="K125" s="1638">
        <v>4000000</v>
      </c>
      <c r="L125" s="1638">
        <v>4000000</v>
      </c>
      <c r="M125" s="1638"/>
      <c r="N125" s="1638"/>
      <c r="O125" s="2705">
        <f t="shared" si="69"/>
        <v>4000000</v>
      </c>
      <c r="P125" s="1638">
        <v>3666661.9999999995</v>
      </c>
      <c r="Q125" s="1638">
        <v>83333.333333333328</v>
      </c>
      <c r="R125" s="1638"/>
      <c r="S125" s="1686">
        <f t="shared" si="70"/>
        <v>3749995.333333333</v>
      </c>
      <c r="T125" s="1687">
        <f t="shared" si="71"/>
        <v>250004.66666666698</v>
      </c>
      <c r="U125" s="1640">
        <v>55</v>
      </c>
    </row>
    <row r="126" spans="1:21" s="1631" customFormat="1" ht="7" x14ac:dyDescent="0.35">
      <c r="A126" s="1632"/>
      <c r="B126" s="2715" t="s">
        <v>2449</v>
      </c>
      <c r="C126" s="1636" t="s">
        <v>7128</v>
      </c>
      <c r="D126" s="1636"/>
      <c r="E126" s="1637">
        <v>45231</v>
      </c>
      <c r="F126" s="1635"/>
      <c r="G126" s="1636"/>
      <c r="H126" s="1636">
        <v>4</v>
      </c>
      <c r="I126" s="1638">
        <v>48</v>
      </c>
      <c r="J126" s="1638">
        <v>83333.333333333328</v>
      </c>
      <c r="K126" s="1638">
        <v>4000000</v>
      </c>
      <c r="L126" s="1638">
        <v>4000000</v>
      </c>
      <c r="M126" s="1638"/>
      <c r="N126" s="1638"/>
      <c r="O126" s="2705">
        <f t="shared" si="69"/>
        <v>4000000</v>
      </c>
      <c r="P126" s="1638">
        <v>3583328.9999999995</v>
      </c>
      <c r="Q126" s="1638">
        <v>83333.333333333328</v>
      </c>
      <c r="R126" s="1638"/>
      <c r="S126" s="1686">
        <f t="shared" si="70"/>
        <v>3666662.333333333</v>
      </c>
      <c r="T126" s="1687">
        <f t="shared" si="71"/>
        <v>333337.66666666698</v>
      </c>
      <c r="U126" s="1640">
        <v>55</v>
      </c>
    </row>
    <row r="127" spans="1:21" s="1631" customFormat="1" ht="7" x14ac:dyDescent="0.35">
      <c r="A127" s="1632"/>
      <c r="B127" s="2715" t="s">
        <v>759</v>
      </c>
      <c r="C127" s="1636"/>
      <c r="D127" s="1636"/>
      <c r="E127" s="1637">
        <v>45231</v>
      </c>
      <c r="F127" s="1635"/>
      <c r="G127" s="1636"/>
      <c r="H127" s="1636">
        <v>2</v>
      </c>
      <c r="I127" s="1638">
        <v>24</v>
      </c>
      <c r="J127" s="1638">
        <v>55625</v>
      </c>
      <c r="K127" s="1638">
        <v>1335000</v>
      </c>
      <c r="L127" s="1638">
        <v>1335000</v>
      </c>
      <c r="M127" s="1638"/>
      <c r="N127" s="1638"/>
      <c r="O127" s="2705">
        <f t="shared" si="69"/>
        <v>1335000</v>
      </c>
      <c r="P127" s="1638">
        <v>1334999</v>
      </c>
      <c r="Q127" s="1638">
        <v>0</v>
      </c>
      <c r="R127" s="1638"/>
      <c r="S127" s="1686">
        <f t="shared" si="70"/>
        <v>1334999</v>
      </c>
      <c r="T127" s="1687">
        <f t="shared" si="71"/>
        <v>1</v>
      </c>
      <c r="U127" s="1640">
        <v>55</v>
      </c>
    </row>
    <row r="128" spans="1:21" s="1631" customFormat="1" ht="7" x14ac:dyDescent="0.35">
      <c r="A128" s="1632"/>
      <c r="B128" s="2715" t="s">
        <v>701</v>
      </c>
      <c r="C128" s="1636" t="s">
        <v>7129</v>
      </c>
      <c r="D128" s="1636"/>
      <c r="E128" s="1637">
        <v>44986</v>
      </c>
      <c r="F128" s="1635"/>
      <c r="G128" s="1636"/>
      <c r="H128" s="1636">
        <v>2</v>
      </c>
      <c r="I128" s="1638">
        <v>24</v>
      </c>
      <c r="J128" s="1638">
        <v>833.33333333333337</v>
      </c>
      <c r="K128" s="1638">
        <v>20000</v>
      </c>
      <c r="L128" s="1638">
        <v>20000</v>
      </c>
      <c r="M128" s="1638"/>
      <c r="N128" s="1638"/>
      <c r="O128" s="2705">
        <f t="shared" si="69"/>
        <v>20000</v>
      </c>
      <c r="P128" s="1638">
        <v>19998.999999999967</v>
      </c>
      <c r="Q128" s="1638">
        <v>0</v>
      </c>
      <c r="R128" s="1638"/>
      <c r="S128" s="1686">
        <f t="shared" si="70"/>
        <v>19998.999999999967</v>
      </c>
      <c r="T128" s="1687">
        <f t="shared" si="71"/>
        <v>1.0000000000327418</v>
      </c>
      <c r="U128" s="1640">
        <v>55</v>
      </c>
    </row>
    <row r="129" spans="1:21" s="1631" customFormat="1" ht="7" x14ac:dyDescent="0.35">
      <c r="A129" s="1632"/>
      <c r="B129" s="2715" t="s">
        <v>1027</v>
      </c>
      <c r="C129" s="1636" t="s">
        <v>7130</v>
      </c>
      <c r="D129" s="1636"/>
      <c r="E129" s="1637">
        <v>44986</v>
      </c>
      <c r="F129" s="1635"/>
      <c r="G129" s="1636"/>
      <c r="H129" s="1636">
        <v>5</v>
      </c>
      <c r="I129" s="1638">
        <v>60</v>
      </c>
      <c r="J129" s="1638">
        <v>224000</v>
      </c>
      <c r="K129" s="1638">
        <v>13440000</v>
      </c>
      <c r="L129" s="1638">
        <v>13440000</v>
      </c>
      <c r="M129" s="1638"/>
      <c r="N129" s="1638"/>
      <c r="O129" s="2705">
        <f t="shared" si="69"/>
        <v>13440000</v>
      </c>
      <c r="P129" s="1638">
        <v>8736000</v>
      </c>
      <c r="Q129" s="1638">
        <v>224000</v>
      </c>
      <c r="R129" s="1638"/>
      <c r="S129" s="1686">
        <f t="shared" si="70"/>
        <v>8960000</v>
      </c>
      <c r="T129" s="1687">
        <f t="shared" si="71"/>
        <v>4480000</v>
      </c>
      <c r="U129" s="1640">
        <v>55</v>
      </c>
    </row>
    <row r="130" spans="1:21" s="1631" customFormat="1" ht="7" x14ac:dyDescent="0.35">
      <c r="A130" s="1632"/>
      <c r="B130" s="2715" t="s">
        <v>762</v>
      </c>
      <c r="C130" s="1636" t="s">
        <v>7677</v>
      </c>
      <c r="D130" s="1636"/>
      <c r="E130" s="1637">
        <v>45777</v>
      </c>
      <c r="F130" s="1635"/>
      <c r="G130" s="1636">
        <v>1</v>
      </c>
      <c r="H130" s="1636">
        <v>5</v>
      </c>
      <c r="I130" s="1638">
        <v>60</v>
      </c>
      <c r="J130" s="1638">
        <f>K130*G130/I130</f>
        <v>27500</v>
      </c>
      <c r="K130" s="1638">
        <v>1650000</v>
      </c>
      <c r="L130" s="1638">
        <f>G130*K130</f>
        <v>1650000</v>
      </c>
      <c r="M130" s="1638"/>
      <c r="N130" s="1638"/>
      <c r="O130" s="2705">
        <f t="shared" si="69"/>
        <v>1650000</v>
      </c>
      <c r="P130" s="1638">
        <v>385000</v>
      </c>
      <c r="Q130" s="1638">
        <f>J130</f>
        <v>27500</v>
      </c>
      <c r="R130" s="1638"/>
      <c r="S130" s="1686">
        <f t="shared" ref="S130:S132" si="72">P130+Q130-R130</f>
        <v>412500</v>
      </c>
      <c r="T130" s="1687">
        <f t="shared" ref="T130:T132" si="73">O130-S130</f>
        <v>1237500</v>
      </c>
      <c r="U130" s="1640">
        <v>55</v>
      </c>
    </row>
    <row r="131" spans="1:21" s="1631" customFormat="1" ht="7" x14ac:dyDescent="0.35">
      <c r="A131" s="1632"/>
      <c r="B131" s="2715" t="s">
        <v>874</v>
      </c>
      <c r="C131" s="1636" t="s">
        <v>7678</v>
      </c>
      <c r="D131" s="1636"/>
      <c r="E131" s="1637">
        <v>45777</v>
      </c>
      <c r="F131" s="1635"/>
      <c r="G131" s="1636">
        <v>1</v>
      </c>
      <c r="H131" s="1636">
        <v>5</v>
      </c>
      <c r="I131" s="1638">
        <v>60</v>
      </c>
      <c r="J131" s="1638">
        <f>K131*G131/I131</f>
        <v>83333.333333333328</v>
      </c>
      <c r="K131" s="1638">
        <v>5000000</v>
      </c>
      <c r="L131" s="1638">
        <f>G131*K131</f>
        <v>5000000</v>
      </c>
      <c r="M131" s="1638"/>
      <c r="N131" s="1638"/>
      <c r="O131" s="2705">
        <f t="shared" si="69"/>
        <v>5000000</v>
      </c>
      <c r="P131" s="1638">
        <v>1166666.6666666667</v>
      </c>
      <c r="Q131" s="1638">
        <f>J131</f>
        <v>83333.333333333328</v>
      </c>
      <c r="R131" s="1638"/>
      <c r="S131" s="1686">
        <f t="shared" si="72"/>
        <v>1250000</v>
      </c>
      <c r="T131" s="1687">
        <f t="shared" si="73"/>
        <v>3750000</v>
      </c>
      <c r="U131" s="1640">
        <v>55</v>
      </c>
    </row>
    <row r="132" spans="1:21" s="1631" customFormat="1" ht="7.5" thickBot="1" x14ac:dyDescent="0.4">
      <c r="A132" s="1632"/>
      <c r="B132" s="2715" t="s">
        <v>2450</v>
      </c>
      <c r="C132" s="2716"/>
      <c r="D132" s="2716"/>
      <c r="E132" s="2717"/>
      <c r="F132" s="2718"/>
      <c r="G132" s="2716"/>
      <c r="H132" s="2716"/>
      <c r="I132" s="2719"/>
      <c r="J132" s="2719"/>
      <c r="K132" s="2719"/>
      <c r="L132" s="2719"/>
      <c r="M132" s="2719"/>
      <c r="N132" s="2719"/>
      <c r="O132" s="2719"/>
      <c r="P132" s="2719">
        <v>0</v>
      </c>
      <c r="Q132" s="2719"/>
      <c r="R132" s="2719"/>
      <c r="S132" s="3057">
        <f t="shared" si="72"/>
        <v>0</v>
      </c>
      <c r="T132" s="3058">
        <f t="shared" si="73"/>
        <v>0</v>
      </c>
      <c r="U132" s="1640">
        <v>55</v>
      </c>
    </row>
    <row r="133" spans="1:21" s="1631" customFormat="1" ht="7" x14ac:dyDescent="0.35">
      <c r="A133" s="1632"/>
      <c r="B133" s="1635"/>
      <c r="C133" s="1636"/>
      <c r="D133" s="1636"/>
      <c r="E133" s="1637"/>
      <c r="F133" s="1635"/>
      <c r="G133" s="1636"/>
      <c r="H133" s="1636"/>
      <c r="I133" s="1638"/>
      <c r="J133" s="1638"/>
      <c r="K133" s="2713">
        <f>SUM(K121:K132)</f>
        <v>62209000</v>
      </c>
      <c r="L133" s="2713">
        <f t="shared" ref="L133:T133" si="74">SUM(L121:L132)</f>
        <v>62209000</v>
      </c>
      <c r="M133" s="2713">
        <f t="shared" si="74"/>
        <v>0</v>
      </c>
      <c r="N133" s="2713">
        <f t="shared" si="74"/>
        <v>0</v>
      </c>
      <c r="O133" s="2713">
        <f t="shared" si="74"/>
        <v>62209000</v>
      </c>
      <c r="P133" s="2713">
        <f t="shared" si="74"/>
        <v>50771744.663333319</v>
      </c>
      <c r="Q133" s="2713">
        <f>SUM(Q121:Q132)</f>
        <v>761404.33333333337</v>
      </c>
      <c r="R133" s="2713">
        <f t="shared" si="74"/>
        <v>0</v>
      </c>
      <c r="S133" s="2713">
        <f t="shared" si="74"/>
        <v>51533148.996666662</v>
      </c>
      <c r="T133" s="2713">
        <f t="shared" si="74"/>
        <v>10675851.003333345</v>
      </c>
      <c r="U133" s="1640"/>
    </row>
    <row r="134" spans="1:21" s="1631" customFormat="1" ht="7" x14ac:dyDescent="0.35">
      <c r="A134" s="1632"/>
      <c r="B134" s="1635"/>
      <c r="C134" s="1636"/>
      <c r="D134" s="1636"/>
      <c r="E134" s="1637"/>
      <c r="F134" s="1635"/>
      <c r="G134" s="1636"/>
      <c r="H134" s="1636"/>
      <c r="I134" s="1638"/>
      <c r="J134" s="1638"/>
      <c r="K134" s="1638"/>
      <c r="L134" s="1638"/>
      <c r="M134" s="1638"/>
      <c r="N134" s="1638"/>
      <c r="O134" s="1638"/>
      <c r="P134" s="1638"/>
      <c r="Q134" s="1638"/>
      <c r="R134" s="1638"/>
      <c r="S134" s="1638"/>
      <c r="T134" s="1639"/>
      <c r="U134" s="1640"/>
    </row>
    <row r="135" spans="1:21" s="1631" customFormat="1" ht="7.5" thickBot="1" x14ac:dyDescent="0.4">
      <c r="A135" s="1632"/>
      <c r="B135" s="1635"/>
      <c r="C135" s="1636"/>
      <c r="D135" s="1636"/>
      <c r="E135" s="1637"/>
      <c r="F135" s="1635"/>
      <c r="G135" s="1636"/>
      <c r="H135" s="1636"/>
      <c r="I135" s="1638"/>
      <c r="J135" s="1638"/>
      <c r="K135" s="1638"/>
      <c r="L135" s="1638"/>
      <c r="M135" s="1638"/>
      <c r="N135" s="1638"/>
      <c r="O135" s="1638"/>
      <c r="P135" s="1638"/>
      <c r="Q135" s="1638"/>
      <c r="R135" s="1638"/>
      <c r="S135" s="1638"/>
      <c r="T135" s="1639"/>
      <c r="U135" s="1640"/>
    </row>
    <row r="136" spans="1:21" s="1631" customFormat="1" ht="12" thickBot="1" x14ac:dyDescent="0.4">
      <c r="A136" s="2696"/>
      <c r="B136" s="1708"/>
      <c r="C136" s="1710" t="s">
        <v>7131</v>
      </c>
      <c r="D136" s="1729"/>
      <c r="E136" s="1730"/>
      <c r="F136" s="1728"/>
      <c r="G136" s="1729"/>
      <c r="H136" s="1729"/>
      <c r="I136" s="1731"/>
      <c r="J136" s="1731"/>
      <c r="K136" s="1732">
        <f>K133+K118+K103+K91+K109+K84+K80</f>
        <v>1072118133</v>
      </c>
      <c r="L136" s="1732">
        <f t="shared" ref="L136:T136" si="75">L133+L118+L103+L91+L109+L84+L80</f>
        <v>1082168133</v>
      </c>
      <c r="M136" s="1732">
        <f t="shared" si="75"/>
        <v>0</v>
      </c>
      <c r="N136" s="1732">
        <f t="shared" si="75"/>
        <v>0</v>
      </c>
      <c r="O136" s="1732">
        <f t="shared" si="75"/>
        <v>1082168133</v>
      </c>
      <c r="P136" s="1732">
        <v>185237744.42374998</v>
      </c>
      <c r="Q136" s="1732">
        <f t="shared" si="75"/>
        <v>6247597.427083333</v>
      </c>
      <c r="R136" s="1732">
        <f t="shared" si="75"/>
        <v>0</v>
      </c>
      <c r="S136" s="1732">
        <f t="shared" si="75"/>
        <v>191485341.8508333</v>
      </c>
      <c r="T136" s="1732">
        <f t="shared" si="75"/>
        <v>890682791.1491667</v>
      </c>
      <c r="U136" s="1640"/>
    </row>
    <row r="137" spans="1:21" s="1631" customFormat="1" ht="7" x14ac:dyDescent="0.35">
      <c r="A137" s="1632"/>
      <c r="B137" s="1635"/>
      <c r="C137" s="1636"/>
      <c r="D137" s="1636"/>
      <c r="E137" s="1637"/>
      <c r="F137" s="1635"/>
      <c r="G137" s="1636"/>
      <c r="H137" s="1636"/>
      <c r="I137" s="1638"/>
      <c r="J137" s="1638"/>
      <c r="K137" s="1638"/>
      <c r="L137" s="1638"/>
      <c r="M137" s="1638"/>
      <c r="N137" s="1638"/>
      <c r="O137" s="1638"/>
      <c r="P137" s="1638"/>
      <c r="Q137" s="1638"/>
      <c r="R137" s="1638"/>
      <c r="S137" s="1638"/>
      <c r="T137" s="1639"/>
      <c r="U137" s="1640"/>
    </row>
    <row r="138" spans="1:21" s="1631" customFormat="1" ht="7" x14ac:dyDescent="0.35">
      <c r="A138" s="1632"/>
      <c r="B138" s="1635"/>
      <c r="C138" s="1636"/>
      <c r="D138" s="1636"/>
      <c r="E138" s="1637"/>
      <c r="F138" s="1635"/>
      <c r="G138" s="1636"/>
      <c r="H138" s="1636"/>
      <c r="I138" s="1638"/>
      <c r="J138" s="1638"/>
      <c r="K138" s="1638"/>
      <c r="L138" s="1638"/>
      <c r="M138" s="1638"/>
      <c r="N138" s="1638"/>
      <c r="O138" s="1638"/>
      <c r="P138" s="1638"/>
      <c r="Q138" s="1638"/>
      <c r="R138" s="1638"/>
      <c r="S138" s="1638"/>
      <c r="T138" s="1639"/>
      <c r="U138" s="1640"/>
    </row>
    <row r="139" spans="1:21" s="1718" customFormat="1" ht="7" x14ac:dyDescent="0.35">
      <c r="A139" s="1716">
        <v>3</v>
      </c>
      <c r="B139" s="1717" t="s">
        <v>1096</v>
      </c>
      <c r="C139" s="1608"/>
      <c r="D139" s="1684"/>
      <c r="E139" s="1685"/>
      <c r="F139" s="1683"/>
      <c r="G139" s="1684"/>
      <c r="H139" s="1684"/>
      <c r="I139" s="1686"/>
      <c r="J139" s="1686"/>
      <c r="K139" s="1686"/>
      <c r="L139" s="1686"/>
      <c r="M139" s="1686"/>
      <c r="N139" s="1686"/>
      <c r="O139" s="1686"/>
      <c r="P139" s="1686"/>
      <c r="Q139" s="1686"/>
      <c r="R139" s="1686"/>
      <c r="S139" s="1686"/>
      <c r="T139" s="1687"/>
      <c r="U139" s="1603"/>
    </row>
    <row r="140" spans="1:21" s="1718" customFormat="1" ht="7" x14ac:dyDescent="0.35">
      <c r="A140" s="1716"/>
      <c r="B140" s="1717">
        <v>1</v>
      </c>
      <c r="C140" s="1608" t="s">
        <v>1098</v>
      </c>
      <c r="D140" s="1684"/>
      <c r="E140" s="1685"/>
      <c r="F140" s="1683"/>
      <c r="G140" s="1684"/>
      <c r="H140" s="1684"/>
      <c r="I140" s="1686"/>
      <c r="J140" s="1686"/>
      <c r="K140" s="1686"/>
      <c r="L140" s="1686"/>
      <c r="M140" s="1686"/>
      <c r="N140" s="1686"/>
      <c r="O140" s="1686"/>
      <c r="P140" s="1686"/>
      <c r="Q140" s="1686"/>
      <c r="R140" s="1686"/>
      <c r="S140" s="1686"/>
      <c r="T140" s="1687"/>
      <c r="U140" s="1603"/>
    </row>
    <row r="141" spans="1:21" s="1718" customFormat="1" ht="7" x14ac:dyDescent="0.35">
      <c r="A141" s="1716"/>
      <c r="B141" s="1683">
        <v>1</v>
      </c>
      <c r="C141" s="1684" t="s">
        <v>6961</v>
      </c>
      <c r="D141" s="1684"/>
      <c r="E141" s="1685">
        <v>44044</v>
      </c>
      <c r="F141" s="1683"/>
      <c r="G141" s="1684" t="s">
        <v>6952</v>
      </c>
      <c r="H141" s="1684">
        <v>4</v>
      </c>
      <c r="I141" s="1686">
        <v>48</v>
      </c>
      <c r="J141" s="1686">
        <v>158487.5</v>
      </c>
      <c r="K141" s="1686">
        <v>7607400</v>
      </c>
      <c r="L141" s="1686">
        <v>7607400</v>
      </c>
      <c r="M141" s="1686"/>
      <c r="N141" s="1686"/>
      <c r="O141" s="2705">
        <f t="shared" ref="O141:O183" si="76">L141+M141-N141</f>
        <v>7607400</v>
      </c>
      <c r="P141" s="1686">
        <v>7607399</v>
      </c>
      <c r="Q141" s="1686">
        <v>0</v>
      </c>
      <c r="R141" s="1686"/>
      <c r="S141" s="1686">
        <f t="shared" ref="S141:S183" si="77">P141+Q141-R141</f>
        <v>7607399</v>
      </c>
      <c r="T141" s="1687">
        <f t="shared" ref="T141:T183" si="78">O141-S141</f>
        <v>1</v>
      </c>
      <c r="U141" s="1603">
        <v>22</v>
      </c>
    </row>
    <row r="142" spans="1:21" s="1718" customFormat="1" ht="7" x14ac:dyDescent="0.35">
      <c r="A142" s="1716"/>
      <c r="B142" s="1683">
        <v>2</v>
      </c>
      <c r="C142" s="1684" t="s">
        <v>6962</v>
      </c>
      <c r="D142" s="1684"/>
      <c r="E142" s="1685">
        <v>44044</v>
      </c>
      <c r="F142" s="1683"/>
      <c r="G142" s="1684" t="s">
        <v>6952</v>
      </c>
      <c r="H142" s="1684">
        <v>4</v>
      </c>
      <c r="I142" s="1686">
        <v>48</v>
      </c>
      <c r="J142" s="1686">
        <v>33125</v>
      </c>
      <c r="K142" s="1686">
        <v>1590000</v>
      </c>
      <c r="L142" s="1686">
        <v>1590000</v>
      </c>
      <c r="M142" s="1686"/>
      <c r="N142" s="1686"/>
      <c r="O142" s="2705">
        <f t="shared" si="76"/>
        <v>1590000</v>
      </c>
      <c r="P142" s="1686">
        <v>1589999</v>
      </c>
      <c r="Q142" s="1686">
        <v>0</v>
      </c>
      <c r="R142" s="1686"/>
      <c r="S142" s="1686">
        <f t="shared" si="77"/>
        <v>1589999</v>
      </c>
      <c r="T142" s="1687">
        <f t="shared" si="78"/>
        <v>1</v>
      </c>
      <c r="U142" s="1603">
        <v>22</v>
      </c>
    </row>
    <row r="143" spans="1:21" s="1718" customFormat="1" ht="7" x14ac:dyDescent="0.35">
      <c r="A143" s="1716"/>
      <c r="B143" s="1683">
        <v>3</v>
      </c>
      <c r="C143" s="1684" t="s">
        <v>6963</v>
      </c>
      <c r="D143" s="1684"/>
      <c r="E143" s="1685">
        <v>44075</v>
      </c>
      <c r="F143" s="1683"/>
      <c r="G143" s="1684" t="s">
        <v>6952</v>
      </c>
      <c r="H143" s="1684">
        <v>4</v>
      </c>
      <c r="I143" s="1686">
        <v>48</v>
      </c>
      <c r="J143" s="1686">
        <v>91239.583333333328</v>
      </c>
      <c r="K143" s="1686">
        <v>4379500</v>
      </c>
      <c r="L143" s="1686">
        <v>4379500</v>
      </c>
      <c r="M143" s="1686"/>
      <c r="N143" s="1686"/>
      <c r="O143" s="2705">
        <f t="shared" si="76"/>
        <v>4379500</v>
      </c>
      <c r="P143" s="1686">
        <v>4379498.9999999991</v>
      </c>
      <c r="Q143" s="1686">
        <v>0</v>
      </c>
      <c r="R143" s="1686"/>
      <c r="S143" s="1686">
        <f t="shared" si="77"/>
        <v>4379498.9999999991</v>
      </c>
      <c r="T143" s="1687">
        <f t="shared" si="78"/>
        <v>1.0000000009313226</v>
      </c>
      <c r="U143" s="1603">
        <v>22</v>
      </c>
    </row>
    <row r="144" spans="1:21" s="1718" customFormat="1" ht="7" x14ac:dyDescent="0.35">
      <c r="A144" s="1716"/>
      <c r="B144" s="1683">
        <v>4</v>
      </c>
      <c r="C144" s="1684" t="s">
        <v>6964</v>
      </c>
      <c r="D144" s="1684"/>
      <c r="E144" s="1685">
        <v>44136</v>
      </c>
      <c r="F144" s="1683"/>
      <c r="G144" s="1684" t="s">
        <v>6952</v>
      </c>
      <c r="H144" s="1684">
        <v>4</v>
      </c>
      <c r="I144" s="1686">
        <v>48</v>
      </c>
      <c r="J144" s="1686">
        <v>34677.083333333336</v>
      </c>
      <c r="K144" s="1686">
        <v>1664500</v>
      </c>
      <c r="L144" s="1686">
        <v>1664500</v>
      </c>
      <c r="M144" s="1686"/>
      <c r="N144" s="1686"/>
      <c r="O144" s="2705">
        <f t="shared" si="76"/>
        <v>1664500</v>
      </c>
      <c r="P144" s="1686">
        <v>1664498.9999999998</v>
      </c>
      <c r="Q144" s="1686">
        <v>0</v>
      </c>
      <c r="R144" s="1686"/>
      <c r="S144" s="1686">
        <f t="shared" si="77"/>
        <v>1664498.9999999998</v>
      </c>
      <c r="T144" s="1687">
        <f t="shared" si="78"/>
        <v>1.0000000002328306</v>
      </c>
      <c r="U144" s="1603">
        <v>22</v>
      </c>
    </row>
    <row r="145" spans="1:21" s="1718" customFormat="1" ht="7" x14ac:dyDescent="0.35">
      <c r="A145" s="1716"/>
      <c r="B145" s="1683">
        <v>5</v>
      </c>
      <c r="C145" s="1684" t="s">
        <v>6965</v>
      </c>
      <c r="D145" s="1684"/>
      <c r="E145" s="1685">
        <v>44136</v>
      </c>
      <c r="F145" s="1683"/>
      <c r="G145" s="1684" t="s">
        <v>6952</v>
      </c>
      <c r="H145" s="1684">
        <v>4</v>
      </c>
      <c r="I145" s="1686">
        <v>48</v>
      </c>
      <c r="J145" s="1686">
        <v>31014.583333333332</v>
      </c>
      <c r="K145" s="1686">
        <v>1488700</v>
      </c>
      <c r="L145" s="1686">
        <v>1488700</v>
      </c>
      <c r="M145" s="1686"/>
      <c r="N145" s="1686">
        <v>0</v>
      </c>
      <c r="O145" s="2705">
        <f t="shared" si="76"/>
        <v>1488700</v>
      </c>
      <c r="P145" s="1686">
        <v>1488698.9999999998</v>
      </c>
      <c r="Q145" s="1686">
        <v>0</v>
      </c>
      <c r="R145" s="1686"/>
      <c r="S145" s="1686">
        <f t="shared" si="77"/>
        <v>1488698.9999999998</v>
      </c>
      <c r="T145" s="1687">
        <f t="shared" si="78"/>
        <v>1.0000000002328306</v>
      </c>
      <c r="U145" s="1603">
        <v>22</v>
      </c>
    </row>
    <row r="146" spans="1:21" s="1718" customFormat="1" ht="7" x14ac:dyDescent="0.35">
      <c r="A146" s="1716"/>
      <c r="B146" s="1683">
        <v>6</v>
      </c>
      <c r="C146" s="1684" t="s">
        <v>3118</v>
      </c>
      <c r="D146" s="1684"/>
      <c r="E146" s="1685">
        <v>44166</v>
      </c>
      <c r="F146" s="1683"/>
      <c r="G146" s="1684" t="s">
        <v>6966</v>
      </c>
      <c r="H146" s="1684">
        <v>4</v>
      </c>
      <c r="I146" s="1686">
        <v>48</v>
      </c>
      <c r="J146" s="1686">
        <v>47500</v>
      </c>
      <c r="K146" s="1686">
        <v>2280000</v>
      </c>
      <c r="L146" s="1686">
        <v>2280000</v>
      </c>
      <c r="M146" s="1686"/>
      <c r="N146" s="1686"/>
      <c r="O146" s="2705">
        <f t="shared" si="76"/>
        <v>2280000</v>
      </c>
      <c r="P146" s="1686">
        <v>2279999</v>
      </c>
      <c r="Q146" s="1686">
        <v>0</v>
      </c>
      <c r="R146" s="1686"/>
      <c r="S146" s="1686">
        <f t="shared" si="77"/>
        <v>2279999</v>
      </c>
      <c r="T146" s="1687">
        <f t="shared" si="78"/>
        <v>1</v>
      </c>
      <c r="U146" s="1603">
        <v>22</v>
      </c>
    </row>
    <row r="147" spans="1:21" s="1718" customFormat="1" ht="7" x14ac:dyDescent="0.35">
      <c r="A147" s="1716"/>
      <c r="B147" s="1683">
        <v>7</v>
      </c>
      <c r="C147" s="1684" t="s">
        <v>6967</v>
      </c>
      <c r="D147" s="1684"/>
      <c r="E147" s="1685">
        <v>44197</v>
      </c>
      <c r="F147" s="1683"/>
      <c r="G147" s="1684" t="s">
        <v>6952</v>
      </c>
      <c r="H147" s="1684">
        <v>4</v>
      </c>
      <c r="I147" s="1686">
        <v>48</v>
      </c>
      <c r="J147" s="1686">
        <v>81250</v>
      </c>
      <c r="K147" s="1686">
        <v>3900000</v>
      </c>
      <c r="L147" s="1686">
        <v>3900000</v>
      </c>
      <c r="M147" s="1686"/>
      <c r="N147" s="1686"/>
      <c r="O147" s="2705">
        <f t="shared" si="76"/>
        <v>3900000</v>
      </c>
      <c r="P147" s="1686">
        <v>3899999</v>
      </c>
      <c r="Q147" s="1686">
        <v>0</v>
      </c>
      <c r="R147" s="1686"/>
      <c r="S147" s="1686">
        <f t="shared" si="77"/>
        <v>3899999</v>
      </c>
      <c r="T147" s="1687">
        <f t="shared" si="78"/>
        <v>1</v>
      </c>
      <c r="U147" s="1603">
        <v>22</v>
      </c>
    </row>
    <row r="148" spans="1:21" s="1718" customFormat="1" ht="7" x14ac:dyDescent="0.35">
      <c r="A148" s="1716"/>
      <c r="B148" s="1683">
        <v>8</v>
      </c>
      <c r="C148" s="1684" t="s">
        <v>6968</v>
      </c>
      <c r="D148" s="1684"/>
      <c r="E148" s="1685">
        <v>44197</v>
      </c>
      <c r="F148" s="1683"/>
      <c r="G148" s="1684" t="s">
        <v>6952</v>
      </c>
      <c r="H148" s="1684">
        <v>4</v>
      </c>
      <c r="I148" s="1686">
        <v>48</v>
      </c>
      <c r="J148" s="1686">
        <v>18750</v>
      </c>
      <c r="K148" s="1686">
        <v>900000</v>
      </c>
      <c r="L148" s="1686">
        <v>900000</v>
      </c>
      <c r="M148" s="1686"/>
      <c r="N148" s="1686"/>
      <c r="O148" s="2705">
        <f t="shared" si="76"/>
        <v>900000</v>
      </c>
      <c r="P148" s="1686">
        <v>899999</v>
      </c>
      <c r="Q148" s="1686">
        <v>0</v>
      </c>
      <c r="R148" s="1686"/>
      <c r="S148" s="1686">
        <f t="shared" si="77"/>
        <v>899999</v>
      </c>
      <c r="T148" s="1687">
        <f t="shared" si="78"/>
        <v>1</v>
      </c>
      <c r="U148" s="1603">
        <v>22</v>
      </c>
    </row>
    <row r="149" spans="1:21" s="1718" customFormat="1" ht="7" x14ac:dyDescent="0.35">
      <c r="A149" s="1716"/>
      <c r="B149" s="1683">
        <v>9</v>
      </c>
      <c r="C149" s="1684" t="s">
        <v>6969</v>
      </c>
      <c r="D149" s="1684"/>
      <c r="E149" s="1685">
        <v>44228</v>
      </c>
      <c r="F149" s="1683"/>
      <c r="G149" s="1684" t="s">
        <v>6970</v>
      </c>
      <c r="H149" s="1684">
        <v>4</v>
      </c>
      <c r="I149" s="1686">
        <v>48</v>
      </c>
      <c r="J149" s="1686">
        <v>604562.5</v>
      </c>
      <c r="K149" s="1686">
        <v>29019000</v>
      </c>
      <c r="L149" s="1686">
        <v>29019000</v>
      </c>
      <c r="M149" s="1686"/>
      <c r="N149" s="1686"/>
      <c r="O149" s="2705">
        <f t="shared" si="76"/>
        <v>29019000</v>
      </c>
      <c r="P149" s="1686">
        <v>29018999</v>
      </c>
      <c r="Q149" s="1686">
        <v>0</v>
      </c>
      <c r="R149" s="1686"/>
      <c r="S149" s="1686">
        <f t="shared" si="77"/>
        <v>29018999</v>
      </c>
      <c r="T149" s="1687">
        <f t="shared" si="78"/>
        <v>1</v>
      </c>
      <c r="U149" s="1603">
        <v>22</v>
      </c>
    </row>
    <row r="150" spans="1:21" s="1718" customFormat="1" ht="7" x14ac:dyDescent="0.35">
      <c r="A150" s="1716"/>
      <c r="B150" s="1683">
        <v>10</v>
      </c>
      <c r="C150" s="1684" t="s">
        <v>6971</v>
      </c>
      <c r="D150" s="1684"/>
      <c r="E150" s="1685">
        <v>44256</v>
      </c>
      <c r="F150" s="1683"/>
      <c r="G150" s="1684" t="s">
        <v>6952</v>
      </c>
      <c r="H150" s="1684">
        <v>4</v>
      </c>
      <c r="I150" s="1686">
        <v>48</v>
      </c>
      <c r="J150" s="1686">
        <v>106666.66666666667</v>
      </c>
      <c r="K150" s="1686">
        <v>5120000</v>
      </c>
      <c r="L150" s="1686">
        <v>5120000</v>
      </c>
      <c r="M150" s="1686"/>
      <c r="N150" s="1686"/>
      <c r="O150" s="2705">
        <f t="shared" si="76"/>
        <v>5120000</v>
      </c>
      <c r="P150" s="1686">
        <v>5119999.0000000056</v>
      </c>
      <c r="Q150" s="1686">
        <v>0</v>
      </c>
      <c r="R150" s="1686"/>
      <c r="S150" s="1686">
        <f t="shared" si="77"/>
        <v>5119999.0000000056</v>
      </c>
      <c r="T150" s="1687">
        <f t="shared" si="78"/>
        <v>0.99999999441206455</v>
      </c>
      <c r="U150" s="1603">
        <v>22</v>
      </c>
    </row>
    <row r="151" spans="1:21" s="1718" customFormat="1" ht="7" x14ac:dyDescent="0.35">
      <c r="A151" s="1716"/>
      <c r="B151" s="1683">
        <v>11</v>
      </c>
      <c r="C151" s="1684" t="s">
        <v>6972</v>
      </c>
      <c r="D151" s="1684"/>
      <c r="E151" s="1685">
        <v>44440</v>
      </c>
      <c r="F151" s="1683"/>
      <c r="G151" s="1684" t="s">
        <v>6952</v>
      </c>
      <c r="H151" s="1684">
        <v>4</v>
      </c>
      <c r="I151" s="1686">
        <v>48</v>
      </c>
      <c r="J151" s="1686">
        <v>156458.33333333334</v>
      </c>
      <c r="K151" s="1686">
        <v>7510000</v>
      </c>
      <c r="L151" s="1686">
        <v>7510000</v>
      </c>
      <c r="M151" s="1686"/>
      <c r="N151" s="1686"/>
      <c r="O151" s="2705">
        <f t="shared" si="76"/>
        <v>7510000</v>
      </c>
      <c r="P151" s="1686">
        <v>7509998.9999999916</v>
      </c>
      <c r="Q151" s="1686">
        <v>0</v>
      </c>
      <c r="R151" s="1686"/>
      <c r="S151" s="1686">
        <f t="shared" si="77"/>
        <v>7509998.9999999916</v>
      </c>
      <c r="T151" s="1687">
        <f t="shared" si="78"/>
        <v>1.0000000083819032</v>
      </c>
      <c r="U151" s="1603">
        <v>22</v>
      </c>
    </row>
    <row r="152" spans="1:21" s="1718" customFormat="1" ht="7" x14ac:dyDescent="0.35">
      <c r="A152" s="1716"/>
      <c r="B152" s="1683">
        <v>12</v>
      </c>
      <c r="C152" s="1684" t="s">
        <v>6973</v>
      </c>
      <c r="D152" s="1684"/>
      <c r="E152" s="1685">
        <v>44440</v>
      </c>
      <c r="F152" s="1683"/>
      <c r="G152" s="1684" t="s">
        <v>6952</v>
      </c>
      <c r="H152" s="1684">
        <v>4</v>
      </c>
      <c r="I152" s="1686">
        <v>48</v>
      </c>
      <c r="J152" s="1686">
        <v>56250</v>
      </c>
      <c r="K152" s="1686">
        <v>2700000</v>
      </c>
      <c r="L152" s="1686">
        <v>2700000</v>
      </c>
      <c r="M152" s="1686"/>
      <c r="N152" s="1686"/>
      <c r="O152" s="2705">
        <f t="shared" si="76"/>
        <v>2700000</v>
      </c>
      <c r="P152" s="1686">
        <v>2699999</v>
      </c>
      <c r="Q152" s="1686">
        <v>0</v>
      </c>
      <c r="R152" s="1686"/>
      <c r="S152" s="1686">
        <f t="shared" si="77"/>
        <v>2699999</v>
      </c>
      <c r="T152" s="1687">
        <f t="shared" si="78"/>
        <v>1</v>
      </c>
      <c r="U152" s="1603">
        <v>22</v>
      </c>
    </row>
    <row r="153" spans="1:21" s="1718" customFormat="1" ht="7" x14ac:dyDescent="0.35">
      <c r="A153" s="1716"/>
      <c r="B153" s="1683">
        <v>13</v>
      </c>
      <c r="C153" s="1684" t="s">
        <v>3120</v>
      </c>
      <c r="D153" s="1684"/>
      <c r="E153" s="1685">
        <v>44440</v>
      </c>
      <c r="F153" s="1683"/>
      <c r="G153" s="1684" t="s">
        <v>6974</v>
      </c>
      <c r="H153" s="1684">
        <v>4</v>
      </c>
      <c r="I153" s="1686">
        <v>48</v>
      </c>
      <c r="J153" s="1686">
        <v>87500</v>
      </c>
      <c r="K153" s="1686">
        <v>4200000</v>
      </c>
      <c r="L153" s="1686">
        <v>4200000</v>
      </c>
      <c r="M153" s="1686"/>
      <c r="N153" s="1686"/>
      <c r="O153" s="2705">
        <f t="shared" si="76"/>
        <v>4200000</v>
      </c>
      <c r="P153" s="1686">
        <v>4199999</v>
      </c>
      <c r="Q153" s="1686">
        <v>0</v>
      </c>
      <c r="R153" s="1686"/>
      <c r="S153" s="1686">
        <f t="shared" si="77"/>
        <v>4199999</v>
      </c>
      <c r="T153" s="1687">
        <f t="shared" si="78"/>
        <v>1</v>
      </c>
      <c r="U153" s="1603">
        <v>22</v>
      </c>
    </row>
    <row r="154" spans="1:21" s="1718" customFormat="1" ht="7" x14ac:dyDescent="0.35">
      <c r="A154" s="1716"/>
      <c r="B154" s="1683">
        <v>14</v>
      </c>
      <c r="C154" s="1684" t="s">
        <v>6975</v>
      </c>
      <c r="D154" s="1684"/>
      <c r="E154" s="1685">
        <v>44621</v>
      </c>
      <c r="F154" s="1683"/>
      <c r="G154" s="1684">
        <v>1</v>
      </c>
      <c r="H154" s="1684">
        <v>4</v>
      </c>
      <c r="I154" s="1686">
        <v>48</v>
      </c>
      <c r="J154" s="1686">
        <v>138333.33333333334</v>
      </c>
      <c r="K154" s="1686">
        <v>6640000</v>
      </c>
      <c r="L154" s="1686">
        <v>6640000</v>
      </c>
      <c r="M154" s="1686"/>
      <c r="N154" s="1686"/>
      <c r="O154" s="2705">
        <f t="shared" si="76"/>
        <v>6640000</v>
      </c>
      <c r="P154" s="1686">
        <v>6639998.9999999991</v>
      </c>
      <c r="Q154" s="1686">
        <v>0</v>
      </c>
      <c r="R154" s="1686"/>
      <c r="S154" s="1686">
        <f t="shared" si="77"/>
        <v>6639998.9999999991</v>
      </c>
      <c r="T154" s="1687">
        <f t="shared" si="78"/>
        <v>1.0000000009313226</v>
      </c>
      <c r="U154" s="1603">
        <v>22</v>
      </c>
    </row>
    <row r="155" spans="1:21" s="1718" customFormat="1" ht="7" x14ac:dyDescent="0.35">
      <c r="A155" s="1716"/>
      <c r="B155" s="1683">
        <v>15</v>
      </c>
      <c r="C155" s="1684" t="s">
        <v>6976</v>
      </c>
      <c r="D155" s="1684"/>
      <c r="E155" s="1685">
        <v>44743</v>
      </c>
      <c r="F155" s="1683"/>
      <c r="G155" s="1684" t="s">
        <v>6952</v>
      </c>
      <c r="H155" s="1684">
        <v>4</v>
      </c>
      <c r="I155" s="1686">
        <v>48</v>
      </c>
      <c r="J155" s="1686">
        <v>455937.5</v>
      </c>
      <c r="K155" s="1686">
        <v>21885000</v>
      </c>
      <c r="L155" s="1686">
        <v>21885000</v>
      </c>
      <c r="M155" s="1686"/>
      <c r="N155" s="1686"/>
      <c r="O155" s="2705">
        <f t="shared" si="76"/>
        <v>21885000</v>
      </c>
      <c r="P155" s="1686">
        <v>21429062.5</v>
      </c>
      <c r="Q155" s="1686">
        <v>455937.5</v>
      </c>
      <c r="R155" s="1686"/>
      <c r="S155" s="1686">
        <f t="shared" si="77"/>
        <v>21885000</v>
      </c>
      <c r="T155" s="1687">
        <f t="shared" si="78"/>
        <v>0</v>
      </c>
      <c r="U155" s="1603">
        <v>22</v>
      </c>
    </row>
    <row r="156" spans="1:21" s="1718" customFormat="1" ht="7" x14ac:dyDescent="0.35">
      <c r="A156" s="1716"/>
      <c r="B156" s="1683">
        <v>16</v>
      </c>
      <c r="C156" s="1684" t="s">
        <v>6977</v>
      </c>
      <c r="D156" s="1684"/>
      <c r="E156" s="1685">
        <v>44743</v>
      </c>
      <c r="F156" s="1683"/>
      <c r="G156" s="1684"/>
      <c r="H156" s="1684">
        <v>4</v>
      </c>
      <c r="I156" s="1686">
        <v>48</v>
      </c>
      <c r="J156" s="1686">
        <v>65650</v>
      </c>
      <c r="K156" s="1686">
        <v>3151200</v>
      </c>
      <c r="L156" s="1686">
        <v>3151200</v>
      </c>
      <c r="M156" s="1686"/>
      <c r="N156" s="1686"/>
      <c r="O156" s="2705">
        <f t="shared" si="76"/>
        <v>3151200</v>
      </c>
      <c r="P156" s="1686">
        <v>3085550</v>
      </c>
      <c r="Q156" s="1686">
        <v>65650</v>
      </c>
      <c r="R156" s="1686"/>
      <c r="S156" s="1686">
        <f t="shared" si="77"/>
        <v>3151200</v>
      </c>
      <c r="T156" s="1687">
        <f t="shared" si="78"/>
        <v>0</v>
      </c>
      <c r="U156" s="1603">
        <v>22</v>
      </c>
    </row>
    <row r="157" spans="1:21" s="1718" customFormat="1" ht="7" x14ac:dyDescent="0.35">
      <c r="A157" s="1716"/>
      <c r="B157" s="1683">
        <v>17</v>
      </c>
      <c r="C157" s="1684" t="s">
        <v>6978</v>
      </c>
      <c r="D157" s="1684"/>
      <c r="E157" s="1685">
        <v>44743</v>
      </c>
      <c r="F157" s="1683"/>
      <c r="G157" s="1684"/>
      <c r="H157" s="1684">
        <v>4</v>
      </c>
      <c r="I157" s="1686">
        <v>48</v>
      </c>
      <c r="J157" s="1686">
        <v>178125</v>
      </c>
      <c r="K157" s="1686">
        <v>8550000</v>
      </c>
      <c r="L157" s="1686">
        <v>8550000</v>
      </c>
      <c r="M157" s="1686"/>
      <c r="N157" s="1686"/>
      <c r="O157" s="2705">
        <f t="shared" si="76"/>
        <v>8550000</v>
      </c>
      <c r="P157" s="1686">
        <v>8371875</v>
      </c>
      <c r="Q157" s="1686">
        <v>178125</v>
      </c>
      <c r="R157" s="1686"/>
      <c r="S157" s="1686">
        <f t="shared" si="77"/>
        <v>8550000</v>
      </c>
      <c r="T157" s="1687">
        <f t="shared" si="78"/>
        <v>0</v>
      </c>
      <c r="U157" s="1603">
        <v>22</v>
      </c>
    </row>
    <row r="158" spans="1:21" s="1718" customFormat="1" ht="7" x14ac:dyDescent="0.35">
      <c r="A158" s="1716"/>
      <c r="B158" s="1683">
        <v>18</v>
      </c>
      <c r="C158" s="1684" t="s">
        <v>6979</v>
      </c>
      <c r="D158" s="1684"/>
      <c r="E158" s="1685">
        <v>44805</v>
      </c>
      <c r="F158" s="1683"/>
      <c r="G158" s="1684"/>
      <c r="H158" s="1684">
        <v>4</v>
      </c>
      <c r="I158" s="1686">
        <v>48</v>
      </c>
      <c r="J158" s="1686">
        <v>138541.66666666666</v>
      </c>
      <c r="K158" s="1686">
        <v>6650000</v>
      </c>
      <c r="L158" s="1686">
        <v>6650000</v>
      </c>
      <c r="M158" s="1686"/>
      <c r="N158" s="1686"/>
      <c r="O158" s="2705">
        <f t="shared" si="76"/>
        <v>6650000</v>
      </c>
      <c r="P158" s="1686">
        <v>6234365.0000000056</v>
      </c>
      <c r="Q158" s="1686">
        <v>138541.66666666666</v>
      </c>
      <c r="R158" s="1686"/>
      <c r="S158" s="1686">
        <f t="shared" si="77"/>
        <v>6372906.6666666726</v>
      </c>
      <c r="T158" s="1687">
        <f t="shared" si="78"/>
        <v>277093.33333332743</v>
      </c>
      <c r="U158" s="1603">
        <v>22</v>
      </c>
    </row>
    <row r="159" spans="1:21" s="1718" customFormat="1" ht="7" x14ac:dyDescent="0.35">
      <c r="A159" s="1716"/>
      <c r="B159" s="1683">
        <v>19</v>
      </c>
      <c r="C159" s="1684" t="s">
        <v>3120</v>
      </c>
      <c r="D159" s="1684"/>
      <c r="E159" s="1685">
        <v>44835</v>
      </c>
      <c r="F159" s="1683"/>
      <c r="G159" s="1684"/>
      <c r="H159" s="1684">
        <v>4</v>
      </c>
      <c r="I159" s="1686">
        <v>48</v>
      </c>
      <c r="J159" s="1686">
        <v>104166.66666666667</v>
      </c>
      <c r="K159" s="1686">
        <v>5000000</v>
      </c>
      <c r="L159" s="1686">
        <v>5000000</v>
      </c>
      <c r="M159" s="1686"/>
      <c r="N159" s="1686"/>
      <c r="O159" s="2705">
        <f t="shared" si="76"/>
        <v>5000000</v>
      </c>
      <c r="P159" s="1686">
        <v>4583324.0000000009</v>
      </c>
      <c r="Q159" s="1686">
        <v>104166.66666666667</v>
      </c>
      <c r="R159" s="1686"/>
      <c r="S159" s="1686">
        <f t="shared" si="77"/>
        <v>4687490.6666666679</v>
      </c>
      <c r="T159" s="1687">
        <f t="shared" si="78"/>
        <v>312509.33333333209</v>
      </c>
      <c r="U159" s="1603">
        <v>22</v>
      </c>
    </row>
    <row r="160" spans="1:21" s="1718" customFormat="1" ht="7" x14ac:dyDescent="0.35">
      <c r="A160" s="1716"/>
      <c r="B160" s="1683">
        <v>20</v>
      </c>
      <c r="C160" s="1684" t="s">
        <v>3120</v>
      </c>
      <c r="D160" s="1684"/>
      <c r="E160" s="1685">
        <v>44866</v>
      </c>
      <c r="F160" s="1683"/>
      <c r="G160" s="1684"/>
      <c r="H160" s="1684">
        <v>4</v>
      </c>
      <c r="I160" s="1686">
        <v>48</v>
      </c>
      <c r="J160" s="1686">
        <v>174166.66666666666</v>
      </c>
      <c r="K160" s="1686">
        <v>8360000</v>
      </c>
      <c r="L160" s="1686">
        <v>8360000</v>
      </c>
      <c r="M160" s="1686"/>
      <c r="N160" s="1686"/>
      <c r="O160" s="2705">
        <f t="shared" si="76"/>
        <v>8360000</v>
      </c>
      <c r="P160" s="1686">
        <v>7489158.0000000084</v>
      </c>
      <c r="Q160" s="1686">
        <v>174166.66666666666</v>
      </c>
      <c r="R160" s="1686"/>
      <c r="S160" s="1686">
        <f t="shared" si="77"/>
        <v>7663324.6666666754</v>
      </c>
      <c r="T160" s="1687">
        <f t="shared" si="78"/>
        <v>696675.33333332464</v>
      </c>
      <c r="U160" s="1603">
        <v>22</v>
      </c>
    </row>
    <row r="161" spans="1:21" s="1718" customFormat="1" ht="7" x14ac:dyDescent="0.35">
      <c r="A161" s="1716"/>
      <c r="B161" s="1683">
        <v>21</v>
      </c>
      <c r="C161" s="1684" t="s">
        <v>6980</v>
      </c>
      <c r="D161" s="1684"/>
      <c r="E161" s="1685">
        <v>44896</v>
      </c>
      <c r="F161" s="1683"/>
      <c r="G161" s="1684"/>
      <c r="H161" s="1684">
        <v>4</v>
      </c>
      <c r="I161" s="1686">
        <v>48</v>
      </c>
      <c r="J161" s="1686">
        <v>149583.33333333334</v>
      </c>
      <c r="K161" s="1686">
        <v>7180000</v>
      </c>
      <c r="L161" s="1686">
        <v>7180000</v>
      </c>
      <c r="M161" s="1686"/>
      <c r="N161" s="1686"/>
      <c r="O161" s="2705">
        <f t="shared" si="76"/>
        <v>7180000</v>
      </c>
      <c r="P161" s="1686">
        <v>6282495.9999999935</v>
      </c>
      <c r="Q161" s="1686">
        <v>149583.33333333334</v>
      </c>
      <c r="R161" s="1686"/>
      <c r="S161" s="1686">
        <f t="shared" si="77"/>
        <v>6432079.3333333265</v>
      </c>
      <c r="T161" s="1687">
        <f t="shared" si="78"/>
        <v>747920.6666666735</v>
      </c>
      <c r="U161" s="1603">
        <v>22</v>
      </c>
    </row>
    <row r="162" spans="1:21" s="1718" customFormat="1" ht="7" x14ac:dyDescent="0.35">
      <c r="A162" s="1716"/>
      <c r="B162" s="1683">
        <v>22</v>
      </c>
      <c r="C162" s="1684" t="s">
        <v>6981</v>
      </c>
      <c r="D162" s="1684"/>
      <c r="E162" s="1685">
        <v>44958</v>
      </c>
      <c r="F162" s="1683"/>
      <c r="G162" s="1684" t="s">
        <v>6974</v>
      </c>
      <c r="H162" s="1684">
        <v>4</v>
      </c>
      <c r="I162" s="1686">
        <v>48</v>
      </c>
      <c r="J162" s="1686">
        <v>48437.5</v>
      </c>
      <c r="K162" s="1686">
        <v>2325000</v>
      </c>
      <c r="L162" s="1686">
        <v>2325000</v>
      </c>
      <c r="M162" s="1686"/>
      <c r="N162" s="1686"/>
      <c r="O162" s="2705">
        <f t="shared" si="76"/>
        <v>2325000</v>
      </c>
      <c r="P162" s="1686">
        <v>1937499.5</v>
      </c>
      <c r="Q162" s="1686">
        <v>48437.5</v>
      </c>
      <c r="R162" s="1686"/>
      <c r="S162" s="1686">
        <f t="shared" si="77"/>
        <v>1985937</v>
      </c>
      <c r="T162" s="1687">
        <f t="shared" si="78"/>
        <v>339063</v>
      </c>
      <c r="U162" s="1603">
        <v>22</v>
      </c>
    </row>
    <row r="163" spans="1:21" s="1718" customFormat="1" ht="7" x14ac:dyDescent="0.35">
      <c r="A163" s="1719"/>
      <c r="B163" s="1683">
        <v>23</v>
      </c>
      <c r="C163" s="1684" t="s">
        <v>6982</v>
      </c>
      <c r="D163" s="1684"/>
      <c r="E163" s="1685">
        <v>44986</v>
      </c>
      <c r="F163" s="1683"/>
      <c r="G163" s="1684" t="s">
        <v>6952</v>
      </c>
      <c r="H163" s="1684">
        <v>4</v>
      </c>
      <c r="I163" s="1686">
        <v>48</v>
      </c>
      <c r="J163" s="1686">
        <v>77083.333333333328</v>
      </c>
      <c r="K163" s="1686">
        <v>3700000</v>
      </c>
      <c r="L163" s="1686">
        <v>3700000</v>
      </c>
      <c r="M163" s="1686"/>
      <c r="N163" s="1686"/>
      <c r="O163" s="2705">
        <f t="shared" si="76"/>
        <v>3700000</v>
      </c>
      <c r="P163" s="1686">
        <v>3006249.9999999981</v>
      </c>
      <c r="Q163" s="1686">
        <v>77083.333333333328</v>
      </c>
      <c r="R163" s="1686"/>
      <c r="S163" s="1686">
        <f t="shared" si="77"/>
        <v>3083333.3333333316</v>
      </c>
      <c r="T163" s="1687">
        <f t="shared" si="78"/>
        <v>616666.66666666837</v>
      </c>
      <c r="U163" s="1603">
        <v>22</v>
      </c>
    </row>
    <row r="164" spans="1:21" s="1718" customFormat="1" ht="7" x14ac:dyDescent="0.35">
      <c r="A164" s="1719"/>
      <c r="B164" s="1683">
        <v>24</v>
      </c>
      <c r="C164" s="1684" t="s">
        <v>6983</v>
      </c>
      <c r="D164" s="1684"/>
      <c r="E164" s="1685">
        <v>45139</v>
      </c>
      <c r="F164" s="1683"/>
      <c r="G164" s="1684" t="s">
        <v>6984</v>
      </c>
      <c r="H164" s="1684">
        <v>4</v>
      </c>
      <c r="I164" s="1686">
        <v>48</v>
      </c>
      <c r="J164" s="1686">
        <v>328437.5</v>
      </c>
      <c r="K164" s="1686">
        <v>15765000</v>
      </c>
      <c r="L164" s="1686">
        <v>15765000</v>
      </c>
      <c r="M164" s="1686"/>
      <c r="N164" s="1686"/>
      <c r="O164" s="2705">
        <f t="shared" si="76"/>
        <v>15765000</v>
      </c>
      <c r="P164" s="2706">
        <v>11166875</v>
      </c>
      <c r="Q164" s="1686">
        <v>328437.5</v>
      </c>
      <c r="R164" s="1686"/>
      <c r="S164" s="1686">
        <f t="shared" si="77"/>
        <v>11495312.5</v>
      </c>
      <c r="T164" s="1687">
        <f t="shared" si="78"/>
        <v>4269687.5</v>
      </c>
      <c r="U164" s="1603">
        <v>22</v>
      </c>
    </row>
    <row r="165" spans="1:21" s="1718" customFormat="1" ht="7" x14ac:dyDescent="0.35">
      <c r="A165" s="1719"/>
      <c r="B165" s="1683">
        <v>25</v>
      </c>
      <c r="C165" s="1684" t="s">
        <v>6985</v>
      </c>
      <c r="D165" s="1684"/>
      <c r="E165" s="1685">
        <v>45139</v>
      </c>
      <c r="F165" s="1707"/>
      <c r="G165" s="1684" t="s">
        <v>6952</v>
      </c>
      <c r="H165" s="1684">
        <v>4</v>
      </c>
      <c r="I165" s="1686">
        <v>48</v>
      </c>
      <c r="J165" s="1686">
        <v>10416.666666666666</v>
      </c>
      <c r="K165" s="1686">
        <v>500000</v>
      </c>
      <c r="L165" s="1686">
        <v>500000</v>
      </c>
      <c r="M165" s="1686"/>
      <c r="N165" s="1686"/>
      <c r="O165" s="2705">
        <f t="shared" si="76"/>
        <v>500000</v>
      </c>
      <c r="P165" s="1686">
        <v>354166.66666666645</v>
      </c>
      <c r="Q165" s="1686">
        <v>10416.666666666666</v>
      </c>
      <c r="R165" s="1686"/>
      <c r="S165" s="1686">
        <f t="shared" si="77"/>
        <v>364583.33333333314</v>
      </c>
      <c r="T165" s="1687">
        <f t="shared" si="78"/>
        <v>135416.66666666686</v>
      </c>
      <c r="U165" s="1603">
        <v>22</v>
      </c>
    </row>
    <row r="166" spans="1:21" s="1718" customFormat="1" ht="7" x14ac:dyDescent="0.35">
      <c r="A166" s="1719"/>
      <c r="B166" s="1683">
        <v>26</v>
      </c>
      <c r="C166" s="1684" t="s">
        <v>6986</v>
      </c>
      <c r="D166" s="1684"/>
      <c r="E166" s="1685">
        <v>45139</v>
      </c>
      <c r="F166" s="1707"/>
      <c r="G166" s="1684" t="s">
        <v>6952</v>
      </c>
      <c r="H166" s="1684">
        <v>4</v>
      </c>
      <c r="I166" s="1686">
        <v>48</v>
      </c>
      <c r="J166" s="1686">
        <v>167000</v>
      </c>
      <c r="K166" s="1686">
        <v>8016000</v>
      </c>
      <c r="L166" s="1686">
        <v>8016000</v>
      </c>
      <c r="M166" s="1686"/>
      <c r="N166" s="1686"/>
      <c r="O166" s="2705">
        <f t="shared" si="76"/>
        <v>8016000</v>
      </c>
      <c r="P166" s="1686">
        <v>5678000</v>
      </c>
      <c r="Q166" s="1686">
        <v>167000</v>
      </c>
      <c r="R166" s="1686"/>
      <c r="S166" s="1686">
        <f t="shared" si="77"/>
        <v>5845000</v>
      </c>
      <c r="T166" s="1687">
        <f t="shared" si="78"/>
        <v>2171000</v>
      </c>
      <c r="U166" s="1603">
        <v>22</v>
      </c>
    </row>
    <row r="167" spans="1:21" s="1718" customFormat="1" ht="7" x14ac:dyDescent="0.35">
      <c r="A167" s="1719"/>
      <c r="B167" s="1683">
        <v>27</v>
      </c>
      <c r="C167" s="1684" t="s">
        <v>6987</v>
      </c>
      <c r="D167" s="1684"/>
      <c r="E167" s="1685">
        <v>45170</v>
      </c>
      <c r="F167" s="1707"/>
      <c r="G167" s="1684" t="s">
        <v>6952</v>
      </c>
      <c r="H167" s="1684"/>
      <c r="I167" s="1686">
        <v>48</v>
      </c>
      <c r="J167" s="1686">
        <v>8958.3333333333303</v>
      </c>
      <c r="K167" s="1686">
        <v>430000</v>
      </c>
      <c r="L167" s="1686">
        <v>430000</v>
      </c>
      <c r="M167" s="1686"/>
      <c r="N167" s="1686"/>
      <c r="O167" s="2705">
        <f t="shared" si="76"/>
        <v>430000</v>
      </c>
      <c r="P167" s="1686">
        <v>295624.99999999965</v>
      </c>
      <c r="Q167" s="1686">
        <v>8958.3333333333303</v>
      </c>
      <c r="R167" s="1686"/>
      <c r="S167" s="1686">
        <f t="shared" si="77"/>
        <v>304583.33333333296</v>
      </c>
      <c r="T167" s="1687">
        <f t="shared" si="78"/>
        <v>125416.66666666704</v>
      </c>
      <c r="U167" s="1603">
        <v>22</v>
      </c>
    </row>
    <row r="168" spans="1:21" s="1718" customFormat="1" ht="7" x14ac:dyDescent="0.35">
      <c r="A168" s="1719"/>
      <c r="B168" s="1683">
        <v>28</v>
      </c>
      <c r="C168" s="1684" t="s">
        <v>6988</v>
      </c>
      <c r="D168" s="1684"/>
      <c r="E168" s="1685"/>
      <c r="F168" s="1707"/>
      <c r="G168" s="1684"/>
      <c r="H168" s="1684"/>
      <c r="I168" s="1686">
        <v>48</v>
      </c>
      <c r="J168" s="1686">
        <v>24270.833333333299</v>
      </c>
      <c r="K168" s="1686">
        <v>1165000</v>
      </c>
      <c r="L168" s="1686">
        <v>1165000</v>
      </c>
      <c r="M168" s="1686"/>
      <c r="N168" s="1686"/>
      <c r="O168" s="2705">
        <f t="shared" si="76"/>
        <v>1165000</v>
      </c>
      <c r="P168" s="1686">
        <v>776666.66666666535</v>
      </c>
      <c r="Q168" s="1686">
        <v>24270.833333333299</v>
      </c>
      <c r="R168" s="1686"/>
      <c r="S168" s="1686">
        <f t="shared" si="77"/>
        <v>800937.4999999986</v>
      </c>
      <c r="T168" s="1687">
        <f t="shared" si="78"/>
        <v>364062.5000000014</v>
      </c>
      <c r="U168" s="1603">
        <v>22</v>
      </c>
    </row>
    <row r="169" spans="1:21" s="1718" customFormat="1" ht="7" x14ac:dyDescent="0.35">
      <c r="A169" s="1719"/>
      <c r="B169" s="1683">
        <v>29</v>
      </c>
      <c r="C169" s="1684" t="s">
        <v>6989</v>
      </c>
      <c r="D169" s="1684"/>
      <c r="E169" s="1685"/>
      <c r="F169" s="1683"/>
      <c r="G169" s="1684"/>
      <c r="H169" s="1684"/>
      <c r="I169" s="1686">
        <v>48</v>
      </c>
      <c r="J169" s="1686">
        <v>87500</v>
      </c>
      <c r="K169" s="1686">
        <v>4200000</v>
      </c>
      <c r="L169" s="1686">
        <v>4200000</v>
      </c>
      <c r="M169" s="1686"/>
      <c r="N169" s="1686"/>
      <c r="O169" s="2705">
        <f t="shared" si="76"/>
        <v>4200000</v>
      </c>
      <c r="P169" s="1686">
        <v>2800000</v>
      </c>
      <c r="Q169" s="1686">
        <v>87500</v>
      </c>
      <c r="R169" s="1686"/>
      <c r="S169" s="1686">
        <f t="shared" si="77"/>
        <v>2887500</v>
      </c>
      <c r="T169" s="1687">
        <f t="shared" si="78"/>
        <v>1312500</v>
      </c>
      <c r="U169" s="1603">
        <v>22</v>
      </c>
    </row>
    <row r="170" spans="1:21" s="1718" customFormat="1" ht="7" x14ac:dyDescent="0.35">
      <c r="A170" s="1719"/>
      <c r="B170" s="1683">
        <v>30</v>
      </c>
      <c r="C170" s="1684" t="s">
        <v>6977</v>
      </c>
      <c r="D170" s="1684"/>
      <c r="E170" s="1685"/>
      <c r="F170" s="1683"/>
      <c r="G170" s="1684"/>
      <c r="H170" s="1684"/>
      <c r="I170" s="1686">
        <v>48</v>
      </c>
      <c r="J170" s="1686">
        <v>87500</v>
      </c>
      <c r="K170" s="1686">
        <v>4200000</v>
      </c>
      <c r="L170" s="1686">
        <v>4200000</v>
      </c>
      <c r="M170" s="1686"/>
      <c r="N170" s="1686"/>
      <c r="O170" s="2705">
        <f t="shared" si="76"/>
        <v>4200000</v>
      </c>
      <c r="P170" s="1686">
        <v>2800000</v>
      </c>
      <c r="Q170" s="1686">
        <v>87500</v>
      </c>
      <c r="R170" s="1686"/>
      <c r="S170" s="1686">
        <f t="shared" si="77"/>
        <v>2887500</v>
      </c>
      <c r="T170" s="1687">
        <f t="shared" si="78"/>
        <v>1312500</v>
      </c>
      <c r="U170" s="1603">
        <v>22</v>
      </c>
    </row>
    <row r="171" spans="1:21" s="1718" customFormat="1" ht="7" x14ac:dyDescent="0.35">
      <c r="A171" s="1719"/>
      <c r="B171" s="1683">
        <v>31</v>
      </c>
      <c r="C171" s="3020" t="s">
        <v>3120</v>
      </c>
      <c r="D171" s="1684" t="s">
        <v>6990</v>
      </c>
      <c r="E171" s="1685">
        <v>45412</v>
      </c>
      <c r="F171" s="1683"/>
      <c r="G171" s="1684">
        <v>1</v>
      </c>
      <c r="H171" s="1684">
        <v>5</v>
      </c>
      <c r="I171" s="1686">
        <v>60</v>
      </c>
      <c r="J171" s="1686">
        <f>K171*G171/I171</f>
        <v>116833.33333333333</v>
      </c>
      <c r="K171" s="1686">
        <v>7010000</v>
      </c>
      <c r="L171" s="1686">
        <v>7010000</v>
      </c>
      <c r="M171" s="1686"/>
      <c r="N171" s="1686"/>
      <c r="O171" s="2705">
        <f t="shared" si="76"/>
        <v>7010000</v>
      </c>
      <c r="P171" s="1686">
        <v>350500</v>
      </c>
      <c r="Q171" s="1686">
        <f t="shared" ref="Q171" si="79">J171</f>
        <v>116833.33333333333</v>
      </c>
      <c r="R171" s="1686"/>
      <c r="S171" s="1686">
        <f t="shared" si="77"/>
        <v>467333.33333333331</v>
      </c>
      <c r="T171" s="1687">
        <f t="shared" si="78"/>
        <v>6542666.666666667</v>
      </c>
      <c r="U171" s="1603">
        <v>22</v>
      </c>
    </row>
    <row r="172" spans="1:21" s="1718" customFormat="1" ht="7" x14ac:dyDescent="0.35">
      <c r="A172" s="1719"/>
      <c r="B172" s="1683">
        <v>32</v>
      </c>
      <c r="C172" s="1684" t="s">
        <v>6994</v>
      </c>
      <c r="D172" s="1684" t="s">
        <v>6995</v>
      </c>
      <c r="E172" s="1685">
        <v>45261</v>
      </c>
      <c r="F172" s="1683"/>
      <c r="G172" s="1684" t="s">
        <v>6955</v>
      </c>
      <c r="H172" s="1684">
        <v>4</v>
      </c>
      <c r="I172" s="1686">
        <v>48</v>
      </c>
      <c r="J172" s="1686">
        <v>166666.66666666666</v>
      </c>
      <c r="K172" s="1686">
        <v>8000000</v>
      </c>
      <c r="L172" s="1686">
        <v>8000000</v>
      </c>
      <c r="M172" s="1686"/>
      <c r="N172" s="1686"/>
      <c r="O172" s="2705">
        <f t="shared" si="76"/>
        <v>8000000</v>
      </c>
      <c r="P172" s="1686">
        <v>5000000.0000000037</v>
      </c>
      <c r="Q172" s="1686">
        <v>166666.66666666666</v>
      </c>
      <c r="R172" s="1686"/>
      <c r="S172" s="1686">
        <f t="shared" si="77"/>
        <v>5166666.6666666707</v>
      </c>
      <c r="T172" s="1687">
        <f t="shared" si="78"/>
        <v>2833333.3333333293</v>
      </c>
      <c r="U172" s="1603">
        <v>22</v>
      </c>
    </row>
    <row r="173" spans="1:21" s="1718" customFormat="1" ht="7" x14ac:dyDescent="0.35">
      <c r="A173" s="1719"/>
      <c r="B173" s="1683">
        <v>33</v>
      </c>
      <c r="C173" s="1684" t="s">
        <v>6996</v>
      </c>
      <c r="D173" s="1684" t="s">
        <v>6995</v>
      </c>
      <c r="E173" s="1685">
        <v>45261</v>
      </c>
      <c r="F173" s="1683"/>
      <c r="G173" s="1684" t="s">
        <v>6952</v>
      </c>
      <c r="H173" s="1684">
        <v>4</v>
      </c>
      <c r="I173" s="1686">
        <v>48</v>
      </c>
      <c r="J173" s="1686">
        <v>89583.333333333328</v>
      </c>
      <c r="K173" s="1686">
        <v>4300000</v>
      </c>
      <c r="L173" s="1686">
        <v>4300000</v>
      </c>
      <c r="M173" s="1686"/>
      <c r="N173" s="1686"/>
      <c r="O173" s="2705">
        <f t="shared" si="76"/>
        <v>4300000</v>
      </c>
      <c r="P173" s="1686">
        <v>2687499.9999999977</v>
      </c>
      <c r="Q173" s="1686">
        <v>89583.333333333328</v>
      </c>
      <c r="R173" s="1686"/>
      <c r="S173" s="1686">
        <f t="shared" si="77"/>
        <v>2777083.3333333312</v>
      </c>
      <c r="T173" s="1687">
        <f t="shared" si="78"/>
        <v>1522916.6666666688</v>
      </c>
      <c r="U173" s="1603">
        <v>22</v>
      </c>
    </row>
    <row r="174" spans="1:21" s="1718" customFormat="1" ht="7" x14ac:dyDescent="0.35">
      <c r="A174" s="1719"/>
      <c r="B174" s="1683">
        <v>34</v>
      </c>
      <c r="C174" s="1684" t="s">
        <v>6997</v>
      </c>
      <c r="D174" s="1684" t="s">
        <v>6998</v>
      </c>
      <c r="E174" s="1685">
        <v>45261</v>
      </c>
      <c r="F174" s="1683"/>
      <c r="G174" s="1684" t="s">
        <v>6952</v>
      </c>
      <c r="H174" s="1684">
        <v>4</v>
      </c>
      <c r="I174" s="1686">
        <v>48</v>
      </c>
      <c r="J174" s="1686">
        <v>166666.66666666666</v>
      </c>
      <c r="K174" s="1686">
        <v>8000000</v>
      </c>
      <c r="L174" s="1686">
        <v>8000000</v>
      </c>
      <c r="M174" s="1686"/>
      <c r="N174" s="1686"/>
      <c r="O174" s="2705">
        <f t="shared" si="76"/>
        <v>8000000</v>
      </c>
      <c r="P174" s="1686">
        <v>5000000.0000000037</v>
      </c>
      <c r="Q174" s="1686">
        <v>166666.66666666666</v>
      </c>
      <c r="R174" s="1686"/>
      <c r="S174" s="1686">
        <f t="shared" si="77"/>
        <v>5166666.6666666707</v>
      </c>
      <c r="T174" s="1687">
        <f t="shared" si="78"/>
        <v>2833333.3333333293</v>
      </c>
      <c r="U174" s="1603">
        <v>22</v>
      </c>
    </row>
    <row r="175" spans="1:21" s="1718" customFormat="1" ht="7" x14ac:dyDescent="0.35">
      <c r="A175" s="1719"/>
      <c r="B175" s="1683">
        <v>35</v>
      </c>
      <c r="C175" s="1684" t="s">
        <v>6999</v>
      </c>
      <c r="D175" s="1684" t="s">
        <v>6995</v>
      </c>
      <c r="E175" s="1685">
        <v>45261</v>
      </c>
      <c r="F175" s="1683"/>
      <c r="G175" s="1684" t="s">
        <v>7000</v>
      </c>
      <c r="H175" s="1684">
        <v>4</v>
      </c>
      <c r="I175" s="1686">
        <v>48</v>
      </c>
      <c r="J175" s="1686">
        <v>787500</v>
      </c>
      <c r="K175" s="1686">
        <v>37800000</v>
      </c>
      <c r="L175" s="1686">
        <v>37800000</v>
      </c>
      <c r="M175" s="1686"/>
      <c r="N175" s="1686"/>
      <c r="O175" s="2705">
        <f t="shared" si="76"/>
        <v>37800000</v>
      </c>
      <c r="P175" s="1686">
        <v>23625000</v>
      </c>
      <c r="Q175" s="1686">
        <v>787500</v>
      </c>
      <c r="R175" s="1686"/>
      <c r="S175" s="1686">
        <f t="shared" si="77"/>
        <v>24412500</v>
      </c>
      <c r="T175" s="1687">
        <f t="shared" si="78"/>
        <v>13387500</v>
      </c>
      <c r="U175" s="1603">
        <v>22</v>
      </c>
    </row>
    <row r="176" spans="1:21" s="1718" customFormat="1" ht="7" x14ac:dyDescent="0.35">
      <c r="A176" s="1719"/>
      <c r="B176" s="1683">
        <v>36</v>
      </c>
      <c r="C176" s="1684" t="s">
        <v>7001</v>
      </c>
      <c r="D176" s="1684"/>
      <c r="E176" s="1685">
        <v>43952</v>
      </c>
      <c r="F176" s="1683"/>
      <c r="G176" s="1684" t="s">
        <v>6952</v>
      </c>
      <c r="H176" s="1684">
        <v>4</v>
      </c>
      <c r="I176" s="1686">
        <v>48</v>
      </c>
      <c r="J176" s="1686">
        <v>46875</v>
      </c>
      <c r="K176" s="1686">
        <v>2250000</v>
      </c>
      <c r="L176" s="1686">
        <v>2250000</v>
      </c>
      <c r="M176" s="1686"/>
      <c r="N176" s="1686">
        <v>0</v>
      </c>
      <c r="O176" s="2705">
        <f t="shared" si="76"/>
        <v>2250000</v>
      </c>
      <c r="P176" s="1686">
        <v>2249999</v>
      </c>
      <c r="Q176" s="1686">
        <v>0</v>
      </c>
      <c r="R176" s="1686"/>
      <c r="S176" s="1686">
        <f t="shared" si="77"/>
        <v>2249999</v>
      </c>
      <c r="T176" s="1687">
        <f t="shared" si="78"/>
        <v>1</v>
      </c>
      <c r="U176" s="1603">
        <v>22</v>
      </c>
    </row>
    <row r="177" spans="1:22" s="1718" customFormat="1" ht="7" x14ac:dyDescent="0.35">
      <c r="A177" s="1719"/>
      <c r="B177" s="1683">
        <v>37</v>
      </c>
      <c r="C177" s="1684" t="s">
        <v>7002</v>
      </c>
      <c r="D177" s="1684"/>
      <c r="E177" s="1685">
        <v>44013</v>
      </c>
      <c r="F177" s="1683"/>
      <c r="G177" s="1684" t="s">
        <v>6952</v>
      </c>
      <c r="H177" s="1684">
        <v>4</v>
      </c>
      <c r="I177" s="1686">
        <v>48</v>
      </c>
      <c r="J177" s="1686">
        <v>70833.333333333328</v>
      </c>
      <c r="K177" s="1686">
        <v>3400000</v>
      </c>
      <c r="L177" s="1686">
        <v>3400000</v>
      </c>
      <c r="M177" s="1686"/>
      <c r="N177" s="1686"/>
      <c r="O177" s="2705">
        <f t="shared" si="76"/>
        <v>3400000</v>
      </c>
      <c r="P177" s="1686">
        <v>3399999.0000000005</v>
      </c>
      <c r="Q177" s="1686">
        <v>0</v>
      </c>
      <c r="R177" s="1686"/>
      <c r="S177" s="1686">
        <f t="shared" si="77"/>
        <v>3399999.0000000005</v>
      </c>
      <c r="T177" s="1687">
        <f t="shared" si="78"/>
        <v>0.99999999953433871</v>
      </c>
      <c r="U177" s="1603">
        <v>22</v>
      </c>
    </row>
    <row r="178" spans="1:22" x14ac:dyDescent="0.35">
      <c r="A178" s="1719"/>
      <c r="B178" s="1683">
        <v>38</v>
      </c>
      <c r="C178" s="1722" t="s">
        <v>3120</v>
      </c>
      <c r="D178" s="1684" t="s">
        <v>7778</v>
      </c>
      <c r="E178" s="1685">
        <v>45474</v>
      </c>
      <c r="F178" s="1683"/>
      <c r="G178" s="1684" t="s">
        <v>6952</v>
      </c>
      <c r="H178" s="1684">
        <v>4</v>
      </c>
      <c r="I178" s="1686">
        <v>48</v>
      </c>
      <c r="J178" s="1686">
        <v>191666.66666666666</v>
      </c>
      <c r="K178" s="1686">
        <v>9200000</v>
      </c>
      <c r="L178" s="1686">
        <v>9200000</v>
      </c>
      <c r="M178" s="1723"/>
      <c r="N178" s="1686"/>
      <c r="O178" s="2705">
        <f t="shared" si="76"/>
        <v>9200000</v>
      </c>
      <c r="P178" s="1686">
        <v>9199998.9999999981</v>
      </c>
      <c r="Q178" s="1686">
        <v>0</v>
      </c>
      <c r="R178" s="1686"/>
      <c r="S178" s="1686">
        <f t="shared" si="77"/>
        <v>9199998.9999999981</v>
      </c>
      <c r="T178" s="1687">
        <f t="shared" si="78"/>
        <v>1.0000000018626451</v>
      </c>
      <c r="U178" s="1603">
        <v>22</v>
      </c>
      <c r="V178" s="1555"/>
    </row>
    <row r="179" spans="1:22" x14ac:dyDescent="0.35">
      <c r="A179" s="1719"/>
      <c r="B179" s="1683">
        <v>39</v>
      </c>
      <c r="C179" s="1722" t="s">
        <v>7003</v>
      </c>
      <c r="D179" s="1684"/>
      <c r="E179" s="1685">
        <v>44562</v>
      </c>
      <c r="F179" s="1683"/>
      <c r="G179" s="1684">
        <v>1</v>
      </c>
      <c r="H179" s="1684">
        <v>4</v>
      </c>
      <c r="I179" s="1686">
        <v>48</v>
      </c>
      <c r="J179" s="1686">
        <v>114583.33333333333</v>
      </c>
      <c r="K179" s="1686">
        <v>5500000</v>
      </c>
      <c r="L179" s="1686">
        <v>5500000</v>
      </c>
      <c r="M179" s="1723"/>
      <c r="N179" s="1686"/>
      <c r="O179" s="2705">
        <f t="shared" si="76"/>
        <v>5500000</v>
      </c>
      <c r="P179" s="1686">
        <v>5499998.9999999981</v>
      </c>
      <c r="Q179" s="1686">
        <v>0</v>
      </c>
      <c r="R179" s="1686"/>
      <c r="S179" s="1686">
        <f t="shared" si="77"/>
        <v>5499998.9999999981</v>
      </c>
      <c r="T179" s="1687">
        <f t="shared" si="78"/>
        <v>1.0000000018626451</v>
      </c>
      <c r="U179" s="1603">
        <v>22</v>
      </c>
      <c r="V179" s="1555"/>
    </row>
    <row r="180" spans="1:22" x14ac:dyDescent="0.35">
      <c r="A180" s="1719"/>
      <c r="B180" s="1683">
        <v>40</v>
      </c>
      <c r="C180" s="1722" t="s">
        <v>7004</v>
      </c>
      <c r="D180" s="1684"/>
      <c r="E180" s="1685">
        <v>44562</v>
      </c>
      <c r="F180" s="1683"/>
      <c r="G180" s="1684">
        <v>1</v>
      </c>
      <c r="H180" s="1684">
        <v>4</v>
      </c>
      <c r="I180" s="1686">
        <v>48</v>
      </c>
      <c r="J180" s="1686">
        <v>187500</v>
      </c>
      <c r="K180" s="1686">
        <v>9000000</v>
      </c>
      <c r="L180" s="1686">
        <v>9000000</v>
      </c>
      <c r="M180" s="1723"/>
      <c r="N180" s="1686"/>
      <c r="O180" s="2705">
        <f t="shared" si="76"/>
        <v>9000000</v>
      </c>
      <c r="P180" s="1686">
        <v>8999999</v>
      </c>
      <c r="Q180" s="1686">
        <v>0</v>
      </c>
      <c r="R180" s="1686"/>
      <c r="S180" s="1686">
        <f t="shared" si="77"/>
        <v>8999999</v>
      </c>
      <c r="T180" s="1687">
        <f t="shared" si="78"/>
        <v>1</v>
      </c>
      <c r="U180" s="1603">
        <v>22</v>
      </c>
      <c r="V180" s="1555"/>
    </row>
    <row r="181" spans="1:22" x14ac:dyDescent="0.35">
      <c r="A181" s="1719"/>
      <c r="B181" s="1683">
        <v>41</v>
      </c>
      <c r="C181" s="1722" t="s">
        <v>7005</v>
      </c>
      <c r="D181" s="1684"/>
      <c r="E181" s="1685">
        <v>44805</v>
      </c>
      <c r="F181" s="1683"/>
      <c r="G181" s="1684"/>
      <c r="H181" s="1684">
        <v>4</v>
      </c>
      <c r="I181" s="1686">
        <v>48</v>
      </c>
      <c r="J181" s="1686">
        <v>91666.666666666672</v>
      </c>
      <c r="K181" s="1686">
        <v>4400000</v>
      </c>
      <c r="L181" s="1686">
        <v>4400000</v>
      </c>
      <c r="M181" s="1723"/>
      <c r="N181" s="1686"/>
      <c r="O181" s="2705">
        <f t="shared" si="76"/>
        <v>4400000</v>
      </c>
      <c r="P181" s="1686">
        <v>4124989.9999999995</v>
      </c>
      <c r="Q181" s="1686">
        <v>91666.666666666672</v>
      </c>
      <c r="R181" s="1686"/>
      <c r="S181" s="1686">
        <f t="shared" si="77"/>
        <v>4216656.666666666</v>
      </c>
      <c r="T181" s="1687">
        <f t="shared" si="78"/>
        <v>183343.33333333395</v>
      </c>
      <c r="U181" s="1603">
        <v>22</v>
      </c>
      <c r="V181" s="1555"/>
    </row>
    <row r="182" spans="1:22" x14ac:dyDescent="0.35">
      <c r="A182" s="1719"/>
      <c r="B182" s="1683">
        <v>42</v>
      </c>
      <c r="C182" s="1722" t="s">
        <v>7006</v>
      </c>
      <c r="D182" s="1684"/>
      <c r="E182" s="1685"/>
      <c r="F182" s="1683"/>
      <c r="G182" s="1684" t="s">
        <v>6974</v>
      </c>
      <c r="H182" s="1684">
        <v>4</v>
      </c>
      <c r="I182" s="1686">
        <v>48</v>
      </c>
      <c r="J182" s="1686">
        <v>61979.166666666664</v>
      </c>
      <c r="K182" s="1686">
        <v>2975000</v>
      </c>
      <c r="L182" s="1686">
        <v>2975000</v>
      </c>
      <c r="M182" s="1723"/>
      <c r="N182" s="1686"/>
      <c r="O182" s="2705">
        <f t="shared" si="76"/>
        <v>2975000</v>
      </c>
      <c r="P182" s="1686">
        <v>2974998.9999999949</v>
      </c>
      <c r="Q182" s="1686">
        <v>0</v>
      </c>
      <c r="R182" s="1686"/>
      <c r="S182" s="1686">
        <f t="shared" si="77"/>
        <v>2974998.9999999949</v>
      </c>
      <c r="T182" s="1687">
        <f t="shared" si="78"/>
        <v>1.0000000051222742</v>
      </c>
      <c r="U182" s="1603">
        <v>22</v>
      </c>
      <c r="V182" s="1555"/>
    </row>
    <row r="183" spans="1:22" x14ac:dyDescent="0.35">
      <c r="A183" s="1719"/>
      <c r="B183" s="1683">
        <v>43</v>
      </c>
      <c r="C183" s="1722" t="s">
        <v>7163</v>
      </c>
      <c r="D183" s="1684" t="s">
        <v>7164</v>
      </c>
      <c r="E183" s="1685">
        <v>45427</v>
      </c>
      <c r="F183" s="1683"/>
      <c r="G183" s="1684">
        <v>1</v>
      </c>
      <c r="H183" s="1684">
        <v>5</v>
      </c>
      <c r="I183" s="1686">
        <v>60</v>
      </c>
      <c r="J183" s="1686">
        <f>K183*G183/I183</f>
        <v>1666.6666666666667</v>
      </c>
      <c r="K183" s="1686">
        <v>100000</v>
      </c>
      <c r="L183" s="1686">
        <v>100000</v>
      </c>
      <c r="M183" s="1723"/>
      <c r="N183" s="1686"/>
      <c r="O183" s="2705">
        <f t="shared" si="76"/>
        <v>100000</v>
      </c>
      <c r="P183" s="1686">
        <v>41666.666666666664</v>
      </c>
      <c r="Q183" s="1686">
        <f>J183</f>
        <v>1666.6666666666667</v>
      </c>
      <c r="R183" s="1686"/>
      <c r="S183" s="1686">
        <f t="shared" si="77"/>
        <v>43333.333333333328</v>
      </c>
      <c r="T183" s="1687">
        <f t="shared" si="78"/>
        <v>56666.666666666672</v>
      </c>
      <c r="U183" s="1603">
        <v>22</v>
      </c>
      <c r="V183" s="1555"/>
    </row>
    <row r="184" spans="1:22" x14ac:dyDescent="0.35">
      <c r="A184" s="1719"/>
      <c r="B184" s="1683">
        <v>44</v>
      </c>
      <c r="C184" s="1722" t="s">
        <v>7314</v>
      </c>
      <c r="D184" s="1684" t="s">
        <v>7315</v>
      </c>
      <c r="E184" s="1685">
        <v>45473</v>
      </c>
      <c r="F184" s="1683"/>
      <c r="G184" s="1684">
        <v>1</v>
      </c>
      <c r="H184" s="1684">
        <v>5</v>
      </c>
      <c r="I184" s="1686">
        <v>60</v>
      </c>
      <c r="J184" s="1686">
        <f>K184*G184/I184</f>
        <v>163083.33333333334</v>
      </c>
      <c r="K184" s="1686">
        <v>9785000</v>
      </c>
      <c r="L184" s="1686">
        <v>9785000</v>
      </c>
      <c r="M184" s="1723"/>
      <c r="N184" s="1686"/>
      <c r="O184" s="2705">
        <f>L184+M184-N184</f>
        <v>9785000</v>
      </c>
      <c r="P184" s="1686">
        <v>3914000.0000000014</v>
      </c>
      <c r="Q184" s="1686">
        <f>J184</f>
        <v>163083.33333333334</v>
      </c>
      <c r="R184" s="1686"/>
      <c r="S184" s="1686">
        <f t="shared" ref="S184:S193" si="80">P184+Q184-R184</f>
        <v>4077083.3333333349</v>
      </c>
      <c r="T184" s="1687">
        <f t="shared" ref="T184:T193" si="81">O184-S184</f>
        <v>5707916.6666666651</v>
      </c>
      <c r="U184" s="1603">
        <v>22</v>
      </c>
      <c r="V184" s="1555"/>
    </row>
    <row r="185" spans="1:22" x14ac:dyDescent="0.35">
      <c r="A185" s="1719"/>
      <c r="B185" s="1683">
        <v>45</v>
      </c>
      <c r="C185" s="1722" t="s">
        <v>7347</v>
      </c>
      <c r="D185" s="1684" t="s">
        <v>7348</v>
      </c>
      <c r="E185" s="1685">
        <v>45488</v>
      </c>
      <c r="F185" s="1683" t="s">
        <v>7349</v>
      </c>
      <c r="G185" s="1684">
        <v>2</v>
      </c>
      <c r="H185" s="1684">
        <v>5</v>
      </c>
      <c r="I185" s="1686">
        <v>60</v>
      </c>
      <c r="J185" s="1686">
        <f>K185*G185/I185</f>
        <v>168333.33333333334</v>
      </c>
      <c r="K185" s="1686">
        <f>10100000/2</f>
        <v>5050000</v>
      </c>
      <c r="L185" s="1686">
        <v>10100000</v>
      </c>
      <c r="M185" s="1723"/>
      <c r="N185" s="1686"/>
      <c r="O185" s="2705">
        <f t="shared" ref="O185:O222" si="82">L185+M185-N185</f>
        <v>10100000</v>
      </c>
      <c r="P185" s="1686">
        <v>3871666.6666666679</v>
      </c>
      <c r="Q185" s="1686">
        <f t="shared" ref="Q185:Q222" si="83">J185</f>
        <v>168333.33333333334</v>
      </c>
      <c r="R185" s="1686"/>
      <c r="S185" s="1686">
        <f t="shared" si="80"/>
        <v>4040000.0000000014</v>
      </c>
      <c r="T185" s="1687">
        <f t="shared" si="81"/>
        <v>6059999.9999999981</v>
      </c>
      <c r="U185" s="1603">
        <v>22</v>
      </c>
      <c r="V185" s="1555"/>
    </row>
    <row r="186" spans="1:22" x14ac:dyDescent="0.35">
      <c r="A186" s="1719"/>
      <c r="B186" s="1683">
        <v>46</v>
      </c>
      <c r="C186" s="1722" t="s">
        <v>7350</v>
      </c>
      <c r="D186" s="1684" t="s">
        <v>7352</v>
      </c>
      <c r="E186" s="1685">
        <v>45503</v>
      </c>
      <c r="F186" s="1683" t="s">
        <v>7349</v>
      </c>
      <c r="G186" s="1684">
        <v>1</v>
      </c>
      <c r="H186" s="1684">
        <v>5</v>
      </c>
      <c r="I186" s="1686">
        <v>60</v>
      </c>
      <c r="J186" s="1686">
        <f t="shared" ref="J186:J188" si="84">K186*G186/I186</f>
        <v>111666.66666666667</v>
      </c>
      <c r="K186" s="1686">
        <v>6700000</v>
      </c>
      <c r="L186" s="1686">
        <v>6700000</v>
      </c>
      <c r="M186" s="1723"/>
      <c r="N186" s="1686"/>
      <c r="O186" s="2705">
        <f t="shared" si="82"/>
        <v>6700000</v>
      </c>
      <c r="P186" s="1686">
        <v>2568333.333333333</v>
      </c>
      <c r="Q186" s="1686">
        <f t="shared" si="83"/>
        <v>111666.66666666667</v>
      </c>
      <c r="R186" s="1686"/>
      <c r="S186" s="1686">
        <f t="shared" si="80"/>
        <v>2679999.9999999995</v>
      </c>
      <c r="T186" s="1687">
        <f t="shared" si="81"/>
        <v>4020000.0000000005</v>
      </c>
      <c r="U186" s="1603">
        <v>22</v>
      </c>
      <c r="V186" s="1555"/>
    </row>
    <row r="187" spans="1:22" x14ac:dyDescent="0.35">
      <c r="A187" s="1719"/>
      <c r="B187" s="1683">
        <v>47</v>
      </c>
      <c r="C187" s="1722" t="s">
        <v>7351</v>
      </c>
      <c r="D187" s="1684" t="s">
        <v>7353</v>
      </c>
      <c r="E187" s="1685">
        <v>45503</v>
      </c>
      <c r="F187" s="1683" t="s">
        <v>7349</v>
      </c>
      <c r="G187" s="1684">
        <v>1</v>
      </c>
      <c r="H187" s="1684">
        <v>5</v>
      </c>
      <c r="I187" s="1686">
        <v>60</v>
      </c>
      <c r="J187" s="1686">
        <f t="shared" si="84"/>
        <v>106352.66666666667</v>
      </c>
      <c r="K187" s="1686">
        <v>6381160</v>
      </c>
      <c r="L187" s="1686">
        <v>6381160</v>
      </c>
      <c r="M187" s="1723"/>
      <c r="N187" s="1686"/>
      <c r="O187" s="2705">
        <f t="shared" si="82"/>
        <v>6381160</v>
      </c>
      <c r="P187" s="1686">
        <v>2446111.3333333335</v>
      </c>
      <c r="Q187" s="1686">
        <f t="shared" si="83"/>
        <v>106352.66666666667</v>
      </c>
      <c r="R187" s="1686"/>
      <c r="S187" s="1686">
        <f t="shared" si="80"/>
        <v>2552464</v>
      </c>
      <c r="T187" s="1687">
        <f t="shared" si="81"/>
        <v>3828696</v>
      </c>
      <c r="U187" s="1603">
        <v>22</v>
      </c>
      <c r="V187" s="1555"/>
    </row>
    <row r="188" spans="1:22" x14ac:dyDescent="0.35">
      <c r="A188" s="1719"/>
      <c r="B188" s="1683">
        <v>48</v>
      </c>
      <c r="C188" s="1722" t="s">
        <v>7357</v>
      </c>
      <c r="D188" s="1684" t="s">
        <v>3112</v>
      </c>
      <c r="E188" s="1685">
        <v>45503</v>
      </c>
      <c r="F188" s="1683" t="s">
        <v>7349</v>
      </c>
      <c r="G188" s="1684">
        <v>2</v>
      </c>
      <c r="H188" s="1684">
        <v>5</v>
      </c>
      <c r="I188" s="1686">
        <v>60</v>
      </c>
      <c r="J188" s="1686">
        <f t="shared" si="84"/>
        <v>13333.333333333334</v>
      </c>
      <c r="K188" s="1686">
        <v>400000</v>
      </c>
      <c r="L188" s="1686">
        <v>800000</v>
      </c>
      <c r="M188" s="1723"/>
      <c r="N188" s="1686"/>
      <c r="O188" s="2705">
        <f t="shared" si="82"/>
        <v>800000</v>
      </c>
      <c r="P188" s="1686">
        <v>306666.66666666669</v>
      </c>
      <c r="Q188" s="1686">
        <f t="shared" si="83"/>
        <v>13333.333333333334</v>
      </c>
      <c r="R188" s="1686"/>
      <c r="S188" s="1686">
        <f t="shared" si="80"/>
        <v>320000</v>
      </c>
      <c r="T188" s="1687">
        <f t="shared" si="81"/>
        <v>480000</v>
      </c>
      <c r="U188" s="1603">
        <v>22</v>
      </c>
      <c r="V188" s="1555"/>
    </row>
    <row r="189" spans="1:22" x14ac:dyDescent="0.35">
      <c r="A189" s="1719"/>
      <c r="B189" s="1683">
        <v>49</v>
      </c>
      <c r="C189" s="1722" t="s">
        <v>7547</v>
      </c>
      <c r="D189" s="1684" t="s">
        <v>7548</v>
      </c>
      <c r="E189" s="1685">
        <v>45535</v>
      </c>
      <c r="F189" s="1683" t="s">
        <v>7549</v>
      </c>
      <c r="G189" s="1684">
        <v>1</v>
      </c>
      <c r="H189" s="1684">
        <v>5</v>
      </c>
      <c r="I189" s="1686">
        <v>60</v>
      </c>
      <c r="J189" s="1686">
        <f>K189*G189/I189</f>
        <v>27701.666666666668</v>
      </c>
      <c r="K189" s="1686">
        <v>1662100</v>
      </c>
      <c r="L189" s="1686">
        <v>1662100</v>
      </c>
      <c r="M189" s="1723"/>
      <c r="N189" s="1686"/>
      <c r="O189" s="2705">
        <f t="shared" si="82"/>
        <v>1662100</v>
      </c>
      <c r="P189" s="1686">
        <v>609436.66666666663</v>
      </c>
      <c r="Q189" s="1686">
        <f t="shared" si="83"/>
        <v>27701.666666666668</v>
      </c>
      <c r="R189" s="1686"/>
      <c r="S189" s="1686">
        <f t="shared" si="80"/>
        <v>637138.33333333326</v>
      </c>
      <c r="T189" s="1687">
        <f t="shared" si="81"/>
        <v>1024961.6666666667</v>
      </c>
      <c r="U189" s="1603">
        <v>22</v>
      </c>
      <c r="V189" s="1555"/>
    </row>
    <row r="190" spans="1:22" x14ac:dyDescent="0.35">
      <c r="A190" s="1719"/>
      <c r="B190" s="1683">
        <v>50</v>
      </c>
      <c r="C190" s="1722" t="s">
        <v>7557</v>
      </c>
      <c r="D190" s="1684" t="s">
        <v>7548</v>
      </c>
      <c r="E190" s="1685">
        <v>45555</v>
      </c>
      <c r="F190" s="1683" t="s">
        <v>7558</v>
      </c>
      <c r="G190" s="1684">
        <v>1</v>
      </c>
      <c r="H190" s="1684">
        <v>5</v>
      </c>
      <c r="I190" s="1686">
        <v>60</v>
      </c>
      <c r="J190" s="1686">
        <f>K190*G190/I190</f>
        <v>56370.666666666664</v>
      </c>
      <c r="K190" s="1686">
        <v>3382240</v>
      </c>
      <c r="L190" s="1686">
        <v>3382240</v>
      </c>
      <c r="M190" s="1723"/>
      <c r="N190" s="1686"/>
      <c r="O190" s="2705">
        <f t="shared" si="82"/>
        <v>3382240</v>
      </c>
      <c r="P190" s="1686">
        <v>1183784</v>
      </c>
      <c r="Q190" s="1686">
        <f t="shared" si="83"/>
        <v>56370.666666666664</v>
      </c>
      <c r="R190" s="1686"/>
      <c r="S190" s="1686">
        <f t="shared" si="80"/>
        <v>1240154.6666666667</v>
      </c>
      <c r="T190" s="1687">
        <f t="shared" si="81"/>
        <v>2142085.333333333</v>
      </c>
      <c r="U190" s="1603">
        <v>22</v>
      </c>
      <c r="V190" s="1555"/>
    </row>
    <row r="191" spans="1:22" x14ac:dyDescent="0.35">
      <c r="A191" s="1719"/>
      <c r="B191" s="1683">
        <v>51</v>
      </c>
      <c r="C191" s="1722" t="s">
        <v>7559</v>
      </c>
      <c r="D191" s="1684" t="s">
        <v>3112</v>
      </c>
      <c r="E191" s="1685">
        <v>45564</v>
      </c>
      <c r="F191" s="1683" t="s">
        <v>7558</v>
      </c>
      <c r="G191" s="1684">
        <v>1</v>
      </c>
      <c r="H191" s="1684">
        <v>5</v>
      </c>
      <c r="I191" s="1686">
        <v>60</v>
      </c>
      <c r="J191" s="1686">
        <f>K191*G191/I191</f>
        <v>78860</v>
      </c>
      <c r="K191" s="1686">
        <v>4731600</v>
      </c>
      <c r="L191" s="1686">
        <v>4731600</v>
      </c>
      <c r="M191" s="1723"/>
      <c r="N191" s="1686"/>
      <c r="O191" s="2705">
        <f t="shared" si="82"/>
        <v>4731600</v>
      </c>
      <c r="P191" s="1686">
        <v>1656060</v>
      </c>
      <c r="Q191" s="1686">
        <f t="shared" si="83"/>
        <v>78860</v>
      </c>
      <c r="R191" s="1686"/>
      <c r="S191" s="1686">
        <f t="shared" si="80"/>
        <v>1734920</v>
      </c>
      <c r="T191" s="1687">
        <f t="shared" si="81"/>
        <v>2996680</v>
      </c>
      <c r="U191" s="1603">
        <v>22</v>
      </c>
      <c r="V191" s="1555"/>
    </row>
    <row r="192" spans="1:22" x14ac:dyDescent="0.35">
      <c r="A192" s="1719"/>
      <c r="B192" s="1683">
        <v>52</v>
      </c>
      <c r="C192" s="1722" t="s">
        <v>3120</v>
      </c>
      <c r="D192" s="1684" t="s">
        <v>3112</v>
      </c>
      <c r="E192" s="1685">
        <v>45595</v>
      </c>
      <c r="F192" s="1683" t="s">
        <v>7567</v>
      </c>
      <c r="G192" s="1684">
        <v>1</v>
      </c>
      <c r="H192" s="1684">
        <v>5</v>
      </c>
      <c r="I192" s="1686">
        <v>60</v>
      </c>
      <c r="J192" s="1686">
        <f>K192*G192/I192</f>
        <v>71916.666666666672</v>
      </c>
      <c r="K192" s="1686">
        <v>4315000</v>
      </c>
      <c r="L192" s="1686">
        <v>4315000</v>
      </c>
      <c r="M192" s="1723"/>
      <c r="N192" s="1686"/>
      <c r="O192" s="2705">
        <f t="shared" si="82"/>
        <v>4315000</v>
      </c>
      <c r="P192" s="1686">
        <v>1438333.3333333335</v>
      </c>
      <c r="Q192" s="1686">
        <f t="shared" si="83"/>
        <v>71916.666666666672</v>
      </c>
      <c r="R192" s="1686"/>
      <c r="S192" s="1686">
        <f t="shared" si="80"/>
        <v>1510250.0000000002</v>
      </c>
      <c r="T192" s="1687">
        <f t="shared" si="81"/>
        <v>2804750</v>
      </c>
      <c r="U192" s="1603">
        <v>22</v>
      </c>
      <c r="V192" s="1555"/>
    </row>
    <row r="193" spans="1:22" x14ac:dyDescent="0.35">
      <c r="A193" s="1719"/>
      <c r="B193" s="1683">
        <v>53</v>
      </c>
      <c r="C193" s="1722" t="s">
        <v>7593</v>
      </c>
      <c r="D193" s="1684" t="s">
        <v>7594</v>
      </c>
      <c r="E193" s="1685">
        <v>45610</v>
      </c>
      <c r="F193" s="1683" t="s">
        <v>7595</v>
      </c>
      <c r="G193" s="1684">
        <v>1</v>
      </c>
      <c r="H193" s="1684">
        <v>5</v>
      </c>
      <c r="I193" s="1686">
        <v>60</v>
      </c>
      <c r="J193" s="1686">
        <f>K193*G193/I193</f>
        <v>47333.333333333336</v>
      </c>
      <c r="K193" s="1686">
        <v>2840000</v>
      </c>
      <c r="L193" s="1686">
        <f>K193</f>
        <v>2840000</v>
      </c>
      <c r="M193" s="1723"/>
      <c r="N193" s="1686"/>
      <c r="O193" s="2705">
        <f t="shared" si="82"/>
        <v>2840000</v>
      </c>
      <c r="P193" s="1686">
        <v>899333.33333333349</v>
      </c>
      <c r="Q193" s="1686">
        <f t="shared" si="83"/>
        <v>47333.333333333336</v>
      </c>
      <c r="R193" s="1686"/>
      <c r="S193" s="1686">
        <f t="shared" si="80"/>
        <v>946666.66666666686</v>
      </c>
      <c r="T193" s="1687">
        <f t="shared" si="81"/>
        <v>1893333.333333333</v>
      </c>
      <c r="U193" s="1603">
        <v>22</v>
      </c>
      <c r="V193" s="1555"/>
    </row>
    <row r="194" spans="1:22" x14ac:dyDescent="0.35">
      <c r="A194" s="1719"/>
      <c r="B194" s="1683">
        <v>54</v>
      </c>
      <c r="C194" s="1722" t="s">
        <v>7596</v>
      </c>
      <c r="D194" s="1684" t="s">
        <v>7548</v>
      </c>
      <c r="E194" s="1685">
        <v>45616</v>
      </c>
      <c r="F194" s="1683" t="s">
        <v>7597</v>
      </c>
      <c r="G194" s="1684">
        <v>1</v>
      </c>
      <c r="H194" s="1684">
        <v>5</v>
      </c>
      <c r="I194" s="1686">
        <v>60</v>
      </c>
      <c r="J194" s="1686">
        <f t="shared" ref="J194:J199" si="85">K194*G194/I194</f>
        <v>301495</v>
      </c>
      <c r="K194" s="1686">
        <v>18089700</v>
      </c>
      <c r="L194" s="1686">
        <f>K194</f>
        <v>18089700</v>
      </c>
      <c r="M194" s="1723"/>
      <c r="N194" s="1686"/>
      <c r="O194" s="2705">
        <f t="shared" si="82"/>
        <v>18089700</v>
      </c>
      <c r="P194" s="1686">
        <v>5728405</v>
      </c>
      <c r="Q194" s="1686">
        <f t="shared" si="83"/>
        <v>301495</v>
      </c>
      <c r="R194" s="1686"/>
      <c r="S194" s="1686">
        <f t="shared" ref="S194:S198" si="86">P194+Q194-R194</f>
        <v>6029900</v>
      </c>
      <c r="T194" s="1687">
        <f t="shared" ref="T194:T198" si="87">O194-S194</f>
        <v>12059800</v>
      </c>
      <c r="U194" s="1603">
        <v>22</v>
      </c>
      <c r="V194" s="1555"/>
    </row>
    <row r="195" spans="1:22" x14ac:dyDescent="0.35">
      <c r="A195" s="1719"/>
      <c r="B195" s="1683">
        <v>55</v>
      </c>
      <c r="C195" s="1722" t="s">
        <v>7620</v>
      </c>
      <c r="D195" s="1684" t="s">
        <v>7621</v>
      </c>
      <c r="E195" s="1685">
        <v>45641</v>
      </c>
      <c r="F195" s="1683" t="s">
        <v>7622</v>
      </c>
      <c r="G195" s="1684">
        <v>5</v>
      </c>
      <c r="H195" s="1684">
        <v>5</v>
      </c>
      <c r="I195" s="1686">
        <v>60</v>
      </c>
      <c r="J195" s="1686">
        <f t="shared" si="85"/>
        <v>499583.33333333331</v>
      </c>
      <c r="K195" s="1686">
        <v>5995000</v>
      </c>
      <c r="L195" s="1686">
        <f t="shared" ref="L195:L200" si="88">K195*G195</f>
        <v>29975000</v>
      </c>
      <c r="M195" s="1723"/>
      <c r="N195" s="1686"/>
      <c r="O195" s="2705">
        <f t="shared" si="82"/>
        <v>29975000</v>
      </c>
      <c r="P195" s="1686">
        <v>8992499.9999999981</v>
      </c>
      <c r="Q195" s="1686">
        <f t="shared" si="83"/>
        <v>499583.33333333331</v>
      </c>
      <c r="R195" s="1686"/>
      <c r="S195" s="1686">
        <f t="shared" si="86"/>
        <v>9492083.3333333321</v>
      </c>
      <c r="T195" s="1687">
        <f t="shared" si="87"/>
        <v>20482916.666666668</v>
      </c>
      <c r="U195" s="1603">
        <v>22</v>
      </c>
      <c r="V195" s="1555"/>
    </row>
    <row r="196" spans="1:22" x14ac:dyDescent="0.35">
      <c r="A196" s="1719"/>
      <c r="B196" s="1683">
        <v>56</v>
      </c>
      <c r="C196" s="1722" t="s">
        <v>3120</v>
      </c>
      <c r="D196" s="1684" t="s">
        <v>7624</v>
      </c>
      <c r="E196" s="1685">
        <v>45627</v>
      </c>
      <c r="F196" s="1683" t="s">
        <v>7625</v>
      </c>
      <c r="G196" s="1684">
        <v>1</v>
      </c>
      <c r="H196" s="1684">
        <v>5</v>
      </c>
      <c r="I196" s="1686">
        <v>60</v>
      </c>
      <c r="J196" s="1686">
        <f>K196*G196/I196</f>
        <v>11916.666666666666</v>
      </c>
      <c r="K196" s="1686">
        <v>715000</v>
      </c>
      <c r="L196" s="1686">
        <f t="shared" si="88"/>
        <v>715000</v>
      </c>
      <c r="M196" s="1723"/>
      <c r="N196" s="1686"/>
      <c r="O196" s="2705">
        <f t="shared" si="82"/>
        <v>715000</v>
      </c>
      <c r="P196" s="1686">
        <v>214499.99999999994</v>
      </c>
      <c r="Q196" s="1686">
        <f t="shared" si="83"/>
        <v>11916.666666666666</v>
      </c>
      <c r="R196" s="1686"/>
      <c r="S196" s="1686">
        <f t="shared" si="86"/>
        <v>226416.6666666666</v>
      </c>
      <c r="T196" s="1687">
        <f t="shared" si="87"/>
        <v>488583.33333333337</v>
      </c>
      <c r="U196" s="1603">
        <v>22</v>
      </c>
      <c r="V196" s="1555"/>
    </row>
    <row r="197" spans="1:22" x14ac:dyDescent="0.35">
      <c r="A197" s="1719"/>
      <c r="B197" s="1683">
        <v>57</v>
      </c>
      <c r="C197" s="1722" t="s">
        <v>3120</v>
      </c>
      <c r="D197" s="1684" t="s">
        <v>7623</v>
      </c>
      <c r="E197" s="1685">
        <v>45652</v>
      </c>
      <c r="F197" s="1683" t="s">
        <v>7625</v>
      </c>
      <c r="G197" s="1684">
        <v>1</v>
      </c>
      <c r="H197" s="1684">
        <v>5</v>
      </c>
      <c r="I197" s="1686">
        <v>60</v>
      </c>
      <c r="J197" s="1686">
        <f t="shared" si="85"/>
        <v>127916.66666666667</v>
      </c>
      <c r="K197" s="1686">
        <v>7675000</v>
      </c>
      <c r="L197" s="1686">
        <f t="shared" si="88"/>
        <v>7675000</v>
      </c>
      <c r="M197" s="1723"/>
      <c r="N197" s="1686"/>
      <c r="O197" s="2705">
        <f t="shared" si="82"/>
        <v>7675000</v>
      </c>
      <c r="P197" s="1686">
        <v>2302500.0000000005</v>
      </c>
      <c r="Q197" s="1686">
        <f t="shared" si="83"/>
        <v>127916.66666666667</v>
      </c>
      <c r="R197" s="1686"/>
      <c r="S197" s="1686">
        <f t="shared" si="86"/>
        <v>2430416.666666667</v>
      </c>
      <c r="T197" s="1687">
        <f t="shared" si="87"/>
        <v>5244583.333333333</v>
      </c>
      <c r="U197" s="1603">
        <v>22</v>
      </c>
      <c r="V197" s="1555"/>
    </row>
    <row r="198" spans="1:22" x14ac:dyDescent="0.35">
      <c r="A198" s="1719"/>
      <c r="B198" s="1683">
        <v>58</v>
      </c>
      <c r="C198" s="1722" t="s">
        <v>3118</v>
      </c>
      <c r="D198" s="1684" t="s">
        <v>6998</v>
      </c>
      <c r="E198" s="1685">
        <v>45682</v>
      </c>
      <c r="F198" s="1683" t="s">
        <v>7631</v>
      </c>
      <c r="G198" s="1684">
        <v>15</v>
      </c>
      <c r="H198" s="1684">
        <v>5</v>
      </c>
      <c r="I198" s="1686">
        <v>60</v>
      </c>
      <c r="J198" s="1686">
        <f t="shared" si="85"/>
        <v>156833.33333333334</v>
      </c>
      <c r="K198" s="1686">
        <v>627333.33333333337</v>
      </c>
      <c r="L198" s="1686">
        <f t="shared" si="88"/>
        <v>9410000</v>
      </c>
      <c r="M198" s="1723"/>
      <c r="N198" s="1686"/>
      <c r="O198" s="2705">
        <f t="shared" si="82"/>
        <v>9410000</v>
      </c>
      <c r="P198" s="1686">
        <v>2666166.666666667</v>
      </c>
      <c r="Q198" s="1686">
        <f t="shared" si="83"/>
        <v>156833.33333333334</v>
      </c>
      <c r="R198" s="1686"/>
      <c r="S198" s="1686">
        <f t="shared" si="86"/>
        <v>2823000.0000000005</v>
      </c>
      <c r="T198" s="1687">
        <f t="shared" si="87"/>
        <v>6587000</v>
      </c>
      <c r="U198" s="1603">
        <v>22</v>
      </c>
      <c r="V198" s="1555"/>
    </row>
    <row r="199" spans="1:22" x14ac:dyDescent="0.35">
      <c r="A199" s="1719"/>
      <c r="B199" s="1683">
        <v>59</v>
      </c>
      <c r="C199" s="1722" t="s">
        <v>7632</v>
      </c>
      <c r="D199" s="1684" t="s">
        <v>7633</v>
      </c>
      <c r="E199" s="1685">
        <v>45684</v>
      </c>
      <c r="F199" s="1683" t="s">
        <v>7634</v>
      </c>
      <c r="G199" s="1684">
        <v>1</v>
      </c>
      <c r="H199" s="1684">
        <v>5</v>
      </c>
      <c r="I199" s="1686">
        <v>60</v>
      </c>
      <c r="J199" s="1686">
        <f t="shared" si="85"/>
        <v>18166.666666666668</v>
      </c>
      <c r="K199" s="1686">
        <v>1090000</v>
      </c>
      <c r="L199" s="1686">
        <f t="shared" si="88"/>
        <v>1090000</v>
      </c>
      <c r="M199" s="1723"/>
      <c r="N199" s="1686"/>
      <c r="O199" s="2705">
        <f t="shared" si="82"/>
        <v>1090000</v>
      </c>
      <c r="P199" s="1686">
        <v>308833.33333333331</v>
      </c>
      <c r="Q199" s="1686">
        <f t="shared" si="83"/>
        <v>18166.666666666668</v>
      </c>
      <c r="R199" s="1686"/>
      <c r="S199" s="1686">
        <f t="shared" ref="S199:S200" si="89">P199+Q199-R199</f>
        <v>327000</v>
      </c>
      <c r="T199" s="1687">
        <f t="shared" ref="T199:T200" si="90">O199-S199</f>
        <v>763000</v>
      </c>
      <c r="U199" s="1603">
        <v>22</v>
      </c>
      <c r="V199" s="1555"/>
    </row>
    <row r="200" spans="1:22" x14ac:dyDescent="0.35">
      <c r="A200" s="1719"/>
      <c r="B200" s="1683">
        <v>60</v>
      </c>
      <c r="C200" s="1722" t="s">
        <v>3120</v>
      </c>
      <c r="D200" s="1684" t="s">
        <v>7170</v>
      </c>
      <c r="E200" s="1685">
        <v>45740</v>
      </c>
      <c r="F200" s="1683" t="s">
        <v>7668</v>
      </c>
      <c r="G200" s="1684">
        <v>1</v>
      </c>
      <c r="H200" s="1684">
        <v>5</v>
      </c>
      <c r="I200" s="1686">
        <v>60</v>
      </c>
      <c r="J200" s="1686">
        <f>K200*G200/I200</f>
        <v>865750</v>
      </c>
      <c r="K200" s="1686">
        <v>51945000</v>
      </c>
      <c r="L200" s="1686">
        <f t="shared" si="88"/>
        <v>51945000</v>
      </c>
      <c r="M200" s="1723"/>
      <c r="N200" s="1686"/>
      <c r="O200" s="2705">
        <f t="shared" si="82"/>
        <v>51945000</v>
      </c>
      <c r="P200" s="1686">
        <v>12986250</v>
      </c>
      <c r="Q200" s="1686">
        <f>J200</f>
        <v>865750</v>
      </c>
      <c r="R200" s="1686"/>
      <c r="S200" s="1686">
        <f t="shared" si="89"/>
        <v>13852000</v>
      </c>
      <c r="T200" s="1687">
        <f t="shared" si="90"/>
        <v>38093000</v>
      </c>
      <c r="U200" s="1603">
        <v>22</v>
      </c>
      <c r="V200" s="1555"/>
    </row>
    <row r="201" spans="1:22" x14ac:dyDescent="0.35">
      <c r="A201" s="1719"/>
      <c r="B201" s="1683">
        <v>61</v>
      </c>
      <c r="C201" s="1722" t="s">
        <v>3120</v>
      </c>
      <c r="D201" s="1684" t="s">
        <v>7674</v>
      </c>
      <c r="E201" s="1685">
        <v>45777</v>
      </c>
      <c r="F201" s="1683" t="s">
        <v>7673</v>
      </c>
      <c r="G201" s="1684">
        <v>1</v>
      </c>
      <c r="H201" s="1684">
        <v>5</v>
      </c>
      <c r="I201" s="1686">
        <v>60</v>
      </c>
      <c r="J201" s="1686">
        <f>K201*G201/I201</f>
        <v>39583.333333333336</v>
      </c>
      <c r="K201" s="1686">
        <f>L201</f>
        <v>2375000</v>
      </c>
      <c r="L201" s="1686">
        <v>2375000</v>
      </c>
      <c r="M201" s="1723"/>
      <c r="N201" s="1686"/>
      <c r="O201" s="2705">
        <f t="shared" si="82"/>
        <v>2375000</v>
      </c>
      <c r="P201" s="1686">
        <v>554166.66666666663</v>
      </c>
      <c r="Q201" s="1686">
        <f t="shared" ref="Q201:Q221" si="91">J201</f>
        <v>39583.333333333336</v>
      </c>
      <c r="R201" s="1686"/>
      <c r="S201" s="1686">
        <f t="shared" ref="S201:S202" si="92">P201+Q201-R201</f>
        <v>593750</v>
      </c>
      <c r="T201" s="1687">
        <f t="shared" ref="T201:T202" si="93">O201-S201</f>
        <v>1781250</v>
      </c>
      <c r="U201" s="1603">
        <v>22</v>
      </c>
      <c r="V201" s="1555"/>
    </row>
    <row r="202" spans="1:22" x14ac:dyDescent="0.35">
      <c r="A202" s="1719"/>
      <c r="B202" s="1683">
        <v>62</v>
      </c>
      <c r="C202" s="1722" t="s">
        <v>7675</v>
      </c>
      <c r="D202" s="1684" t="s">
        <v>7676</v>
      </c>
      <c r="E202" s="1685">
        <v>45777</v>
      </c>
      <c r="F202" s="1683" t="s">
        <v>7673</v>
      </c>
      <c r="G202" s="1684">
        <v>1</v>
      </c>
      <c r="H202" s="1684">
        <v>5</v>
      </c>
      <c r="I202" s="1686">
        <v>60</v>
      </c>
      <c r="J202" s="1686">
        <f t="shared" ref="J202:J204" si="94">K202*G202/I202</f>
        <v>6684.9666666666662</v>
      </c>
      <c r="K202" s="1686">
        <f>L202</f>
        <v>401098</v>
      </c>
      <c r="L202" s="1686">
        <v>401098</v>
      </c>
      <c r="M202" s="1723"/>
      <c r="N202" s="1686"/>
      <c r="O202" s="2705">
        <f t="shared" si="82"/>
        <v>401098</v>
      </c>
      <c r="P202" s="1686">
        <v>93589.533333333296</v>
      </c>
      <c r="Q202" s="1686">
        <f t="shared" si="91"/>
        <v>6684.9666666666662</v>
      </c>
      <c r="R202" s="1686"/>
      <c r="S202" s="1686">
        <f t="shared" si="92"/>
        <v>100274.49999999996</v>
      </c>
      <c r="T202" s="1687">
        <f t="shared" si="93"/>
        <v>300823.50000000006</v>
      </c>
      <c r="U202" s="1603">
        <v>22</v>
      </c>
      <c r="V202" s="1555"/>
    </row>
    <row r="203" spans="1:22" x14ac:dyDescent="0.35">
      <c r="A203" s="1719"/>
      <c r="B203" s="1683">
        <v>63</v>
      </c>
      <c r="C203" s="1722" t="s">
        <v>3120</v>
      </c>
      <c r="D203" s="1684" t="s">
        <v>6956</v>
      </c>
      <c r="E203" s="1685">
        <v>45838</v>
      </c>
      <c r="F203" s="1683" t="s">
        <v>7703</v>
      </c>
      <c r="G203" s="1684">
        <v>1</v>
      </c>
      <c r="H203" s="1684">
        <v>5</v>
      </c>
      <c r="I203" s="1686">
        <v>60</v>
      </c>
      <c r="J203" s="1686">
        <f t="shared" si="94"/>
        <v>134666.66666666666</v>
      </c>
      <c r="K203" s="1686">
        <v>8080000</v>
      </c>
      <c r="L203" s="1686">
        <f>G203*K203</f>
        <v>8080000</v>
      </c>
      <c r="M203" s="1723"/>
      <c r="N203" s="1686"/>
      <c r="O203" s="2705">
        <f t="shared" si="82"/>
        <v>8080000</v>
      </c>
      <c r="P203" s="1686">
        <v>1616000.0000000002</v>
      </c>
      <c r="Q203" s="1686">
        <f t="shared" si="91"/>
        <v>134666.66666666666</v>
      </c>
      <c r="R203" s="1686"/>
      <c r="S203" s="1686">
        <f t="shared" ref="S203:S208" si="95">P203+Q203-R203</f>
        <v>1750666.666666667</v>
      </c>
      <c r="T203" s="1687">
        <f t="shared" ref="T203:T208" si="96">O203-S203</f>
        <v>6329333.333333333</v>
      </c>
      <c r="U203" s="1603">
        <v>22</v>
      </c>
      <c r="V203" s="1555"/>
    </row>
    <row r="204" spans="1:22" x14ac:dyDescent="0.35">
      <c r="A204" s="1719"/>
      <c r="B204" s="1683">
        <v>64</v>
      </c>
      <c r="C204" s="1722" t="s">
        <v>7793</v>
      </c>
      <c r="D204" s="1684" t="s">
        <v>7689</v>
      </c>
      <c r="E204" s="1685">
        <v>45883</v>
      </c>
      <c r="F204" s="1683" t="s">
        <v>7794</v>
      </c>
      <c r="G204" s="1684">
        <v>1</v>
      </c>
      <c r="H204" s="1684">
        <v>5</v>
      </c>
      <c r="I204" s="1686">
        <v>60</v>
      </c>
      <c r="J204" s="1686">
        <f t="shared" si="94"/>
        <v>42750</v>
      </c>
      <c r="K204" s="1686">
        <v>2565000</v>
      </c>
      <c r="L204" s="1686">
        <f t="shared" ref="L204:L212" si="97">K204*G204</f>
        <v>2565000</v>
      </c>
      <c r="M204" s="1723"/>
      <c r="N204" s="1686"/>
      <c r="O204" s="2705">
        <f t="shared" si="82"/>
        <v>2565000</v>
      </c>
      <c r="P204" s="1686">
        <v>427500</v>
      </c>
      <c r="Q204" s="1686">
        <f t="shared" si="91"/>
        <v>42750</v>
      </c>
      <c r="R204" s="1686"/>
      <c r="S204" s="1686">
        <f t="shared" si="95"/>
        <v>470250</v>
      </c>
      <c r="T204" s="1687">
        <f t="shared" si="96"/>
        <v>2094750</v>
      </c>
      <c r="U204" s="1603">
        <v>22</v>
      </c>
      <c r="V204" s="1555"/>
    </row>
    <row r="205" spans="1:22" x14ac:dyDescent="0.35">
      <c r="A205" s="1719"/>
      <c r="B205" s="1683">
        <v>65</v>
      </c>
      <c r="C205" s="1722" t="s">
        <v>7795</v>
      </c>
      <c r="D205" s="1684" t="s">
        <v>3112</v>
      </c>
      <c r="E205" s="1685">
        <v>45883</v>
      </c>
      <c r="F205" s="1683" t="s">
        <v>7794</v>
      </c>
      <c r="G205" s="1684">
        <v>2</v>
      </c>
      <c r="H205" s="1684">
        <v>5</v>
      </c>
      <c r="I205" s="1686">
        <v>60</v>
      </c>
      <c r="J205" s="1686">
        <f t="shared" ref="J205:J212" si="98">K205*G205/I205</f>
        <v>20666.666666666668</v>
      </c>
      <c r="K205" s="1686">
        <v>620000</v>
      </c>
      <c r="L205" s="1686">
        <f t="shared" si="97"/>
        <v>1240000</v>
      </c>
      <c r="M205" s="1723"/>
      <c r="N205" s="1686"/>
      <c r="O205" s="2705">
        <f t="shared" si="82"/>
        <v>1240000</v>
      </c>
      <c r="P205" s="1686">
        <v>206666.66666666666</v>
      </c>
      <c r="Q205" s="1686">
        <f t="shared" si="91"/>
        <v>20666.666666666668</v>
      </c>
      <c r="R205" s="1686"/>
      <c r="S205" s="1686">
        <f t="shared" si="95"/>
        <v>227333.33333333331</v>
      </c>
      <c r="T205" s="1687">
        <f t="shared" si="96"/>
        <v>1012666.6666666667</v>
      </c>
      <c r="U205" s="1603">
        <v>22</v>
      </c>
      <c r="V205" s="1555"/>
    </row>
    <row r="206" spans="1:22" x14ac:dyDescent="0.35">
      <c r="A206" s="1719"/>
      <c r="B206" s="1683">
        <v>66</v>
      </c>
      <c r="C206" s="1722" t="s">
        <v>7796</v>
      </c>
      <c r="D206" s="1684" t="s">
        <v>3112</v>
      </c>
      <c r="E206" s="1685">
        <v>45883</v>
      </c>
      <c r="F206" s="1683" t="s">
        <v>7797</v>
      </c>
      <c r="G206" s="1684">
        <v>2</v>
      </c>
      <c r="H206" s="1684">
        <v>5</v>
      </c>
      <c r="I206" s="1686">
        <v>60</v>
      </c>
      <c r="J206" s="1686">
        <f t="shared" si="98"/>
        <v>84430.166666666672</v>
      </c>
      <c r="K206" s="1686">
        <v>2532905</v>
      </c>
      <c r="L206" s="1686">
        <f t="shared" si="97"/>
        <v>5065810</v>
      </c>
      <c r="M206" s="1723"/>
      <c r="N206" s="1686"/>
      <c r="O206" s="2705">
        <f t="shared" si="82"/>
        <v>5065810</v>
      </c>
      <c r="P206" s="1686">
        <v>844301.66666666663</v>
      </c>
      <c r="Q206" s="1686">
        <f t="shared" si="91"/>
        <v>84430.166666666672</v>
      </c>
      <c r="R206" s="1686"/>
      <c r="S206" s="1686">
        <f t="shared" si="95"/>
        <v>928731.83333333326</v>
      </c>
      <c r="T206" s="1687">
        <f t="shared" si="96"/>
        <v>4137078.166666667</v>
      </c>
      <c r="U206" s="1603">
        <v>22</v>
      </c>
      <c r="V206" s="1555"/>
    </row>
    <row r="207" spans="1:22" x14ac:dyDescent="0.35">
      <c r="A207" s="1719"/>
      <c r="B207" s="1683">
        <v>67</v>
      </c>
      <c r="C207" s="1722" t="s">
        <v>7798</v>
      </c>
      <c r="D207" s="1684" t="s">
        <v>3112</v>
      </c>
      <c r="E207" s="1685">
        <v>45883</v>
      </c>
      <c r="F207" s="1683" t="s">
        <v>7797</v>
      </c>
      <c r="G207" s="1684">
        <v>1</v>
      </c>
      <c r="H207" s="1684">
        <v>5</v>
      </c>
      <c r="I207" s="1686">
        <v>60</v>
      </c>
      <c r="J207" s="1686">
        <f t="shared" si="98"/>
        <v>57500</v>
      </c>
      <c r="K207" s="1686">
        <v>3450000</v>
      </c>
      <c r="L207" s="1686">
        <f t="shared" si="97"/>
        <v>3450000</v>
      </c>
      <c r="M207" s="1723"/>
      <c r="N207" s="1686"/>
      <c r="O207" s="2705">
        <f t="shared" si="82"/>
        <v>3450000</v>
      </c>
      <c r="P207" s="1686">
        <v>575000</v>
      </c>
      <c r="Q207" s="1686">
        <f t="shared" si="91"/>
        <v>57500</v>
      </c>
      <c r="R207" s="1686"/>
      <c r="S207" s="1686">
        <f t="shared" si="95"/>
        <v>632500</v>
      </c>
      <c r="T207" s="1687">
        <f t="shared" si="96"/>
        <v>2817500</v>
      </c>
      <c r="U207" s="1603">
        <v>22</v>
      </c>
      <c r="V207" s="1555"/>
    </row>
    <row r="208" spans="1:22" x14ac:dyDescent="0.35">
      <c r="A208" s="1719"/>
      <c r="B208" s="1683">
        <v>68</v>
      </c>
      <c r="C208" s="1722" t="s">
        <v>7799</v>
      </c>
      <c r="D208" s="1684" t="s">
        <v>7548</v>
      </c>
      <c r="E208" s="1685">
        <v>45893</v>
      </c>
      <c r="F208" s="1683" t="s">
        <v>7797</v>
      </c>
      <c r="G208" s="1684">
        <v>1</v>
      </c>
      <c r="H208" s="1684">
        <v>5</v>
      </c>
      <c r="I208" s="1686">
        <v>60</v>
      </c>
      <c r="J208" s="1686">
        <f t="shared" si="98"/>
        <v>118875</v>
      </c>
      <c r="K208" s="1686">
        <v>7132500</v>
      </c>
      <c r="L208" s="1686">
        <f t="shared" si="97"/>
        <v>7132500</v>
      </c>
      <c r="M208" s="1723"/>
      <c r="N208" s="1686"/>
      <c r="O208" s="2705">
        <f t="shared" si="82"/>
        <v>7132500</v>
      </c>
      <c r="P208" s="1686">
        <v>1188750</v>
      </c>
      <c r="Q208" s="1686">
        <f t="shared" si="91"/>
        <v>118875</v>
      </c>
      <c r="R208" s="1686"/>
      <c r="S208" s="1686">
        <f t="shared" si="95"/>
        <v>1307625</v>
      </c>
      <c r="T208" s="1687">
        <f t="shared" si="96"/>
        <v>5824875</v>
      </c>
      <c r="U208" s="1603">
        <v>22</v>
      </c>
      <c r="V208" s="1555"/>
    </row>
    <row r="209" spans="1:22" x14ac:dyDescent="0.35">
      <c r="A209" s="1719"/>
      <c r="B209" s="1683">
        <v>69</v>
      </c>
      <c r="C209" s="1722" t="s">
        <v>7939</v>
      </c>
      <c r="D209" s="1684" t="s">
        <v>7317</v>
      </c>
      <c r="E209" s="1685">
        <v>45904</v>
      </c>
      <c r="F209" s="1683" t="s">
        <v>7940</v>
      </c>
      <c r="G209" s="1684">
        <v>1</v>
      </c>
      <c r="H209" s="1684">
        <v>5</v>
      </c>
      <c r="I209" s="1686">
        <v>60</v>
      </c>
      <c r="J209" s="1686">
        <f t="shared" si="98"/>
        <v>9416.6666666666661</v>
      </c>
      <c r="K209" s="1686">
        <v>565000</v>
      </c>
      <c r="L209" s="1686">
        <f t="shared" si="97"/>
        <v>565000</v>
      </c>
      <c r="M209" s="1723"/>
      <c r="N209" s="1686"/>
      <c r="O209" s="2705">
        <f t="shared" si="82"/>
        <v>565000</v>
      </c>
      <c r="P209" s="1686">
        <v>84750</v>
      </c>
      <c r="Q209" s="1686">
        <f t="shared" si="91"/>
        <v>9416.6666666666661</v>
      </c>
      <c r="R209" s="1686"/>
      <c r="S209" s="1686">
        <f t="shared" ref="S209:S210" si="99">P209+Q209-R209</f>
        <v>94166.666666666672</v>
      </c>
      <c r="T209" s="1687">
        <f t="shared" ref="T209:T210" si="100">O209-S209</f>
        <v>470833.33333333331</v>
      </c>
      <c r="U209" s="1603">
        <v>22</v>
      </c>
      <c r="V209" s="1555"/>
    </row>
    <row r="210" spans="1:22" x14ac:dyDescent="0.35">
      <c r="A210" s="1719"/>
      <c r="B210" s="1683">
        <v>70</v>
      </c>
      <c r="C210" s="1722" t="s">
        <v>7941</v>
      </c>
      <c r="D210" s="1684" t="s">
        <v>7317</v>
      </c>
      <c r="E210" s="1685">
        <v>45904</v>
      </c>
      <c r="F210" s="1683" t="s">
        <v>7940</v>
      </c>
      <c r="G210" s="1684">
        <v>1</v>
      </c>
      <c r="H210" s="1684">
        <v>5</v>
      </c>
      <c r="I210" s="1686">
        <v>60</v>
      </c>
      <c r="J210" s="1686">
        <f t="shared" si="98"/>
        <v>30539.666666666668</v>
      </c>
      <c r="K210" s="1686">
        <f>1832380</f>
        <v>1832380</v>
      </c>
      <c r="L210" s="1686">
        <f t="shared" si="97"/>
        <v>1832380</v>
      </c>
      <c r="M210" s="1723"/>
      <c r="N210" s="1686"/>
      <c r="O210" s="2705">
        <f t="shared" si="82"/>
        <v>1832380</v>
      </c>
      <c r="P210" s="1686">
        <v>274857</v>
      </c>
      <c r="Q210" s="1686">
        <f t="shared" si="91"/>
        <v>30539.666666666668</v>
      </c>
      <c r="R210" s="1686"/>
      <c r="S210" s="1686">
        <f t="shared" si="99"/>
        <v>305396.66666666669</v>
      </c>
      <c r="T210" s="1687">
        <f t="shared" si="100"/>
        <v>1526983.3333333333</v>
      </c>
      <c r="U210" s="1603">
        <v>22</v>
      </c>
      <c r="V210" s="1555"/>
    </row>
    <row r="211" spans="1:22" x14ac:dyDescent="0.35">
      <c r="A211" s="1719"/>
      <c r="B211" s="1683">
        <v>71</v>
      </c>
      <c r="C211" s="1722" t="s">
        <v>7942</v>
      </c>
      <c r="D211" s="1684" t="s">
        <v>6947</v>
      </c>
      <c r="E211" s="1685">
        <v>45925</v>
      </c>
      <c r="F211" s="1683" t="s">
        <v>7940</v>
      </c>
      <c r="G211" s="1684">
        <v>1</v>
      </c>
      <c r="H211" s="1684">
        <v>5</v>
      </c>
      <c r="I211" s="1686">
        <v>60</v>
      </c>
      <c r="J211" s="1686">
        <f t="shared" si="98"/>
        <v>271416.66666666669</v>
      </c>
      <c r="K211" s="1686">
        <v>16285000</v>
      </c>
      <c r="L211" s="1686">
        <f t="shared" si="97"/>
        <v>16285000</v>
      </c>
      <c r="M211" s="1723"/>
      <c r="N211" s="1686"/>
      <c r="O211" s="2705">
        <f t="shared" si="82"/>
        <v>16285000</v>
      </c>
      <c r="P211" s="1686">
        <v>2442750</v>
      </c>
      <c r="Q211" s="1686">
        <f t="shared" si="91"/>
        <v>271416.66666666669</v>
      </c>
      <c r="R211" s="1686"/>
      <c r="S211" s="1686">
        <f t="shared" ref="S211:S212" si="101">P211+Q211-R211</f>
        <v>2714166.6666666665</v>
      </c>
      <c r="T211" s="1687">
        <f t="shared" ref="T211:T212" si="102">O211-S211</f>
        <v>13570833.333333334</v>
      </c>
      <c r="U211" s="1603">
        <v>22</v>
      </c>
      <c r="V211" s="1555"/>
    </row>
    <row r="212" spans="1:22" x14ac:dyDescent="0.35">
      <c r="A212" s="1719"/>
      <c r="B212" s="1683">
        <v>72</v>
      </c>
      <c r="C212" s="1722" t="s">
        <v>7620</v>
      </c>
      <c r="D212" s="1684" t="s">
        <v>7949</v>
      </c>
      <c r="E212" s="1685">
        <v>45930</v>
      </c>
      <c r="F212" s="1683" t="s">
        <v>7950</v>
      </c>
      <c r="G212" s="1684">
        <v>5</v>
      </c>
      <c r="H212" s="1684">
        <v>5</v>
      </c>
      <c r="I212" s="1686">
        <v>60</v>
      </c>
      <c r="J212" s="1686">
        <f t="shared" si="98"/>
        <v>476000</v>
      </c>
      <c r="K212" s="1686">
        <f>28560000/5</f>
        <v>5712000</v>
      </c>
      <c r="L212" s="1686">
        <f t="shared" si="97"/>
        <v>28560000</v>
      </c>
      <c r="M212" s="1723"/>
      <c r="N212" s="1686"/>
      <c r="O212" s="2705">
        <f t="shared" si="82"/>
        <v>28560000</v>
      </c>
      <c r="P212" s="1686">
        <v>4284000</v>
      </c>
      <c r="Q212" s="1686">
        <f t="shared" si="91"/>
        <v>476000</v>
      </c>
      <c r="R212" s="1686"/>
      <c r="S212" s="1686">
        <f t="shared" si="101"/>
        <v>4760000</v>
      </c>
      <c r="T212" s="1687">
        <f t="shared" si="102"/>
        <v>23800000</v>
      </c>
      <c r="U212" s="1603">
        <v>22</v>
      </c>
      <c r="V212" s="1555"/>
    </row>
    <row r="213" spans="1:22" x14ac:dyDescent="0.35">
      <c r="A213" s="1719"/>
      <c r="B213" s="1683">
        <v>73</v>
      </c>
      <c r="C213" s="1722" t="s">
        <v>7963</v>
      </c>
      <c r="D213" s="1684" t="s">
        <v>7548</v>
      </c>
      <c r="E213" s="1685">
        <v>45945</v>
      </c>
      <c r="F213" s="1683" t="s">
        <v>7964</v>
      </c>
      <c r="G213" s="1684">
        <v>1</v>
      </c>
      <c r="H213" s="1684">
        <v>5</v>
      </c>
      <c r="I213" s="1686">
        <v>60</v>
      </c>
      <c r="J213" s="1686">
        <f>K213*G213/I213</f>
        <v>34985</v>
      </c>
      <c r="K213" s="1686">
        <v>2099100</v>
      </c>
      <c r="L213" s="1686">
        <f>G213*K213</f>
        <v>2099100</v>
      </c>
      <c r="M213" s="1723"/>
      <c r="N213" s="1686"/>
      <c r="O213" s="2705">
        <f>L213+M213-N213</f>
        <v>2099100</v>
      </c>
      <c r="P213" s="1686">
        <v>279880</v>
      </c>
      <c r="Q213" s="1686">
        <f t="shared" si="91"/>
        <v>34985</v>
      </c>
      <c r="R213" s="1686"/>
      <c r="S213" s="1686">
        <f t="shared" ref="S213" si="103">P213+Q213-R213</f>
        <v>314865</v>
      </c>
      <c r="T213" s="1687">
        <f t="shared" ref="T213" si="104">O213-S213</f>
        <v>1784235</v>
      </c>
      <c r="U213" s="1603">
        <v>22</v>
      </c>
      <c r="V213" s="1555"/>
    </row>
    <row r="214" spans="1:22" x14ac:dyDescent="0.35">
      <c r="A214" s="1719"/>
      <c r="B214" s="1683">
        <v>74</v>
      </c>
      <c r="C214" s="1722" t="s">
        <v>8001</v>
      </c>
      <c r="D214" s="1684" t="s">
        <v>7317</v>
      </c>
      <c r="E214" s="1685">
        <v>45991</v>
      </c>
      <c r="F214" s="1683" t="s">
        <v>8000</v>
      </c>
      <c r="G214" s="1684">
        <v>1</v>
      </c>
      <c r="H214" s="1684">
        <v>5</v>
      </c>
      <c r="I214" s="1686">
        <v>60</v>
      </c>
      <c r="J214" s="1686">
        <f>K214*G214/I214</f>
        <v>434841.66666666669</v>
      </c>
      <c r="K214" s="1686">
        <v>26090500</v>
      </c>
      <c r="L214" s="1686">
        <f>G214*K214</f>
        <v>26090500</v>
      </c>
      <c r="M214" s="1723"/>
      <c r="N214" s="1686"/>
      <c r="O214" s="2705">
        <f>L214+M214-N214</f>
        <v>26090500</v>
      </c>
      <c r="P214" s="1686">
        <v>3043891.6666666665</v>
      </c>
      <c r="Q214" s="1686">
        <f t="shared" si="91"/>
        <v>434841.66666666669</v>
      </c>
      <c r="R214" s="1686"/>
      <c r="S214" s="1686">
        <f t="shared" ref="S214:S222" si="105">P214+Q214-R214</f>
        <v>3478733.333333333</v>
      </c>
      <c r="T214" s="1687">
        <f t="shared" ref="T214:T222" si="106">O214-S214</f>
        <v>22611766.666666668</v>
      </c>
      <c r="U214" s="1603">
        <v>22</v>
      </c>
      <c r="V214" s="1555"/>
    </row>
    <row r="215" spans="1:22" x14ac:dyDescent="0.35">
      <c r="A215" s="1719"/>
      <c r="B215" s="1683">
        <v>75</v>
      </c>
      <c r="C215" s="1722" t="s">
        <v>8053</v>
      </c>
      <c r="D215" s="1684" t="s">
        <v>8054</v>
      </c>
      <c r="E215" s="1685">
        <v>46027</v>
      </c>
      <c r="F215" s="1683" t="s">
        <v>8055</v>
      </c>
      <c r="G215" s="1684">
        <v>1</v>
      </c>
      <c r="H215" s="1684">
        <v>5</v>
      </c>
      <c r="I215" s="1686">
        <v>60</v>
      </c>
      <c r="J215" s="1686">
        <f>K215*G215/I215</f>
        <v>110833.33333333333</v>
      </c>
      <c r="K215" s="1686">
        <v>6650000</v>
      </c>
      <c r="L215" s="1686">
        <f t="shared" ref="L215:L220" si="107">K215*G215</f>
        <v>6650000</v>
      </c>
      <c r="M215" s="1723"/>
      <c r="N215" s="1686"/>
      <c r="O215" s="2705">
        <f>L215+M215-N215</f>
        <v>6650000</v>
      </c>
      <c r="P215" s="1686">
        <v>554166.66666666663</v>
      </c>
      <c r="Q215" s="1686">
        <f t="shared" si="91"/>
        <v>110833.33333333333</v>
      </c>
      <c r="R215" s="1686"/>
      <c r="S215" s="1686">
        <f t="shared" si="105"/>
        <v>665000</v>
      </c>
      <c r="T215" s="1687">
        <f t="shared" si="106"/>
        <v>5985000</v>
      </c>
      <c r="U215" s="1603">
        <v>22</v>
      </c>
      <c r="V215" s="1555"/>
    </row>
    <row r="216" spans="1:22" x14ac:dyDescent="0.35">
      <c r="A216" s="1719"/>
      <c r="B216" s="1683">
        <v>76</v>
      </c>
      <c r="C216" s="1722" t="s">
        <v>8084</v>
      </c>
      <c r="D216" s="1684" t="s">
        <v>7548</v>
      </c>
      <c r="E216" s="1685">
        <v>46081</v>
      </c>
      <c r="F216" s="1683" t="s">
        <v>8085</v>
      </c>
      <c r="G216" s="1684">
        <v>1</v>
      </c>
      <c r="H216" s="1684">
        <v>5</v>
      </c>
      <c r="I216" s="1686">
        <v>60</v>
      </c>
      <c r="J216" s="1686">
        <f t="shared" ref="J216:J221" si="108">K216*G216/I216</f>
        <v>6788</v>
      </c>
      <c r="K216" s="1686">
        <v>407280</v>
      </c>
      <c r="L216" s="1686">
        <f t="shared" si="107"/>
        <v>407280</v>
      </c>
      <c r="M216" s="1723"/>
      <c r="N216" s="1686"/>
      <c r="O216" s="2705">
        <f t="shared" ref="O216:O221" si="109">L216+M216-N216</f>
        <v>407280</v>
      </c>
      <c r="P216" s="1686">
        <v>27152</v>
      </c>
      <c r="Q216" s="1686">
        <f t="shared" si="91"/>
        <v>6788</v>
      </c>
      <c r="R216" s="1686"/>
      <c r="S216" s="1686">
        <f t="shared" ref="S216:S221" si="110">P216+Q216-R216</f>
        <v>33940</v>
      </c>
      <c r="T216" s="1687">
        <f t="shared" ref="T216:T221" si="111">O216-S216</f>
        <v>373340</v>
      </c>
      <c r="U216" s="1603">
        <v>22</v>
      </c>
      <c r="V216" s="1555"/>
    </row>
    <row r="217" spans="1:22" x14ac:dyDescent="0.35">
      <c r="A217" s="1719"/>
      <c r="B217" s="1683">
        <v>77</v>
      </c>
      <c r="C217" s="1722" t="s">
        <v>8087</v>
      </c>
      <c r="D217" s="1684" t="s">
        <v>7548</v>
      </c>
      <c r="E217" s="1685">
        <v>46081</v>
      </c>
      <c r="F217" s="1683" t="s">
        <v>8085</v>
      </c>
      <c r="G217" s="1684">
        <v>1</v>
      </c>
      <c r="H217" s="1684">
        <v>5</v>
      </c>
      <c r="I217" s="1686">
        <v>60</v>
      </c>
      <c r="J217" s="1686">
        <f t="shared" si="108"/>
        <v>305455.09999999998</v>
      </c>
      <c r="K217" s="1686">
        <v>18327306</v>
      </c>
      <c r="L217" s="1686">
        <f t="shared" si="107"/>
        <v>18327306</v>
      </c>
      <c r="M217" s="1723"/>
      <c r="N217" s="1686"/>
      <c r="O217" s="2705">
        <f t="shared" si="109"/>
        <v>18327306</v>
      </c>
      <c r="P217" s="1686">
        <v>1221820.3999999999</v>
      </c>
      <c r="Q217" s="1686">
        <f t="shared" si="91"/>
        <v>305455.09999999998</v>
      </c>
      <c r="R217" s="1686"/>
      <c r="S217" s="1686">
        <f t="shared" si="110"/>
        <v>1527275.5</v>
      </c>
      <c r="T217" s="1687">
        <f t="shared" si="111"/>
        <v>16800030.5</v>
      </c>
      <c r="U217" s="1603">
        <v>22</v>
      </c>
      <c r="V217" s="1555"/>
    </row>
    <row r="218" spans="1:22" ht="14" x14ac:dyDescent="0.35">
      <c r="A218" s="1719"/>
      <c r="B218" s="1683">
        <v>78</v>
      </c>
      <c r="C218" s="3263" t="s">
        <v>8088</v>
      </c>
      <c r="D218" s="1684" t="s">
        <v>7548</v>
      </c>
      <c r="E218" s="1685">
        <v>46081</v>
      </c>
      <c r="F218" s="1683" t="s">
        <v>8085</v>
      </c>
      <c r="G218" s="1684">
        <v>1</v>
      </c>
      <c r="H218" s="1684">
        <v>5</v>
      </c>
      <c r="I218" s="1686">
        <v>60</v>
      </c>
      <c r="J218" s="1686">
        <f t="shared" si="108"/>
        <v>48969.2</v>
      </c>
      <c r="K218" s="1686">
        <v>2938152</v>
      </c>
      <c r="L218" s="1686">
        <f t="shared" si="107"/>
        <v>2938152</v>
      </c>
      <c r="M218" s="1723"/>
      <c r="N218" s="1686"/>
      <c r="O218" s="2705">
        <f t="shared" si="109"/>
        <v>2938152</v>
      </c>
      <c r="P218" s="1686">
        <v>195876.8</v>
      </c>
      <c r="Q218" s="1686">
        <f t="shared" si="91"/>
        <v>48969.2</v>
      </c>
      <c r="R218" s="1686"/>
      <c r="S218" s="1686">
        <f t="shared" si="110"/>
        <v>244846</v>
      </c>
      <c r="T218" s="1687">
        <f t="shared" si="111"/>
        <v>2693306</v>
      </c>
      <c r="U218" s="1603">
        <v>22</v>
      </c>
      <c r="V218" s="1555"/>
    </row>
    <row r="219" spans="1:22" ht="21" x14ac:dyDescent="0.35">
      <c r="A219" s="1719"/>
      <c r="B219" s="1683">
        <v>79</v>
      </c>
      <c r="C219" s="3263" t="s">
        <v>8089</v>
      </c>
      <c r="D219" s="1684" t="s">
        <v>7548</v>
      </c>
      <c r="E219" s="1685">
        <v>46081</v>
      </c>
      <c r="F219" s="1683" t="s">
        <v>8085</v>
      </c>
      <c r="G219" s="1684">
        <v>1</v>
      </c>
      <c r="H219" s="1684">
        <v>5</v>
      </c>
      <c r="I219" s="1686">
        <v>60</v>
      </c>
      <c r="J219" s="1686">
        <f t="shared" si="108"/>
        <v>109767.8</v>
      </c>
      <c r="K219" s="1686">
        <v>6586068</v>
      </c>
      <c r="L219" s="1686">
        <f t="shared" si="107"/>
        <v>6586068</v>
      </c>
      <c r="M219" s="1723"/>
      <c r="N219" s="1686"/>
      <c r="O219" s="2705">
        <f t="shared" si="109"/>
        <v>6586068</v>
      </c>
      <c r="P219" s="1686">
        <v>439071.2</v>
      </c>
      <c r="Q219" s="1686">
        <f t="shared" si="91"/>
        <v>109767.8</v>
      </c>
      <c r="R219" s="1686"/>
      <c r="S219" s="1686">
        <f t="shared" si="110"/>
        <v>548839</v>
      </c>
      <c r="T219" s="1687">
        <f t="shared" si="111"/>
        <v>6037229</v>
      </c>
      <c r="U219" s="1603">
        <v>22</v>
      </c>
      <c r="V219" s="1555"/>
    </row>
    <row r="220" spans="1:22" x14ac:dyDescent="0.35">
      <c r="A220" s="1719"/>
      <c r="B220" s="1683">
        <v>80</v>
      </c>
      <c r="C220" s="1722" t="s">
        <v>7632</v>
      </c>
      <c r="D220" s="1684" t="s">
        <v>8170</v>
      </c>
      <c r="E220" s="1685">
        <v>46172</v>
      </c>
      <c r="F220" s="1683" t="s">
        <v>8171</v>
      </c>
      <c r="G220" s="1684">
        <v>1</v>
      </c>
      <c r="H220" s="1684">
        <v>5</v>
      </c>
      <c r="I220" s="1686">
        <v>60</v>
      </c>
      <c r="J220" s="1686">
        <f t="shared" si="108"/>
        <v>80833.333333333328</v>
      </c>
      <c r="K220" s="1686">
        <v>4850000</v>
      </c>
      <c r="L220" s="1686">
        <f t="shared" si="107"/>
        <v>4850000</v>
      </c>
      <c r="M220" s="1723"/>
      <c r="N220" s="1686"/>
      <c r="O220" s="2705">
        <f t="shared" si="109"/>
        <v>4850000</v>
      </c>
      <c r="P220" s="1686">
        <v>80833.333333333328</v>
      </c>
      <c r="Q220" s="1686">
        <f t="shared" si="91"/>
        <v>80833.333333333328</v>
      </c>
      <c r="R220" s="1686"/>
      <c r="S220" s="1686">
        <f t="shared" si="110"/>
        <v>161666.66666666666</v>
      </c>
      <c r="T220" s="1687">
        <f t="shared" si="111"/>
        <v>4688333.333333333</v>
      </c>
      <c r="U220" s="1603">
        <v>22</v>
      </c>
      <c r="V220" s="1555"/>
    </row>
    <row r="221" spans="1:22" x14ac:dyDescent="0.35">
      <c r="A221" s="1719"/>
      <c r="B221" s="1683">
        <v>81</v>
      </c>
      <c r="C221" s="1722" t="s">
        <v>8522</v>
      </c>
      <c r="D221" s="1684" t="s">
        <v>8523</v>
      </c>
      <c r="E221" s="1685">
        <v>46176</v>
      </c>
      <c r="F221" s="1683" t="s">
        <v>8524</v>
      </c>
      <c r="G221" s="1684">
        <v>1</v>
      </c>
      <c r="H221" s="1684">
        <v>5</v>
      </c>
      <c r="I221" s="1686">
        <v>60</v>
      </c>
      <c r="J221" s="1686">
        <f t="shared" si="108"/>
        <v>99983.333333333328</v>
      </c>
      <c r="K221" s="1686">
        <v>5999000</v>
      </c>
      <c r="L221" s="1686"/>
      <c r="M221" s="1723">
        <f>K221*G221</f>
        <v>5999000</v>
      </c>
      <c r="N221" s="1686"/>
      <c r="O221" s="2705">
        <f t="shared" si="109"/>
        <v>5999000</v>
      </c>
      <c r="P221" s="1686">
        <v>0</v>
      </c>
      <c r="Q221" s="1686">
        <f t="shared" si="91"/>
        <v>99983.333333333328</v>
      </c>
      <c r="R221" s="1686"/>
      <c r="S221" s="1686">
        <f t="shared" si="110"/>
        <v>99983.333333333328</v>
      </c>
      <c r="T221" s="1687">
        <f t="shared" si="111"/>
        <v>5899016.666666667</v>
      </c>
      <c r="U221" s="1603">
        <v>22</v>
      </c>
      <c r="V221" s="1555"/>
    </row>
    <row r="222" spans="1:22" ht="12" thickBot="1" x14ac:dyDescent="0.4">
      <c r="A222" s="1719"/>
      <c r="B222" s="1683">
        <v>82</v>
      </c>
      <c r="C222" s="1722"/>
      <c r="D222" s="1684"/>
      <c r="E222" s="1685"/>
      <c r="F222" s="1683"/>
      <c r="G222" s="1684"/>
      <c r="H222" s="1684"/>
      <c r="I222" s="1686"/>
      <c r="J222" s="1686"/>
      <c r="K222" s="1686"/>
      <c r="L222" s="1686"/>
      <c r="M222" s="1723"/>
      <c r="N222" s="1686"/>
      <c r="O222" s="2705">
        <f t="shared" si="82"/>
        <v>0</v>
      </c>
      <c r="P222" s="1686">
        <v>0</v>
      </c>
      <c r="Q222" s="1686">
        <f t="shared" si="83"/>
        <v>0</v>
      </c>
      <c r="R222" s="1686"/>
      <c r="S222" s="1686">
        <f t="shared" si="105"/>
        <v>0</v>
      </c>
      <c r="T222" s="1687">
        <f t="shared" si="106"/>
        <v>0</v>
      </c>
      <c r="U222" s="1603">
        <v>22</v>
      </c>
      <c r="V222" s="1555"/>
    </row>
    <row r="223" spans="1:22" x14ac:dyDescent="0.35">
      <c r="A223" s="1719"/>
      <c r="B223" s="1724"/>
      <c r="C223" s="1703" t="s">
        <v>1098</v>
      </c>
      <c r="D223" s="1697"/>
      <c r="E223" s="1698"/>
      <c r="F223" s="1699"/>
      <c r="G223" s="1697"/>
      <c r="H223" s="1697"/>
      <c r="I223" s="1700"/>
      <c r="J223" s="1700">
        <f>SUM(J141:J222)</f>
        <v>11197210.316666665</v>
      </c>
      <c r="K223" s="1700">
        <f t="shared" ref="K223:P223" si="112">SUM(K141:K222)</f>
        <v>538893722.33333325</v>
      </c>
      <c r="L223" s="1700">
        <f>SUM(L141:L222)</f>
        <v>597108294</v>
      </c>
      <c r="M223" s="1700">
        <f t="shared" si="112"/>
        <v>5999000</v>
      </c>
      <c r="N223" s="1700">
        <f t="shared" si="112"/>
        <v>0</v>
      </c>
      <c r="O223" s="1700">
        <f t="shared" si="112"/>
        <v>603107294</v>
      </c>
      <c r="P223" s="1700">
        <f t="shared" si="112"/>
        <v>308972553.9333334</v>
      </c>
      <c r="Q223" s="1700">
        <f>SUM(Q141:Q222)</f>
        <v>8877958.2333333362</v>
      </c>
      <c r="R223" s="1700">
        <f>SUM(R141:R222)</f>
        <v>0</v>
      </c>
      <c r="S223" s="1700">
        <f>SUM(S141:S222)</f>
        <v>317850512.16666675</v>
      </c>
      <c r="T223" s="1702">
        <f>SUM(T141:T222)</f>
        <v>285256781.83333337</v>
      </c>
      <c r="U223" s="1603"/>
      <c r="V223" s="1555"/>
    </row>
    <row r="224" spans="1:22" s="1631" customFormat="1" ht="7" x14ac:dyDescent="0.35">
      <c r="A224" s="1632"/>
      <c r="B224" s="1635"/>
      <c r="C224" s="1636"/>
      <c r="D224" s="1636"/>
      <c r="E224" s="1637"/>
      <c r="F224" s="1635"/>
      <c r="G224" s="1636"/>
      <c r="H224" s="1636"/>
      <c r="I224" s="1638"/>
      <c r="J224" s="1638"/>
      <c r="K224" s="1638"/>
      <c r="L224" s="1638"/>
      <c r="M224" s="1638"/>
      <c r="N224" s="1638"/>
      <c r="O224" s="1638"/>
      <c r="P224" s="1638"/>
      <c r="Q224" s="1638"/>
      <c r="R224" s="1638"/>
      <c r="S224" s="1638"/>
      <c r="T224" s="1639"/>
      <c r="U224" s="1640"/>
    </row>
    <row r="225" spans="1:21" s="1631" customFormat="1" ht="7" x14ac:dyDescent="0.35">
      <c r="A225" s="1632"/>
      <c r="B225" s="1725">
        <v>2</v>
      </c>
      <c r="C225" s="1645" t="s">
        <v>1563</v>
      </c>
      <c r="D225" s="1636"/>
      <c r="E225" s="1637"/>
      <c r="F225" s="1635"/>
      <c r="G225" s="1636"/>
      <c r="H225" s="1636"/>
      <c r="I225" s="1638"/>
      <c r="J225" s="1638"/>
      <c r="K225" s="1638"/>
      <c r="L225" s="1638"/>
      <c r="M225" s="1638"/>
      <c r="N225" s="1638"/>
      <c r="O225" s="1638"/>
      <c r="P225" s="1638"/>
      <c r="Q225" s="1638"/>
      <c r="R225" s="1638"/>
      <c r="S225" s="1638"/>
      <c r="T225" s="1639"/>
      <c r="U225" s="1640"/>
    </row>
    <row r="226" spans="1:21" s="648" customFormat="1" x14ac:dyDescent="0.35">
      <c r="A226" s="1643"/>
      <c r="B226" s="1721">
        <v>1</v>
      </c>
      <c r="C226" s="1722" t="s">
        <v>6991</v>
      </c>
      <c r="D226" s="1684"/>
      <c r="E226" s="1685"/>
      <c r="F226" s="1683"/>
      <c r="G226" s="1684" t="s">
        <v>6952</v>
      </c>
      <c r="H226" s="1684">
        <v>2</v>
      </c>
      <c r="I226" s="1686">
        <v>24</v>
      </c>
      <c r="J226" s="1686">
        <v>1</v>
      </c>
      <c r="K226" s="1686">
        <v>4999000</v>
      </c>
      <c r="L226" s="1686">
        <v>4999000</v>
      </c>
      <c r="M226" s="1723"/>
      <c r="N226" s="1686"/>
      <c r="O226" s="2705">
        <f t="shared" ref="O226:O242" si="113">L226+M226-N226</f>
        <v>4999000</v>
      </c>
      <c r="P226" s="1686">
        <v>4998999</v>
      </c>
      <c r="Q226" s="1686">
        <v>0</v>
      </c>
      <c r="R226" s="1686"/>
      <c r="S226" s="1686">
        <f t="shared" ref="S226:S228" si="114">P226+Q226-R226</f>
        <v>4998999</v>
      </c>
      <c r="T226" s="1687">
        <f t="shared" ref="T226:T228" si="115">O226-S226</f>
        <v>1</v>
      </c>
      <c r="U226" s="1603">
        <v>23</v>
      </c>
    </row>
    <row r="227" spans="1:21" s="648" customFormat="1" x14ac:dyDescent="0.35">
      <c r="A227" s="1643"/>
      <c r="B227" s="1721">
        <v>2</v>
      </c>
      <c r="C227" s="1722" t="s">
        <v>6992</v>
      </c>
      <c r="D227" s="1684"/>
      <c r="E227" s="1685">
        <v>44835</v>
      </c>
      <c r="F227" s="1683"/>
      <c r="G227" s="1684"/>
      <c r="H227" s="1684">
        <v>2</v>
      </c>
      <c r="I227" s="1686">
        <v>24</v>
      </c>
      <c r="J227" s="1686">
        <v>67083.333333333328</v>
      </c>
      <c r="K227" s="1686">
        <v>1610000</v>
      </c>
      <c r="L227" s="1686">
        <v>1610000</v>
      </c>
      <c r="M227" s="1723"/>
      <c r="N227" s="1686"/>
      <c r="O227" s="2705">
        <f t="shared" si="113"/>
        <v>1610000</v>
      </c>
      <c r="P227" s="1686">
        <v>1609998.9995333324</v>
      </c>
      <c r="Q227" s="1686">
        <v>0</v>
      </c>
      <c r="R227" s="1686"/>
      <c r="S227" s="1686">
        <f t="shared" si="114"/>
        <v>1609998.9995333324</v>
      </c>
      <c r="T227" s="1687">
        <f t="shared" si="115"/>
        <v>1.0004666675813496</v>
      </c>
      <c r="U227" s="1603">
        <v>23</v>
      </c>
    </row>
    <row r="228" spans="1:21" s="648" customFormat="1" x14ac:dyDescent="0.35">
      <c r="A228" s="1643"/>
      <c r="B228" s="1721">
        <v>3</v>
      </c>
      <c r="C228" s="1722" t="s">
        <v>6993</v>
      </c>
      <c r="D228" s="1684"/>
      <c r="E228" s="1685">
        <v>45139</v>
      </c>
      <c r="F228" s="1683"/>
      <c r="G228" s="1684"/>
      <c r="H228" s="1684">
        <v>4</v>
      </c>
      <c r="I228" s="1686">
        <v>48</v>
      </c>
      <c r="J228" s="1686">
        <v>83333.333333333328</v>
      </c>
      <c r="K228" s="1686">
        <v>4000000</v>
      </c>
      <c r="L228" s="1686">
        <v>4000000</v>
      </c>
      <c r="M228" s="1723"/>
      <c r="N228" s="1686"/>
      <c r="O228" s="2705">
        <f t="shared" si="113"/>
        <v>4000000</v>
      </c>
      <c r="P228" s="1686">
        <v>2833333.3333333372</v>
      </c>
      <c r="Q228" s="1686">
        <v>83333.333333333328</v>
      </c>
      <c r="R228" s="1686"/>
      <c r="S228" s="1686">
        <f t="shared" si="114"/>
        <v>2916666.6666666707</v>
      </c>
      <c r="T228" s="1687">
        <f t="shared" si="115"/>
        <v>1083333.3333333293</v>
      </c>
      <c r="U228" s="1603">
        <v>23</v>
      </c>
    </row>
    <row r="229" spans="1:21" s="648" customFormat="1" x14ac:dyDescent="0.35">
      <c r="A229" s="1643"/>
      <c r="B229" s="1721">
        <v>4</v>
      </c>
      <c r="C229" s="1722" t="s">
        <v>7174</v>
      </c>
      <c r="D229" s="1684" t="s">
        <v>7175</v>
      </c>
      <c r="E229" s="1685">
        <v>45415</v>
      </c>
      <c r="F229" s="1683"/>
      <c r="G229" s="1684">
        <v>1</v>
      </c>
      <c r="H229" s="1684">
        <v>5</v>
      </c>
      <c r="I229" s="1686">
        <v>60</v>
      </c>
      <c r="J229" s="1686">
        <f>K229*G229/I229</f>
        <v>17163.666666666668</v>
      </c>
      <c r="K229" s="1686">
        <v>1029820</v>
      </c>
      <c r="L229" s="1686">
        <v>1029820</v>
      </c>
      <c r="M229" s="1723"/>
      <c r="N229" s="1686"/>
      <c r="O229" s="2705">
        <f t="shared" si="113"/>
        <v>1029820</v>
      </c>
      <c r="P229" s="1686">
        <v>429091.6666666668</v>
      </c>
      <c r="Q229" s="1686">
        <f>J229</f>
        <v>17163.666666666668</v>
      </c>
      <c r="R229" s="1686"/>
      <c r="S229" s="1686">
        <f t="shared" ref="S229:S231" si="116">P229+Q229-R229</f>
        <v>446255.33333333349</v>
      </c>
      <c r="T229" s="1687">
        <f t="shared" ref="T229:T231" si="117">O229-S229</f>
        <v>583564.66666666651</v>
      </c>
      <c r="U229" s="1603">
        <v>23</v>
      </c>
    </row>
    <row r="230" spans="1:21" s="648" customFormat="1" x14ac:dyDescent="0.35">
      <c r="A230" s="1643"/>
      <c r="B230" s="1721">
        <v>5</v>
      </c>
      <c r="C230" s="1722" t="s">
        <v>7354</v>
      </c>
      <c r="D230" s="1684" t="s">
        <v>3112</v>
      </c>
      <c r="E230" s="1685">
        <v>45503</v>
      </c>
      <c r="F230" s="1683"/>
      <c r="G230" s="1684">
        <v>10</v>
      </c>
      <c r="H230" s="1684">
        <v>5</v>
      </c>
      <c r="I230" s="1686">
        <v>60</v>
      </c>
      <c r="J230" s="1686">
        <f t="shared" ref="J230:J237" si="118">K230*G230/I230</f>
        <v>40766.666666666664</v>
      </c>
      <c r="K230" s="1686">
        <f>2446000/G230</f>
        <v>244600</v>
      </c>
      <c r="L230" s="1686">
        <v>2446000</v>
      </c>
      <c r="M230" s="1723"/>
      <c r="N230" s="1686"/>
      <c r="O230" s="2705">
        <f t="shared" si="113"/>
        <v>2446000</v>
      </c>
      <c r="P230" s="1686">
        <v>937633.33333333302</v>
      </c>
      <c r="Q230" s="1686">
        <f t="shared" ref="Q230:Q242" si="119">J230</f>
        <v>40766.666666666664</v>
      </c>
      <c r="R230" s="1686"/>
      <c r="S230" s="1686">
        <f t="shared" si="116"/>
        <v>978399.99999999965</v>
      </c>
      <c r="T230" s="1687">
        <f t="shared" si="117"/>
        <v>1467600.0000000005</v>
      </c>
      <c r="U230" s="1603">
        <v>23</v>
      </c>
    </row>
    <row r="231" spans="1:21" s="648" customFormat="1" x14ac:dyDescent="0.35">
      <c r="A231" s="1643"/>
      <c r="B231" s="1721">
        <v>6</v>
      </c>
      <c r="C231" s="1722" t="s">
        <v>7355</v>
      </c>
      <c r="D231" s="1684" t="s">
        <v>3112</v>
      </c>
      <c r="E231" s="1685">
        <v>45503</v>
      </c>
      <c r="F231" s="1683"/>
      <c r="G231" s="1684">
        <v>1</v>
      </c>
      <c r="H231" s="1684">
        <v>5</v>
      </c>
      <c r="I231" s="1686">
        <v>60</v>
      </c>
      <c r="J231" s="1686">
        <f t="shared" si="118"/>
        <v>44167.666666666664</v>
      </c>
      <c r="K231" s="1686">
        <v>2650060</v>
      </c>
      <c r="L231" s="1686">
        <v>2650060</v>
      </c>
      <c r="M231" s="1723"/>
      <c r="N231" s="1686"/>
      <c r="O231" s="2705">
        <f t="shared" si="113"/>
        <v>2650060</v>
      </c>
      <c r="P231" s="1686">
        <v>1015856.333333333</v>
      </c>
      <c r="Q231" s="1686">
        <f t="shared" si="119"/>
        <v>44167.666666666664</v>
      </c>
      <c r="R231" s="1686"/>
      <c r="S231" s="1686">
        <f t="shared" si="116"/>
        <v>1060023.9999999998</v>
      </c>
      <c r="T231" s="1687">
        <f t="shared" si="117"/>
        <v>1590036.0000000002</v>
      </c>
      <c r="U231" s="1603">
        <v>23</v>
      </c>
    </row>
    <row r="232" spans="1:21" s="648" customFormat="1" x14ac:dyDescent="0.35">
      <c r="A232" s="1643"/>
      <c r="B232" s="1721">
        <v>7</v>
      </c>
      <c r="C232" s="1722" t="s">
        <v>7688</v>
      </c>
      <c r="D232" s="1684" t="s">
        <v>7689</v>
      </c>
      <c r="E232" s="1685">
        <v>45808</v>
      </c>
      <c r="F232" s="1683"/>
      <c r="G232" s="1684">
        <v>1</v>
      </c>
      <c r="H232" s="1684">
        <v>5</v>
      </c>
      <c r="I232" s="1686">
        <v>60</v>
      </c>
      <c r="J232" s="1686">
        <f t="shared" si="118"/>
        <v>43083.333333333336</v>
      </c>
      <c r="K232" s="1686">
        <v>2585000</v>
      </c>
      <c r="L232" s="1686">
        <f>G232*K232</f>
        <v>2585000</v>
      </c>
      <c r="M232" s="1723"/>
      <c r="N232" s="1686"/>
      <c r="O232" s="2705">
        <f t="shared" si="113"/>
        <v>2585000</v>
      </c>
      <c r="P232" s="1686">
        <v>560083.33333333326</v>
      </c>
      <c r="Q232" s="1686">
        <f t="shared" si="119"/>
        <v>43083.333333333336</v>
      </c>
      <c r="R232" s="1686"/>
      <c r="S232" s="1686">
        <f t="shared" ref="S232:S233" si="120">P232+Q232-R232</f>
        <v>603166.66666666663</v>
      </c>
      <c r="T232" s="1687">
        <f t="shared" ref="T232:T233" si="121">O232-S232</f>
        <v>1981833.3333333335</v>
      </c>
      <c r="U232" s="1603">
        <v>23</v>
      </c>
    </row>
    <row r="233" spans="1:21" s="648" customFormat="1" x14ac:dyDescent="0.35">
      <c r="A233" s="1643"/>
      <c r="B233" s="1721">
        <v>8</v>
      </c>
      <c r="C233" s="1722" t="s">
        <v>7739</v>
      </c>
      <c r="D233" s="1684" t="s">
        <v>3112</v>
      </c>
      <c r="E233" s="1685">
        <v>45868</v>
      </c>
      <c r="F233" s="1683"/>
      <c r="G233" s="1684">
        <v>8</v>
      </c>
      <c r="H233" s="1684">
        <v>5</v>
      </c>
      <c r="I233" s="1686">
        <v>60</v>
      </c>
      <c r="J233" s="1686">
        <f t="shared" si="118"/>
        <v>37333.333333333336</v>
      </c>
      <c r="K233" s="1686">
        <v>280000</v>
      </c>
      <c r="L233" s="1686">
        <f>G233*K233</f>
        <v>2240000</v>
      </c>
      <c r="M233" s="1723"/>
      <c r="N233" s="1686"/>
      <c r="O233" s="2705">
        <f t="shared" si="113"/>
        <v>2240000</v>
      </c>
      <c r="P233" s="1686">
        <v>410666.66666666663</v>
      </c>
      <c r="Q233" s="1686">
        <f t="shared" si="119"/>
        <v>37333.333333333336</v>
      </c>
      <c r="R233" s="1686"/>
      <c r="S233" s="1686">
        <f t="shared" si="120"/>
        <v>447999.99999999994</v>
      </c>
      <c r="T233" s="1687">
        <f t="shared" si="121"/>
        <v>1792000</v>
      </c>
      <c r="U233" s="1603">
        <v>23</v>
      </c>
    </row>
    <row r="234" spans="1:21" s="648" customFormat="1" x14ac:dyDescent="0.35">
      <c r="A234" s="1643"/>
      <c r="B234" s="1721">
        <v>9</v>
      </c>
      <c r="C234" s="1722" t="s">
        <v>7740</v>
      </c>
      <c r="D234" s="1684" t="s">
        <v>3112</v>
      </c>
      <c r="E234" s="1685">
        <v>45846</v>
      </c>
      <c r="F234" s="1683"/>
      <c r="G234" s="1684">
        <v>1</v>
      </c>
      <c r="H234" s="1684">
        <v>5</v>
      </c>
      <c r="I234" s="1686">
        <v>60</v>
      </c>
      <c r="J234" s="1686">
        <f t="shared" si="118"/>
        <v>59705.666666666664</v>
      </c>
      <c r="K234" s="1686">
        <v>3582340</v>
      </c>
      <c r="L234" s="1686">
        <f>G234*K234</f>
        <v>3582340</v>
      </c>
      <c r="M234" s="1723"/>
      <c r="N234" s="1686"/>
      <c r="O234" s="2705">
        <f t="shared" si="113"/>
        <v>3582340</v>
      </c>
      <c r="P234" s="1686">
        <v>656762.33333333326</v>
      </c>
      <c r="Q234" s="1686">
        <f t="shared" si="119"/>
        <v>59705.666666666664</v>
      </c>
      <c r="R234" s="1686"/>
      <c r="S234" s="1686">
        <f t="shared" ref="S234:S242" si="122">P234+Q234-R234</f>
        <v>716467.99999999988</v>
      </c>
      <c r="T234" s="1687">
        <f t="shared" ref="T234:T242" si="123">O234-S234</f>
        <v>2865872</v>
      </c>
      <c r="U234" s="1603">
        <v>23</v>
      </c>
    </row>
    <row r="235" spans="1:21" s="648" customFormat="1" x14ac:dyDescent="0.35">
      <c r="A235" s="1643"/>
      <c r="B235" s="1721">
        <v>10</v>
      </c>
      <c r="C235" s="1722" t="s">
        <v>7800</v>
      </c>
      <c r="D235" s="1684" t="s">
        <v>3112</v>
      </c>
      <c r="E235" s="1685">
        <v>45874</v>
      </c>
      <c r="F235" s="1683"/>
      <c r="G235" s="1684">
        <v>10</v>
      </c>
      <c r="H235" s="1684">
        <v>5</v>
      </c>
      <c r="I235" s="1686">
        <v>60</v>
      </c>
      <c r="J235" s="1686">
        <f t="shared" si="118"/>
        <v>18670.466666666667</v>
      </c>
      <c r="K235" s="1686">
        <v>112022.8</v>
      </c>
      <c r="L235" s="1686">
        <f>K235*G235</f>
        <v>1120228</v>
      </c>
      <c r="M235" s="1723"/>
      <c r="N235" s="1686"/>
      <c r="O235" s="2705">
        <f t="shared" si="113"/>
        <v>1120228</v>
      </c>
      <c r="P235" s="1686">
        <v>186704.66666666672</v>
      </c>
      <c r="Q235" s="1686">
        <f t="shared" si="119"/>
        <v>18670.466666666667</v>
      </c>
      <c r="R235" s="1686"/>
      <c r="S235" s="1686">
        <f t="shared" si="122"/>
        <v>205375.13333333339</v>
      </c>
      <c r="T235" s="1687">
        <f t="shared" si="123"/>
        <v>914852.86666666658</v>
      </c>
      <c r="U235" s="1603">
        <v>23</v>
      </c>
    </row>
    <row r="236" spans="1:21" s="648" customFormat="1" x14ac:dyDescent="0.35">
      <c r="A236" s="1643"/>
      <c r="B236" s="1721">
        <v>11</v>
      </c>
      <c r="C236" s="1722" t="s">
        <v>8022</v>
      </c>
      <c r="D236" s="1684" t="s">
        <v>8023</v>
      </c>
      <c r="E236" s="1685">
        <v>46365</v>
      </c>
      <c r="F236" s="1683" t="s">
        <v>8024</v>
      </c>
      <c r="G236" s="1684">
        <v>10</v>
      </c>
      <c r="H236" s="1684">
        <v>5</v>
      </c>
      <c r="I236" s="1686">
        <v>60</v>
      </c>
      <c r="J236" s="1686">
        <f t="shared" si="118"/>
        <v>36666.666666666664</v>
      </c>
      <c r="K236" s="1686">
        <v>220000</v>
      </c>
      <c r="L236" s="1686">
        <f>K236*G236</f>
        <v>2200000</v>
      </c>
      <c r="M236" s="1723"/>
      <c r="N236" s="1686"/>
      <c r="O236" s="2705">
        <f t="shared" si="113"/>
        <v>2200000</v>
      </c>
      <c r="P236" s="1686">
        <v>219999.99999999997</v>
      </c>
      <c r="Q236" s="1686">
        <f t="shared" si="119"/>
        <v>36666.666666666664</v>
      </c>
      <c r="R236" s="1686"/>
      <c r="S236" s="1686">
        <f t="shared" ref="S236:S238" si="124">P236+Q236-R236</f>
        <v>256666.66666666663</v>
      </c>
      <c r="T236" s="1687">
        <f t="shared" ref="T236:T238" si="125">O236-S236</f>
        <v>1943333.3333333335</v>
      </c>
      <c r="U236" s="1603">
        <v>23</v>
      </c>
    </row>
    <row r="237" spans="1:21" s="648" customFormat="1" x14ac:dyDescent="0.35">
      <c r="A237" s="1643"/>
      <c r="B237" s="1721">
        <v>12</v>
      </c>
      <c r="C237" s="1722" t="s">
        <v>8022</v>
      </c>
      <c r="D237" s="1684" t="s">
        <v>8023</v>
      </c>
      <c r="E237" s="1685">
        <v>46064</v>
      </c>
      <c r="F237" s="1683" t="s">
        <v>8090</v>
      </c>
      <c r="G237" s="1684">
        <v>2</v>
      </c>
      <c r="H237" s="1684">
        <v>5</v>
      </c>
      <c r="I237" s="1686">
        <v>60</v>
      </c>
      <c r="J237" s="1686">
        <f t="shared" si="118"/>
        <v>7500</v>
      </c>
      <c r="K237" s="1686">
        <v>225000</v>
      </c>
      <c r="L237" s="1686">
        <f>K237*G237</f>
        <v>450000</v>
      </c>
      <c r="M237" s="1723"/>
      <c r="N237" s="1686"/>
      <c r="O237" s="2705">
        <f t="shared" si="113"/>
        <v>450000</v>
      </c>
      <c r="P237" s="1686">
        <v>30000</v>
      </c>
      <c r="Q237" s="1686">
        <f t="shared" si="119"/>
        <v>7500</v>
      </c>
      <c r="R237" s="1686"/>
      <c r="S237" s="1686">
        <f t="shared" si="124"/>
        <v>37500</v>
      </c>
      <c r="T237" s="1687">
        <f t="shared" si="125"/>
        <v>412500</v>
      </c>
      <c r="U237" s="1603">
        <v>23</v>
      </c>
    </row>
    <row r="238" spans="1:21" s="648" customFormat="1" x14ac:dyDescent="0.35">
      <c r="A238" s="1643"/>
      <c r="B238" s="1721">
        <v>13</v>
      </c>
      <c r="C238" s="1722" t="s">
        <v>8091</v>
      </c>
      <c r="D238" s="1684" t="s">
        <v>3112</v>
      </c>
      <c r="E238" s="1685">
        <v>46079</v>
      </c>
      <c r="F238" s="1683" t="s">
        <v>8092</v>
      </c>
      <c r="G238" s="1684">
        <v>4</v>
      </c>
      <c r="H238" s="1684">
        <v>5</v>
      </c>
      <c r="I238" s="1686">
        <v>60</v>
      </c>
      <c r="J238" s="1686">
        <f>K238*G238/I238</f>
        <v>18333.333333333332</v>
      </c>
      <c r="K238" s="1686">
        <f>1100000/G238</f>
        <v>275000</v>
      </c>
      <c r="L238" s="1686">
        <f>K238*G238</f>
        <v>1100000</v>
      </c>
      <c r="M238" s="1723"/>
      <c r="N238" s="1686"/>
      <c r="O238" s="2705">
        <f t="shared" si="113"/>
        <v>1100000</v>
      </c>
      <c r="P238" s="1686">
        <v>73333.333333333328</v>
      </c>
      <c r="Q238" s="1686">
        <f t="shared" si="119"/>
        <v>18333.333333333332</v>
      </c>
      <c r="R238" s="1686"/>
      <c r="S238" s="1686">
        <f t="shared" si="124"/>
        <v>91666.666666666657</v>
      </c>
      <c r="T238" s="1687">
        <f t="shared" si="125"/>
        <v>1008333.3333333334</v>
      </c>
      <c r="U238" s="1603">
        <v>23</v>
      </c>
    </row>
    <row r="239" spans="1:21" s="648" customFormat="1" x14ac:dyDescent="0.35">
      <c r="A239" s="1643"/>
      <c r="B239" s="1721">
        <v>14</v>
      </c>
      <c r="C239" s="3263" t="s">
        <v>8022</v>
      </c>
      <c r="D239" s="1684" t="s">
        <v>8023</v>
      </c>
      <c r="E239" s="1685">
        <v>46147</v>
      </c>
      <c r="F239" s="1683" t="s">
        <v>8172</v>
      </c>
      <c r="G239" s="1684">
        <v>1</v>
      </c>
      <c r="H239" s="1684">
        <v>5</v>
      </c>
      <c r="I239" s="1686">
        <v>60</v>
      </c>
      <c r="J239" s="1686">
        <f>K239*G239/I239</f>
        <v>4166.666666666667</v>
      </c>
      <c r="K239" s="1686">
        <v>250000</v>
      </c>
      <c r="L239" s="1686">
        <f>K239*G239</f>
        <v>250000</v>
      </c>
      <c r="M239" s="1723"/>
      <c r="N239" s="1686"/>
      <c r="O239" s="2705">
        <f t="shared" si="113"/>
        <v>250000</v>
      </c>
      <c r="P239" s="1686">
        <v>4166.666666666667</v>
      </c>
      <c r="Q239" s="1686">
        <f t="shared" si="119"/>
        <v>4166.666666666667</v>
      </c>
      <c r="R239" s="1686"/>
      <c r="S239" s="1686">
        <f t="shared" ref="S239:S241" si="126">P239+Q239-R239</f>
        <v>8333.3333333333339</v>
      </c>
      <c r="T239" s="1687">
        <f t="shared" ref="T239:T241" si="127">O239-S239</f>
        <v>241666.66666666666</v>
      </c>
      <c r="U239" s="1603">
        <v>23</v>
      </c>
    </row>
    <row r="240" spans="1:21" s="648" customFormat="1" x14ac:dyDescent="0.35">
      <c r="A240" s="1643"/>
      <c r="B240" s="1721">
        <v>15</v>
      </c>
      <c r="C240" s="3263"/>
      <c r="D240" s="1684"/>
      <c r="E240" s="1685"/>
      <c r="F240" s="1683"/>
      <c r="G240" s="1684"/>
      <c r="H240" s="1684"/>
      <c r="I240" s="1686"/>
      <c r="J240" s="1686"/>
      <c r="K240" s="1686"/>
      <c r="L240" s="1686"/>
      <c r="M240" s="1723">
        <f t="shared" ref="M240" si="128">K240*G240</f>
        <v>0</v>
      </c>
      <c r="N240" s="1686"/>
      <c r="O240" s="2705">
        <f t="shared" si="113"/>
        <v>0</v>
      </c>
      <c r="P240" s="1686">
        <v>0</v>
      </c>
      <c r="Q240" s="1686">
        <f t="shared" si="119"/>
        <v>0</v>
      </c>
      <c r="R240" s="1686"/>
      <c r="S240" s="1686">
        <f t="shared" si="126"/>
        <v>0</v>
      </c>
      <c r="T240" s="1687">
        <f t="shared" si="127"/>
        <v>0</v>
      </c>
      <c r="U240" s="1603">
        <v>23</v>
      </c>
    </row>
    <row r="241" spans="1:22" s="648" customFormat="1" x14ac:dyDescent="0.35">
      <c r="A241" s="1643"/>
      <c r="B241" s="1721">
        <v>16</v>
      </c>
      <c r="C241" s="1722"/>
      <c r="D241" s="1684"/>
      <c r="E241" s="1685"/>
      <c r="F241" s="1683"/>
      <c r="G241" s="1684"/>
      <c r="H241" s="1684"/>
      <c r="I241" s="1686"/>
      <c r="J241" s="1686"/>
      <c r="K241" s="1686"/>
      <c r="L241" s="1686"/>
      <c r="M241" s="1723"/>
      <c r="N241" s="1686"/>
      <c r="O241" s="2705"/>
      <c r="P241" s="1686">
        <v>0</v>
      </c>
      <c r="Q241" s="1686">
        <f t="shared" si="119"/>
        <v>0</v>
      </c>
      <c r="R241" s="1686"/>
      <c r="S241" s="1686">
        <f t="shared" si="126"/>
        <v>0</v>
      </c>
      <c r="T241" s="1687">
        <f t="shared" si="127"/>
        <v>0</v>
      </c>
      <c r="U241" s="1603">
        <v>23</v>
      </c>
    </row>
    <row r="242" spans="1:22" s="648" customFormat="1" ht="12" thickBot="1" x14ac:dyDescent="0.4">
      <c r="A242" s="1643"/>
      <c r="B242" s="1721">
        <v>17</v>
      </c>
      <c r="C242" s="1722"/>
      <c r="D242" s="1684"/>
      <c r="E242" s="1685"/>
      <c r="F242" s="1683"/>
      <c r="G242" s="1684"/>
      <c r="H242" s="1684"/>
      <c r="I242" s="1686"/>
      <c r="J242" s="1686"/>
      <c r="K242" s="1686"/>
      <c r="L242" s="1686">
        <v>0</v>
      </c>
      <c r="M242" s="1723"/>
      <c r="N242" s="1686"/>
      <c r="O242" s="2705">
        <f t="shared" si="113"/>
        <v>0</v>
      </c>
      <c r="P242" s="1686">
        <v>0</v>
      </c>
      <c r="Q242" s="1686">
        <f t="shared" si="119"/>
        <v>0</v>
      </c>
      <c r="R242" s="1686"/>
      <c r="S242" s="1686">
        <f t="shared" si="122"/>
        <v>0</v>
      </c>
      <c r="T242" s="1687">
        <f t="shared" si="123"/>
        <v>0</v>
      </c>
      <c r="U242" s="1603">
        <v>23</v>
      </c>
    </row>
    <row r="243" spans="1:22" s="648" customFormat="1" x14ac:dyDescent="0.35">
      <c r="A243" s="1643"/>
      <c r="B243" s="1724"/>
      <c r="C243" s="1703"/>
      <c r="D243" s="1697"/>
      <c r="E243" s="1698"/>
      <c r="F243" s="1699"/>
      <c r="G243" s="1697"/>
      <c r="H243" s="1697"/>
      <c r="I243" s="1700"/>
      <c r="J243" s="1700">
        <f t="shared" ref="J243:T243" si="129">SUM(J226:J242)</f>
        <v>477975.1333333333</v>
      </c>
      <c r="K243" s="1700">
        <f t="shared" si="129"/>
        <v>22062842.800000001</v>
      </c>
      <c r="L243" s="1700">
        <f t="shared" si="129"/>
        <v>30262448</v>
      </c>
      <c r="M243" s="1700">
        <f t="shared" si="129"/>
        <v>0</v>
      </c>
      <c r="N243" s="1700">
        <f t="shared" si="129"/>
        <v>0</v>
      </c>
      <c r="O243" s="1700">
        <f t="shared" si="129"/>
        <v>30262448</v>
      </c>
      <c r="P243" s="1700">
        <f t="shared" si="129"/>
        <v>13966629.666200001</v>
      </c>
      <c r="Q243" s="1700">
        <f t="shared" si="129"/>
        <v>410890.80000000005</v>
      </c>
      <c r="R243" s="1700">
        <f t="shared" si="129"/>
        <v>0</v>
      </c>
      <c r="S243" s="1700">
        <f t="shared" si="129"/>
        <v>14377520.466200003</v>
      </c>
      <c r="T243" s="1702">
        <f t="shared" si="129"/>
        <v>15884927.533799998</v>
      </c>
      <c r="U243" s="1603"/>
    </row>
    <row r="244" spans="1:22" s="1631" customFormat="1" ht="7" x14ac:dyDescent="0.35">
      <c r="A244" s="1632"/>
      <c r="B244" s="1725">
        <v>3</v>
      </c>
      <c r="C244" s="1645" t="s">
        <v>1565</v>
      </c>
      <c r="D244" s="1636"/>
      <c r="E244" s="1637"/>
      <c r="F244" s="1635"/>
      <c r="G244" s="1636"/>
      <c r="H244" s="1636"/>
      <c r="I244" s="1638"/>
      <c r="J244" s="1638"/>
      <c r="K244" s="1638"/>
      <c r="L244" s="1638"/>
      <c r="M244" s="1638"/>
      <c r="N244" s="1638"/>
      <c r="O244" s="1638"/>
      <c r="P244" s="1638"/>
      <c r="Q244" s="1638"/>
      <c r="R244" s="1638"/>
      <c r="S244" s="1638"/>
      <c r="T244" s="1639"/>
      <c r="U244" s="1640"/>
    </row>
    <row r="245" spans="1:22" x14ac:dyDescent="0.35">
      <c r="A245" s="1716"/>
      <c r="B245" s="1721">
        <v>1</v>
      </c>
      <c r="C245" s="1722" t="s">
        <v>7007</v>
      </c>
      <c r="D245" s="1684"/>
      <c r="E245" s="1685">
        <v>43952</v>
      </c>
      <c r="F245" s="1683"/>
      <c r="G245" s="1684" t="s">
        <v>6952</v>
      </c>
      <c r="H245" s="1684">
        <v>4</v>
      </c>
      <c r="I245" s="1686">
        <v>48</v>
      </c>
      <c r="J245" s="1686">
        <v>25104.166666666668</v>
      </c>
      <c r="K245" s="1686">
        <v>1205000</v>
      </c>
      <c r="L245" s="1686">
        <v>1205000</v>
      </c>
      <c r="M245" s="1723"/>
      <c r="N245" s="1686"/>
      <c r="O245" s="2705">
        <f t="shared" ref="O245:O256" si="130">L245+M245-N245</f>
        <v>1205000</v>
      </c>
      <c r="P245" s="1686">
        <v>1204998.9999999998</v>
      </c>
      <c r="Q245" s="1686">
        <v>0</v>
      </c>
      <c r="R245" s="1686"/>
      <c r="S245" s="1686">
        <f t="shared" ref="S245:S251" si="131">P245+Q245-R245</f>
        <v>1204998.9999999998</v>
      </c>
      <c r="T245" s="1687">
        <f t="shared" ref="T245:T251" si="132">O245-S245</f>
        <v>1.0000000002328306</v>
      </c>
      <c r="U245" s="1603">
        <v>24</v>
      </c>
      <c r="V245" s="1555"/>
    </row>
    <row r="246" spans="1:22" x14ac:dyDescent="0.35">
      <c r="A246" s="1716"/>
      <c r="B246" s="1721">
        <v>2</v>
      </c>
      <c r="C246" s="1722" t="s">
        <v>7008</v>
      </c>
      <c r="D246" s="1684"/>
      <c r="E246" s="1685">
        <v>44136</v>
      </c>
      <c r="F246" s="1683"/>
      <c r="G246" s="1684" t="s">
        <v>6952</v>
      </c>
      <c r="H246" s="1684">
        <v>4</v>
      </c>
      <c r="I246" s="1686">
        <v>48</v>
      </c>
      <c r="J246" s="1686">
        <v>25235.416666666668</v>
      </c>
      <c r="K246" s="1686">
        <v>1211300</v>
      </c>
      <c r="L246" s="1686">
        <v>1211300</v>
      </c>
      <c r="M246" s="1723"/>
      <c r="N246" s="1686"/>
      <c r="O246" s="2705">
        <f t="shared" si="130"/>
        <v>1211300</v>
      </c>
      <c r="P246" s="1686">
        <v>1211299.0000000002</v>
      </c>
      <c r="Q246" s="1686">
        <v>0</v>
      </c>
      <c r="R246" s="1686"/>
      <c r="S246" s="1686">
        <f t="shared" si="131"/>
        <v>1211299.0000000002</v>
      </c>
      <c r="T246" s="1687">
        <f t="shared" si="132"/>
        <v>0.99999999976716936</v>
      </c>
      <c r="U246" s="1603">
        <v>24</v>
      </c>
      <c r="V246" s="1555"/>
    </row>
    <row r="247" spans="1:22" x14ac:dyDescent="0.35">
      <c r="A247" s="1716"/>
      <c r="B247" s="1721">
        <v>3</v>
      </c>
      <c r="C247" s="1722" t="s">
        <v>7009</v>
      </c>
      <c r="D247" s="1684"/>
      <c r="E247" s="1685">
        <v>44440</v>
      </c>
      <c r="F247" s="1683"/>
      <c r="G247" s="1684" t="s">
        <v>6952</v>
      </c>
      <c r="H247" s="1684">
        <v>4</v>
      </c>
      <c r="I247" s="1686">
        <v>48</v>
      </c>
      <c r="J247" s="1686">
        <v>28125</v>
      </c>
      <c r="K247" s="1686">
        <v>1350000</v>
      </c>
      <c r="L247" s="1686">
        <v>1350000</v>
      </c>
      <c r="M247" s="1723"/>
      <c r="N247" s="1686"/>
      <c r="O247" s="2705">
        <f t="shared" si="130"/>
        <v>1350000</v>
      </c>
      <c r="P247" s="1686">
        <v>1349999</v>
      </c>
      <c r="Q247" s="1686">
        <v>0</v>
      </c>
      <c r="R247" s="1686"/>
      <c r="S247" s="1686">
        <f t="shared" si="131"/>
        <v>1349999</v>
      </c>
      <c r="T247" s="1687">
        <f t="shared" si="132"/>
        <v>1</v>
      </c>
      <c r="U247" s="1603">
        <v>24</v>
      </c>
      <c r="V247" s="1555"/>
    </row>
    <row r="248" spans="1:22" x14ac:dyDescent="0.35">
      <c r="A248" s="1716"/>
      <c r="B248" s="1721">
        <v>4</v>
      </c>
      <c r="C248" s="1722" t="s">
        <v>7010</v>
      </c>
      <c r="D248" s="1684"/>
      <c r="E248" s="1685">
        <v>44562</v>
      </c>
      <c r="F248" s="1683"/>
      <c r="G248" s="1684">
        <v>1</v>
      </c>
      <c r="H248" s="1684">
        <v>4</v>
      </c>
      <c r="I248" s="1686">
        <v>48</v>
      </c>
      <c r="J248" s="1686">
        <v>14137.5</v>
      </c>
      <c r="K248" s="1686">
        <v>678600</v>
      </c>
      <c r="L248" s="1686">
        <v>678600</v>
      </c>
      <c r="M248" s="1723"/>
      <c r="N248" s="1686"/>
      <c r="O248" s="2705">
        <f t="shared" si="130"/>
        <v>678600</v>
      </c>
      <c r="P248" s="1686">
        <v>678599</v>
      </c>
      <c r="Q248" s="1686">
        <v>0</v>
      </c>
      <c r="R248" s="1686"/>
      <c r="S248" s="1686">
        <f t="shared" si="131"/>
        <v>678599</v>
      </c>
      <c r="T248" s="1687">
        <f t="shared" si="132"/>
        <v>1</v>
      </c>
      <c r="U248" s="1603">
        <v>24</v>
      </c>
      <c r="V248" s="1555"/>
    </row>
    <row r="249" spans="1:22" x14ac:dyDescent="0.35">
      <c r="A249" s="1716"/>
      <c r="B249" s="1721">
        <v>5</v>
      </c>
      <c r="C249" s="1722" t="s">
        <v>7011</v>
      </c>
      <c r="D249" s="1684"/>
      <c r="E249" s="1685">
        <v>44713</v>
      </c>
      <c r="F249" s="1683"/>
      <c r="G249" s="1684" t="s">
        <v>6974</v>
      </c>
      <c r="H249" s="1684">
        <v>4</v>
      </c>
      <c r="I249" s="1686">
        <v>48</v>
      </c>
      <c r="J249" s="1686">
        <v>123645.83333333333</v>
      </c>
      <c r="K249" s="1686">
        <v>5935000</v>
      </c>
      <c r="L249" s="1686">
        <v>5935000</v>
      </c>
      <c r="M249" s="1723"/>
      <c r="N249" s="1686"/>
      <c r="O249" s="2705">
        <f t="shared" si="130"/>
        <v>5935000</v>
      </c>
      <c r="P249" s="1686">
        <v>5934999.9999999944</v>
      </c>
      <c r="Q249" s="1686">
        <v>-1</v>
      </c>
      <c r="R249" s="1686"/>
      <c r="S249" s="1686">
        <f t="shared" si="131"/>
        <v>5934998.9999999944</v>
      </c>
      <c r="T249" s="1687">
        <f t="shared" si="132"/>
        <v>1.0000000055879354</v>
      </c>
      <c r="U249" s="1603">
        <v>24</v>
      </c>
      <c r="V249" s="1555"/>
    </row>
    <row r="250" spans="1:22" x14ac:dyDescent="0.35">
      <c r="A250" s="1716"/>
      <c r="B250" s="1721">
        <v>6</v>
      </c>
      <c r="C250" s="1722" t="s">
        <v>7008</v>
      </c>
      <c r="D250" s="1684"/>
      <c r="E250" s="1685">
        <v>44743</v>
      </c>
      <c r="F250" s="1683"/>
      <c r="G250" s="1684"/>
      <c r="H250" s="1684">
        <v>4</v>
      </c>
      <c r="I250" s="1686">
        <v>48</v>
      </c>
      <c r="J250" s="1686">
        <v>24354.166666666668</v>
      </c>
      <c r="K250" s="1686">
        <v>1169000</v>
      </c>
      <c r="L250" s="1686">
        <v>1169000</v>
      </c>
      <c r="M250" s="1723"/>
      <c r="N250" s="1686"/>
      <c r="O250" s="2705">
        <f t="shared" si="130"/>
        <v>1169000</v>
      </c>
      <c r="P250" s="1686">
        <v>1144645.8338999995</v>
      </c>
      <c r="Q250" s="1686">
        <v>24354.166666666668</v>
      </c>
      <c r="R250" s="1686"/>
      <c r="S250" s="1686">
        <f t="shared" si="131"/>
        <v>1169000.0005666662</v>
      </c>
      <c r="T250" s="1687">
        <f t="shared" si="132"/>
        <v>-5.666662473231554E-4</v>
      </c>
      <c r="U250" s="1603">
        <v>24</v>
      </c>
      <c r="V250" s="1555"/>
    </row>
    <row r="251" spans="1:22" x14ac:dyDescent="0.35">
      <c r="A251" s="1716"/>
      <c r="B251" s="1721">
        <v>7</v>
      </c>
      <c r="C251" s="1722" t="s">
        <v>7007</v>
      </c>
      <c r="D251" s="1684"/>
      <c r="E251" s="1685">
        <v>44958</v>
      </c>
      <c r="F251" s="1683"/>
      <c r="G251" s="1684" t="s">
        <v>6974</v>
      </c>
      <c r="H251" s="1684">
        <v>4</v>
      </c>
      <c r="I251" s="1686">
        <v>48</v>
      </c>
      <c r="J251" s="1686">
        <v>31250</v>
      </c>
      <c r="K251" s="1686">
        <v>1500000</v>
      </c>
      <c r="L251" s="1686">
        <v>1500000</v>
      </c>
      <c r="M251" s="1723"/>
      <c r="N251" s="1686"/>
      <c r="O251" s="2705">
        <f t="shared" si="130"/>
        <v>1500000</v>
      </c>
      <c r="P251" s="1686">
        <v>1250000</v>
      </c>
      <c r="Q251" s="1686">
        <v>31250</v>
      </c>
      <c r="R251" s="1686"/>
      <c r="S251" s="1686">
        <f t="shared" si="131"/>
        <v>1281250</v>
      </c>
      <c r="T251" s="1687">
        <f t="shared" si="132"/>
        <v>218750</v>
      </c>
      <c r="U251" s="1603">
        <v>24</v>
      </c>
      <c r="V251" s="1555"/>
    </row>
    <row r="252" spans="1:22" x14ac:dyDescent="0.35">
      <c r="A252" s="1716"/>
      <c r="B252" s="1721">
        <v>8</v>
      </c>
      <c r="C252" s="1722" t="s">
        <v>7176</v>
      </c>
      <c r="D252" s="1684" t="s">
        <v>3084</v>
      </c>
      <c r="E252" s="1685">
        <v>45415</v>
      </c>
      <c r="F252" s="1683"/>
      <c r="G252" s="1684">
        <v>2</v>
      </c>
      <c r="H252" s="1684">
        <v>5</v>
      </c>
      <c r="I252" s="1686">
        <v>60</v>
      </c>
      <c r="J252" s="1686">
        <f>K252*G252/I252</f>
        <v>53333.333333333336</v>
      </c>
      <c r="K252" s="1686">
        <v>1600000</v>
      </c>
      <c r="L252" s="1686">
        <v>1600000</v>
      </c>
      <c r="M252" s="1723"/>
      <c r="N252" s="1686"/>
      <c r="O252" s="2705">
        <f t="shared" si="130"/>
        <v>1600000</v>
      </c>
      <c r="P252" s="1686">
        <v>1333333.3333333333</v>
      </c>
      <c r="Q252" s="1686">
        <f>J252</f>
        <v>53333.333333333336</v>
      </c>
      <c r="R252" s="1686"/>
      <c r="S252" s="1686">
        <f t="shared" ref="S252" si="133">P252+Q252-R252</f>
        <v>1386666.6666666665</v>
      </c>
      <c r="T252" s="1687">
        <f t="shared" ref="T252" si="134">O252-S252</f>
        <v>213333.33333333349</v>
      </c>
      <c r="U252" s="1603">
        <v>24</v>
      </c>
      <c r="V252" s="1555"/>
    </row>
    <row r="253" spans="1:22" x14ac:dyDescent="0.35">
      <c r="A253" s="1716"/>
      <c r="B253" s="1721">
        <v>9</v>
      </c>
      <c r="C253" s="1722" t="s">
        <v>7316</v>
      </c>
      <c r="D253" s="1684" t="s">
        <v>7317</v>
      </c>
      <c r="E253" s="1685">
        <v>45445</v>
      </c>
      <c r="F253" s="1683"/>
      <c r="G253" s="1684">
        <v>1</v>
      </c>
      <c r="H253" s="1684">
        <v>5</v>
      </c>
      <c r="I253" s="1686">
        <v>60</v>
      </c>
      <c r="J253" s="1686">
        <f>K253*G253/I253</f>
        <v>46966.666666666664</v>
      </c>
      <c r="K253" s="1686">
        <v>2818000</v>
      </c>
      <c r="L253" s="1686">
        <v>2818000</v>
      </c>
      <c r="M253" s="1686"/>
      <c r="N253" s="1686"/>
      <c r="O253" s="2705">
        <f t="shared" si="130"/>
        <v>2818000</v>
      </c>
      <c r="P253" s="1686">
        <v>1127199.9999999998</v>
      </c>
      <c r="Q253" s="1686">
        <f>J253</f>
        <v>46966.666666666664</v>
      </c>
      <c r="R253" s="1686"/>
      <c r="S253" s="1686">
        <f t="shared" ref="S253" si="135">P253+Q253-R253</f>
        <v>1174166.6666666665</v>
      </c>
      <c r="T253" s="1687">
        <f t="shared" ref="T253" si="136">O253-S253</f>
        <v>1643833.3333333335</v>
      </c>
      <c r="U253" s="1603">
        <v>24</v>
      </c>
      <c r="V253" s="1555"/>
    </row>
    <row r="254" spans="1:22" x14ac:dyDescent="0.35">
      <c r="A254" s="1716"/>
      <c r="B254" s="1721">
        <v>10</v>
      </c>
      <c r="C254" s="1722" t="s">
        <v>8112</v>
      </c>
      <c r="D254" s="1684" t="s">
        <v>3113</v>
      </c>
      <c r="E254" s="1685">
        <v>46091</v>
      </c>
      <c r="F254" s="1683" t="s">
        <v>8113</v>
      </c>
      <c r="G254" s="1684">
        <v>1</v>
      </c>
      <c r="H254" s="1684">
        <v>5</v>
      </c>
      <c r="I254" s="1686">
        <v>60</v>
      </c>
      <c r="J254" s="1686">
        <f>K254*G254/I254</f>
        <v>13610</v>
      </c>
      <c r="K254" s="1686">
        <v>816600</v>
      </c>
      <c r="L254" s="1686">
        <f>K254*G254</f>
        <v>816600</v>
      </c>
      <c r="M254" s="3268"/>
      <c r="N254" s="1686"/>
      <c r="O254" s="2705">
        <f t="shared" si="130"/>
        <v>816600</v>
      </c>
      <c r="P254" s="1686">
        <v>40830</v>
      </c>
      <c r="Q254" s="1686">
        <f t="shared" ref="Q254:Q255" si="137">J254</f>
        <v>13610</v>
      </c>
      <c r="R254" s="1686"/>
      <c r="S254" s="1686">
        <f t="shared" ref="S254:S256" si="138">P254+Q254-R254</f>
        <v>54440</v>
      </c>
      <c r="T254" s="1687">
        <f t="shared" ref="T254:T256" si="139">O254-S254</f>
        <v>762160</v>
      </c>
      <c r="U254" s="1603">
        <v>24</v>
      </c>
      <c r="V254" s="1555"/>
    </row>
    <row r="255" spans="1:22" x14ac:dyDescent="0.35">
      <c r="A255" s="1716"/>
      <c r="B255" s="1721">
        <v>11</v>
      </c>
      <c r="C255" s="1722"/>
      <c r="D255" s="1684"/>
      <c r="E255" s="1685"/>
      <c r="F255" s="1683"/>
      <c r="G255" s="1684"/>
      <c r="H255" s="1684"/>
      <c r="I255" s="1686"/>
      <c r="J255" s="1686"/>
      <c r="K255" s="1686"/>
      <c r="L255" s="1686"/>
      <c r="M255" s="3268"/>
      <c r="N255" s="1686"/>
      <c r="O255" s="2705">
        <f t="shared" si="130"/>
        <v>0</v>
      </c>
      <c r="P255" s="1686">
        <v>0</v>
      </c>
      <c r="Q255" s="1686">
        <f t="shared" si="137"/>
        <v>0</v>
      </c>
      <c r="R255" s="1686"/>
      <c r="S255" s="1686">
        <f t="shared" si="138"/>
        <v>0</v>
      </c>
      <c r="T255" s="1687">
        <f t="shared" si="139"/>
        <v>0</v>
      </c>
      <c r="U255" s="1603">
        <v>24</v>
      </c>
      <c r="V255" s="1555"/>
    </row>
    <row r="256" spans="1:22" ht="12" thickBot="1" x14ac:dyDescent="0.4">
      <c r="A256" s="1716"/>
      <c r="B256" s="1721">
        <v>12</v>
      </c>
      <c r="C256" s="1722"/>
      <c r="D256" s="1684"/>
      <c r="E256" s="1685"/>
      <c r="F256" s="1683"/>
      <c r="G256" s="1684"/>
      <c r="H256" s="1684"/>
      <c r="I256" s="1686"/>
      <c r="J256" s="1686"/>
      <c r="K256" s="1686"/>
      <c r="L256" s="1686"/>
      <c r="M256" s="1723"/>
      <c r="N256" s="1686"/>
      <c r="O256" s="2705">
        <f t="shared" si="130"/>
        <v>0</v>
      </c>
      <c r="P256" s="1686">
        <v>0</v>
      </c>
      <c r="Q256" s="1686">
        <f>J256</f>
        <v>0</v>
      </c>
      <c r="R256" s="1686"/>
      <c r="S256" s="1686">
        <f t="shared" si="138"/>
        <v>0</v>
      </c>
      <c r="T256" s="1687">
        <f t="shared" si="139"/>
        <v>0</v>
      </c>
      <c r="U256" s="1603">
        <v>24</v>
      </c>
      <c r="V256" s="1555"/>
    </row>
    <row r="257" spans="1:22" x14ac:dyDescent="0.35">
      <c r="A257" s="1719"/>
      <c r="B257" s="1724"/>
      <c r="C257" s="1703"/>
      <c r="D257" s="1697"/>
      <c r="E257" s="1698"/>
      <c r="F257" s="1699"/>
      <c r="G257" s="1697"/>
      <c r="H257" s="1697"/>
      <c r="I257" s="1700"/>
      <c r="J257" s="1700">
        <f t="shared" ref="J257:T257" si="140">SUM(J245:J256)</f>
        <v>385762.08333333337</v>
      </c>
      <c r="K257" s="1700">
        <f t="shared" si="140"/>
        <v>18283500</v>
      </c>
      <c r="L257" s="1700">
        <f t="shared" si="140"/>
        <v>18283500</v>
      </c>
      <c r="M257" s="1700">
        <f t="shared" si="140"/>
        <v>0</v>
      </c>
      <c r="N257" s="1700">
        <f t="shared" si="140"/>
        <v>0</v>
      </c>
      <c r="O257" s="1700">
        <f t="shared" si="140"/>
        <v>18283500</v>
      </c>
      <c r="P257" s="1700">
        <f t="shared" si="140"/>
        <v>15275905.167233327</v>
      </c>
      <c r="Q257" s="1700">
        <f t="shared" si="140"/>
        <v>169513.16666666666</v>
      </c>
      <c r="R257" s="1700">
        <f t="shared" si="140"/>
        <v>0</v>
      </c>
      <c r="S257" s="1700">
        <f t="shared" si="140"/>
        <v>15445418.333899993</v>
      </c>
      <c r="T257" s="1702">
        <f t="shared" si="140"/>
        <v>2838081.6661000066</v>
      </c>
      <c r="U257" s="1603"/>
      <c r="V257" s="1555"/>
    </row>
    <row r="258" spans="1:22" s="1631" customFormat="1" ht="7" x14ac:dyDescent="0.35">
      <c r="A258" s="1632"/>
      <c r="B258" s="1725">
        <v>4</v>
      </c>
      <c r="C258" s="1645" t="s">
        <v>1567</v>
      </c>
      <c r="D258" s="1636"/>
      <c r="E258" s="1637"/>
      <c r="F258" s="1635"/>
      <c r="G258" s="1636"/>
      <c r="H258" s="1636"/>
      <c r="I258" s="1638"/>
      <c r="J258" s="1638"/>
      <c r="K258" s="1638"/>
      <c r="L258" s="1638"/>
      <c r="M258" s="1638"/>
      <c r="N258" s="1638"/>
      <c r="O258" s="1638"/>
      <c r="P258" s="1638"/>
      <c r="Q258" s="1638"/>
      <c r="R258" s="1638"/>
      <c r="S258" s="1638"/>
      <c r="T258" s="1639"/>
      <c r="U258" s="1640"/>
    </row>
    <row r="259" spans="1:22" ht="12" customHeight="1" x14ac:dyDescent="0.35">
      <c r="A259" s="1716"/>
      <c r="B259" s="1721">
        <v>1</v>
      </c>
      <c r="C259" s="1722" t="s">
        <v>7012</v>
      </c>
      <c r="D259" s="1684"/>
      <c r="E259" s="1685">
        <v>43952</v>
      </c>
      <c r="F259" s="1683"/>
      <c r="G259" s="1684" t="s">
        <v>6955</v>
      </c>
      <c r="H259" s="1684">
        <v>4</v>
      </c>
      <c r="I259" s="1686">
        <v>48</v>
      </c>
      <c r="J259" s="1686">
        <v>9583.3333333333339</v>
      </c>
      <c r="K259" s="1686">
        <v>460000</v>
      </c>
      <c r="L259" s="1686">
        <v>460000</v>
      </c>
      <c r="M259" s="1723"/>
      <c r="N259" s="1686"/>
      <c r="O259" s="2705">
        <f t="shared" ref="O259:O313" si="141">L259+M259-N259</f>
        <v>460000</v>
      </c>
      <c r="P259" s="1686">
        <v>459999.00333333324</v>
      </c>
      <c r="Q259" s="1686">
        <v>0</v>
      </c>
      <c r="R259" s="1686"/>
      <c r="S259" s="1686">
        <f t="shared" ref="S259:S288" si="142">P259+Q259-R259</f>
        <v>459999.00333333324</v>
      </c>
      <c r="T259" s="1687">
        <f t="shared" ref="T259:T288" si="143">O259-S259</f>
        <v>0.99666666676057503</v>
      </c>
      <c r="U259" s="1603">
        <v>25</v>
      </c>
      <c r="V259" s="1555"/>
    </row>
    <row r="260" spans="1:22" ht="12" customHeight="1" x14ac:dyDescent="0.35">
      <c r="A260" s="1716"/>
      <c r="B260" s="1721">
        <v>2</v>
      </c>
      <c r="C260" s="1722" t="s">
        <v>7013</v>
      </c>
      <c r="D260" s="1684"/>
      <c r="E260" s="1685">
        <v>44013</v>
      </c>
      <c r="F260" s="1683"/>
      <c r="G260" s="1684" t="s">
        <v>6952</v>
      </c>
      <c r="H260" s="1684">
        <v>4</v>
      </c>
      <c r="I260" s="1686">
        <v>48</v>
      </c>
      <c r="J260" s="1686">
        <v>60416.666666666664</v>
      </c>
      <c r="K260" s="1686">
        <v>2900000</v>
      </c>
      <c r="L260" s="1686">
        <v>2900000</v>
      </c>
      <c r="M260" s="1723"/>
      <c r="N260" s="1686">
        <v>0</v>
      </c>
      <c r="O260" s="2705">
        <f t="shared" si="141"/>
        <v>2900000</v>
      </c>
      <c r="P260" s="1686">
        <v>2899999.0033333334</v>
      </c>
      <c r="Q260" s="1686">
        <v>0</v>
      </c>
      <c r="R260" s="1686"/>
      <c r="S260" s="1686">
        <f t="shared" si="142"/>
        <v>2899999.0033333334</v>
      </c>
      <c r="T260" s="1687">
        <f t="shared" si="143"/>
        <v>0.99666666658595204</v>
      </c>
      <c r="U260" s="1603">
        <v>25</v>
      </c>
      <c r="V260" s="1555"/>
    </row>
    <row r="261" spans="1:22" ht="12" customHeight="1" x14ac:dyDescent="0.35">
      <c r="A261" s="1716"/>
      <c r="B261" s="1721">
        <v>3</v>
      </c>
      <c r="C261" s="1722" t="s">
        <v>7014</v>
      </c>
      <c r="D261" s="1684"/>
      <c r="E261" s="1685">
        <v>44044</v>
      </c>
      <c r="F261" s="1683"/>
      <c r="G261" s="1684" t="s">
        <v>6955</v>
      </c>
      <c r="H261" s="1684">
        <v>4</v>
      </c>
      <c r="I261" s="1686">
        <v>48</v>
      </c>
      <c r="J261" s="1686">
        <v>23333.333333333332</v>
      </c>
      <c r="K261" s="1686">
        <v>1120000</v>
      </c>
      <c r="L261" s="1686">
        <v>1120000</v>
      </c>
      <c r="M261" s="1723"/>
      <c r="N261" s="1686"/>
      <c r="O261" s="2705">
        <f t="shared" si="141"/>
        <v>1120000</v>
      </c>
      <c r="P261" s="1686">
        <v>1119999</v>
      </c>
      <c r="Q261" s="1686">
        <v>0</v>
      </c>
      <c r="R261" s="1686"/>
      <c r="S261" s="1686">
        <f t="shared" si="142"/>
        <v>1119999</v>
      </c>
      <c r="T261" s="1687">
        <f t="shared" si="143"/>
        <v>1</v>
      </c>
      <c r="U261" s="1603">
        <v>25</v>
      </c>
      <c r="V261" s="1555"/>
    </row>
    <row r="262" spans="1:22" ht="12" customHeight="1" x14ac:dyDescent="0.35">
      <c r="A262" s="1716"/>
      <c r="B262" s="1721">
        <v>4</v>
      </c>
      <c r="C262" s="1722" t="s">
        <v>7015</v>
      </c>
      <c r="D262" s="1684"/>
      <c r="E262" s="1685">
        <v>44166</v>
      </c>
      <c r="F262" s="1683"/>
      <c r="G262" s="1684" t="s">
        <v>6955</v>
      </c>
      <c r="H262" s="1684">
        <v>4</v>
      </c>
      <c r="I262" s="1686">
        <v>48</v>
      </c>
      <c r="J262" s="1686">
        <v>7912.5</v>
      </c>
      <c r="K262" s="1686">
        <v>379800</v>
      </c>
      <c r="L262" s="1686">
        <v>379800</v>
      </c>
      <c r="M262" s="1723"/>
      <c r="N262" s="1686"/>
      <c r="O262" s="2705">
        <f t="shared" si="141"/>
        <v>379800</v>
      </c>
      <c r="P262" s="1686">
        <v>379799</v>
      </c>
      <c r="Q262" s="1686">
        <v>0</v>
      </c>
      <c r="R262" s="1686"/>
      <c r="S262" s="1686">
        <f t="shared" si="142"/>
        <v>379799</v>
      </c>
      <c r="T262" s="1687">
        <f t="shared" si="143"/>
        <v>1</v>
      </c>
      <c r="U262" s="1603">
        <v>25</v>
      </c>
      <c r="V262" s="1555"/>
    </row>
    <row r="263" spans="1:22" ht="12" customHeight="1" x14ac:dyDescent="0.35">
      <c r="A263" s="1716"/>
      <c r="B263" s="1721">
        <v>5</v>
      </c>
      <c r="C263" s="1722" t="s">
        <v>7016</v>
      </c>
      <c r="D263" s="1684"/>
      <c r="E263" s="1685">
        <v>44166</v>
      </c>
      <c r="F263" s="1683"/>
      <c r="G263" s="1684" t="s">
        <v>6952</v>
      </c>
      <c r="H263" s="1684">
        <v>4</v>
      </c>
      <c r="I263" s="1686">
        <v>48</v>
      </c>
      <c r="J263" s="1686">
        <v>45833.333333333336</v>
      </c>
      <c r="K263" s="1686">
        <v>2200000</v>
      </c>
      <c r="L263" s="1686">
        <v>2200000</v>
      </c>
      <c r="M263" s="1723"/>
      <c r="N263" s="1686"/>
      <c r="O263" s="2705">
        <f t="shared" si="141"/>
        <v>2200000</v>
      </c>
      <c r="P263" s="1686">
        <v>2199998.9999999995</v>
      </c>
      <c r="Q263" s="1686">
        <v>0</v>
      </c>
      <c r="R263" s="1686"/>
      <c r="S263" s="1686">
        <f t="shared" si="142"/>
        <v>2199998.9999999995</v>
      </c>
      <c r="T263" s="1687">
        <f t="shared" si="143"/>
        <v>1.0000000004656613</v>
      </c>
      <c r="U263" s="1603">
        <v>25</v>
      </c>
      <c r="V263" s="1555"/>
    </row>
    <row r="264" spans="1:22" ht="12" customHeight="1" x14ac:dyDescent="0.35">
      <c r="A264" s="1716"/>
      <c r="B264" s="1721">
        <v>6</v>
      </c>
      <c r="C264" s="1722" t="s">
        <v>7017</v>
      </c>
      <c r="D264" s="1684"/>
      <c r="E264" s="1685">
        <v>44256</v>
      </c>
      <c r="F264" s="1683"/>
      <c r="G264" s="1684" t="s">
        <v>6952</v>
      </c>
      <c r="H264" s="1684">
        <v>4</v>
      </c>
      <c r="I264" s="1686">
        <v>48</v>
      </c>
      <c r="J264" s="1686">
        <v>57500</v>
      </c>
      <c r="K264" s="1686">
        <v>2760000</v>
      </c>
      <c r="L264" s="1686">
        <v>2760000</v>
      </c>
      <c r="M264" s="1723"/>
      <c r="N264" s="1686">
        <v>0</v>
      </c>
      <c r="O264" s="2705">
        <f t="shared" si="141"/>
        <v>2760000</v>
      </c>
      <c r="P264" s="1686">
        <v>2759999</v>
      </c>
      <c r="Q264" s="1686">
        <v>0</v>
      </c>
      <c r="R264" s="1686"/>
      <c r="S264" s="1686">
        <f t="shared" si="142"/>
        <v>2759999</v>
      </c>
      <c r="T264" s="1687">
        <f t="shared" si="143"/>
        <v>1</v>
      </c>
      <c r="U264" s="1603">
        <v>25</v>
      </c>
      <c r="V264" s="1555"/>
    </row>
    <row r="265" spans="1:22" ht="12" customHeight="1" x14ac:dyDescent="0.35">
      <c r="A265" s="1716"/>
      <c r="B265" s="1721">
        <v>7</v>
      </c>
      <c r="C265" s="1722" t="s">
        <v>7018</v>
      </c>
      <c r="D265" s="1684"/>
      <c r="E265" s="1685"/>
      <c r="F265" s="1683"/>
      <c r="G265" s="1684" t="s">
        <v>6952</v>
      </c>
      <c r="H265" s="1684">
        <v>4</v>
      </c>
      <c r="I265" s="1686">
        <v>48</v>
      </c>
      <c r="J265" s="1686">
        <v>11458.333333333334</v>
      </c>
      <c r="K265" s="1686">
        <v>550000</v>
      </c>
      <c r="L265" s="1686">
        <v>550000</v>
      </c>
      <c r="M265" s="1723"/>
      <c r="N265" s="1686"/>
      <c r="O265" s="2705">
        <f t="shared" si="141"/>
        <v>550000</v>
      </c>
      <c r="P265" s="1686">
        <v>549999.00000000023</v>
      </c>
      <c r="Q265" s="1686">
        <v>0</v>
      </c>
      <c r="R265" s="1686"/>
      <c r="S265" s="1686">
        <f t="shared" si="142"/>
        <v>549999.00000000023</v>
      </c>
      <c r="T265" s="1687">
        <f t="shared" si="143"/>
        <v>0.99999999976716936</v>
      </c>
      <c r="U265" s="1603">
        <v>25</v>
      </c>
      <c r="V265" s="1555"/>
    </row>
    <row r="266" spans="1:22" ht="12" customHeight="1" x14ac:dyDescent="0.35">
      <c r="A266" s="1716"/>
      <c r="B266" s="1721">
        <v>8</v>
      </c>
      <c r="C266" s="1722" t="s">
        <v>7019</v>
      </c>
      <c r="D266" s="1684"/>
      <c r="E266" s="1685">
        <v>44378</v>
      </c>
      <c r="F266" s="1683"/>
      <c r="G266" s="1684" t="s">
        <v>6984</v>
      </c>
      <c r="H266" s="1684">
        <v>4</v>
      </c>
      <c r="I266" s="1686">
        <v>48</v>
      </c>
      <c r="J266" s="1686">
        <v>116250</v>
      </c>
      <c r="K266" s="1686">
        <v>5580000</v>
      </c>
      <c r="L266" s="1686">
        <v>5580000</v>
      </c>
      <c r="M266" s="1723"/>
      <c r="N266" s="1686"/>
      <c r="O266" s="2705">
        <f t="shared" si="141"/>
        <v>5580000</v>
      </c>
      <c r="P266" s="1686">
        <v>5579999</v>
      </c>
      <c r="Q266" s="1686">
        <v>0</v>
      </c>
      <c r="R266" s="1686"/>
      <c r="S266" s="1686">
        <f t="shared" si="142"/>
        <v>5579999</v>
      </c>
      <c r="T266" s="1687">
        <f t="shared" si="143"/>
        <v>1</v>
      </c>
      <c r="U266" s="1603">
        <v>25</v>
      </c>
      <c r="V266" s="1555"/>
    </row>
    <row r="267" spans="1:22" ht="12" customHeight="1" x14ac:dyDescent="0.35">
      <c r="A267" s="1716"/>
      <c r="B267" s="1721">
        <v>9</v>
      </c>
      <c r="C267" s="1722" t="s">
        <v>7020</v>
      </c>
      <c r="D267" s="1684"/>
      <c r="E267" s="1685">
        <v>44440</v>
      </c>
      <c r="F267" s="1683"/>
      <c r="G267" s="1684" t="s">
        <v>6966</v>
      </c>
      <c r="H267" s="1684">
        <v>4</v>
      </c>
      <c r="I267" s="1686">
        <v>48</v>
      </c>
      <c r="J267" s="1686">
        <v>26875</v>
      </c>
      <c r="K267" s="1686">
        <v>1290000</v>
      </c>
      <c r="L267" s="1686">
        <v>1290000</v>
      </c>
      <c r="M267" s="1723"/>
      <c r="N267" s="1686"/>
      <c r="O267" s="2705">
        <f t="shared" si="141"/>
        <v>1290000</v>
      </c>
      <c r="P267" s="1686">
        <v>1289999</v>
      </c>
      <c r="Q267" s="1686">
        <v>0</v>
      </c>
      <c r="R267" s="1686"/>
      <c r="S267" s="1686">
        <f t="shared" si="142"/>
        <v>1289999</v>
      </c>
      <c r="T267" s="1687">
        <f t="shared" si="143"/>
        <v>1</v>
      </c>
      <c r="U267" s="1603">
        <v>25</v>
      </c>
      <c r="V267" s="1555"/>
    </row>
    <row r="268" spans="1:22" ht="12" customHeight="1" x14ac:dyDescent="0.35">
      <c r="A268" s="1716"/>
      <c r="B268" s="1721">
        <v>10</v>
      </c>
      <c r="C268" s="1722" t="s">
        <v>7021</v>
      </c>
      <c r="D268" s="1684"/>
      <c r="E268" s="1685"/>
      <c r="F268" s="1683"/>
      <c r="G268" s="1684" t="s">
        <v>6955</v>
      </c>
      <c r="H268" s="1684">
        <v>4</v>
      </c>
      <c r="I268" s="1686">
        <v>48</v>
      </c>
      <c r="J268" s="1686">
        <v>10416.666666666666</v>
      </c>
      <c r="K268" s="1686">
        <v>500000</v>
      </c>
      <c r="L268" s="1686">
        <v>500000</v>
      </c>
      <c r="M268" s="1723"/>
      <c r="N268" s="1686"/>
      <c r="O268" s="2705">
        <f t="shared" si="141"/>
        <v>500000</v>
      </c>
      <c r="P268" s="1686">
        <v>499999.00000000035</v>
      </c>
      <c r="Q268" s="1686">
        <v>0</v>
      </c>
      <c r="R268" s="1686"/>
      <c r="S268" s="1686">
        <f t="shared" si="142"/>
        <v>499999.00000000035</v>
      </c>
      <c r="T268" s="1687">
        <f t="shared" si="143"/>
        <v>0.99999999965075403</v>
      </c>
      <c r="U268" s="1603">
        <v>25</v>
      </c>
      <c r="V268" s="1555"/>
    </row>
    <row r="269" spans="1:22" ht="12" customHeight="1" x14ac:dyDescent="0.35">
      <c r="A269" s="1716"/>
      <c r="B269" s="1721">
        <v>11</v>
      </c>
      <c r="C269" s="1722" t="s">
        <v>7022</v>
      </c>
      <c r="D269" s="1684"/>
      <c r="E269" s="1685"/>
      <c r="F269" s="1683"/>
      <c r="G269" s="1684" t="s">
        <v>6974</v>
      </c>
      <c r="H269" s="1684">
        <v>4</v>
      </c>
      <c r="I269" s="1686">
        <v>48</v>
      </c>
      <c r="J269" s="1686">
        <v>31562.5</v>
      </c>
      <c r="K269" s="1686">
        <v>1515000</v>
      </c>
      <c r="L269" s="1686">
        <v>1515000</v>
      </c>
      <c r="M269" s="1723"/>
      <c r="N269" s="1686"/>
      <c r="O269" s="2705">
        <f t="shared" si="141"/>
        <v>1515000</v>
      </c>
      <c r="P269" s="1686">
        <v>1514999</v>
      </c>
      <c r="Q269" s="1686">
        <v>0</v>
      </c>
      <c r="R269" s="1686"/>
      <c r="S269" s="1686">
        <f t="shared" si="142"/>
        <v>1514999</v>
      </c>
      <c r="T269" s="1687">
        <f t="shared" si="143"/>
        <v>1</v>
      </c>
      <c r="U269" s="1603">
        <v>25</v>
      </c>
      <c r="V269" s="1555"/>
    </row>
    <row r="270" spans="1:22" ht="12" customHeight="1" x14ac:dyDescent="0.35">
      <c r="A270" s="1716"/>
      <c r="B270" s="1721">
        <v>12</v>
      </c>
      <c r="C270" s="1722" t="s">
        <v>7023</v>
      </c>
      <c r="D270" s="1684"/>
      <c r="E270" s="1685">
        <v>44743</v>
      </c>
      <c r="F270" s="1683"/>
      <c r="G270" s="1684"/>
      <c r="H270" s="1684">
        <v>4</v>
      </c>
      <c r="I270" s="1686">
        <v>48</v>
      </c>
      <c r="J270" s="1686">
        <v>18229.166666666668</v>
      </c>
      <c r="K270" s="1686">
        <v>875000</v>
      </c>
      <c r="L270" s="1686">
        <v>875000</v>
      </c>
      <c r="M270" s="1723"/>
      <c r="N270" s="1686"/>
      <c r="O270" s="2705">
        <f t="shared" si="141"/>
        <v>875000</v>
      </c>
      <c r="P270" s="1686">
        <v>856767.99999999977</v>
      </c>
      <c r="Q270" s="1686">
        <f>J270+2.83</f>
        <v>18231.99666666667</v>
      </c>
      <c r="R270" s="1686"/>
      <c r="S270" s="1686">
        <f t="shared" si="142"/>
        <v>874999.99666666647</v>
      </c>
      <c r="T270" s="1687">
        <f t="shared" si="143"/>
        <v>3.3333335304632783E-3</v>
      </c>
      <c r="U270" s="1603">
        <v>25</v>
      </c>
      <c r="V270" s="1555"/>
    </row>
    <row r="271" spans="1:22" ht="12" customHeight="1" x14ac:dyDescent="0.35">
      <c r="A271" s="1716"/>
      <c r="B271" s="1721">
        <v>13</v>
      </c>
      <c r="C271" s="1722" t="s">
        <v>7024</v>
      </c>
      <c r="D271" s="1684"/>
      <c r="E271" s="1685">
        <v>44743</v>
      </c>
      <c r="F271" s="1683"/>
      <c r="G271" s="1684"/>
      <c r="H271" s="1684">
        <v>4</v>
      </c>
      <c r="I271" s="1686">
        <v>48</v>
      </c>
      <c r="J271" s="1686">
        <v>20364.583333333332</v>
      </c>
      <c r="K271" s="1686">
        <v>977500</v>
      </c>
      <c r="L271" s="1686">
        <v>977500</v>
      </c>
      <c r="M271" s="1723"/>
      <c r="N271" s="1686"/>
      <c r="O271" s="2705">
        <f t="shared" si="141"/>
        <v>977500</v>
      </c>
      <c r="P271" s="1686">
        <v>957125.50000000058</v>
      </c>
      <c r="Q271" s="1686">
        <f>J271+9.92</f>
        <v>20374.50333333333</v>
      </c>
      <c r="R271" s="1686"/>
      <c r="S271" s="1686">
        <f t="shared" si="142"/>
        <v>977500.00333333388</v>
      </c>
      <c r="T271" s="1687">
        <f t="shared" si="143"/>
        <v>-3.3333338797092438E-3</v>
      </c>
      <c r="U271" s="1603">
        <v>25</v>
      </c>
      <c r="V271" s="1555"/>
    </row>
    <row r="272" spans="1:22" ht="12" customHeight="1" x14ac:dyDescent="0.35">
      <c r="A272" s="1716"/>
      <c r="B272" s="1721">
        <v>14</v>
      </c>
      <c r="C272" s="1722" t="s">
        <v>7025</v>
      </c>
      <c r="D272" s="1684"/>
      <c r="E272" s="1685">
        <v>44774</v>
      </c>
      <c r="F272" s="1683"/>
      <c r="G272" s="1684"/>
      <c r="H272" s="1684">
        <v>4</v>
      </c>
      <c r="I272" s="1686">
        <v>48</v>
      </c>
      <c r="J272" s="1686">
        <v>93781.25</v>
      </c>
      <c r="K272" s="1686">
        <v>4501500</v>
      </c>
      <c r="L272" s="1686">
        <v>4501500</v>
      </c>
      <c r="M272" s="1723"/>
      <c r="N272" s="1686"/>
      <c r="O272" s="2705">
        <f t="shared" si="141"/>
        <v>4501500</v>
      </c>
      <c r="P272" s="1686">
        <v>4313933.5</v>
      </c>
      <c r="Q272" s="1686">
        <f t="shared" ref="Q272:Q282" si="144">J272</f>
        <v>93781.25</v>
      </c>
      <c r="R272" s="1686"/>
      <c r="S272" s="1686">
        <f t="shared" si="142"/>
        <v>4407714.75</v>
      </c>
      <c r="T272" s="1687">
        <f t="shared" si="143"/>
        <v>93785.25</v>
      </c>
      <c r="U272" s="1603">
        <v>25</v>
      </c>
      <c r="V272" s="1555"/>
    </row>
    <row r="273" spans="1:22" ht="12" customHeight="1" x14ac:dyDescent="0.35">
      <c r="A273" s="1719"/>
      <c r="B273" s="1721">
        <v>15</v>
      </c>
      <c r="C273" s="1722" t="s">
        <v>7026</v>
      </c>
      <c r="D273" s="1684"/>
      <c r="E273" s="1685">
        <v>44805</v>
      </c>
      <c r="F273" s="1683"/>
      <c r="G273" s="1684"/>
      <c r="H273" s="1684">
        <v>4</v>
      </c>
      <c r="I273" s="1686">
        <v>48</v>
      </c>
      <c r="J273" s="1686">
        <v>37500</v>
      </c>
      <c r="K273" s="1686">
        <v>1800000</v>
      </c>
      <c r="L273" s="1686">
        <v>1800000</v>
      </c>
      <c r="M273" s="1723"/>
      <c r="N273" s="1686"/>
      <c r="O273" s="2705">
        <f t="shared" si="141"/>
        <v>1800000</v>
      </c>
      <c r="P273" s="1686">
        <v>1687500</v>
      </c>
      <c r="Q273" s="1686">
        <f t="shared" si="144"/>
        <v>37500</v>
      </c>
      <c r="R273" s="1686"/>
      <c r="S273" s="1686">
        <f t="shared" si="142"/>
        <v>1725000</v>
      </c>
      <c r="T273" s="1687">
        <f t="shared" si="143"/>
        <v>75000</v>
      </c>
      <c r="U273" s="1603">
        <v>25</v>
      </c>
      <c r="V273" s="1555"/>
    </row>
    <row r="274" spans="1:22" ht="12" customHeight="1" x14ac:dyDescent="0.35">
      <c r="A274" s="1719"/>
      <c r="B274" s="1721">
        <v>16</v>
      </c>
      <c r="C274" s="1722" t="s">
        <v>7027</v>
      </c>
      <c r="D274" s="1684"/>
      <c r="E274" s="1685">
        <v>44805</v>
      </c>
      <c r="F274" s="1683"/>
      <c r="G274" s="1684"/>
      <c r="H274" s="1684">
        <v>4</v>
      </c>
      <c r="I274" s="1686">
        <v>48</v>
      </c>
      <c r="J274" s="1686">
        <v>73958.333333333328</v>
      </c>
      <c r="K274" s="1686">
        <v>3550000</v>
      </c>
      <c r="L274" s="1686">
        <v>3550000</v>
      </c>
      <c r="M274" s="1723"/>
      <c r="N274" s="1686"/>
      <c r="O274" s="2705">
        <f t="shared" si="141"/>
        <v>3550000</v>
      </c>
      <c r="P274" s="1686">
        <v>3328124.999499999</v>
      </c>
      <c r="Q274" s="1686">
        <f t="shared" si="144"/>
        <v>73958.333333333328</v>
      </c>
      <c r="R274" s="1686"/>
      <c r="S274" s="1686">
        <f t="shared" si="142"/>
        <v>3402083.3328333325</v>
      </c>
      <c r="T274" s="1687">
        <f t="shared" si="143"/>
        <v>147916.66716666752</v>
      </c>
      <c r="U274" s="1603">
        <v>25</v>
      </c>
      <c r="V274" s="1555"/>
    </row>
    <row r="275" spans="1:22" ht="12" customHeight="1" x14ac:dyDescent="0.35">
      <c r="A275" s="1719"/>
      <c r="B275" s="1721">
        <v>17</v>
      </c>
      <c r="C275" s="1722" t="s">
        <v>7028</v>
      </c>
      <c r="D275" s="1684"/>
      <c r="E275" s="1685">
        <v>44805</v>
      </c>
      <c r="F275" s="1683"/>
      <c r="G275" s="1684"/>
      <c r="H275" s="1684">
        <v>4</v>
      </c>
      <c r="I275" s="1686">
        <v>48</v>
      </c>
      <c r="J275" s="1686">
        <v>9375</v>
      </c>
      <c r="K275" s="1686">
        <v>450000</v>
      </c>
      <c r="L275" s="1686">
        <v>450000</v>
      </c>
      <c r="M275" s="1723"/>
      <c r="N275" s="1686"/>
      <c r="O275" s="2705">
        <f t="shared" si="141"/>
        <v>450000</v>
      </c>
      <c r="P275" s="1686">
        <v>421875</v>
      </c>
      <c r="Q275" s="1686">
        <f t="shared" si="144"/>
        <v>9375</v>
      </c>
      <c r="R275" s="1686"/>
      <c r="S275" s="1686">
        <f t="shared" si="142"/>
        <v>431250</v>
      </c>
      <c r="T275" s="1687">
        <f t="shared" si="143"/>
        <v>18750</v>
      </c>
      <c r="U275" s="1603">
        <v>25</v>
      </c>
      <c r="V275" s="1555"/>
    </row>
    <row r="276" spans="1:22" ht="12" customHeight="1" x14ac:dyDescent="0.35">
      <c r="A276" s="1719"/>
      <c r="B276" s="1721">
        <v>18</v>
      </c>
      <c r="C276" s="1722" t="s">
        <v>7029</v>
      </c>
      <c r="D276" s="1684"/>
      <c r="E276" s="1685">
        <v>44835</v>
      </c>
      <c r="F276" s="1683"/>
      <c r="G276" s="1684"/>
      <c r="H276" s="1684">
        <v>4</v>
      </c>
      <c r="I276" s="1686">
        <v>48</v>
      </c>
      <c r="J276" s="1686">
        <v>12900.833333333334</v>
      </c>
      <c r="K276" s="1686">
        <v>619240</v>
      </c>
      <c r="L276" s="1686">
        <v>619240</v>
      </c>
      <c r="M276" s="1723"/>
      <c r="N276" s="1686"/>
      <c r="O276" s="2705">
        <f t="shared" si="141"/>
        <v>619240</v>
      </c>
      <c r="P276" s="1686">
        <v>567624.99999999942</v>
      </c>
      <c r="Q276" s="1686">
        <f t="shared" si="144"/>
        <v>12900.833333333334</v>
      </c>
      <c r="R276" s="1686"/>
      <c r="S276" s="1686">
        <f t="shared" si="142"/>
        <v>580525.83333333279</v>
      </c>
      <c r="T276" s="1687">
        <f t="shared" si="143"/>
        <v>38714.16666666721</v>
      </c>
      <c r="U276" s="1603">
        <v>25</v>
      </c>
      <c r="V276" s="1555"/>
    </row>
    <row r="277" spans="1:22" ht="12" customHeight="1" x14ac:dyDescent="0.35">
      <c r="A277" s="1719"/>
      <c r="B277" s="1721">
        <v>19</v>
      </c>
      <c r="C277" s="1722" t="s">
        <v>7030</v>
      </c>
      <c r="D277" s="1684"/>
      <c r="E277" s="1685">
        <v>44835</v>
      </c>
      <c r="F277" s="1683"/>
      <c r="G277" s="1684"/>
      <c r="H277" s="1684">
        <v>4</v>
      </c>
      <c r="I277" s="1686">
        <v>48</v>
      </c>
      <c r="J277" s="1686">
        <v>21664.583333333332</v>
      </c>
      <c r="K277" s="1686">
        <v>1039900</v>
      </c>
      <c r="L277" s="1686">
        <v>1039900</v>
      </c>
      <c r="M277" s="1723"/>
      <c r="N277" s="1686"/>
      <c r="O277" s="2705">
        <f t="shared" si="141"/>
        <v>1039900</v>
      </c>
      <c r="P277" s="1686">
        <v>953233.50000000047</v>
      </c>
      <c r="Q277" s="1686">
        <f t="shared" si="144"/>
        <v>21664.583333333332</v>
      </c>
      <c r="R277" s="1686"/>
      <c r="S277" s="1686">
        <f t="shared" si="142"/>
        <v>974898.08333333384</v>
      </c>
      <c r="T277" s="1687">
        <f t="shared" si="143"/>
        <v>65001.916666666162</v>
      </c>
      <c r="U277" s="1603">
        <v>25</v>
      </c>
      <c r="V277" s="1555"/>
    </row>
    <row r="278" spans="1:22" ht="12" customHeight="1" x14ac:dyDescent="0.35">
      <c r="A278" s="1719"/>
      <c r="B278" s="1721">
        <v>20</v>
      </c>
      <c r="C278" s="1722" t="s">
        <v>7031</v>
      </c>
      <c r="D278" s="1684"/>
      <c r="E278" s="1685">
        <v>44896</v>
      </c>
      <c r="F278" s="1683"/>
      <c r="G278" s="1684"/>
      <c r="H278" s="1684">
        <v>2</v>
      </c>
      <c r="I278" s="1686">
        <v>24</v>
      </c>
      <c r="J278" s="1686">
        <v>366666.66666666669</v>
      </c>
      <c r="K278" s="1686">
        <v>8800000</v>
      </c>
      <c r="L278" s="1686">
        <v>8800000</v>
      </c>
      <c r="M278" s="1723"/>
      <c r="N278" s="1686"/>
      <c r="O278" s="2705">
        <f t="shared" si="141"/>
        <v>8800000</v>
      </c>
      <c r="P278" s="1686">
        <v>8799999.0000000037</v>
      </c>
      <c r="Q278" s="1686">
        <v>0</v>
      </c>
      <c r="R278" s="1686"/>
      <c r="S278" s="1686">
        <f t="shared" si="142"/>
        <v>8799999.0000000037</v>
      </c>
      <c r="T278" s="1687">
        <f t="shared" si="143"/>
        <v>0.9999999962747097</v>
      </c>
      <c r="U278" s="1603">
        <v>25</v>
      </c>
      <c r="V278" s="1555"/>
    </row>
    <row r="279" spans="1:22" ht="12" customHeight="1" x14ac:dyDescent="0.35">
      <c r="A279" s="1719"/>
      <c r="B279" s="1721">
        <v>21</v>
      </c>
      <c r="C279" s="1722" t="s">
        <v>7032</v>
      </c>
      <c r="D279" s="1684"/>
      <c r="E279" s="1685">
        <v>44958</v>
      </c>
      <c r="F279" s="1683"/>
      <c r="G279" s="1684"/>
      <c r="H279" s="1684">
        <v>4</v>
      </c>
      <c r="I279" s="1686">
        <v>48</v>
      </c>
      <c r="J279" s="1686">
        <v>135489.58333333334</v>
      </c>
      <c r="K279" s="1686">
        <v>6503500</v>
      </c>
      <c r="L279" s="1686">
        <v>6503500</v>
      </c>
      <c r="M279" s="1723"/>
      <c r="N279" s="1686"/>
      <c r="O279" s="2705">
        <f t="shared" si="141"/>
        <v>6503500</v>
      </c>
      <c r="P279" s="1686">
        <v>5419583.3333333349</v>
      </c>
      <c r="Q279" s="1686">
        <f t="shared" si="144"/>
        <v>135489.58333333334</v>
      </c>
      <c r="R279" s="1686"/>
      <c r="S279" s="1686">
        <f t="shared" si="142"/>
        <v>5555072.9166666679</v>
      </c>
      <c r="T279" s="1687">
        <f t="shared" si="143"/>
        <v>948427.08333333209</v>
      </c>
      <c r="U279" s="1603">
        <v>25</v>
      </c>
      <c r="V279" s="1555"/>
    </row>
    <row r="280" spans="1:22" ht="12" customHeight="1" x14ac:dyDescent="0.35">
      <c r="A280" s="1719"/>
      <c r="B280" s="1721">
        <v>22</v>
      </c>
      <c r="C280" s="1722" t="s">
        <v>7356</v>
      </c>
      <c r="D280" s="1684"/>
      <c r="E280" s="1685">
        <v>44986</v>
      </c>
      <c r="F280" s="1683"/>
      <c r="G280" s="1684" t="s">
        <v>7033</v>
      </c>
      <c r="H280" s="1684">
        <v>4</v>
      </c>
      <c r="I280" s="1686">
        <v>48</v>
      </c>
      <c r="J280" s="1686">
        <v>231250</v>
      </c>
      <c r="K280" s="1686">
        <v>11100000</v>
      </c>
      <c r="L280" s="1686">
        <v>11100000</v>
      </c>
      <c r="M280" s="1723"/>
      <c r="N280" s="1686"/>
      <c r="O280" s="2705">
        <f t="shared" si="141"/>
        <v>11100000</v>
      </c>
      <c r="P280" s="1686">
        <v>9018750</v>
      </c>
      <c r="Q280" s="1686">
        <f t="shared" si="144"/>
        <v>231250</v>
      </c>
      <c r="R280" s="1686"/>
      <c r="S280" s="1686">
        <f t="shared" si="142"/>
        <v>9250000</v>
      </c>
      <c r="T280" s="1687">
        <f t="shared" si="143"/>
        <v>1850000</v>
      </c>
      <c r="U280" s="1603">
        <v>25</v>
      </c>
      <c r="V280" s="1555"/>
    </row>
    <row r="281" spans="1:22" ht="12" customHeight="1" x14ac:dyDescent="0.35">
      <c r="A281" s="1719"/>
      <c r="B281" s="1721">
        <v>23</v>
      </c>
      <c r="C281" s="1722" t="s">
        <v>7034</v>
      </c>
      <c r="D281" s="1684"/>
      <c r="E281" s="1685">
        <v>44986</v>
      </c>
      <c r="F281" s="1683"/>
      <c r="G281" s="1684" t="s">
        <v>6952</v>
      </c>
      <c r="H281" s="1684">
        <v>4</v>
      </c>
      <c r="I281" s="1686">
        <v>48</v>
      </c>
      <c r="J281" s="1686">
        <v>31979.166666666668</v>
      </c>
      <c r="K281" s="1686">
        <v>1535000</v>
      </c>
      <c r="L281" s="1686">
        <v>1535000</v>
      </c>
      <c r="M281" s="1555"/>
      <c r="N281" s="1686"/>
      <c r="O281" s="2705">
        <f t="shared" si="141"/>
        <v>1535000</v>
      </c>
      <c r="P281" s="1686">
        <v>1247187.5000000035</v>
      </c>
      <c r="Q281" s="1686">
        <f t="shared" si="144"/>
        <v>31979.166666666668</v>
      </c>
      <c r="R281" s="1686"/>
      <c r="S281" s="1686">
        <f t="shared" si="142"/>
        <v>1279166.6666666702</v>
      </c>
      <c r="T281" s="1687">
        <f t="shared" si="143"/>
        <v>255833.33333332976</v>
      </c>
      <c r="U281" s="1603">
        <v>25</v>
      </c>
      <c r="V281" s="1555"/>
    </row>
    <row r="282" spans="1:22" ht="12" customHeight="1" x14ac:dyDescent="0.35">
      <c r="A282" s="1719"/>
      <c r="B282" s="1721">
        <v>24</v>
      </c>
      <c r="C282" s="1722" t="s">
        <v>7035</v>
      </c>
      <c r="D282" s="1684"/>
      <c r="E282" s="1685">
        <v>44986</v>
      </c>
      <c r="F282" s="1683"/>
      <c r="G282" s="1684" t="s">
        <v>6952</v>
      </c>
      <c r="H282" s="1684">
        <v>4</v>
      </c>
      <c r="I282" s="1686">
        <v>48</v>
      </c>
      <c r="J282" s="1686">
        <v>11695.833333333334</v>
      </c>
      <c r="K282" s="1686">
        <v>561400</v>
      </c>
      <c r="L282" s="1686">
        <v>561400</v>
      </c>
      <c r="M282" s="1726"/>
      <c r="N282" s="1686"/>
      <c r="O282" s="2705">
        <f t="shared" si="141"/>
        <v>561400</v>
      </c>
      <c r="P282" s="1686">
        <v>456137.49999999942</v>
      </c>
      <c r="Q282" s="1686">
        <f t="shared" si="144"/>
        <v>11695.833333333334</v>
      </c>
      <c r="R282" s="1686"/>
      <c r="S282" s="1686">
        <f t="shared" si="142"/>
        <v>467833.33333333273</v>
      </c>
      <c r="T282" s="1687">
        <f t="shared" si="143"/>
        <v>93566.666666667268</v>
      </c>
      <c r="U282" s="1603">
        <v>25</v>
      </c>
      <c r="V282" s="1555"/>
    </row>
    <row r="283" spans="1:22" ht="12" customHeight="1" x14ac:dyDescent="0.35">
      <c r="A283" s="1719"/>
      <c r="B283" s="1721">
        <v>25</v>
      </c>
      <c r="C283" s="1722" t="s">
        <v>7019</v>
      </c>
      <c r="D283" s="1684"/>
      <c r="E283" s="1685">
        <v>45047</v>
      </c>
      <c r="F283" s="1683"/>
      <c r="G283" s="1684" t="s">
        <v>7036</v>
      </c>
      <c r="H283" s="1684">
        <v>4</v>
      </c>
      <c r="I283" s="1686">
        <v>48</v>
      </c>
      <c r="J283" s="1686">
        <v>192500</v>
      </c>
      <c r="K283" s="1686">
        <v>9240000</v>
      </c>
      <c r="L283" s="1686">
        <v>9240000</v>
      </c>
      <c r="M283" s="1726"/>
      <c r="N283" s="1686"/>
      <c r="O283" s="2705">
        <f t="shared" si="141"/>
        <v>9240000</v>
      </c>
      <c r="P283" s="1686">
        <v>7122500</v>
      </c>
      <c r="Q283" s="1686">
        <f t="shared" ref="Q283:Q287" si="145">J283</f>
        <v>192500</v>
      </c>
      <c r="R283" s="1686"/>
      <c r="S283" s="1686">
        <f t="shared" si="142"/>
        <v>7315000</v>
      </c>
      <c r="T283" s="1687">
        <f t="shared" si="143"/>
        <v>1925000</v>
      </c>
      <c r="U283" s="1603">
        <v>25</v>
      </c>
      <c r="V283" s="1555"/>
    </row>
    <row r="284" spans="1:22" ht="12" customHeight="1" x14ac:dyDescent="0.35">
      <c r="A284" s="1719"/>
      <c r="B284" s="1721">
        <v>26</v>
      </c>
      <c r="C284" s="1722" t="s">
        <v>7037</v>
      </c>
      <c r="D284" s="1684" t="s">
        <v>6956</v>
      </c>
      <c r="E284" s="1685">
        <v>45406</v>
      </c>
      <c r="F284" s="1683" t="s">
        <v>7038</v>
      </c>
      <c r="G284" s="1684">
        <v>7</v>
      </c>
      <c r="H284" s="1684">
        <v>4</v>
      </c>
      <c r="I284" s="1686">
        <v>48</v>
      </c>
      <c r="J284" s="1686">
        <f>K284*G284/I284</f>
        <v>44125</v>
      </c>
      <c r="K284" s="1686">
        <f>L284/7</f>
        <v>302571.42857142858</v>
      </c>
      <c r="L284" s="1686">
        <v>2118000</v>
      </c>
      <c r="M284" s="1726"/>
      <c r="N284" s="1686"/>
      <c r="O284" s="2705">
        <f t="shared" si="141"/>
        <v>2118000</v>
      </c>
      <c r="P284" s="1686">
        <v>926625</v>
      </c>
      <c r="Q284" s="1686">
        <f t="shared" si="145"/>
        <v>44125</v>
      </c>
      <c r="R284" s="1686"/>
      <c r="S284" s="1686">
        <f t="shared" si="142"/>
        <v>970750</v>
      </c>
      <c r="T284" s="1687">
        <f t="shared" si="143"/>
        <v>1147250</v>
      </c>
      <c r="U284" s="1603">
        <v>25</v>
      </c>
      <c r="V284" s="1555"/>
    </row>
    <row r="285" spans="1:22" ht="12" customHeight="1" x14ac:dyDescent="0.35">
      <c r="A285" s="1719"/>
      <c r="B285" s="1721">
        <v>27</v>
      </c>
      <c r="C285" s="1722" t="s">
        <v>3119</v>
      </c>
      <c r="D285" s="1684" t="s">
        <v>7039</v>
      </c>
      <c r="E285" s="1685">
        <v>45406</v>
      </c>
      <c r="F285" s="1683" t="s">
        <v>7038</v>
      </c>
      <c r="G285" s="1684">
        <v>2</v>
      </c>
      <c r="H285" s="1684">
        <v>4</v>
      </c>
      <c r="I285" s="1686">
        <v>48</v>
      </c>
      <c r="J285" s="1686">
        <f t="shared" ref="J285:J286" si="146">K285*G285/I285</f>
        <v>168750</v>
      </c>
      <c r="K285" s="1686">
        <v>4050000</v>
      </c>
      <c r="L285" s="1686">
        <v>4050000</v>
      </c>
      <c r="M285" s="1726"/>
      <c r="N285" s="1686"/>
      <c r="O285" s="2705">
        <f t="shared" si="141"/>
        <v>4050000</v>
      </c>
      <c r="P285" s="1686">
        <v>3543750</v>
      </c>
      <c r="Q285" s="1686">
        <f t="shared" si="145"/>
        <v>168750</v>
      </c>
      <c r="R285" s="1686"/>
      <c r="S285" s="1686">
        <f t="shared" si="142"/>
        <v>3712500</v>
      </c>
      <c r="T285" s="1687">
        <f t="shared" si="143"/>
        <v>337500</v>
      </c>
      <c r="U285" s="1603">
        <v>25</v>
      </c>
      <c r="V285" s="1555"/>
    </row>
    <row r="286" spans="1:22" ht="12" customHeight="1" x14ac:dyDescent="0.35">
      <c r="A286" s="1719"/>
      <c r="B286" s="1721">
        <v>28</v>
      </c>
      <c r="C286" s="1722" t="s">
        <v>7040</v>
      </c>
      <c r="D286" s="1684" t="s">
        <v>3114</v>
      </c>
      <c r="E286" s="1685">
        <v>45412</v>
      </c>
      <c r="F286" s="1683"/>
      <c r="G286" s="1684">
        <v>2</v>
      </c>
      <c r="H286" s="1684">
        <v>4</v>
      </c>
      <c r="I286" s="1686">
        <v>48</v>
      </c>
      <c r="J286" s="1686">
        <f t="shared" si="146"/>
        <v>331791.66666666669</v>
      </c>
      <c r="K286" s="1686">
        <v>7963000</v>
      </c>
      <c r="L286" s="1686">
        <v>7963000</v>
      </c>
      <c r="M286" s="1726"/>
      <c r="N286" s="1686"/>
      <c r="O286" s="2705">
        <f t="shared" si="141"/>
        <v>7963000</v>
      </c>
      <c r="P286" s="1686">
        <v>6967625.0000000019</v>
      </c>
      <c r="Q286" s="1686">
        <f t="shared" si="145"/>
        <v>331791.66666666669</v>
      </c>
      <c r="R286" s="1686"/>
      <c r="S286" s="1686">
        <f t="shared" si="142"/>
        <v>7299416.6666666688</v>
      </c>
      <c r="T286" s="1687">
        <f t="shared" si="143"/>
        <v>663583.33333333116</v>
      </c>
      <c r="U286" s="1603">
        <v>25</v>
      </c>
      <c r="V286" s="1555"/>
    </row>
    <row r="287" spans="1:22" ht="12" customHeight="1" x14ac:dyDescent="0.35">
      <c r="A287" s="1719"/>
      <c r="B287" s="1721">
        <v>29</v>
      </c>
      <c r="C287" s="1722" t="s">
        <v>7168</v>
      </c>
      <c r="D287" s="1684" t="s">
        <v>7169</v>
      </c>
      <c r="E287" s="1685">
        <v>45427</v>
      </c>
      <c r="F287" s="1683" t="s">
        <v>7166</v>
      </c>
      <c r="G287" s="1684">
        <v>1</v>
      </c>
      <c r="H287" s="1684">
        <v>5</v>
      </c>
      <c r="I287" s="1686">
        <v>60</v>
      </c>
      <c r="J287" s="1686">
        <f>K287*G287/I287</f>
        <v>2833.3333333333335</v>
      </c>
      <c r="K287" s="1686">
        <v>170000</v>
      </c>
      <c r="L287" s="1686">
        <v>170000</v>
      </c>
      <c r="M287" s="1720"/>
      <c r="N287" s="1686"/>
      <c r="O287" s="2705">
        <f t="shared" si="141"/>
        <v>170000</v>
      </c>
      <c r="P287" s="1686">
        <v>70833.333333333343</v>
      </c>
      <c r="Q287" s="1686">
        <f t="shared" si="145"/>
        <v>2833.3333333333335</v>
      </c>
      <c r="R287" s="1686"/>
      <c r="S287" s="1686">
        <f t="shared" si="142"/>
        <v>73666.666666666672</v>
      </c>
      <c r="T287" s="1687">
        <f t="shared" si="143"/>
        <v>96333.333333333328</v>
      </c>
      <c r="U287" s="1603">
        <v>25</v>
      </c>
      <c r="V287" s="1555"/>
    </row>
    <row r="288" spans="1:22" ht="12" customHeight="1" x14ac:dyDescent="0.35">
      <c r="A288" s="1719"/>
      <c r="B288" s="1721">
        <v>30</v>
      </c>
      <c r="C288" s="1722" t="s">
        <v>7168</v>
      </c>
      <c r="D288" s="1684" t="s">
        <v>7170</v>
      </c>
      <c r="E288" s="1685">
        <v>45432</v>
      </c>
      <c r="F288" s="1683" t="s">
        <v>7167</v>
      </c>
      <c r="G288" s="1684">
        <v>1</v>
      </c>
      <c r="H288" s="1684">
        <v>5</v>
      </c>
      <c r="I288" s="1686">
        <v>60</v>
      </c>
      <c r="J288" s="1686">
        <f>K288*G288/I288</f>
        <v>2833.3333333333335</v>
      </c>
      <c r="K288" s="1686">
        <v>170000</v>
      </c>
      <c r="L288" s="1686">
        <v>170000</v>
      </c>
      <c r="M288" s="1720"/>
      <c r="N288" s="1686"/>
      <c r="O288" s="2705">
        <f t="shared" si="141"/>
        <v>170000</v>
      </c>
      <c r="P288" s="1686">
        <v>70833.333333333343</v>
      </c>
      <c r="Q288" s="1686">
        <f t="shared" ref="Q288" si="147">J288</f>
        <v>2833.3333333333335</v>
      </c>
      <c r="R288" s="1686"/>
      <c r="S288" s="1686">
        <f t="shared" si="142"/>
        <v>73666.666666666672</v>
      </c>
      <c r="T288" s="1687">
        <f t="shared" si="143"/>
        <v>96333.333333333328</v>
      </c>
      <c r="U288" s="1603">
        <v>25</v>
      </c>
      <c r="V288" s="1555"/>
    </row>
    <row r="289" spans="1:22" ht="12" customHeight="1" x14ac:dyDescent="0.35">
      <c r="A289" s="1719"/>
      <c r="B289" s="1721">
        <v>31</v>
      </c>
      <c r="C289" s="1722" t="s">
        <v>3119</v>
      </c>
      <c r="D289" s="1684" t="s">
        <v>7175</v>
      </c>
      <c r="E289" s="1685">
        <v>45472</v>
      </c>
      <c r="F289" s="1683" t="s">
        <v>7318</v>
      </c>
      <c r="G289" s="1684">
        <v>8</v>
      </c>
      <c r="H289" s="1684">
        <v>5</v>
      </c>
      <c r="I289" s="1686">
        <v>60</v>
      </c>
      <c r="J289" s="1686">
        <f>K289*G289/I289</f>
        <v>53200</v>
      </c>
      <c r="K289" s="1686">
        <f>3192000/8</f>
        <v>399000</v>
      </c>
      <c r="L289" s="1686">
        <v>3192000</v>
      </c>
      <c r="M289" s="1686"/>
      <c r="N289" s="1686"/>
      <c r="O289" s="2705">
        <f t="shared" si="141"/>
        <v>3192000</v>
      </c>
      <c r="P289" s="1686">
        <v>1276800</v>
      </c>
      <c r="Q289" s="1686">
        <f t="shared" ref="Q289:Q313" si="148">J289</f>
        <v>53200</v>
      </c>
      <c r="R289" s="1686"/>
      <c r="S289" s="1686">
        <f t="shared" ref="S289" si="149">P289+Q289-R289</f>
        <v>1330000</v>
      </c>
      <c r="T289" s="1687">
        <f t="shared" ref="T289" si="150">O289-S289</f>
        <v>1862000</v>
      </c>
      <c r="U289" s="1603">
        <v>25</v>
      </c>
      <c r="V289" s="1555"/>
    </row>
    <row r="290" spans="1:22" ht="12" customHeight="1" x14ac:dyDescent="0.35">
      <c r="A290" s="1719"/>
      <c r="B290" s="1721">
        <v>32</v>
      </c>
      <c r="C290" s="1722" t="s">
        <v>7368</v>
      </c>
      <c r="D290" s="1684" t="s">
        <v>3114</v>
      </c>
      <c r="E290" s="1685">
        <v>45488</v>
      </c>
      <c r="F290" s="1683" t="s">
        <v>7369</v>
      </c>
      <c r="G290" s="1684">
        <v>2</v>
      </c>
      <c r="H290" s="1684">
        <v>5</v>
      </c>
      <c r="I290" s="1686">
        <v>60</v>
      </c>
      <c r="J290" s="1686">
        <f>K290*G290/I290</f>
        <v>139166.66666666666</v>
      </c>
      <c r="K290" s="1686">
        <v>4175000</v>
      </c>
      <c r="L290" s="1686">
        <v>8350000</v>
      </c>
      <c r="M290" s="1686"/>
      <c r="N290" s="1686"/>
      <c r="O290" s="2705">
        <f t="shared" si="141"/>
        <v>8350000</v>
      </c>
      <c r="P290" s="1686">
        <v>3200833.3333333326</v>
      </c>
      <c r="Q290" s="1686">
        <f t="shared" si="148"/>
        <v>139166.66666666666</v>
      </c>
      <c r="R290" s="1686"/>
      <c r="S290" s="1686">
        <f t="shared" ref="S290:S313" si="151">P290+Q290-R290</f>
        <v>3339999.9999999991</v>
      </c>
      <c r="T290" s="1687">
        <f t="shared" ref="T290:T313" si="152">O290-S290</f>
        <v>5010000.0000000009</v>
      </c>
      <c r="U290" s="1603">
        <v>25</v>
      </c>
      <c r="V290" s="1555"/>
    </row>
    <row r="291" spans="1:22" ht="12" customHeight="1" x14ac:dyDescent="0.35">
      <c r="A291" s="1719"/>
      <c r="B291" s="1721">
        <v>33</v>
      </c>
      <c r="C291" s="1722" t="s">
        <v>7370</v>
      </c>
      <c r="D291" s="1684" t="s">
        <v>7363</v>
      </c>
      <c r="E291" s="1685">
        <v>45493</v>
      </c>
      <c r="F291" s="1683" t="s">
        <v>7371</v>
      </c>
      <c r="G291" s="1684">
        <v>3</v>
      </c>
      <c r="H291" s="1684">
        <v>5</v>
      </c>
      <c r="I291" s="1686">
        <v>60</v>
      </c>
      <c r="J291" s="1686">
        <f>K291*G291/I291</f>
        <v>287500</v>
      </c>
      <c r="K291" s="1686">
        <v>5750000</v>
      </c>
      <c r="L291" s="1686">
        <v>17250000</v>
      </c>
      <c r="M291" s="1686"/>
      <c r="N291" s="1686"/>
      <c r="O291" s="2705">
        <f t="shared" si="141"/>
        <v>17250000</v>
      </c>
      <c r="P291" s="1686">
        <v>6612500</v>
      </c>
      <c r="Q291" s="1686">
        <f t="shared" si="148"/>
        <v>287500</v>
      </c>
      <c r="R291" s="1686"/>
      <c r="S291" s="1686">
        <f t="shared" si="151"/>
        <v>6900000</v>
      </c>
      <c r="T291" s="1687">
        <f t="shared" si="152"/>
        <v>10350000</v>
      </c>
      <c r="U291" s="1603">
        <v>25</v>
      </c>
      <c r="V291" s="1555"/>
    </row>
    <row r="292" spans="1:22" ht="12" customHeight="1" x14ac:dyDescent="0.35">
      <c r="A292" s="1719"/>
      <c r="B292" s="1721">
        <v>34</v>
      </c>
      <c r="C292" s="1722" t="s">
        <v>3119</v>
      </c>
      <c r="D292" s="1684" t="s">
        <v>7170</v>
      </c>
      <c r="E292" s="1685">
        <v>45535</v>
      </c>
      <c r="F292" s="1683" t="s">
        <v>7552</v>
      </c>
      <c r="G292" s="1684">
        <v>5</v>
      </c>
      <c r="H292" s="1684">
        <v>5</v>
      </c>
      <c r="I292" s="1686">
        <v>60</v>
      </c>
      <c r="J292" s="1686">
        <f t="shared" ref="J292:J298" si="153">K292*G292/I292</f>
        <v>35476.666666666664</v>
      </c>
      <c r="K292" s="1686">
        <f>2128600/5</f>
        <v>425720</v>
      </c>
      <c r="L292" s="1686">
        <v>2128600</v>
      </c>
      <c r="M292" s="1686"/>
      <c r="N292" s="1686"/>
      <c r="O292" s="2705">
        <f t="shared" si="141"/>
        <v>2128600</v>
      </c>
      <c r="P292" s="1686">
        <v>780486.66666666651</v>
      </c>
      <c r="Q292" s="1686">
        <f t="shared" si="148"/>
        <v>35476.666666666664</v>
      </c>
      <c r="R292" s="1686"/>
      <c r="S292" s="1686">
        <f t="shared" si="151"/>
        <v>815963.33333333314</v>
      </c>
      <c r="T292" s="1687">
        <f t="shared" si="152"/>
        <v>1312636.666666667</v>
      </c>
      <c r="U292" s="1603">
        <v>25</v>
      </c>
      <c r="V292" s="1555"/>
    </row>
    <row r="293" spans="1:22" ht="12" customHeight="1" x14ac:dyDescent="0.35">
      <c r="A293" s="1719"/>
      <c r="B293" s="1721">
        <v>35</v>
      </c>
      <c r="C293" s="1722" t="s">
        <v>3119</v>
      </c>
      <c r="D293" s="1684" t="s">
        <v>7170</v>
      </c>
      <c r="E293" s="1685">
        <v>45547</v>
      </c>
      <c r="F293" s="1683" t="s">
        <v>7560</v>
      </c>
      <c r="G293" s="1684">
        <v>1</v>
      </c>
      <c r="H293" s="1684">
        <v>5</v>
      </c>
      <c r="I293" s="1686">
        <v>60</v>
      </c>
      <c r="J293" s="1686">
        <f t="shared" si="153"/>
        <v>7000</v>
      </c>
      <c r="K293" s="1686">
        <v>420000</v>
      </c>
      <c r="L293" s="1686">
        <v>420000</v>
      </c>
      <c r="M293" s="1686"/>
      <c r="N293" s="1686"/>
      <c r="O293" s="2705">
        <f t="shared" si="141"/>
        <v>420000</v>
      </c>
      <c r="P293" s="1686">
        <v>147000</v>
      </c>
      <c r="Q293" s="1686">
        <f t="shared" si="148"/>
        <v>7000</v>
      </c>
      <c r="R293" s="1686"/>
      <c r="S293" s="1686">
        <f t="shared" ref="S293" si="154">P293+Q293-R293</f>
        <v>154000</v>
      </c>
      <c r="T293" s="1687">
        <f t="shared" ref="T293" si="155">O293-S293</f>
        <v>266000</v>
      </c>
      <c r="U293" s="1603">
        <v>25</v>
      </c>
      <c r="V293" s="1555"/>
    </row>
    <row r="294" spans="1:22" ht="12" customHeight="1" x14ac:dyDescent="0.35">
      <c r="A294" s="1719"/>
      <c r="B294" s="1721">
        <v>36</v>
      </c>
      <c r="C294" s="1722" t="s">
        <v>7568</v>
      </c>
      <c r="D294" s="1684" t="s">
        <v>7569</v>
      </c>
      <c r="E294" s="1685">
        <v>45595</v>
      </c>
      <c r="F294" s="1683" t="s">
        <v>7570</v>
      </c>
      <c r="G294" s="1684">
        <v>2</v>
      </c>
      <c r="H294" s="1684">
        <v>5</v>
      </c>
      <c r="I294" s="1686">
        <v>60</v>
      </c>
      <c r="J294" s="1686">
        <f>K294*G294/I294</f>
        <v>21783.333333333332</v>
      </c>
      <c r="K294" s="1686">
        <v>653500</v>
      </c>
      <c r="L294" s="1686">
        <v>1307000</v>
      </c>
      <c r="M294" s="1686"/>
      <c r="N294" s="1686"/>
      <c r="O294" s="2705">
        <f t="shared" si="141"/>
        <v>1307000</v>
      </c>
      <c r="P294" s="1686">
        <v>435666.66666666657</v>
      </c>
      <c r="Q294" s="1686">
        <f t="shared" si="148"/>
        <v>21783.333333333332</v>
      </c>
      <c r="R294" s="1686"/>
      <c r="S294" s="1686">
        <f t="shared" ref="S294:S296" si="156">P294+Q294-R294</f>
        <v>457449.99999999988</v>
      </c>
      <c r="T294" s="1687">
        <f t="shared" ref="T294:T296" si="157">O294-S294</f>
        <v>849550.00000000012</v>
      </c>
      <c r="U294" s="1603">
        <v>25</v>
      </c>
      <c r="V294" s="1555"/>
    </row>
    <row r="295" spans="1:22" ht="12" customHeight="1" x14ac:dyDescent="0.35">
      <c r="A295" s="1719"/>
      <c r="B295" s="1721">
        <v>37</v>
      </c>
      <c r="C295" s="1722" t="s">
        <v>7571</v>
      </c>
      <c r="D295" s="1684" t="s">
        <v>7572</v>
      </c>
      <c r="E295" s="1685">
        <v>45595</v>
      </c>
      <c r="F295" s="1683" t="s">
        <v>7573</v>
      </c>
      <c r="G295" s="1684">
        <v>1</v>
      </c>
      <c r="H295" s="1684">
        <v>5</v>
      </c>
      <c r="I295" s="1686">
        <v>60</v>
      </c>
      <c r="J295" s="1686">
        <f t="shared" si="153"/>
        <v>13233.333333333334</v>
      </c>
      <c r="K295" s="1686">
        <v>794000</v>
      </c>
      <c r="L295" s="1686">
        <v>794000</v>
      </c>
      <c r="M295" s="1686"/>
      <c r="N295" s="1686"/>
      <c r="O295" s="2705">
        <f t="shared" si="141"/>
        <v>794000</v>
      </c>
      <c r="P295" s="1686">
        <v>264666.66666666674</v>
      </c>
      <c r="Q295" s="1686">
        <f t="shared" si="148"/>
        <v>13233.333333333334</v>
      </c>
      <c r="R295" s="1686"/>
      <c r="S295" s="1686">
        <f t="shared" si="156"/>
        <v>277900.00000000006</v>
      </c>
      <c r="T295" s="1687">
        <f t="shared" si="157"/>
        <v>516099.99999999994</v>
      </c>
      <c r="U295" s="1603">
        <v>25</v>
      </c>
      <c r="V295" s="1555"/>
    </row>
    <row r="296" spans="1:22" ht="12" customHeight="1" x14ac:dyDescent="0.35">
      <c r="A296" s="1719"/>
      <c r="B296" s="1721">
        <v>38</v>
      </c>
      <c r="C296" s="1722" t="s">
        <v>7598</v>
      </c>
      <c r="D296" s="1684" t="s">
        <v>7170</v>
      </c>
      <c r="E296" s="1685">
        <v>45610</v>
      </c>
      <c r="F296" s="1683" t="s">
        <v>7599</v>
      </c>
      <c r="G296" s="1684">
        <v>1</v>
      </c>
      <c r="H296" s="1684">
        <v>5</v>
      </c>
      <c r="I296" s="1686">
        <v>60</v>
      </c>
      <c r="J296" s="1686">
        <f t="shared" si="153"/>
        <v>75000</v>
      </c>
      <c r="K296" s="1686">
        <v>4500000</v>
      </c>
      <c r="L296" s="1686">
        <f>K296</f>
        <v>4500000</v>
      </c>
      <c r="M296" s="1686"/>
      <c r="N296" s="1686"/>
      <c r="O296" s="2705">
        <f t="shared" si="141"/>
        <v>4500000</v>
      </c>
      <c r="P296" s="1686">
        <v>1425000</v>
      </c>
      <c r="Q296" s="1686">
        <f t="shared" si="148"/>
        <v>75000</v>
      </c>
      <c r="R296" s="1686"/>
      <c r="S296" s="1686">
        <f t="shared" si="156"/>
        <v>1500000</v>
      </c>
      <c r="T296" s="1687">
        <f t="shared" si="157"/>
        <v>3000000</v>
      </c>
      <c r="U296" s="1603">
        <v>25</v>
      </c>
      <c r="V296" s="1555"/>
    </row>
    <row r="297" spans="1:22" ht="12" customHeight="1" x14ac:dyDescent="0.35">
      <c r="A297" s="1719"/>
      <c r="B297" s="1721">
        <v>39</v>
      </c>
      <c r="C297" s="1722" t="s">
        <v>7618</v>
      </c>
      <c r="D297" s="1684" t="s">
        <v>7600</v>
      </c>
      <c r="E297" s="1685">
        <v>45612</v>
      </c>
      <c r="F297" s="1683" t="s">
        <v>7601</v>
      </c>
      <c r="G297" s="1684">
        <v>1</v>
      </c>
      <c r="H297" s="1684">
        <v>5</v>
      </c>
      <c r="I297" s="1686">
        <v>60</v>
      </c>
      <c r="J297" s="1686">
        <f t="shared" si="153"/>
        <v>15500</v>
      </c>
      <c r="K297" s="1686">
        <v>930000</v>
      </c>
      <c r="L297" s="1686">
        <f>K297</f>
        <v>930000</v>
      </c>
      <c r="M297" s="1686"/>
      <c r="N297" s="1686"/>
      <c r="O297" s="2705">
        <f t="shared" si="141"/>
        <v>930000</v>
      </c>
      <c r="P297" s="1686">
        <v>294500</v>
      </c>
      <c r="Q297" s="1686">
        <f t="shared" si="148"/>
        <v>15500</v>
      </c>
      <c r="R297" s="1686"/>
      <c r="S297" s="1686">
        <f t="shared" ref="S297" si="158">P297+Q297-R297</f>
        <v>310000</v>
      </c>
      <c r="T297" s="1687">
        <f t="shared" ref="T297" si="159">O297-S297</f>
        <v>620000</v>
      </c>
      <c r="U297" s="1603">
        <v>25</v>
      </c>
      <c r="V297" s="1555"/>
    </row>
    <row r="298" spans="1:22" ht="12" customHeight="1" x14ac:dyDescent="0.35">
      <c r="A298" s="1719"/>
      <c r="B298" s="1721">
        <v>40</v>
      </c>
      <c r="C298" s="1722" t="s">
        <v>7602</v>
      </c>
      <c r="D298" s="1684" t="s">
        <v>7583</v>
      </c>
      <c r="E298" s="1685">
        <v>45612</v>
      </c>
      <c r="F298" s="1683" t="s">
        <v>7603</v>
      </c>
      <c r="G298" s="1684">
        <v>1</v>
      </c>
      <c r="H298" s="1684">
        <v>5</v>
      </c>
      <c r="I298" s="1686">
        <v>60</v>
      </c>
      <c r="J298" s="1686">
        <f t="shared" si="153"/>
        <v>11833.333333333334</v>
      </c>
      <c r="K298" s="1686">
        <v>710000</v>
      </c>
      <c r="L298" s="1686">
        <f>K298</f>
        <v>710000</v>
      </c>
      <c r="M298" s="1686"/>
      <c r="N298" s="1686"/>
      <c r="O298" s="2705">
        <f t="shared" si="141"/>
        <v>710000</v>
      </c>
      <c r="P298" s="1686">
        <v>224833.33333333337</v>
      </c>
      <c r="Q298" s="1686">
        <f t="shared" si="148"/>
        <v>11833.333333333334</v>
      </c>
      <c r="R298" s="1686"/>
      <c r="S298" s="1686">
        <f t="shared" ref="S298:S299" si="160">P298+Q298-R298</f>
        <v>236666.66666666672</v>
      </c>
      <c r="T298" s="1687">
        <f t="shared" ref="T298:T299" si="161">O298-S298</f>
        <v>473333.33333333326</v>
      </c>
      <c r="U298" s="1603">
        <v>25</v>
      </c>
      <c r="V298" s="1555"/>
    </row>
    <row r="299" spans="1:22" ht="12" customHeight="1" x14ac:dyDescent="0.35">
      <c r="A299" s="1719"/>
      <c r="B299" s="1721">
        <v>41</v>
      </c>
      <c r="C299" s="1722" t="s">
        <v>3119</v>
      </c>
      <c r="D299" s="1684" t="s">
        <v>7363</v>
      </c>
      <c r="E299" s="1685">
        <v>45747</v>
      </c>
      <c r="F299" s="1683" t="s">
        <v>7670</v>
      </c>
      <c r="G299" s="1684">
        <v>8</v>
      </c>
      <c r="H299" s="1684">
        <v>5</v>
      </c>
      <c r="I299" s="1686">
        <v>60</v>
      </c>
      <c r="J299" s="1686">
        <f t="shared" ref="J299:J307" si="162">K299*G299/I299</f>
        <v>86513.333333333328</v>
      </c>
      <c r="K299" s="1686">
        <v>648850</v>
      </c>
      <c r="L299" s="1686">
        <f>K299*G299</f>
        <v>5190800</v>
      </c>
      <c r="M299" s="1686"/>
      <c r="N299" s="1686"/>
      <c r="O299" s="2705">
        <f t="shared" si="141"/>
        <v>5190800</v>
      </c>
      <c r="P299" s="1686">
        <v>1297700</v>
      </c>
      <c r="Q299" s="1686">
        <f t="shared" si="148"/>
        <v>86513.333333333328</v>
      </c>
      <c r="R299" s="1686"/>
      <c r="S299" s="1686">
        <f t="shared" si="160"/>
        <v>1384213.3333333333</v>
      </c>
      <c r="T299" s="1687">
        <f t="shared" si="161"/>
        <v>3806586.666666667</v>
      </c>
      <c r="U299" s="1603">
        <v>25</v>
      </c>
      <c r="V299" s="1555"/>
    </row>
    <row r="300" spans="1:22" ht="12" customHeight="1" x14ac:dyDescent="0.35">
      <c r="A300" s="1719"/>
      <c r="B300" s="1721">
        <v>42</v>
      </c>
      <c r="C300" s="1722" t="s">
        <v>7690</v>
      </c>
      <c r="D300" s="1684" t="s">
        <v>7693</v>
      </c>
      <c r="E300" s="1685">
        <v>45808</v>
      </c>
      <c r="F300" s="1683" t="s">
        <v>7691</v>
      </c>
      <c r="G300" s="1684">
        <v>12</v>
      </c>
      <c r="H300" s="1684">
        <v>5</v>
      </c>
      <c r="I300" s="1686">
        <v>60</v>
      </c>
      <c r="J300" s="1686">
        <f t="shared" si="162"/>
        <v>132448.33333333334</v>
      </c>
      <c r="K300" s="1686">
        <v>662241.66666666663</v>
      </c>
      <c r="L300" s="1686">
        <f t="shared" ref="L300:L305" si="163">G300*K300</f>
        <v>7946900</v>
      </c>
      <c r="M300" s="1686"/>
      <c r="N300" s="1686"/>
      <c r="O300" s="2705">
        <f t="shared" si="141"/>
        <v>7946900</v>
      </c>
      <c r="P300" s="1686">
        <v>1721828.333333333</v>
      </c>
      <c r="Q300" s="1686">
        <f t="shared" si="148"/>
        <v>132448.33333333334</v>
      </c>
      <c r="R300" s="1686"/>
      <c r="S300" s="1686">
        <f t="shared" ref="S300:S302" si="164">P300+Q300-R300</f>
        <v>1854276.6666666663</v>
      </c>
      <c r="T300" s="1687">
        <f t="shared" ref="T300:T302" si="165">O300-S300</f>
        <v>6092623.333333334</v>
      </c>
      <c r="U300" s="1603">
        <v>25</v>
      </c>
      <c r="V300" s="1555"/>
    </row>
    <row r="301" spans="1:22" ht="12" customHeight="1" x14ac:dyDescent="0.35">
      <c r="A301" s="1719"/>
      <c r="B301" s="1721">
        <v>43</v>
      </c>
      <c r="C301" s="1722" t="s">
        <v>7692</v>
      </c>
      <c r="D301" s="1684" t="s">
        <v>7170</v>
      </c>
      <c r="E301" s="1685">
        <v>45808</v>
      </c>
      <c r="F301" s="1683" t="s">
        <v>7691</v>
      </c>
      <c r="G301" s="1684">
        <v>1</v>
      </c>
      <c r="H301" s="1684">
        <v>5</v>
      </c>
      <c r="I301" s="1686">
        <v>60</v>
      </c>
      <c r="J301" s="1686">
        <f t="shared" si="162"/>
        <v>68723.333333333328</v>
      </c>
      <c r="K301" s="1686">
        <v>4123400</v>
      </c>
      <c r="L301" s="1686">
        <f t="shared" si="163"/>
        <v>4123400</v>
      </c>
      <c r="M301" s="1686"/>
      <c r="N301" s="1686"/>
      <c r="O301" s="2705">
        <f t="shared" si="141"/>
        <v>4123400</v>
      </c>
      <c r="P301" s="1686">
        <v>893403.33333333349</v>
      </c>
      <c r="Q301" s="1686">
        <f t="shared" si="148"/>
        <v>68723.333333333328</v>
      </c>
      <c r="R301" s="1686"/>
      <c r="S301" s="1686">
        <f t="shared" si="164"/>
        <v>962126.66666666686</v>
      </c>
      <c r="T301" s="1687">
        <f t="shared" si="165"/>
        <v>3161273.333333333</v>
      </c>
      <c r="U301" s="1603">
        <v>25</v>
      </c>
      <c r="V301" s="1555"/>
    </row>
    <row r="302" spans="1:22" ht="12" customHeight="1" x14ac:dyDescent="0.35">
      <c r="A302" s="1719"/>
      <c r="B302" s="1721">
        <v>44</v>
      </c>
      <c r="C302" s="1722" t="s">
        <v>7690</v>
      </c>
      <c r="D302" s="1684" t="s">
        <v>6956</v>
      </c>
      <c r="E302" s="1685">
        <v>45808</v>
      </c>
      <c r="F302" s="1683" t="s">
        <v>7687</v>
      </c>
      <c r="G302" s="1684">
        <v>12</v>
      </c>
      <c r="H302" s="1684">
        <v>5</v>
      </c>
      <c r="I302" s="1686">
        <v>60</v>
      </c>
      <c r="J302" s="1686">
        <f t="shared" si="162"/>
        <v>137960</v>
      </c>
      <c r="K302" s="1686">
        <v>689800</v>
      </c>
      <c r="L302" s="1686">
        <f t="shared" si="163"/>
        <v>8277600</v>
      </c>
      <c r="M302" s="1686"/>
      <c r="N302" s="1686"/>
      <c r="O302" s="2705">
        <f t="shared" si="141"/>
        <v>8277600</v>
      </c>
      <c r="P302" s="1686">
        <v>1793480</v>
      </c>
      <c r="Q302" s="1686">
        <f t="shared" si="148"/>
        <v>137960</v>
      </c>
      <c r="R302" s="1686"/>
      <c r="S302" s="1686">
        <f t="shared" si="164"/>
        <v>1931440</v>
      </c>
      <c r="T302" s="1687">
        <f t="shared" si="165"/>
        <v>6346160</v>
      </c>
      <c r="U302" s="1603">
        <v>25</v>
      </c>
      <c r="V302" s="1555"/>
    </row>
    <row r="303" spans="1:22" ht="12" customHeight="1" x14ac:dyDescent="0.35">
      <c r="A303" s="1719"/>
      <c r="B303" s="1721">
        <v>45</v>
      </c>
      <c r="C303" s="1722" t="s">
        <v>7965</v>
      </c>
      <c r="D303" s="1684" t="s">
        <v>7175</v>
      </c>
      <c r="E303" s="1685">
        <v>45869</v>
      </c>
      <c r="F303" s="1683" t="s">
        <v>7741</v>
      </c>
      <c r="G303" s="1684">
        <v>1</v>
      </c>
      <c r="H303" s="1684">
        <v>5</v>
      </c>
      <c r="I303" s="1686">
        <v>60</v>
      </c>
      <c r="J303" s="1686">
        <f t="shared" si="162"/>
        <v>16038.333333333334</v>
      </c>
      <c r="K303" s="1686">
        <v>962300</v>
      </c>
      <c r="L303" s="1686">
        <f t="shared" si="163"/>
        <v>962300</v>
      </c>
      <c r="M303" s="1686"/>
      <c r="N303" s="1686"/>
      <c r="O303" s="2705">
        <f>L303+M303-N303</f>
        <v>962300</v>
      </c>
      <c r="P303" s="1686">
        <v>176421.66666666669</v>
      </c>
      <c r="Q303" s="1686">
        <f t="shared" si="148"/>
        <v>16038.333333333334</v>
      </c>
      <c r="R303" s="1686"/>
      <c r="S303" s="1686">
        <f t="shared" ref="S303:S304" si="166">P303+Q303-R303</f>
        <v>192460.00000000003</v>
      </c>
      <c r="T303" s="1687">
        <f t="shared" ref="T303:T304" si="167">O303-S303</f>
        <v>769840</v>
      </c>
      <c r="U303" s="1603">
        <v>25</v>
      </c>
      <c r="V303" s="1555"/>
    </row>
    <row r="304" spans="1:22" ht="12" customHeight="1" x14ac:dyDescent="0.35">
      <c r="A304" s="1719"/>
      <c r="B304" s="1721">
        <v>46</v>
      </c>
      <c r="C304" s="1722" t="s">
        <v>7802</v>
      </c>
      <c r="D304" s="1684" t="s">
        <v>3112</v>
      </c>
      <c r="E304" s="1685">
        <v>45874</v>
      </c>
      <c r="F304" s="1683" t="s">
        <v>7797</v>
      </c>
      <c r="G304" s="1684">
        <v>5</v>
      </c>
      <c r="H304" s="1684">
        <v>5</v>
      </c>
      <c r="I304" s="1686">
        <v>60</v>
      </c>
      <c r="J304" s="1686">
        <f t="shared" si="162"/>
        <v>16991.333333333332</v>
      </c>
      <c r="K304" s="1686">
        <v>203896</v>
      </c>
      <c r="L304" s="1686">
        <f t="shared" si="163"/>
        <v>1019480</v>
      </c>
      <c r="M304" s="1686"/>
      <c r="N304" s="1686"/>
      <c r="O304" s="2705">
        <f t="shared" si="141"/>
        <v>1019480</v>
      </c>
      <c r="P304" s="1686">
        <v>169913.33333333334</v>
      </c>
      <c r="Q304" s="1686">
        <f t="shared" si="148"/>
        <v>16991.333333333332</v>
      </c>
      <c r="R304" s="1686"/>
      <c r="S304" s="1686">
        <f t="shared" si="166"/>
        <v>186904.66666666669</v>
      </c>
      <c r="T304" s="1687">
        <f t="shared" si="167"/>
        <v>832575.33333333326</v>
      </c>
      <c r="U304" s="1603">
        <v>25</v>
      </c>
      <c r="V304" s="1555"/>
    </row>
    <row r="305" spans="1:22" ht="12" customHeight="1" x14ac:dyDescent="0.35">
      <c r="A305" s="1719"/>
      <c r="B305" s="1721">
        <v>47</v>
      </c>
      <c r="C305" s="1722" t="s">
        <v>7803</v>
      </c>
      <c r="D305" s="1684" t="s">
        <v>3112</v>
      </c>
      <c r="E305" s="1685">
        <v>45874</v>
      </c>
      <c r="F305" s="1683" t="s">
        <v>7797</v>
      </c>
      <c r="G305" s="1684">
        <v>1</v>
      </c>
      <c r="H305" s="1684">
        <v>5</v>
      </c>
      <c r="I305" s="1686">
        <v>60</v>
      </c>
      <c r="J305" s="1686">
        <f t="shared" si="162"/>
        <v>5621.666666666667</v>
      </c>
      <c r="K305" s="1686">
        <v>337300</v>
      </c>
      <c r="L305" s="1686">
        <f t="shared" si="163"/>
        <v>337300</v>
      </c>
      <c r="M305" s="1686"/>
      <c r="N305" s="1686"/>
      <c r="O305" s="2705">
        <f t="shared" si="141"/>
        <v>337300</v>
      </c>
      <c r="P305" s="1686">
        <v>56216.666666666657</v>
      </c>
      <c r="Q305" s="1686">
        <f t="shared" si="148"/>
        <v>5621.666666666667</v>
      </c>
      <c r="R305" s="1686"/>
      <c r="S305" s="1686">
        <f t="shared" ref="S305" si="168">P305+Q305-R305</f>
        <v>61838.333333333321</v>
      </c>
      <c r="T305" s="1687">
        <f t="shared" ref="T305" si="169">O305-S305</f>
        <v>275461.66666666669</v>
      </c>
      <c r="U305" s="1603">
        <v>25</v>
      </c>
      <c r="V305" s="1555"/>
    </row>
    <row r="306" spans="1:22" ht="12" customHeight="1" x14ac:dyDescent="0.35">
      <c r="A306" s="1719"/>
      <c r="B306" s="1721">
        <v>48</v>
      </c>
      <c r="C306" s="1722" t="s">
        <v>7943</v>
      </c>
      <c r="D306" s="1684" t="s">
        <v>7944</v>
      </c>
      <c r="E306" s="1685">
        <v>45904</v>
      </c>
      <c r="F306" s="1683" t="s">
        <v>7940</v>
      </c>
      <c r="G306" s="1684">
        <v>4</v>
      </c>
      <c r="H306" s="1684">
        <v>5</v>
      </c>
      <c r="I306" s="1686">
        <v>60</v>
      </c>
      <c r="J306" s="1686">
        <f t="shared" si="162"/>
        <v>39250.800000000003</v>
      </c>
      <c r="K306" s="1686">
        <f>2355048/4</f>
        <v>588762</v>
      </c>
      <c r="L306" s="1686">
        <f>K306*G306</f>
        <v>2355048</v>
      </c>
      <c r="M306" s="1686"/>
      <c r="N306" s="1686"/>
      <c r="O306" s="2705">
        <f t="shared" si="141"/>
        <v>2355048</v>
      </c>
      <c r="P306" s="1686">
        <v>353257.19999999995</v>
      </c>
      <c r="Q306" s="1686">
        <f t="shared" si="148"/>
        <v>39250.800000000003</v>
      </c>
      <c r="R306" s="1686"/>
      <c r="S306" s="1686">
        <f t="shared" ref="S306" si="170">P306+Q306-R306</f>
        <v>392507.99999999994</v>
      </c>
      <c r="T306" s="1687">
        <f t="shared" ref="T306" si="171">O306-S306</f>
        <v>1962540</v>
      </c>
      <c r="U306" s="1603">
        <v>25</v>
      </c>
      <c r="V306" s="1555"/>
    </row>
    <row r="307" spans="1:22" ht="12" customHeight="1" x14ac:dyDescent="0.35">
      <c r="A307" s="1719"/>
      <c r="B307" s="1721">
        <v>49</v>
      </c>
      <c r="C307" s="1722" t="s">
        <v>7966</v>
      </c>
      <c r="D307" s="1684" t="s">
        <v>7967</v>
      </c>
      <c r="E307" s="1685">
        <v>45948</v>
      </c>
      <c r="F307" s="1683" t="s">
        <v>7968</v>
      </c>
      <c r="G307" s="1684">
        <v>14</v>
      </c>
      <c r="H307" s="1684">
        <v>5</v>
      </c>
      <c r="I307" s="1686">
        <v>60</v>
      </c>
      <c r="J307" s="1686">
        <f t="shared" si="162"/>
        <v>51390</v>
      </c>
      <c r="K307" s="1686">
        <f>3083400/14</f>
        <v>220242.85714285713</v>
      </c>
      <c r="L307" s="1686">
        <f>K307*G307</f>
        <v>3083400</v>
      </c>
      <c r="M307" s="1686"/>
      <c r="N307" s="1686"/>
      <c r="O307" s="2705">
        <f t="shared" si="141"/>
        <v>3083400</v>
      </c>
      <c r="P307" s="1686">
        <v>411120</v>
      </c>
      <c r="Q307" s="1686">
        <f t="shared" si="148"/>
        <v>51390</v>
      </c>
      <c r="R307" s="1686"/>
      <c r="S307" s="1686">
        <f t="shared" ref="S307:S308" si="172">P307+Q307-R307</f>
        <v>462510</v>
      </c>
      <c r="T307" s="1687">
        <f t="shared" ref="T307:T308" si="173">O307-S307</f>
        <v>2620890</v>
      </c>
      <c r="U307" s="1603">
        <v>25</v>
      </c>
      <c r="V307" s="1555"/>
    </row>
    <row r="308" spans="1:22" ht="12" customHeight="1" x14ac:dyDescent="0.35">
      <c r="A308" s="1719"/>
      <c r="B308" s="1721">
        <v>50</v>
      </c>
      <c r="C308" s="1722" t="s">
        <v>7969</v>
      </c>
      <c r="D308" s="1684" t="s">
        <v>7175</v>
      </c>
      <c r="E308" s="1685">
        <v>45948</v>
      </c>
      <c r="F308" s="1683" t="s">
        <v>7970</v>
      </c>
      <c r="G308" s="1684">
        <v>1</v>
      </c>
      <c r="H308" s="1684">
        <v>5</v>
      </c>
      <c r="I308" s="1686">
        <v>60</v>
      </c>
      <c r="J308" s="1686">
        <f>K308*G308/I308</f>
        <v>19570</v>
      </c>
      <c r="K308" s="1686">
        <v>1174200</v>
      </c>
      <c r="L308" s="1686">
        <f>K308*G308</f>
        <v>1174200</v>
      </c>
      <c r="M308" s="1686"/>
      <c r="N308" s="1686"/>
      <c r="O308" s="2705">
        <f t="shared" si="141"/>
        <v>1174200</v>
      </c>
      <c r="P308" s="1686">
        <v>156560</v>
      </c>
      <c r="Q308" s="1686">
        <f t="shared" si="148"/>
        <v>19570</v>
      </c>
      <c r="R308" s="1686"/>
      <c r="S308" s="1686">
        <f t="shared" si="172"/>
        <v>176130</v>
      </c>
      <c r="T308" s="1687">
        <f t="shared" si="173"/>
        <v>998070</v>
      </c>
      <c r="U308" s="1603">
        <v>25</v>
      </c>
      <c r="V308" s="1555"/>
    </row>
    <row r="309" spans="1:22" ht="12" customHeight="1" x14ac:dyDescent="0.35">
      <c r="A309" s="1719"/>
      <c r="B309" s="1721">
        <v>51</v>
      </c>
      <c r="C309" s="1722" t="s">
        <v>8093</v>
      </c>
      <c r="D309" s="1684" t="s">
        <v>7569</v>
      </c>
      <c r="E309" s="1685">
        <v>46076</v>
      </c>
      <c r="F309" s="1683" t="s">
        <v>8094</v>
      </c>
      <c r="G309" s="1684">
        <v>3</v>
      </c>
      <c r="H309" s="1684">
        <v>5</v>
      </c>
      <c r="I309" s="1686">
        <v>60</v>
      </c>
      <c r="J309" s="1686">
        <f>K309*G309/I309</f>
        <v>133100</v>
      </c>
      <c r="K309" s="1686">
        <f>7986000/G309</f>
        <v>2662000</v>
      </c>
      <c r="L309" s="1686">
        <f>K309*G309</f>
        <v>7986000</v>
      </c>
      <c r="M309" s="1686"/>
      <c r="N309" s="1686"/>
      <c r="O309" s="2705">
        <f t="shared" si="141"/>
        <v>7986000</v>
      </c>
      <c r="P309" s="1686">
        <v>532400</v>
      </c>
      <c r="Q309" s="1686">
        <f t="shared" si="148"/>
        <v>133100</v>
      </c>
      <c r="R309" s="1686"/>
      <c r="S309" s="1686">
        <f t="shared" ref="S309" si="174">P309+Q309-R309</f>
        <v>665500</v>
      </c>
      <c r="T309" s="1687">
        <f t="shared" ref="T309" si="175">O309-S309</f>
        <v>7320500</v>
      </c>
      <c r="U309" s="1603">
        <v>25</v>
      </c>
      <c r="V309" s="1555"/>
    </row>
    <row r="310" spans="1:22" ht="12" customHeight="1" x14ac:dyDescent="0.35">
      <c r="A310" s="1719"/>
      <c r="B310" s="1721">
        <v>52</v>
      </c>
      <c r="C310" s="1722"/>
      <c r="D310" s="1684"/>
      <c r="E310" s="1685"/>
      <c r="F310" s="1683"/>
      <c r="G310" s="1684"/>
      <c r="H310" s="1684"/>
      <c r="I310" s="1686"/>
      <c r="J310" s="1686"/>
      <c r="K310" s="1686"/>
      <c r="L310" s="1686"/>
      <c r="M310" s="1686"/>
      <c r="N310" s="1686"/>
      <c r="O310" s="2705"/>
      <c r="P310" s="1686"/>
      <c r="Q310" s="1686"/>
      <c r="R310" s="1686"/>
      <c r="S310" s="1686"/>
      <c r="T310" s="1687"/>
      <c r="U310" s="1603">
        <v>25</v>
      </c>
      <c r="V310" s="1555"/>
    </row>
    <row r="311" spans="1:22" ht="12" customHeight="1" x14ac:dyDescent="0.35">
      <c r="A311" s="1719"/>
      <c r="B311" s="1721">
        <v>53</v>
      </c>
      <c r="C311" s="1722"/>
      <c r="D311" s="1684"/>
      <c r="E311" s="1685"/>
      <c r="F311" s="1683"/>
      <c r="G311" s="1684"/>
      <c r="H311" s="1684"/>
      <c r="I311" s="1686"/>
      <c r="J311" s="1686"/>
      <c r="K311" s="1686"/>
      <c r="L311" s="1686"/>
      <c r="M311" s="1686"/>
      <c r="N311" s="1686"/>
      <c r="O311" s="2705"/>
      <c r="P311" s="1686"/>
      <c r="Q311" s="1686"/>
      <c r="R311" s="1686"/>
      <c r="S311" s="1686"/>
      <c r="T311" s="1687"/>
      <c r="U311" s="1603">
        <v>25</v>
      </c>
      <c r="V311" s="1555"/>
    </row>
    <row r="312" spans="1:22" ht="12" customHeight="1" x14ac:dyDescent="0.35">
      <c r="A312" s="1719"/>
      <c r="B312" s="1721">
        <v>54</v>
      </c>
      <c r="C312" s="1722"/>
      <c r="D312" s="1684"/>
      <c r="E312" s="1685"/>
      <c r="F312" s="1683"/>
      <c r="G312" s="1684"/>
      <c r="H312" s="1684"/>
      <c r="I312" s="1686"/>
      <c r="J312" s="1686"/>
      <c r="K312" s="1686"/>
      <c r="L312" s="1686"/>
      <c r="M312" s="1686"/>
      <c r="N312" s="1686"/>
      <c r="O312" s="2705"/>
      <c r="P312" s="1686"/>
      <c r="Q312" s="1686"/>
      <c r="R312" s="1686"/>
      <c r="S312" s="1686"/>
      <c r="T312" s="1687"/>
      <c r="U312" s="1603">
        <v>25</v>
      </c>
      <c r="V312" s="1555"/>
    </row>
    <row r="313" spans="1:22" ht="12" customHeight="1" thickBot="1" x14ac:dyDescent="0.4">
      <c r="A313" s="1719"/>
      <c r="B313" s="1721">
        <v>55</v>
      </c>
      <c r="C313" s="1722"/>
      <c r="D313" s="1684"/>
      <c r="E313" s="1685"/>
      <c r="F313" s="1683"/>
      <c r="G313" s="1684"/>
      <c r="H313" s="1684"/>
      <c r="I313" s="1686"/>
      <c r="J313" s="1686"/>
      <c r="K313" s="1686"/>
      <c r="L313" s="1686"/>
      <c r="M313" s="1686"/>
      <c r="N313" s="1686"/>
      <c r="O313" s="2705">
        <f t="shared" si="141"/>
        <v>0</v>
      </c>
      <c r="P313" s="1686">
        <v>0</v>
      </c>
      <c r="Q313" s="1686">
        <f t="shared" si="148"/>
        <v>0</v>
      </c>
      <c r="R313" s="1686"/>
      <c r="S313" s="1686">
        <f t="shared" si="151"/>
        <v>0</v>
      </c>
      <c r="T313" s="1687">
        <f t="shared" si="152"/>
        <v>0</v>
      </c>
      <c r="U313" s="1603">
        <v>25</v>
      </c>
      <c r="V313" s="1555"/>
    </row>
    <row r="314" spans="1:22" ht="12" customHeight="1" x14ac:dyDescent="0.35">
      <c r="A314" s="1719"/>
      <c r="B314" s="1724"/>
      <c r="C314" s="1703" t="s">
        <v>7801</v>
      </c>
      <c r="D314" s="1697"/>
      <c r="E314" s="1698"/>
      <c r="F314" s="1699"/>
      <c r="G314" s="1697"/>
      <c r="H314" s="1697"/>
      <c r="I314" s="1700"/>
      <c r="J314" s="1700">
        <f t="shared" ref="J314:T314" si="176">SUM(J259:J313)</f>
        <v>3576130.4666666677</v>
      </c>
      <c r="K314" s="1700">
        <f t="shared" si="176"/>
        <v>114493623.95238096</v>
      </c>
      <c r="L314" s="1700">
        <f t="shared" si="176"/>
        <v>167316868</v>
      </c>
      <c r="M314" s="1700">
        <f t="shared" si="176"/>
        <v>0</v>
      </c>
      <c r="N314" s="1700">
        <f t="shared" si="176"/>
        <v>0</v>
      </c>
      <c r="O314" s="1700">
        <f t="shared" si="176"/>
        <v>167316868</v>
      </c>
      <c r="P314" s="1700">
        <f t="shared" si="176"/>
        <v>98209385.70616667</v>
      </c>
      <c r="Q314" s="1700">
        <f t="shared" si="176"/>
        <v>2808334.8833333338</v>
      </c>
      <c r="R314" s="1700">
        <f t="shared" si="176"/>
        <v>0</v>
      </c>
      <c r="S314" s="1700">
        <f t="shared" si="176"/>
        <v>101017720.58950004</v>
      </c>
      <c r="T314" s="1702">
        <f t="shared" si="176"/>
        <v>66299147.410499997</v>
      </c>
      <c r="U314" s="1603"/>
      <c r="V314" s="1555"/>
    </row>
    <row r="315" spans="1:22" s="1631" customFormat="1" ht="9" customHeight="1" x14ac:dyDescent="0.35">
      <c r="A315" s="1632"/>
      <c r="B315" s="1725">
        <v>5</v>
      </c>
      <c r="C315" s="1645" t="s">
        <v>1571</v>
      </c>
      <c r="D315" s="1636"/>
      <c r="E315" s="1637"/>
      <c r="F315" s="1635"/>
      <c r="G315" s="1636"/>
      <c r="H315" s="1636"/>
      <c r="I315" s="1638"/>
      <c r="J315" s="1638"/>
      <c r="K315" s="1638"/>
      <c r="L315" s="1638"/>
      <c r="M315" s="1638"/>
      <c r="N315" s="1638"/>
      <c r="O315" s="1638"/>
      <c r="P315" s="1638"/>
      <c r="Q315" s="1638"/>
      <c r="R315" s="1638"/>
      <c r="S315" s="1638"/>
      <c r="T315" s="1639"/>
      <c r="U315" s="1640"/>
    </row>
    <row r="316" spans="1:22" x14ac:dyDescent="0.35">
      <c r="A316" s="1716"/>
      <c r="B316" s="1721">
        <v>1</v>
      </c>
      <c r="C316" s="1722" t="s">
        <v>7041</v>
      </c>
      <c r="D316" s="1684"/>
      <c r="E316" s="1685">
        <v>44013</v>
      </c>
      <c r="F316" s="1683"/>
      <c r="G316" s="1684" t="s">
        <v>6952</v>
      </c>
      <c r="H316" s="1684">
        <v>4</v>
      </c>
      <c r="I316" s="1686">
        <v>48</v>
      </c>
      <c r="J316" s="1686">
        <v>70500</v>
      </c>
      <c r="K316" s="1686">
        <v>3384000</v>
      </c>
      <c r="L316" s="1686">
        <v>3384000</v>
      </c>
      <c r="M316" s="1686"/>
      <c r="N316" s="1686">
        <v>0</v>
      </c>
      <c r="O316" s="2705">
        <f t="shared" ref="O316:O325" si="177">L316+M316-N316</f>
        <v>3384000</v>
      </c>
      <c r="P316" s="1686">
        <v>3383999</v>
      </c>
      <c r="Q316" s="1686">
        <v>0</v>
      </c>
      <c r="R316" s="1686"/>
      <c r="S316" s="1686">
        <f t="shared" ref="S316:S324" si="178">P316+Q316-R316</f>
        <v>3383999</v>
      </c>
      <c r="T316" s="1687">
        <f t="shared" ref="T316:T324" si="179">O316-S316</f>
        <v>1</v>
      </c>
      <c r="U316" s="1603">
        <v>27</v>
      </c>
      <c r="V316" s="1555"/>
    </row>
    <row r="317" spans="1:22" x14ac:dyDescent="0.35">
      <c r="A317" s="1716"/>
      <c r="B317" s="1721">
        <v>2</v>
      </c>
      <c r="C317" s="1722" t="s">
        <v>7042</v>
      </c>
      <c r="D317" s="1684"/>
      <c r="E317" s="1685">
        <v>44166</v>
      </c>
      <c r="F317" s="1683"/>
      <c r="G317" s="1684" t="s">
        <v>6952</v>
      </c>
      <c r="H317" s="1684">
        <v>4</v>
      </c>
      <c r="I317" s="1686">
        <v>48</v>
      </c>
      <c r="J317" s="1686">
        <v>11385.416666666666</v>
      </c>
      <c r="K317" s="1686">
        <v>546500</v>
      </c>
      <c r="L317" s="1686">
        <v>546500</v>
      </c>
      <c r="M317" s="1686"/>
      <c r="N317" s="1686"/>
      <c r="O317" s="2705">
        <f t="shared" si="177"/>
        <v>546500</v>
      </c>
      <c r="P317" s="1686">
        <v>546499.00000000047</v>
      </c>
      <c r="Q317" s="1686">
        <v>0</v>
      </c>
      <c r="R317" s="1686"/>
      <c r="S317" s="1686">
        <f t="shared" si="178"/>
        <v>546499.00000000047</v>
      </c>
      <c r="T317" s="1687">
        <f t="shared" si="179"/>
        <v>0.99999999953433871</v>
      </c>
      <c r="U317" s="1603">
        <v>27</v>
      </c>
      <c r="V317" s="1555"/>
    </row>
    <row r="318" spans="1:22" x14ac:dyDescent="0.35">
      <c r="A318" s="1716"/>
      <c r="B318" s="1721">
        <v>3</v>
      </c>
      <c r="C318" s="1722" t="s">
        <v>7043</v>
      </c>
      <c r="D318" s="1684"/>
      <c r="E318" s="1685">
        <v>44378</v>
      </c>
      <c r="F318" s="1683"/>
      <c r="G318" s="1684"/>
      <c r="H318" s="1684">
        <v>4</v>
      </c>
      <c r="I318" s="1686">
        <v>48</v>
      </c>
      <c r="J318" s="1686">
        <v>67125</v>
      </c>
      <c r="K318" s="1686">
        <v>3222000</v>
      </c>
      <c r="L318" s="1686">
        <v>3222000</v>
      </c>
      <c r="M318" s="1686"/>
      <c r="N318" s="1686"/>
      <c r="O318" s="2705">
        <f t="shared" si="177"/>
        <v>3222000</v>
      </c>
      <c r="P318" s="1686">
        <v>3221999</v>
      </c>
      <c r="Q318" s="1686">
        <v>0</v>
      </c>
      <c r="R318" s="1686"/>
      <c r="S318" s="1686">
        <f t="shared" si="178"/>
        <v>3221999</v>
      </c>
      <c r="T318" s="1687">
        <f t="shared" si="179"/>
        <v>1</v>
      </c>
      <c r="U318" s="1603">
        <v>27</v>
      </c>
      <c r="V318" s="1555"/>
    </row>
    <row r="319" spans="1:22" x14ac:dyDescent="0.35">
      <c r="A319" s="1716"/>
      <c r="B319" s="1721">
        <v>4</v>
      </c>
      <c r="C319" s="1722" t="s">
        <v>7044</v>
      </c>
      <c r="D319" s="1684"/>
      <c r="E319" s="1685">
        <v>44440</v>
      </c>
      <c r="F319" s="1683"/>
      <c r="G319" s="1684" t="s">
        <v>6966</v>
      </c>
      <c r="H319" s="1684">
        <v>4</v>
      </c>
      <c r="I319" s="1686">
        <v>48</v>
      </c>
      <c r="J319" s="1686">
        <v>59166.666666666664</v>
      </c>
      <c r="K319" s="1686">
        <v>2840000</v>
      </c>
      <c r="L319" s="1686">
        <v>2840000</v>
      </c>
      <c r="M319" s="1686"/>
      <c r="N319" s="1686"/>
      <c r="O319" s="2705">
        <f t="shared" si="177"/>
        <v>2840000</v>
      </c>
      <c r="P319" s="1686">
        <v>2839999.0000000019</v>
      </c>
      <c r="Q319" s="1686">
        <v>0</v>
      </c>
      <c r="R319" s="1686"/>
      <c r="S319" s="1686">
        <f t="shared" si="178"/>
        <v>2839999.0000000019</v>
      </c>
      <c r="T319" s="1687">
        <f t="shared" si="179"/>
        <v>0.99999999813735485</v>
      </c>
      <c r="U319" s="1603">
        <v>27</v>
      </c>
      <c r="V319" s="1555"/>
    </row>
    <row r="320" spans="1:22" x14ac:dyDescent="0.35">
      <c r="A320" s="1716"/>
      <c r="B320" s="1721">
        <v>5</v>
      </c>
      <c r="C320" s="1722" t="s">
        <v>7045</v>
      </c>
      <c r="D320" s="1684"/>
      <c r="E320" s="1685">
        <v>44562</v>
      </c>
      <c r="F320" s="1683"/>
      <c r="G320" s="1684">
        <v>1</v>
      </c>
      <c r="H320" s="1684">
        <v>4</v>
      </c>
      <c r="I320" s="1686">
        <v>48</v>
      </c>
      <c r="J320" s="1686">
        <v>71875</v>
      </c>
      <c r="K320" s="1686">
        <v>3450000</v>
      </c>
      <c r="L320" s="1686">
        <v>3450000</v>
      </c>
      <c r="M320" s="1686"/>
      <c r="N320" s="1686"/>
      <c r="O320" s="2705">
        <f t="shared" si="177"/>
        <v>3450000</v>
      </c>
      <c r="P320" s="1686">
        <v>3449999</v>
      </c>
      <c r="Q320" s="1686">
        <v>0</v>
      </c>
      <c r="R320" s="1686"/>
      <c r="S320" s="1686">
        <f t="shared" si="178"/>
        <v>3449999</v>
      </c>
      <c r="T320" s="1687">
        <f t="shared" si="179"/>
        <v>1</v>
      </c>
      <c r="U320" s="1603">
        <v>27</v>
      </c>
      <c r="V320" s="1555"/>
    </row>
    <row r="321" spans="1:22" x14ac:dyDescent="0.35">
      <c r="A321" s="1716"/>
      <c r="B321" s="1721">
        <v>6</v>
      </c>
      <c r="C321" s="1722" t="s">
        <v>7046</v>
      </c>
      <c r="D321" s="1684"/>
      <c r="E321" s="1685">
        <v>44805</v>
      </c>
      <c r="F321" s="1683"/>
      <c r="G321" s="1684"/>
      <c r="H321" s="1684">
        <v>4</v>
      </c>
      <c r="I321" s="1686">
        <v>48</v>
      </c>
      <c r="J321" s="1686">
        <v>93750</v>
      </c>
      <c r="K321" s="1686">
        <v>4500000</v>
      </c>
      <c r="L321" s="1686">
        <v>4500000</v>
      </c>
      <c r="M321" s="1686"/>
      <c r="N321" s="1686"/>
      <c r="O321" s="2705">
        <f t="shared" si="177"/>
        <v>4500000</v>
      </c>
      <c r="P321" s="1686">
        <v>4218750</v>
      </c>
      <c r="Q321" s="1686">
        <v>93750</v>
      </c>
      <c r="R321" s="1686"/>
      <c r="S321" s="1686">
        <f t="shared" si="178"/>
        <v>4312500</v>
      </c>
      <c r="T321" s="1687">
        <f t="shared" si="179"/>
        <v>187500</v>
      </c>
      <c r="U321" s="1603">
        <v>27</v>
      </c>
      <c r="V321" s="1555"/>
    </row>
    <row r="322" spans="1:22" x14ac:dyDescent="0.35">
      <c r="A322" s="1716"/>
      <c r="B322" s="1721">
        <v>7</v>
      </c>
      <c r="C322" s="1722" t="s">
        <v>7047</v>
      </c>
      <c r="D322" s="1684" t="s">
        <v>3084</v>
      </c>
      <c r="E322" s="1685">
        <v>45231</v>
      </c>
      <c r="F322" s="1683"/>
      <c r="G322" s="1684" t="s">
        <v>6952</v>
      </c>
      <c r="H322" s="1684">
        <v>4</v>
      </c>
      <c r="I322" s="1686">
        <v>48</v>
      </c>
      <c r="J322" s="1686">
        <v>135000</v>
      </c>
      <c r="K322" s="1686">
        <v>6480000</v>
      </c>
      <c r="L322" s="1686">
        <v>6480000</v>
      </c>
      <c r="M322" s="1686"/>
      <c r="N322" s="1686"/>
      <c r="O322" s="2705">
        <f t="shared" si="177"/>
        <v>6480000</v>
      </c>
      <c r="P322" s="1686">
        <v>4185000</v>
      </c>
      <c r="Q322" s="1686">
        <v>135000</v>
      </c>
      <c r="R322" s="1686"/>
      <c r="S322" s="1686">
        <f t="shared" si="178"/>
        <v>4320000</v>
      </c>
      <c r="T322" s="1687">
        <f t="shared" si="179"/>
        <v>2160000</v>
      </c>
      <c r="U322" s="1603">
        <v>27</v>
      </c>
      <c r="V322" s="1555"/>
    </row>
    <row r="323" spans="1:22" x14ac:dyDescent="0.35">
      <c r="A323" s="1716"/>
      <c r="B323" s="1721">
        <v>8</v>
      </c>
      <c r="C323" s="1722" t="s">
        <v>7048</v>
      </c>
      <c r="D323" s="1684" t="s">
        <v>3084</v>
      </c>
      <c r="E323" s="1685">
        <v>45231</v>
      </c>
      <c r="F323" s="1683"/>
      <c r="G323" s="1684" t="s">
        <v>6952</v>
      </c>
      <c r="H323" s="1684">
        <v>4</v>
      </c>
      <c r="I323" s="1686">
        <v>48</v>
      </c>
      <c r="J323" s="1686">
        <v>228125</v>
      </c>
      <c r="K323" s="1686">
        <v>10950000</v>
      </c>
      <c r="L323" s="1686">
        <v>10950000</v>
      </c>
      <c r="M323" s="1686"/>
      <c r="N323" s="1686"/>
      <c r="O323" s="2705">
        <f t="shared" si="177"/>
        <v>10950000</v>
      </c>
      <c r="P323" s="1686">
        <v>7071875</v>
      </c>
      <c r="Q323" s="1686">
        <v>228125</v>
      </c>
      <c r="R323" s="1686"/>
      <c r="S323" s="1686">
        <f t="shared" si="178"/>
        <v>7300000</v>
      </c>
      <c r="T323" s="1687">
        <f t="shared" si="179"/>
        <v>3650000</v>
      </c>
      <c r="U323" s="1603">
        <v>27</v>
      </c>
      <c r="V323" s="1555"/>
    </row>
    <row r="324" spans="1:22" x14ac:dyDescent="0.35">
      <c r="A324" s="1716"/>
      <c r="B324" s="1721">
        <v>9</v>
      </c>
      <c r="C324" s="1722" t="s">
        <v>7049</v>
      </c>
      <c r="D324" s="1684" t="s">
        <v>6995</v>
      </c>
      <c r="E324" s="1685">
        <v>45328</v>
      </c>
      <c r="F324" s="1683"/>
      <c r="G324" s="1684" t="s">
        <v>7050</v>
      </c>
      <c r="H324" s="1684">
        <v>4</v>
      </c>
      <c r="I324" s="1686">
        <v>48</v>
      </c>
      <c r="J324" s="1686">
        <v>246250</v>
      </c>
      <c r="K324" s="1686">
        <v>11820000</v>
      </c>
      <c r="L324" s="1686">
        <v>11820000</v>
      </c>
      <c r="M324" s="1686"/>
      <c r="N324" s="1686"/>
      <c r="O324" s="2705">
        <f t="shared" si="177"/>
        <v>11820000</v>
      </c>
      <c r="P324" s="1686">
        <v>6895000</v>
      </c>
      <c r="Q324" s="1686">
        <v>246250</v>
      </c>
      <c r="R324" s="1686"/>
      <c r="S324" s="1686">
        <f t="shared" si="178"/>
        <v>7141250</v>
      </c>
      <c r="T324" s="1687">
        <f t="shared" si="179"/>
        <v>4678750</v>
      </c>
      <c r="U324" s="1603">
        <v>27</v>
      </c>
      <c r="V324" s="1555"/>
    </row>
    <row r="325" spans="1:22" x14ac:dyDescent="0.35">
      <c r="A325" s="1719"/>
      <c r="B325" s="1721">
        <v>10</v>
      </c>
      <c r="C325" s="1722" t="s">
        <v>8048</v>
      </c>
      <c r="D325" s="1684" t="s">
        <v>7674</v>
      </c>
      <c r="E325" s="1685">
        <v>46031</v>
      </c>
      <c r="F325" s="1683"/>
      <c r="G325" s="1683">
        <v>2</v>
      </c>
      <c r="H325" s="1684">
        <v>5</v>
      </c>
      <c r="I325" s="1686">
        <v>60</v>
      </c>
      <c r="J325" s="1686">
        <f>K325*G325/I325</f>
        <v>12833.333333333334</v>
      </c>
      <c r="K325" s="1686">
        <f>770000/2</f>
        <v>385000</v>
      </c>
      <c r="L325" s="1686">
        <f>K325*G325</f>
        <v>770000</v>
      </c>
      <c r="M325" s="3260"/>
      <c r="N325" s="1686"/>
      <c r="O325" s="2705">
        <f t="shared" si="177"/>
        <v>770000</v>
      </c>
      <c r="P325" s="1686">
        <v>64166.666666666672</v>
      </c>
      <c r="Q325" s="1686">
        <f>J325</f>
        <v>12833.333333333334</v>
      </c>
      <c r="R325" s="1686"/>
      <c r="S325" s="1686">
        <f t="shared" ref="S325:S326" si="180">P325+Q325-R325</f>
        <v>77000</v>
      </c>
      <c r="T325" s="1687">
        <f t="shared" ref="T325:T326" si="181">O325-S325</f>
        <v>693000</v>
      </c>
      <c r="U325" s="1603">
        <v>27</v>
      </c>
      <c r="V325" s="1555"/>
    </row>
    <row r="326" spans="1:22" ht="12" thickBot="1" x14ac:dyDescent="0.4">
      <c r="A326" s="1719"/>
      <c r="B326" s="1721">
        <v>11</v>
      </c>
      <c r="C326" s="1722"/>
      <c r="D326" s="1684"/>
      <c r="E326" s="1685"/>
      <c r="F326" s="1683"/>
      <c r="G326" s="1684"/>
      <c r="H326" s="1684"/>
      <c r="I326" s="1686"/>
      <c r="J326" s="1686"/>
      <c r="K326" s="1686"/>
      <c r="L326" s="1686"/>
      <c r="M326" s="1720"/>
      <c r="N326" s="1686"/>
      <c r="O326" s="1686"/>
      <c r="P326" s="1686">
        <v>0</v>
      </c>
      <c r="Q326" s="1686"/>
      <c r="R326" s="1686"/>
      <c r="S326" s="1686">
        <f t="shared" si="180"/>
        <v>0</v>
      </c>
      <c r="T326" s="1687">
        <f t="shared" si="181"/>
        <v>0</v>
      </c>
      <c r="U326" s="1603">
        <v>27</v>
      </c>
      <c r="V326" s="1555"/>
    </row>
    <row r="327" spans="1:22" x14ac:dyDescent="0.35">
      <c r="A327" s="1719"/>
      <c r="B327" s="1727"/>
      <c r="C327" s="1703"/>
      <c r="D327" s="1697"/>
      <c r="E327" s="1698"/>
      <c r="F327" s="1699"/>
      <c r="G327" s="1697"/>
      <c r="H327" s="1697"/>
      <c r="I327" s="1700"/>
      <c r="J327" s="1700">
        <f t="shared" ref="J327:T327" si="182">SUM(J316:J326)</f>
        <v>996010.41666666674</v>
      </c>
      <c r="K327" s="1700">
        <f t="shared" si="182"/>
        <v>47577500</v>
      </c>
      <c r="L327" s="1700">
        <f t="shared" si="182"/>
        <v>47962500</v>
      </c>
      <c r="M327" s="1700">
        <f t="shared" si="182"/>
        <v>0</v>
      </c>
      <c r="N327" s="1700">
        <f t="shared" si="182"/>
        <v>0</v>
      </c>
      <c r="O327" s="1700">
        <f t="shared" si="182"/>
        <v>47962500</v>
      </c>
      <c r="P327" s="1700">
        <f t="shared" si="182"/>
        <v>35877286.666666664</v>
      </c>
      <c r="Q327" s="1700">
        <f t="shared" si="182"/>
        <v>715958.33333333337</v>
      </c>
      <c r="R327" s="1700">
        <f t="shared" si="182"/>
        <v>0</v>
      </c>
      <c r="S327" s="1700">
        <f t="shared" si="182"/>
        <v>36593245</v>
      </c>
      <c r="T327" s="1702">
        <f t="shared" si="182"/>
        <v>11369254.999999998</v>
      </c>
      <c r="U327" s="1603"/>
      <c r="V327" s="1555"/>
    </row>
    <row r="328" spans="1:22" s="1631" customFormat="1" ht="7.5" thickBot="1" x14ac:dyDescent="0.4">
      <c r="A328" s="1632"/>
      <c r="B328" s="1635"/>
      <c r="C328" s="1636"/>
      <c r="D328" s="1636"/>
      <c r="E328" s="1637"/>
      <c r="F328" s="1635"/>
      <c r="G328" s="1636"/>
      <c r="H328" s="1636"/>
      <c r="I328" s="1638"/>
      <c r="J328" s="1638"/>
      <c r="K328" s="1638"/>
      <c r="L328" s="1638"/>
      <c r="M328" s="1638"/>
      <c r="N328" s="1638"/>
      <c r="O328" s="1638"/>
      <c r="P328" s="1638"/>
      <c r="Q328" s="1638"/>
      <c r="R328" s="1638"/>
      <c r="S328" s="1638"/>
      <c r="T328" s="1639"/>
      <c r="U328" s="1640"/>
    </row>
    <row r="329" spans="1:22" s="1631" customFormat="1" ht="12" thickBot="1" x14ac:dyDescent="0.4">
      <c r="A329" s="1708"/>
      <c r="B329" s="1728"/>
      <c r="C329" s="1710" t="s">
        <v>3165</v>
      </c>
      <c r="D329" s="1729"/>
      <c r="E329" s="1730"/>
      <c r="F329" s="1728"/>
      <c r="G329" s="1729"/>
      <c r="H329" s="1729"/>
      <c r="I329" s="1731"/>
      <c r="J329" s="1731"/>
      <c r="K329" s="1732">
        <f>K327+K314+K257+K243+K223</f>
        <v>741311189.08571422</v>
      </c>
      <c r="L329" s="1732">
        <f t="shared" ref="L329:T329" si="183">L327+L314+L257+L243+L223</f>
        <v>860933610</v>
      </c>
      <c r="M329" s="1732">
        <f t="shared" si="183"/>
        <v>5999000</v>
      </c>
      <c r="N329" s="1732">
        <f t="shared" si="183"/>
        <v>0</v>
      </c>
      <c r="O329" s="1732">
        <f t="shared" si="183"/>
        <v>866932610</v>
      </c>
      <c r="P329" s="1732">
        <f t="shared" si="183"/>
        <v>472301761.13960004</v>
      </c>
      <c r="Q329" s="1732">
        <f t="shared" si="183"/>
        <v>12982655.41666667</v>
      </c>
      <c r="R329" s="1732">
        <f t="shared" si="183"/>
        <v>0</v>
      </c>
      <c r="S329" s="1732">
        <f t="shared" si="183"/>
        <v>485284416.55626678</v>
      </c>
      <c r="T329" s="1732">
        <f t="shared" si="183"/>
        <v>381648193.44373333</v>
      </c>
      <c r="U329" s="1652"/>
      <c r="V329" s="1653"/>
    </row>
    <row r="330" spans="1:22" s="1631" customFormat="1" ht="7" x14ac:dyDescent="0.35">
      <c r="A330" s="1632"/>
      <c r="B330" s="1635"/>
      <c r="C330" s="1636"/>
      <c r="D330" s="1636"/>
      <c r="E330" s="1637"/>
      <c r="F330" s="1635"/>
      <c r="G330" s="1636"/>
      <c r="H330" s="1636"/>
      <c r="I330" s="1638"/>
      <c r="J330" s="1638"/>
      <c r="K330" s="1638"/>
      <c r="L330" s="1638"/>
      <c r="M330" s="1638"/>
      <c r="N330" s="1638"/>
      <c r="O330" s="1638"/>
      <c r="P330" s="1638"/>
      <c r="Q330" s="1638"/>
      <c r="R330" s="1638"/>
      <c r="S330" s="1638"/>
      <c r="T330" s="1639"/>
      <c r="U330" s="1640"/>
    </row>
    <row r="331" spans="1:22" s="1631" customFormat="1" ht="7" x14ac:dyDescent="0.35">
      <c r="A331" s="1643">
        <v>4</v>
      </c>
      <c r="B331" s="1644" t="s">
        <v>3111</v>
      </c>
      <c r="C331" s="1645"/>
      <c r="D331" s="1636"/>
      <c r="E331" s="1637"/>
      <c r="F331" s="1635"/>
      <c r="G331" s="1636"/>
      <c r="H331" s="1636"/>
      <c r="I331" s="1638"/>
      <c r="J331" s="1638"/>
      <c r="K331" s="1638"/>
      <c r="L331" s="1638"/>
      <c r="M331" s="1638"/>
      <c r="N331" s="1638"/>
      <c r="O331" s="1638"/>
      <c r="P331" s="1638"/>
      <c r="Q331" s="1638"/>
      <c r="R331" s="1638"/>
      <c r="S331" s="1638"/>
      <c r="T331" s="1639"/>
      <c r="U331" s="1640"/>
    </row>
    <row r="332" spans="1:22" s="1631" customFormat="1" ht="7" x14ac:dyDescent="0.35">
      <c r="A332" s="1643"/>
      <c r="B332" s="1735" t="s">
        <v>2447</v>
      </c>
      <c r="C332" s="1645" t="s">
        <v>1579</v>
      </c>
      <c r="D332" s="1636"/>
      <c r="E332" s="1637"/>
      <c r="F332" s="1635"/>
      <c r="G332" s="1636"/>
      <c r="H332" s="1636"/>
      <c r="I332" s="1638"/>
      <c r="J332" s="1638"/>
      <c r="K332" s="1638"/>
      <c r="L332" s="1638"/>
      <c r="M332" s="1638"/>
      <c r="N332" s="1638"/>
      <c r="O332" s="1638"/>
      <c r="P332" s="1638"/>
      <c r="Q332" s="1638"/>
      <c r="R332" s="1638"/>
      <c r="S332" s="1638"/>
      <c r="T332" s="1639"/>
      <c r="U332" s="1640"/>
    </row>
    <row r="333" spans="1:22" s="1634" customFormat="1" ht="7" x14ac:dyDescent="0.35">
      <c r="A333" s="1643"/>
      <c r="B333" s="1683">
        <v>1</v>
      </c>
      <c r="C333" s="1684" t="s">
        <v>7051</v>
      </c>
      <c r="D333" s="1684"/>
      <c r="E333" s="1685">
        <v>44743</v>
      </c>
      <c r="F333" s="1683"/>
      <c r="G333" s="1684"/>
      <c r="H333" s="1684">
        <v>4</v>
      </c>
      <c r="I333" s="1686">
        <v>48</v>
      </c>
      <c r="J333" s="1686">
        <v>114583.33333333333</v>
      </c>
      <c r="K333" s="1686">
        <v>5500000</v>
      </c>
      <c r="L333" s="1686">
        <v>5500000</v>
      </c>
      <c r="M333" s="1686"/>
      <c r="N333" s="1686"/>
      <c r="O333" s="2705">
        <f t="shared" ref="O333:O355" si="184">L333+M333-N333</f>
        <v>5500000</v>
      </c>
      <c r="P333" s="1686">
        <v>5385411.666666666</v>
      </c>
      <c r="Q333" s="1686">
        <f>114583.333333333+5</f>
        <v>114588.33333333299</v>
      </c>
      <c r="R333" s="1686"/>
      <c r="S333" s="1686">
        <f t="shared" ref="S333:S355" si="185">P333+Q333-R333</f>
        <v>5499999.9999999991</v>
      </c>
      <c r="T333" s="1687">
        <f t="shared" ref="T333:T355" si="186">O333-S333</f>
        <v>0</v>
      </c>
      <c r="U333" s="1603">
        <v>32</v>
      </c>
      <c r="V333" s="1631"/>
    </row>
    <row r="334" spans="1:22" s="1634" customFormat="1" ht="7" x14ac:dyDescent="0.35">
      <c r="A334" s="1643"/>
      <c r="B334" s="1683">
        <v>2</v>
      </c>
      <c r="C334" s="1684" t="s">
        <v>7051</v>
      </c>
      <c r="D334" s="1684"/>
      <c r="E334" s="1685">
        <v>44866</v>
      </c>
      <c r="F334" s="1683"/>
      <c r="G334" s="1684" t="s">
        <v>6974</v>
      </c>
      <c r="H334" s="1684">
        <v>4</v>
      </c>
      <c r="I334" s="1686">
        <v>48</v>
      </c>
      <c r="J334" s="1686">
        <v>103958.33333333333</v>
      </c>
      <c r="K334" s="1686">
        <v>4990000</v>
      </c>
      <c r="L334" s="1686">
        <v>4990000</v>
      </c>
      <c r="M334" s="1686"/>
      <c r="N334" s="1686"/>
      <c r="O334" s="2705">
        <f t="shared" si="184"/>
        <v>4990000</v>
      </c>
      <c r="P334" s="1686">
        <v>4470204.6666666688</v>
      </c>
      <c r="Q334" s="1686">
        <v>103958.33333333333</v>
      </c>
      <c r="R334" s="1686"/>
      <c r="S334" s="1686">
        <f t="shared" si="185"/>
        <v>4574163.0000000019</v>
      </c>
      <c r="T334" s="1687">
        <f t="shared" si="186"/>
        <v>415836.99999999814</v>
      </c>
      <c r="U334" s="1603">
        <v>32</v>
      </c>
      <c r="V334" s="1631"/>
    </row>
    <row r="335" spans="1:22" s="1634" customFormat="1" ht="7" x14ac:dyDescent="0.35">
      <c r="A335" s="1643"/>
      <c r="B335" s="1683">
        <v>5</v>
      </c>
      <c r="C335" s="1684" t="s">
        <v>7052</v>
      </c>
      <c r="D335" s="1684"/>
      <c r="E335" s="1685">
        <v>44228</v>
      </c>
      <c r="F335" s="1683"/>
      <c r="G335" s="1684" t="s">
        <v>7053</v>
      </c>
      <c r="H335" s="1684">
        <v>4</v>
      </c>
      <c r="I335" s="1686">
        <v>48</v>
      </c>
      <c r="J335" s="1686">
        <v>104166.66666666667</v>
      </c>
      <c r="K335" s="1686">
        <v>5000000</v>
      </c>
      <c r="L335" s="1686">
        <v>5000000</v>
      </c>
      <c r="M335" s="1686"/>
      <c r="N335" s="1686"/>
      <c r="O335" s="2705">
        <f t="shared" si="184"/>
        <v>5000000</v>
      </c>
      <c r="P335" s="1686">
        <v>4999998.9999999991</v>
      </c>
      <c r="Q335" s="1686">
        <v>0</v>
      </c>
      <c r="R335" s="1686"/>
      <c r="S335" s="1686">
        <f t="shared" si="185"/>
        <v>4999998.9999999991</v>
      </c>
      <c r="T335" s="1687">
        <f t="shared" si="186"/>
        <v>1.0000000009313226</v>
      </c>
      <c r="U335" s="1603">
        <v>32</v>
      </c>
      <c r="V335" s="1631"/>
    </row>
    <row r="336" spans="1:22" s="1634" customFormat="1" ht="7" x14ac:dyDescent="0.35">
      <c r="A336" s="1643"/>
      <c r="B336" s="1683">
        <v>6</v>
      </c>
      <c r="C336" s="1684" t="s">
        <v>7054</v>
      </c>
      <c r="D336" s="1684"/>
      <c r="E336" s="1685">
        <v>45078</v>
      </c>
      <c r="F336" s="1683"/>
      <c r="G336" s="1684" t="s">
        <v>7055</v>
      </c>
      <c r="H336" s="1684">
        <v>4</v>
      </c>
      <c r="I336" s="1686">
        <v>48</v>
      </c>
      <c r="J336" s="1686">
        <v>40625</v>
      </c>
      <c r="K336" s="1686">
        <v>1950000</v>
      </c>
      <c r="L336" s="1686">
        <v>1950000</v>
      </c>
      <c r="M336" s="1686"/>
      <c r="N336" s="1686"/>
      <c r="O336" s="2705">
        <f t="shared" si="184"/>
        <v>1950000</v>
      </c>
      <c r="P336" s="1686">
        <v>1462500</v>
      </c>
      <c r="Q336" s="1686">
        <v>40625</v>
      </c>
      <c r="R336" s="1686"/>
      <c r="S336" s="1686">
        <f t="shared" si="185"/>
        <v>1503125</v>
      </c>
      <c r="T336" s="1687">
        <f t="shared" si="186"/>
        <v>446875</v>
      </c>
      <c r="U336" s="1603">
        <v>32</v>
      </c>
      <c r="V336" s="1631"/>
    </row>
    <row r="337" spans="1:22" s="1634" customFormat="1" ht="7" x14ac:dyDescent="0.35">
      <c r="A337" s="1643"/>
      <c r="B337" s="1683">
        <v>7</v>
      </c>
      <c r="C337" s="1684" t="s">
        <v>7056</v>
      </c>
      <c r="D337" s="1684"/>
      <c r="E337" s="1685">
        <v>45231</v>
      </c>
      <c r="F337" s="1683"/>
      <c r="G337" s="1684" t="s">
        <v>6952</v>
      </c>
      <c r="H337" s="1684">
        <v>4</v>
      </c>
      <c r="I337" s="1686">
        <v>48</v>
      </c>
      <c r="J337" s="1686">
        <v>65625</v>
      </c>
      <c r="K337" s="1686">
        <v>3150000</v>
      </c>
      <c r="L337" s="1686">
        <v>3150000</v>
      </c>
      <c r="M337" s="1686"/>
      <c r="N337" s="1686"/>
      <c r="O337" s="2705">
        <f t="shared" si="184"/>
        <v>3150000</v>
      </c>
      <c r="P337" s="1686">
        <v>2034375</v>
      </c>
      <c r="Q337" s="1686">
        <v>65625</v>
      </c>
      <c r="R337" s="1686"/>
      <c r="S337" s="1686">
        <f t="shared" si="185"/>
        <v>2100000</v>
      </c>
      <c r="T337" s="1687">
        <f t="shared" si="186"/>
        <v>1050000</v>
      </c>
      <c r="U337" s="1603">
        <v>32</v>
      </c>
      <c r="V337" s="1631"/>
    </row>
    <row r="338" spans="1:22" s="1634" customFormat="1" ht="7" x14ac:dyDescent="0.35">
      <c r="A338" s="1643"/>
      <c r="B338" s="1683">
        <v>8</v>
      </c>
      <c r="C338" s="1684" t="s">
        <v>7057</v>
      </c>
      <c r="D338" s="1684"/>
      <c r="E338" s="1685">
        <v>45231</v>
      </c>
      <c r="F338" s="1683"/>
      <c r="G338" s="1684" t="s">
        <v>6952</v>
      </c>
      <c r="H338" s="1684">
        <v>4</v>
      </c>
      <c r="I338" s="1686">
        <v>48</v>
      </c>
      <c r="J338" s="1686">
        <v>120833.33333333333</v>
      </c>
      <c r="K338" s="1686">
        <v>5800000</v>
      </c>
      <c r="L338" s="1686">
        <v>5800000</v>
      </c>
      <c r="M338" s="1686"/>
      <c r="N338" s="1686"/>
      <c r="O338" s="2705">
        <f t="shared" si="184"/>
        <v>5800000</v>
      </c>
      <c r="P338" s="1686">
        <v>3745833.3333333372</v>
      </c>
      <c r="Q338" s="1686">
        <v>120833.33333333333</v>
      </c>
      <c r="R338" s="1686"/>
      <c r="S338" s="1686">
        <f t="shared" si="185"/>
        <v>3866666.6666666707</v>
      </c>
      <c r="T338" s="1687">
        <f t="shared" si="186"/>
        <v>1933333.3333333293</v>
      </c>
      <c r="U338" s="1603">
        <v>32</v>
      </c>
      <c r="V338" s="1631"/>
    </row>
    <row r="339" spans="1:22" s="1634" customFormat="1" ht="7" x14ac:dyDescent="0.35">
      <c r="A339" s="1643"/>
      <c r="B339" s="1683">
        <v>9</v>
      </c>
      <c r="C339" s="1684" t="s">
        <v>7058</v>
      </c>
      <c r="D339" s="1684"/>
      <c r="E339" s="1685">
        <v>45231</v>
      </c>
      <c r="F339" s="1683"/>
      <c r="G339" s="1684" t="s">
        <v>6955</v>
      </c>
      <c r="H339" s="1684">
        <v>4</v>
      </c>
      <c r="I339" s="1686">
        <v>48</v>
      </c>
      <c r="J339" s="1686">
        <v>95833.333333333328</v>
      </c>
      <c r="K339" s="1686">
        <v>4600000</v>
      </c>
      <c r="L339" s="1686">
        <v>4600000</v>
      </c>
      <c r="M339" s="1686"/>
      <c r="N339" s="1686"/>
      <c r="O339" s="2705">
        <f t="shared" si="184"/>
        <v>4600000</v>
      </c>
      <c r="P339" s="1686">
        <v>2970833.3333333367</v>
      </c>
      <c r="Q339" s="1686">
        <v>95833.333333333328</v>
      </c>
      <c r="R339" s="1686"/>
      <c r="S339" s="1686">
        <f t="shared" si="185"/>
        <v>3066666.6666666702</v>
      </c>
      <c r="T339" s="1687">
        <f t="shared" si="186"/>
        <v>1533333.3333333298</v>
      </c>
      <c r="U339" s="1603">
        <v>32</v>
      </c>
      <c r="V339" s="1631"/>
    </row>
    <row r="340" spans="1:22" s="1634" customFormat="1" ht="7" x14ac:dyDescent="0.35">
      <c r="A340" s="1643"/>
      <c r="B340" s="1683">
        <v>10</v>
      </c>
      <c r="C340" s="1684" t="s">
        <v>7059</v>
      </c>
      <c r="D340" s="1684"/>
      <c r="E340" s="1685">
        <v>45231</v>
      </c>
      <c r="F340" s="1683"/>
      <c r="G340" s="1684" t="s">
        <v>6952</v>
      </c>
      <c r="H340" s="1684">
        <v>4</v>
      </c>
      <c r="I340" s="1686">
        <v>48</v>
      </c>
      <c r="J340" s="1686">
        <v>57291.666666666664</v>
      </c>
      <c r="K340" s="1686">
        <v>2750000</v>
      </c>
      <c r="L340" s="1686">
        <v>2750000</v>
      </c>
      <c r="M340" s="1686"/>
      <c r="N340" s="1686"/>
      <c r="O340" s="2705">
        <f t="shared" si="184"/>
        <v>2750000</v>
      </c>
      <c r="P340" s="1686">
        <v>1776041.6666666637</v>
      </c>
      <c r="Q340" s="1686">
        <v>57291.666666666664</v>
      </c>
      <c r="R340" s="1686"/>
      <c r="S340" s="1686">
        <f t="shared" si="185"/>
        <v>1833333.3333333305</v>
      </c>
      <c r="T340" s="1687">
        <f t="shared" si="186"/>
        <v>916666.66666666954</v>
      </c>
      <c r="U340" s="1603">
        <v>32</v>
      </c>
      <c r="V340" s="1631"/>
    </row>
    <row r="341" spans="1:22" s="1634" customFormat="1" ht="7" x14ac:dyDescent="0.35">
      <c r="A341" s="1643"/>
      <c r="B341" s="1683">
        <v>11</v>
      </c>
      <c r="C341" s="1684" t="s">
        <v>7060</v>
      </c>
      <c r="D341" s="1684"/>
      <c r="E341" s="1685">
        <v>45231</v>
      </c>
      <c r="F341" s="1683"/>
      <c r="G341" s="1684" t="s">
        <v>6952</v>
      </c>
      <c r="H341" s="1684">
        <v>4</v>
      </c>
      <c r="I341" s="1686">
        <v>48</v>
      </c>
      <c r="J341" s="1686">
        <v>93750</v>
      </c>
      <c r="K341" s="1686">
        <v>4500000</v>
      </c>
      <c r="L341" s="1686">
        <v>4500000</v>
      </c>
      <c r="M341" s="1686"/>
      <c r="N341" s="1686"/>
      <c r="O341" s="2705">
        <f t="shared" si="184"/>
        <v>4500000</v>
      </c>
      <c r="P341" s="1686">
        <v>2906250</v>
      </c>
      <c r="Q341" s="1686">
        <v>93750</v>
      </c>
      <c r="R341" s="1686"/>
      <c r="S341" s="1686">
        <f t="shared" si="185"/>
        <v>3000000</v>
      </c>
      <c r="T341" s="1687">
        <f t="shared" si="186"/>
        <v>1500000</v>
      </c>
      <c r="U341" s="1603">
        <v>32</v>
      </c>
      <c r="V341" s="1631"/>
    </row>
    <row r="342" spans="1:22" s="1634" customFormat="1" ht="7" x14ac:dyDescent="0.35">
      <c r="A342" s="1643"/>
      <c r="B342" s="1683">
        <v>12</v>
      </c>
      <c r="C342" s="1684" t="s">
        <v>7061</v>
      </c>
      <c r="D342" s="1684"/>
      <c r="E342" s="1685"/>
      <c r="F342" s="1683"/>
      <c r="G342" s="1684" t="s">
        <v>7033</v>
      </c>
      <c r="H342" s="1684">
        <v>4</v>
      </c>
      <c r="I342" s="1686">
        <v>48</v>
      </c>
      <c r="J342" s="1686">
        <v>31250</v>
      </c>
      <c r="K342" s="1686">
        <v>1500000</v>
      </c>
      <c r="L342" s="1686">
        <v>1500000</v>
      </c>
      <c r="M342" s="1686"/>
      <c r="N342" s="1686"/>
      <c r="O342" s="2705">
        <f t="shared" si="184"/>
        <v>1500000</v>
      </c>
      <c r="P342" s="1686">
        <v>1499999</v>
      </c>
      <c r="Q342" s="1686">
        <v>0</v>
      </c>
      <c r="R342" s="1686"/>
      <c r="S342" s="1686">
        <f t="shared" si="185"/>
        <v>1499999</v>
      </c>
      <c r="T342" s="1687">
        <f t="shared" si="186"/>
        <v>1</v>
      </c>
      <c r="U342" s="1603">
        <v>32</v>
      </c>
      <c r="V342" s="1631"/>
    </row>
    <row r="343" spans="1:22" s="1634" customFormat="1" ht="7" x14ac:dyDescent="0.35">
      <c r="A343" s="1643"/>
      <c r="B343" s="1683">
        <v>13</v>
      </c>
      <c r="C343" s="1684" t="s">
        <v>7062</v>
      </c>
      <c r="D343" s="1684"/>
      <c r="E343" s="1685">
        <v>44044</v>
      </c>
      <c r="F343" s="1683"/>
      <c r="G343" s="1684" t="s">
        <v>6952</v>
      </c>
      <c r="H343" s="1684">
        <v>4</v>
      </c>
      <c r="I343" s="1686">
        <f t="shared" ref="I343" si="187">12*H343</f>
        <v>48</v>
      </c>
      <c r="J343" s="1686">
        <f t="shared" ref="J343" si="188">K343/I343</f>
        <v>104166.66666666667</v>
      </c>
      <c r="K343" s="1686">
        <v>5000000</v>
      </c>
      <c r="L343" s="1686">
        <v>5000000</v>
      </c>
      <c r="M343" s="1686"/>
      <c r="N343" s="1686"/>
      <c r="O343" s="2705">
        <f t="shared" si="184"/>
        <v>5000000</v>
      </c>
      <c r="P343" s="1686">
        <v>4999999.0022222241</v>
      </c>
      <c r="Q343" s="1686">
        <v>0</v>
      </c>
      <c r="R343" s="1686"/>
      <c r="S343" s="1686">
        <f t="shared" si="185"/>
        <v>4999999.0022222241</v>
      </c>
      <c r="T343" s="1687">
        <f t="shared" si="186"/>
        <v>0.99777777586132288</v>
      </c>
      <c r="U343" s="1603">
        <v>32</v>
      </c>
      <c r="V343" s="1631"/>
    </row>
    <row r="344" spans="1:22" s="1634" customFormat="1" ht="7" x14ac:dyDescent="0.35">
      <c r="A344" s="1643"/>
      <c r="B344" s="1683">
        <v>14</v>
      </c>
      <c r="C344" s="1684" t="s">
        <v>7360</v>
      </c>
      <c r="D344" s="1684" t="s">
        <v>6995</v>
      </c>
      <c r="E344" s="1685">
        <v>45498</v>
      </c>
      <c r="F344" s="1683" t="s">
        <v>7361</v>
      </c>
      <c r="G344" s="1684">
        <v>2</v>
      </c>
      <c r="H344" s="1684">
        <v>5</v>
      </c>
      <c r="I344" s="1686">
        <v>60</v>
      </c>
      <c r="J344" s="1686">
        <f t="shared" ref="J344:J352" si="189">K344*G344/I344</f>
        <v>13333.333333333334</v>
      </c>
      <c r="K344" s="1686">
        <v>400000</v>
      </c>
      <c r="L344" s="1686">
        <v>800000</v>
      </c>
      <c r="M344" s="1686"/>
      <c r="N344" s="1686"/>
      <c r="O344" s="2705">
        <f t="shared" si="184"/>
        <v>800000</v>
      </c>
      <c r="P344" s="1686">
        <v>306666.66666666669</v>
      </c>
      <c r="Q344" s="1686">
        <f t="shared" ref="Q344:Q355" si="190">J344</f>
        <v>13333.333333333334</v>
      </c>
      <c r="R344" s="1686"/>
      <c r="S344" s="1686">
        <f t="shared" si="185"/>
        <v>320000</v>
      </c>
      <c r="T344" s="1687">
        <f t="shared" si="186"/>
        <v>480000</v>
      </c>
      <c r="U344" s="1603">
        <v>32</v>
      </c>
      <c r="V344" s="1631"/>
    </row>
    <row r="345" spans="1:22" s="1634" customFormat="1" ht="7" x14ac:dyDescent="0.35">
      <c r="A345" s="1643"/>
      <c r="B345" s="1683">
        <v>15</v>
      </c>
      <c r="C345" s="1684" t="s">
        <v>7362</v>
      </c>
      <c r="D345" s="1684" t="s">
        <v>7363</v>
      </c>
      <c r="E345" s="1685">
        <v>45498</v>
      </c>
      <c r="F345" s="1683" t="s">
        <v>7364</v>
      </c>
      <c r="G345" s="1684">
        <v>45</v>
      </c>
      <c r="H345" s="1684">
        <v>5</v>
      </c>
      <c r="I345" s="1686">
        <v>60</v>
      </c>
      <c r="J345" s="1686">
        <f t="shared" si="189"/>
        <v>602083.33333333337</v>
      </c>
      <c r="K345" s="1686">
        <f>36125000/G345</f>
        <v>802777.77777777775</v>
      </c>
      <c r="L345" s="1686">
        <v>36125000</v>
      </c>
      <c r="M345" s="1686"/>
      <c r="N345" s="1686"/>
      <c r="O345" s="2705">
        <f t="shared" si="184"/>
        <v>36125000</v>
      </c>
      <c r="P345" s="1686">
        <v>13847916.666666672</v>
      </c>
      <c r="Q345" s="1686">
        <f t="shared" si="190"/>
        <v>602083.33333333337</v>
      </c>
      <c r="R345" s="1686"/>
      <c r="S345" s="1686">
        <f t="shared" si="185"/>
        <v>14450000.000000006</v>
      </c>
      <c r="T345" s="1687">
        <f t="shared" si="186"/>
        <v>21674999.999999993</v>
      </c>
      <c r="U345" s="1603">
        <v>32</v>
      </c>
      <c r="V345" s="1631"/>
    </row>
    <row r="346" spans="1:22" s="1634" customFormat="1" ht="7" x14ac:dyDescent="0.35">
      <c r="A346" s="1643"/>
      <c r="B346" s="1683">
        <v>16</v>
      </c>
      <c r="C346" s="1684" t="s">
        <v>7550</v>
      </c>
      <c r="D346" s="1684" t="s">
        <v>333</v>
      </c>
      <c r="E346" s="1685">
        <v>45535</v>
      </c>
      <c r="F346" s="1683" t="s">
        <v>7551</v>
      </c>
      <c r="G346" s="1684">
        <v>34</v>
      </c>
      <c r="H346" s="1684">
        <v>5</v>
      </c>
      <c r="I346" s="1686">
        <v>60</v>
      </c>
      <c r="J346" s="1686">
        <f t="shared" si="189"/>
        <v>208166.66666666666</v>
      </c>
      <c r="K346" s="1686">
        <f>12490000/34</f>
        <v>367352.9411764706</v>
      </c>
      <c r="L346" s="1686">
        <v>12490000</v>
      </c>
      <c r="M346" s="1686"/>
      <c r="N346" s="1686"/>
      <c r="O346" s="2705">
        <f t="shared" si="184"/>
        <v>12490000</v>
      </c>
      <c r="P346" s="1686">
        <v>4579666.666666666</v>
      </c>
      <c r="Q346" s="1686">
        <f t="shared" si="190"/>
        <v>208166.66666666666</v>
      </c>
      <c r="R346" s="1686"/>
      <c r="S346" s="1686">
        <f t="shared" si="185"/>
        <v>4787833.333333333</v>
      </c>
      <c r="T346" s="1687">
        <f t="shared" si="186"/>
        <v>7702166.666666667</v>
      </c>
      <c r="U346" s="1603">
        <v>32</v>
      </c>
      <c r="V346" s="1631"/>
    </row>
    <row r="347" spans="1:22" s="1634" customFormat="1" ht="7" x14ac:dyDescent="0.35">
      <c r="A347" s="1643"/>
      <c r="B347" s="1683">
        <v>17</v>
      </c>
      <c r="C347" s="1684" t="s">
        <v>7360</v>
      </c>
      <c r="D347" s="1684" t="s">
        <v>6995</v>
      </c>
      <c r="E347" s="1685">
        <v>45675</v>
      </c>
      <c r="F347" s="1683" t="s">
        <v>7635</v>
      </c>
      <c r="G347" s="1684">
        <v>2</v>
      </c>
      <c r="H347" s="1684">
        <v>5</v>
      </c>
      <c r="I347" s="1686">
        <v>60</v>
      </c>
      <c r="J347" s="1686">
        <f t="shared" si="189"/>
        <v>16266.666666666666</v>
      </c>
      <c r="K347" s="1686">
        <v>488000</v>
      </c>
      <c r="L347" s="1686">
        <f>K347*G347</f>
        <v>976000</v>
      </c>
      <c r="M347" s="1686"/>
      <c r="N347" s="1686"/>
      <c r="O347" s="2705">
        <f t="shared" si="184"/>
        <v>976000</v>
      </c>
      <c r="P347" s="1686">
        <v>276533.33333333326</v>
      </c>
      <c r="Q347" s="1686">
        <f t="shared" si="190"/>
        <v>16266.666666666666</v>
      </c>
      <c r="R347" s="1686"/>
      <c r="S347" s="1686">
        <f t="shared" si="185"/>
        <v>292799.99999999994</v>
      </c>
      <c r="T347" s="1687">
        <f t="shared" si="186"/>
        <v>683200</v>
      </c>
      <c r="U347" s="1603">
        <v>32</v>
      </c>
      <c r="V347" s="1631"/>
    </row>
    <row r="348" spans="1:22" s="1634" customFormat="1" ht="7" x14ac:dyDescent="0.35">
      <c r="A348" s="1643"/>
      <c r="B348" s="1683">
        <v>18</v>
      </c>
      <c r="C348" s="1684" t="s">
        <v>7704</v>
      </c>
      <c r="D348" s="1684" t="s">
        <v>7705</v>
      </c>
      <c r="E348" s="1685">
        <v>45833</v>
      </c>
      <c r="F348" s="1683" t="s">
        <v>7703</v>
      </c>
      <c r="G348" s="1684">
        <v>2</v>
      </c>
      <c r="H348" s="1684">
        <v>5</v>
      </c>
      <c r="I348" s="1686">
        <v>60</v>
      </c>
      <c r="J348" s="1686">
        <f t="shared" si="189"/>
        <v>30266.666666666668</v>
      </c>
      <c r="K348" s="1686">
        <v>908000</v>
      </c>
      <c r="L348" s="1686">
        <f>G348*K348</f>
        <v>1816000</v>
      </c>
      <c r="M348" s="1686"/>
      <c r="N348" s="1686"/>
      <c r="O348" s="2705">
        <f t="shared" si="184"/>
        <v>1816000</v>
      </c>
      <c r="P348" s="1686">
        <v>363200.00000000006</v>
      </c>
      <c r="Q348" s="1686">
        <f t="shared" si="190"/>
        <v>30266.666666666668</v>
      </c>
      <c r="R348" s="1686"/>
      <c r="S348" s="1686">
        <f t="shared" si="185"/>
        <v>393466.66666666674</v>
      </c>
      <c r="T348" s="1687">
        <f t="shared" si="186"/>
        <v>1422533.3333333333</v>
      </c>
      <c r="U348" s="1603">
        <v>32</v>
      </c>
      <c r="V348" s="1631"/>
    </row>
    <row r="349" spans="1:22" s="1634" customFormat="1" ht="7" x14ac:dyDescent="0.35">
      <c r="A349" s="1643"/>
      <c r="B349" s="1683">
        <v>19</v>
      </c>
      <c r="C349" s="1684" t="s">
        <v>7360</v>
      </c>
      <c r="D349" s="1684" t="s">
        <v>6995</v>
      </c>
      <c r="E349" s="1685">
        <v>45846</v>
      </c>
      <c r="F349" s="1683" t="s">
        <v>7741</v>
      </c>
      <c r="G349" s="1684">
        <v>5</v>
      </c>
      <c r="H349" s="1684">
        <v>5</v>
      </c>
      <c r="I349" s="1686">
        <v>60</v>
      </c>
      <c r="J349" s="1686">
        <f t="shared" si="189"/>
        <v>29381.683333333334</v>
      </c>
      <c r="K349" s="1686">
        <v>352580.2</v>
      </c>
      <c r="L349" s="1686">
        <f>G349*K349</f>
        <v>1762901</v>
      </c>
      <c r="M349" s="1686"/>
      <c r="N349" s="1686"/>
      <c r="O349" s="2705">
        <f t="shared" si="184"/>
        <v>1762901</v>
      </c>
      <c r="P349" s="1686">
        <v>323198.51666666678</v>
      </c>
      <c r="Q349" s="1686">
        <f t="shared" si="190"/>
        <v>29381.683333333334</v>
      </c>
      <c r="R349" s="1686"/>
      <c r="S349" s="1686">
        <f t="shared" ref="S349" si="191">P349+Q349-R349</f>
        <v>352580.20000000013</v>
      </c>
      <c r="T349" s="1687">
        <f t="shared" ref="T349" si="192">O349-S349</f>
        <v>1410320.7999999998</v>
      </c>
      <c r="U349" s="1603">
        <v>32</v>
      </c>
      <c r="V349" s="1631"/>
    </row>
    <row r="350" spans="1:22" s="1634" customFormat="1" ht="7" x14ac:dyDescent="0.35">
      <c r="A350" s="1643"/>
      <c r="B350" s="1683">
        <v>20</v>
      </c>
      <c r="C350" s="1684" t="s">
        <v>7816</v>
      </c>
      <c r="D350" s="1684" t="s">
        <v>6995</v>
      </c>
      <c r="E350" s="1685">
        <v>45900</v>
      </c>
      <c r="F350" s="1683" t="s">
        <v>7817</v>
      </c>
      <c r="G350" s="1684">
        <v>1</v>
      </c>
      <c r="H350" s="1684">
        <v>5</v>
      </c>
      <c r="I350" s="1686">
        <v>60</v>
      </c>
      <c r="J350" s="1686">
        <f t="shared" si="189"/>
        <v>20250</v>
      </c>
      <c r="K350" s="1686">
        <v>1215000</v>
      </c>
      <c r="L350" s="1686">
        <f>K350*G350</f>
        <v>1215000</v>
      </c>
      <c r="M350" s="1686"/>
      <c r="N350" s="1686"/>
      <c r="O350" s="2705">
        <f t="shared" si="184"/>
        <v>1215000</v>
      </c>
      <c r="P350" s="1686">
        <v>202500</v>
      </c>
      <c r="Q350" s="1686">
        <f t="shared" si="190"/>
        <v>20250</v>
      </c>
      <c r="R350" s="1686"/>
      <c r="S350" s="1686">
        <f t="shared" ref="S350" si="193">P350+Q350-R350</f>
        <v>222750</v>
      </c>
      <c r="T350" s="1687">
        <f t="shared" ref="T350" si="194">O350-S350</f>
        <v>992250</v>
      </c>
      <c r="U350" s="1603">
        <v>32</v>
      </c>
      <c r="V350" s="1631"/>
    </row>
    <row r="351" spans="1:22" s="1634" customFormat="1" ht="7" x14ac:dyDescent="0.35">
      <c r="A351" s="1643"/>
      <c r="B351" s="1683">
        <v>21</v>
      </c>
      <c r="C351" s="1684" t="s">
        <v>8114</v>
      </c>
      <c r="D351" s="1684" t="s">
        <v>6995</v>
      </c>
      <c r="E351" s="1685">
        <v>46091</v>
      </c>
      <c r="F351" s="1683" t="s">
        <v>8113</v>
      </c>
      <c r="G351" s="1684">
        <v>5</v>
      </c>
      <c r="H351" s="1684">
        <v>5</v>
      </c>
      <c r="I351" s="1686">
        <v>60</v>
      </c>
      <c r="J351" s="1686">
        <f t="shared" si="189"/>
        <v>27435</v>
      </c>
      <c r="K351" s="1686">
        <f>1646100/5</f>
        <v>329220</v>
      </c>
      <c r="L351" s="1686">
        <f>K351*G351</f>
        <v>1646100</v>
      </c>
      <c r="M351" s="1686"/>
      <c r="N351" s="1686"/>
      <c r="O351" s="2705">
        <f t="shared" si="184"/>
        <v>1646100</v>
      </c>
      <c r="P351" s="1686">
        <v>82305</v>
      </c>
      <c r="Q351" s="1686">
        <f t="shared" si="190"/>
        <v>27435</v>
      </c>
      <c r="R351" s="1686"/>
      <c r="S351" s="1686">
        <f t="shared" ref="S351:S354" si="195">P351+Q351-R351</f>
        <v>109740</v>
      </c>
      <c r="T351" s="1687">
        <f t="shared" ref="T351:T354" si="196">O351-S351</f>
        <v>1536360</v>
      </c>
      <c r="U351" s="1603">
        <v>32</v>
      </c>
      <c r="V351" s="1631"/>
    </row>
    <row r="352" spans="1:22" s="1634" customFormat="1" ht="7" x14ac:dyDescent="0.35">
      <c r="A352" s="1643"/>
      <c r="B352" s="1683">
        <v>22</v>
      </c>
      <c r="C352" s="1684" t="s">
        <v>8139</v>
      </c>
      <c r="D352" s="1684" t="s">
        <v>7583</v>
      </c>
      <c r="E352" s="1685">
        <v>46142</v>
      </c>
      <c r="F352" s="1683" t="s">
        <v>8140</v>
      </c>
      <c r="G352" s="1684">
        <v>1</v>
      </c>
      <c r="H352" s="1684">
        <v>5</v>
      </c>
      <c r="I352" s="1686">
        <v>60</v>
      </c>
      <c r="J352" s="1686">
        <f t="shared" si="189"/>
        <v>12083.333333333334</v>
      </c>
      <c r="K352" s="1686">
        <v>725000</v>
      </c>
      <c r="L352" s="1686">
        <f>K352*G352</f>
        <v>725000</v>
      </c>
      <c r="M352" s="1686"/>
      <c r="N352" s="1686"/>
      <c r="O352" s="2705">
        <f t="shared" si="184"/>
        <v>725000</v>
      </c>
      <c r="P352" s="1686">
        <v>24166.666666666668</v>
      </c>
      <c r="Q352" s="1686">
        <f t="shared" si="190"/>
        <v>12083.333333333334</v>
      </c>
      <c r="R352" s="1686"/>
      <c r="S352" s="1686">
        <f t="shared" si="195"/>
        <v>36250</v>
      </c>
      <c r="T352" s="1687">
        <f t="shared" si="196"/>
        <v>688750</v>
      </c>
      <c r="U352" s="1603">
        <v>32</v>
      </c>
      <c r="V352" s="1631"/>
    </row>
    <row r="353" spans="1:22" s="1634" customFormat="1" ht="7" x14ac:dyDescent="0.35">
      <c r="A353" s="1643"/>
      <c r="B353" s="1683">
        <v>23</v>
      </c>
      <c r="C353" s="1684"/>
      <c r="D353" s="1684"/>
      <c r="E353" s="1685"/>
      <c r="F353" s="1683"/>
      <c r="G353" s="1684"/>
      <c r="H353" s="1684"/>
      <c r="I353" s="1686"/>
      <c r="J353" s="1686"/>
      <c r="K353" s="1686"/>
      <c r="L353" s="1686"/>
      <c r="M353" s="1686"/>
      <c r="N353" s="1686"/>
      <c r="O353" s="2705">
        <f t="shared" si="184"/>
        <v>0</v>
      </c>
      <c r="P353" s="1686">
        <v>0</v>
      </c>
      <c r="Q353" s="1686">
        <f t="shared" si="190"/>
        <v>0</v>
      </c>
      <c r="R353" s="1686"/>
      <c r="S353" s="1686">
        <f t="shared" si="195"/>
        <v>0</v>
      </c>
      <c r="T353" s="1687">
        <f t="shared" si="196"/>
        <v>0</v>
      </c>
      <c r="U353" s="1603">
        <v>32</v>
      </c>
      <c r="V353" s="1631"/>
    </row>
    <row r="354" spans="1:22" s="1634" customFormat="1" ht="7" x14ac:dyDescent="0.35">
      <c r="A354" s="1643"/>
      <c r="B354" s="1683">
        <v>24</v>
      </c>
      <c r="C354" s="1684"/>
      <c r="D354" s="1684"/>
      <c r="E354" s="1685"/>
      <c r="F354" s="1683"/>
      <c r="G354" s="1684"/>
      <c r="H354" s="1684"/>
      <c r="I354" s="1686"/>
      <c r="J354" s="1686"/>
      <c r="K354" s="1686"/>
      <c r="L354" s="1686"/>
      <c r="M354" s="1686"/>
      <c r="N354" s="1686"/>
      <c r="O354" s="2705">
        <f t="shared" si="184"/>
        <v>0</v>
      </c>
      <c r="P354" s="1686">
        <v>0</v>
      </c>
      <c r="Q354" s="1686">
        <f t="shared" si="190"/>
        <v>0</v>
      </c>
      <c r="R354" s="1686"/>
      <c r="S354" s="1686">
        <f t="shared" si="195"/>
        <v>0</v>
      </c>
      <c r="T354" s="1687">
        <f t="shared" si="196"/>
        <v>0</v>
      </c>
      <c r="U354" s="1603">
        <v>32</v>
      </c>
      <c r="V354" s="1631"/>
    </row>
    <row r="355" spans="1:22" s="1634" customFormat="1" ht="7.5" thickBot="1" x14ac:dyDescent="0.4">
      <c r="A355" s="1632"/>
      <c r="B355" s="1683">
        <v>25</v>
      </c>
      <c r="C355" s="1684"/>
      <c r="D355" s="1684"/>
      <c r="E355" s="1685"/>
      <c r="F355" s="1683"/>
      <c r="G355" s="1684"/>
      <c r="H355" s="1684"/>
      <c r="I355" s="1686"/>
      <c r="J355" s="1686"/>
      <c r="K355" s="1686"/>
      <c r="L355" s="1686">
        <v>0</v>
      </c>
      <c r="M355" s="1686"/>
      <c r="N355" s="1686"/>
      <c r="O355" s="2705">
        <f t="shared" si="184"/>
        <v>0</v>
      </c>
      <c r="P355" s="1686">
        <v>0</v>
      </c>
      <c r="Q355" s="1686">
        <f t="shared" si="190"/>
        <v>0</v>
      </c>
      <c r="R355" s="1686"/>
      <c r="S355" s="1686">
        <f t="shared" si="185"/>
        <v>0</v>
      </c>
      <c r="T355" s="1687">
        <f t="shared" si="186"/>
        <v>0</v>
      </c>
      <c r="U355" s="1603">
        <v>32</v>
      </c>
      <c r="V355" s="1631"/>
    </row>
    <row r="356" spans="1:22" s="1634" customFormat="1" ht="10.5" x14ac:dyDescent="0.35">
      <c r="A356" s="1632"/>
      <c r="B356" s="1648"/>
      <c r="C356" s="1703"/>
      <c r="D356" s="1697"/>
      <c r="E356" s="1698"/>
      <c r="F356" s="1699"/>
      <c r="G356" s="1697"/>
      <c r="H356" s="1697"/>
      <c r="I356" s="1700"/>
      <c r="J356" s="1700">
        <f t="shared" ref="J356:P356" si="197">SUM(J333:J355)</f>
        <v>1891350.0166666668</v>
      </c>
      <c r="K356" s="1700">
        <f t="shared" si="197"/>
        <v>50327930.918954253</v>
      </c>
      <c r="L356" s="1700">
        <f t="shared" si="197"/>
        <v>102296001</v>
      </c>
      <c r="M356" s="1700">
        <f t="shared" si="197"/>
        <v>0</v>
      </c>
      <c r="N356" s="1700">
        <f t="shared" si="197"/>
        <v>0</v>
      </c>
      <c r="O356" s="1700">
        <f t="shared" si="197"/>
        <v>102296001</v>
      </c>
      <c r="P356" s="1700">
        <f t="shared" si="197"/>
        <v>56257600.185555562</v>
      </c>
      <c r="Q356" s="1700">
        <f>SUM(Q333:Q355)</f>
        <v>1651771.6833333333</v>
      </c>
      <c r="R356" s="1700">
        <f>SUM(R333:R355)</f>
        <v>0</v>
      </c>
      <c r="S356" s="1700">
        <f>SUM(S333:S355)</f>
        <v>57909371.868888907</v>
      </c>
      <c r="T356" s="1702">
        <f>SUM(T333:T355)</f>
        <v>44386629.131111093</v>
      </c>
      <c r="U356" s="1640"/>
      <c r="V356" s="1631"/>
    </row>
    <row r="357" spans="1:22" s="1634" customFormat="1" ht="7" x14ac:dyDescent="0.35">
      <c r="A357" s="1632"/>
      <c r="B357" s="1725">
        <v>2</v>
      </c>
      <c r="C357" s="1645" t="s">
        <v>1581</v>
      </c>
      <c r="D357" s="1636"/>
      <c r="E357" s="1637"/>
      <c r="F357" s="1635"/>
      <c r="G357" s="1636"/>
      <c r="H357" s="1636"/>
      <c r="I357" s="1638"/>
      <c r="J357" s="1638"/>
      <c r="K357" s="1638"/>
      <c r="L357" s="1638"/>
      <c r="M357" s="1638"/>
      <c r="N357" s="1638"/>
      <c r="O357" s="1638"/>
      <c r="P357" s="1638"/>
      <c r="Q357" s="1638"/>
      <c r="R357" s="1638"/>
      <c r="S357" s="1638"/>
      <c r="T357" s="1639"/>
      <c r="U357" s="1640"/>
      <c r="V357" s="1631"/>
    </row>
    <row r="358" spans="1:22" s="1718" customFormat="1" ht="7" x14ac:dyDescent="0.35">
      <c r="A358" s="1716"/>
      <c r="B358" s="1683" t="s">
        <v>2447</v>
      </c>
      <c r="C358" s="1684" t="s">
        <v>7063</v>
      </c>
      <c r="D358" s="1684" t="s">
        <v>8080</v>
      </c>
      <c r="E358" s="1685">
        <v>44896</v>
      </c>
      <c r="F358" s="1683"/>
      <c r="G358" s="1683" t="s">
        <v>6952</v>
      </c>
      <c r="H358" s="1684">
        <v>4</v>
      </c>
      <c r="I358" s="1686">
        <v>48</v>
      </c>
      <c r="J358" s="1686">
        <v>47895.833333333336</v>
      </c>
      <c r="K358" s="1686">
        <v>2299000</v>
      </c>
      <c r="L358" s="1686">
        <v>2299000</v>
      </c>
      <c r="M358" s="1686"/>
      <c r="N358" s="1686"/>
      <c r="O358" s="2705">
        <f t="shared" ref="O358:O371" si="198">L358+M358-N358</f>
        <v>2299000</v>
      </c>
      <c r="P358" s="1686">
        <v>2011616.6666666651</v>
      </c>
      <c r="Q358" s="1686">
        <v>47895.833333333336</v>
      </c>
      <c r="R358" s="1686"/>
      <c r="S358" s="1686">
        <f t="shared" ref="S358:S363" si="199">P358+Q358-R358</f>
        <v>2059512.4999999984</v>
      </c>
      <c r="T358" s="1687">
        <f t="shared" ref="T358:T363" si="200">O358-S358</f>
        <v>239487.50000000163</v>
      </c>
      <c r="U358" s="1603">
        <v>33</v>
      </c>
    </row>
    <row r="359" spans="1:22" s="1718" customFormat="1" ht="7" x14ac:dyDescent="0.35">
      <c r="A359" s="1716"/>
      <c r="B359" s="1683" t="s">
        <v>23</v>
      </c>
      <c r="C359" s="1684" t="s">
        <v>7064</v>
      </c>
      <c r="D359" s="1684"/>
      <c r="E359" s="1685">
        <v>44958</v>
      </c>
      <c r="F359" s="1683"/>
      <c r="G359" s="1683"/>
      <c r="H359" s="1684">
        <v>5</v>
      </c>
      <c r="I359" s="1686">
        <v>60</v>
      </c>
      <c r="J359" s="1686">
        <v>157108.33333333334</v>
      </c>
      <c r="K359" s="1686">
        <v>9426500</v>
      </c>
      <c r="L359" s="1686">
        <v>9426500</v>
      </c>
      <c r="M359" s="1686"/>
      <c r="N359" s="1686"/>
      <c r="O359" s="2705">
        <f t="shared" si="198"/>
        <v>9426500</v>
      </c>
      <c r="P359" s="1686">
        <v>6284333.333333333</v>
      </c>
      <c r="Q359" s="1686">
        <v>157108.33333333334</v>
      </c>
      <c r="R359" s="1686"/>
      <c r="S359" s="1686">
        <f t="shared" si="199"/>
        <v>6441441.666666666</v>
      </c>
      <c r="T359" s="1687">
        <f t="shared" si="200"/>
        <v>2985058.333333334</v>
      </c>
      <c r="U359" s="1603">
        <v>33</v>
      </c>
    </row>
    <row r="360" spans="1:22" s="1718" customFormat="1" ht="7" x14ac:dyDescent="0.35">
      <c r="A360" s="1716"/>
      <c r="B360" s="1683" t="s">
        <v>27</v>
      </c>
      <c r="C360" s="1684" t="s">
        <v>7063</v>
      </c>
      <c r="D360" s="1684"/>
      <c r="E360" s="1685">
        <v>45078</v>
      </c>
      <c r="F360" s="1683"/>
      <c r="G360" s="1683" t="s">
        <v>7055</v>
      </c>
      <c r="H360" s="1684">
        <v>4</v>
      </c>
      <c r="I360" s="1686">
        <v>48</v>
      </c>
      <c r="J360" s="1686">
        <v>31666.666666666668</v>
      </c>
      <c r="K360" s="1686">
        <v>1520000</v>
      </c>
      <c r="L360" s="1686">
        <v>1520000</v>
      </c>
      <c r="M360" s="1686"/>
      <c r="N360" s="1686"/>
      <c r="O360" s="2705">
        <f t="shared" si="198"/>
        <v>1520000</v>
      </c>
      <c r="P360" s="1686">
        <v>1140000.0000000033</v>
      </c>
      <c r="Q360" s="1686">
        <v>31666.666666666668</v>
      </c>
      <c r="R360" s="1686"/>
      <c r="S360" s="1686">
        <f t="shared" si="199"/>
        <v>1171666.66666667</v>
      </c>
      <c r="T360" s="1687">
        <f t="shared" si="200"/>
        <v>348333.33333333</v>
      </c>
      <c r="U360" s="1603">
        <v>33</v>
      </c>
    </row>
    <row r="361" spans="1:22" s="1718" customFormat="1" ht="7" x14ac:dyDescent="0.35">
      <c r="A361" s="1716"/>
      <c r="B361" s="1683" t="s">
        <v>31</v>
      </c>
      <c r="C361" s="1684" t="s">
        <v>7065</v>
      </c>
      <c r="D361" s="1684" t="s">
        <v>7066</v>
      </c>
      <c r="E361" s="1685">
        <v>45372</v>
      </c>
      <c r="F361" s="1683"/>
      <c r="G361" s="1683" t="s">
        <v>6952</v>
      </c>
      <c r="H361" s="1684">
        <v>4</v>
      </c>
      <c r="I361" s="1686">
        <v>48</v>
      </c>
      <c r="J361" s="1686">
        <v>69791.666666666672</v>
      </c>
      <c r="K361" s="1686">
        <v>3350000</v>
      </c>
      <c r="L361" s="1686">
        <v>3350000</v>
      </c>
      <c r="M361" s="1686"/>
      <c r="N361" s="1686"/>
      <c r="O361" s="2705">
        <f t="shared" si="198"/>
        <v>3350000</v>
      </c>
      <c r="P361" s="1686">
        <v>1884375.0000000005</v>
      </c>
      <c r="Q361" s="1686">
        <v>69791.666666666672</v>
      </c>
      <c r="R361" s="1686"/>
      <c r="S361" s="1686">
        <f t="shared" si="199"/>
        <v>1954166.6666666672</v>
      </c>
      <c r="T361" s="1687">
        <f t="shared" si="200"/>
        <v>1395833.3333333328</v>
      </c>
      <c r="U361" s="1603">
        <v>33</v>
      </c>
    </row>
    <row r="362" spans="1:22" s="1718" customFormat="1" ht="7" x14ac:dyDescent="0.35">
      <c r="A362" s="1719"/>
      <c r="B362" s="1683" t="s">
        <v>36</v>
      </c>
      <c r="C362" s="1684" t="s">
        <v>7065</v>
      </c>
      <c r="D362" s="1684" t="s">
        <v>7066</v>
      </c>
      <c r="E362" s="1685">
        <v>45473</v>
      </c>
      <c r="F362" s="1683"/>
      <c r="G362" s="1683">
        <v>5</v>
      </c>
      <c r="H362" s="1684">
        <v>5</v>
      </c>
      <c r="I362" s="1686">
        <v>60</v>
      </c>
      <c r="J362" s="1686">
        <f>K362*G362/I362</f>
        <v>146250</v>
      </c>
      <c r="K362" s="1686">
        <f>8775000/5</f>
        <v>1755000</v>
      </c>
      <c r="L362" s="1686">
        <v>8775000</v>
      </c>
      <c r="M362" s="2854"/>
      <c r="N362" s="1686"/>
      <c r="O362" s="2705">
        <f t="shared" si="198"/>
        <v>8775000</v>
      </c>
      <c r="P362" s="1686">
        <v>3510000</v>
      </c>
      <c r="Q362" s="1686">
        <f t="shared" ref="Q362" si="201">J362</f>
        <v>146250</v>
      </c>
      <c r="R362" s="1686"/>
      <c r="S362" s="1686">
        <f t="shared" si="199"/>
        <v>3656250</v>
      </c>
      <c r="T362" s="1687">
        <f t="shared" si="200"/>
        <v>5118750</v>
      </c>
      <c r="U362" s="1603">
        <v>33</v>
      </c>
    </row>
    <row r="363" spans="1:22" s="1718" customFormat="1" ht="7" x14ac:dyDescent="0.35">
      <c r="A363" s="1719"/>
      <c r="B363" s="1683" t="s">
        <v>2449</v>
      </c>
      <c r="C363" s="1684" t="s">
        <v>7365</v>
      </c>
      <c r="D363" s="1684" t="s">
        <v>7315</v>
      </c>
      <c r="E363" s="1685">
        <v>45498</v>
      </c>
      <c r="F363" s="1683" t="s">
        <v>7364</v>
      </c>
      <c r="G363" s="1683">
        <v>15</v>
      </c>
      <c r="H363" s="1684">
        <v>5</v>
      </c>
      <c r="I363" s="1686">
        <v>60</v>
      </c>
      <c r="J363" s="1686">
        <f>K363*G363/I363</f>
        <v>204741.66666666666</v>
      </c>
      <c r="K363" s="1686">
        <f>12284500/G363</f>
        <v>818966.66666666663</v>
      </c>
      <c r="L363" s="1686">
        <v>12284500</v>
      </c>
      <c r="M363" s="1686"/>
      <c r="N363" s="1686"/>
      <c r="O363" s="2705">
        <f t="shared" si="198"/>
        <v>12284500</v>
      </c>
      <c r="P363" s="1686">
        <v>4709058.333333333</v>
      </c>
      <c r="Q363" s="1686">
        <f>J363</f>
        <v>204741.66666666666</v>
      </c>
      <c r="R363" s="1686"/>
      <c r="S363" s="1686">
        <f t="shared" si="199"/>
        <v>4913800</v>
      </c>
      <c r="T363" s="1687">
        <f t="shared" si="200"/>
        <v>7370700</v>
      </c>
      <c r="U363" s="1603">
        <v>33</v>
      </c>
    </row>
    <row r="364" spans="1:22" s="1718" customFormat="1" ht="7" x14ac:dyDescent="0.35">
      <c r="A364" s="1719"/>
      <c r="B364" s="1683" t="s">
        <v>759</v>
      </c>
      <c r="C364" s="1684" t="s">
        <v>7742</v>
      </c>
      <c r="D364" s="1684" t="s">
        <v>3112</v>
      </c>
      <c r="E364" s="1685">
        <v>45865</v>
      </c>
      <c r="F364" s="1683" t="s">
        <v>7743</v>
      </c>
      <c r="G364" s="1683">
        <v>1</v>
      </c>
      <c r="H364" s="1684">
        <v>5</v>
      </c>
      <c r="I364" s="1686">
        <v>60</v>
      </c>
      <c r="J364" s="1686">
        <f t="shared" ref="J364" si="202">K364*G364/I364</f>
        <v>9166.6666666666661</v>
      </c>
      <c r="K364" s="1686">
        <v>550000</v>
      </c>
      <c r="L364" s="1686">
        <f>G364*K364</f>
        <v>550000</v>
      </c>
      <c r="M364" s="1686"/>
      <c r="N364" s="1686"/>
      <c r="O364" s="2705">
        <f t="shared" si="198"/>
        <v>550000</v>
      </c>
      <c r="P364" s="1686">
        <v>100833.33333333334</v>
      </c>
      <c r="Q364" s="1686">
        <f t="shared" ref="Q364:Q371" si="203">J364</f>
        <v>9166.6666666666661</v>
      </c>
      <c r="R364" s="1686"/>
      <c r="S364" s="1686">
        <f t="shared" ref="S364:S365" si="204">P364+Q364-R364</f>
        <v>110000.00000000001</v>
      </c>
      <c r="T364" s="1687">
        <f t="shared" ref="T364:T365" si="205">O364-S364</f>
        <v>440000</v>
      </c>
      <c r="U364" s="1603">
        <v>33</v>
      </c>
    </row>
    <row r="365" spans="1:22" s="1718" customFormat="1" ht="7" x14ac:dyDescent="0.35">
      <c r="A365" s="1719"/>
      <c r="B365" s="1683" t="s">
        <v>701</v>
      </c>
      <c r="C365" s="1684" t="s">
        <v>7804</v>
      </c>
      <c r="D365" s="1684" t="s">
        <v>3112</v>
      </c>
      <c r="E365" s="1685">
        <v>45874</v>
      </c>
      <c r="F365" s="1683" t="s">
        <v>7805</v>
      </c>
      <c r="G365" s="1683">
        <v>2</v>
      </c>
      <c r="H365" s="1684">
        <v>5</v>
      </c>
      <c r="I365" s="1686">
        <v>60</v>
      </c>
      <c r="J365" s="1686">
        <f>K365*G365/I365</f>
        <v>57609.666666666664</v>
      </c>
      <c r="K365" s="1686">
        <v>1728290</v>
      </c>
      <c r="L365" s="1686">
        <f>K365*G365</f>
        <v>3456580</v>
      </c>
      <c r="M365" s="1686"/>
      <c r="N365" s="1686"/>
      <c r="O365" s="2705">
        <f t="shared" si="198"/>
        <v>3456580</v>
      </c>
      <c r="P365" s="1686">
        <v>576096.66666666674</v>
      </c>
      <c r="Q365" s="1686">
        <f t="shared" si="203"/>
        <v>57609.666666666664</v>
      </c>
      <c r="R365" s="1686"/>
      <c r="S365" s="1686">
        <f t="shared" si="204"/>
        <v>633706.33333333337</v>
      </c>
      <c r="T365" s="1687">
        <f t="shared" si="205"/>
        <v>2822873.6666666665</v>
      </c>
      <c r="U365" s="1603">
        <v>33</v>
      </c>
    </row>
    <row r="366" spans="1:22" s="1718" customFormat="1" ht="7" x14ac:dyDescent="0.35">
      <c r="A366" s="1719"/>
      <c r="B366" s="1683" t="s">
        <v>1027</v>
      </c>
      <c r="C366" s="1684" t="s">
        <v>7365</v>
      </c>
      <c r="D366" s="1684" t="s">
        <v>7315</v>
      </c>
      <c r="E366" s="1685">
        <v>45900</v>
      </c>
      <c r="F366" s="1683" t="s">
        <v>7818</v>
      </c>
      <c r="G366" s="1683">
        <v>15</v>
      </c>
      <c r="H366" s="1684">
        <v>5</v>
      </c>
      <c r="I366" s="1686">
        <v>60</v>
      </c>
      <c r="J366" s="1686">
        <f>K366*G366/I366</f>
        <v>465750</v>
      </c>
      <c r="K366" s="1686">
        <v>1863000</v>
      </c>
      <c r="L366" s="1686">
        <f>G366*K366</f>
        <v>27945000</v>
      </c>
      <c r="M366" s="1686"/>
      <c r="N366" s="1686"/>
      <c r="O366" s="2705">
        <f t="shared" si="198"/>
        <v>27945000</v>
      </c>
      <c r="P366" s="1686">
        <v>4657500</v>
      </c>
      <c r="Q366" s="1686">
        <f t="shared" si="203"/>
        <v>465750</v>
      </c>
      <c r="R366" s="1686"/>
      <c r="S366" s="1686">
        <f t="shared" ref="S366" si="206">P366+Q366-R366</f>
        <v>5123250</v>
      </c>
      <c r="T366" s="1687">
        <f t="shared" ref="T366" si="207">O366-S366</f>
        <v>22821750</v>
      </c>
      <c r="U366" s="1603">
        <v>33</v>
      </c>
    </row>
    <row r="367" spans="1:22" s="1718" customFormat="1" ht="7" x14ac:dyDescent="0.35">
      <c r="A367" s="1719"/>
      <c r="B367" s="1683" t="s">
        <v>762</v>
      </c>
      <c r="C367" s="1684" t="s">
        <v>8025</v>
      </c>
      <c r="D367" s="1684" t="s">
        <v>8023</v>
      </c>
      <c r="E367" s="1685">
        <v>46381</v>
      </c>
      <c r="F367" s="1683" t="s">
        <v>8026</v>
      </c>
      <c r="G367" s="1683">
        <v>1</v>
      </c>
      <c r="H367" s="1684">
        <v>5</v>
      </c>
      <c r="I367" s="1686">
        <v>60</v>
      </c>
      <c r="J367" s="1686">
        <f>K367*G367/I367</f>
        <v>69166.666666666672</v>
      </c>
      <c r="K367" s="1686">
        <v>4150000</v>
      </c>
      <c r="L367" s="1686">
        <f>K367*G367</f>
        <v>4150000</v>
      </c>
      <c r="M367" s="1686"/>
      <c r="N367" s="1686"/>
      <c r="O367" s="2705">
        <f t="shared" si="198"/>
        <v>4150000</v>
      </c>
      <c r="P367" s="1686">
        <v>415000.00000000006</v>
      </c>
      <c r="Q367" s="1686">
        <f t="shared" si="203"/>
        <v>69166.666666666672</v>
      </c>
      <c r="R367" s="1686"/>
      <c r="S367" s="1686">
        <f t="shared" ref="S367:S371" si="208">P367+Q367-R367</f>
        <v>484166.66666666674</v>
      </c>
      <c r="T367" s="1687">
        <f t="shared" ref="T367:T371" si="209">O367-S367</f>
        <v>3665833.333333333</v>
      </c>
      <c r="U367" s="1603">
        <v>33</v>
      </c>
    </row>
    <row r="368" spans="1:22" s="1718" customFormat="1" ht="7" x14ac:dyDescent="0.35">
      <c r="A368" s="1719"/>
      <c r="B368" s="1683" t="s">
        <v>874</v>
      </c>
      <c r="C368" s="1684" t="s">
        <v>8049</v>
      </c>
      <c r="D368" s="1684" t="s">
        <v>8050</v>
      </c>
      <c r="E368" s="1685">
        <v>46030</v>
      </c>
      <c r="F368" s="1683" t="s">
        <v>8051</v>
      </c>
      <c r="G368" s="1683">
        <v>1</v>
      </c>
      <c r="H368" s="1684">
        <v>5</v>
      </c>
      <c r="I368" s="1686">
        <v>60</v>
      </c>
      <c r="J368" s="1686">
        <f>K368*G368/I368</f>
        <v>21650</v>
      </c>
      <c r="K368" s="1686">
        <v>1299000</v>
      </c>
      <c r="L368" s="1686">
        <f>K368*G368</f>
        <v>1299000</v>
      </c>
      <c r="M368" s="1686"/>
      <c r="N368" s="1686"/>
      <c r="O368" s="2705">
        <f t="shared" si="198"/>
        <v>1299000</v>
      </c>
      <c r="P368" s="1686">
        <v>108250</v>
      </c>
      <c r="Q368" s="1686">
        <f t="shared" si="203"/>
        <v>21650</v>
      </c>
      <c r="R368" s="1686"/>
      <c r="S368" s="1686">
        <f t="shared" si="208"/>
        <v>129900</v>
      </c>
      <c r="T368" s="1687">
        <f t="shared" si="209"/>
        <v>1169100</v>
      </c>
      <c r="U368" s="1603">
        <v>33</v>
      </c>
    </row>
    <row r="369" spans="1:22" s="1718" customFormat="1" ht="7" x14ac:dyDescent="0.35">
      <c r="A369" s="1719"/>
      <c r="B369" s="1683" t="s">
        <v>2450</v>
      </c>
      <c r="C369" s="1684" t="s">
        <v>8060</v>
      </c>
      <c r="D369" s="1684" t="s">
        <v>8061</v>
      </c>
      <c r="E369" s="1685">
        <v>46035</v>
      </c>
      <c r="F369" s="1683" t="s">
        <v>8063</v>
      </c>
      <c r="G369" s="1683">
        <v>3</v>
      </c>
      <c r="H369" s="1684">
        <v>5</v>
      </c>
      <c r="I369" s="1686">
        <v>60</v>
      </c>
      <c r="J369" s="1686">
        <f t="shared" ref="J369:J370" si="210">K369*G369/I369</f>
        <v>77458.333333333328</v>
      </c>
      <c r="K369" s="1686">
        <v>1549166.6666666667</v>
      </c>
      <c r="L369" s="1686">
        <f>K369*G369</f>
        <v>4647500</v>
      </c>
      <c r="M369" s="1686"/>
      <c r="N369" s="1686"/>
      <c r="O369" s="2705">
        <f t="shared" si="198"/>
        <v>4647500</v>
      </c>
      <c r="P369" s="1686">
        <v>387291.66666666663</v>
      </c>
      <c r="Q369" s="1686">
        <f t="shared" si="203"/>
        <v>77458.333333333328</v>
      </c>
      <c r="R369" s="1686"/>
      <c r="S369" s="1686">
        <f t="shared" ref="S369:S370" si="211">P369+Q369-R369</f>
        <v>464749.99999999994</v>
      </c>
      <c r="T369" s="1687">
        <f t="shared" ref="T369:T370" si="212">O369-S369</f>
        <v>4182750</v>
      </c>
      <c r="U369" s="1603">
        <v>33</v>
      </c>
    </row>
    <row r="370" spans="1:22" s="1718" customFormat="1" ht="7" x14ac:dyDescent="0.35">
      <c r="A370" s="1719"/>
      <c r="B370" s="1683" t="s">
        <v>2451</v>
      </c>
      <c r="C370" s="1684" t="s">
        <v>8060</v>
      </c>
      <c r="D370" s="1684" t="s">
        <v>8062</v>
      </c>
      <c r="E370" s="1685">
        <v>46035</v>
      </c>
      <c r="F370" s="1683" t="s">
        <v>8064</v>
      </c>
      <c r="G370" s="1683">
        <v>3</v>
      </c>
      <c r="H370" s="1684">
        <v>5</v>
      </c>
      <c r="I370" s="1686">
        <v>60</v>
      </c>
      <c r="J370" s="1686">
        <f t="shared" si="210"/>
        <v>77458.333333333328</v>
      </c>
      <c r="K370" s="1686">
        <v>1549166.6666666667</v>
      </c>
      <c r="L370" s="1686">
        <f>K370*G370</f>
        <v>4647500</v>
      </c>
      <c r="M370" s="1686"/>
      <c r="N370" s="1686"/>
      <c r="O370" s="2705">
        <f t="shared" si="198"/>
        <v>4647500</v>
      </c>
      <c r="P370" s="1686">
        <v>387291.66666666663</v>
      </c>
      <c r="Q370" s="1686">
        <f t="shared" si="203"/>
        <v>77458.333333333328</v>
      </c>
      <c r="R370" s="1686"/>
      <c r="S370" s="1686">
        <f t="shared" si="211"/>
        <v>464749.99999999994</v>
      </c>
      <c r="T370" s="1687">
        <f t="shared" si="212"/>
        <v>4182750</v>
      </c>
      <c r="U370" s="1603">
        <v>33</v>
      </c>
    </row>
    <row r="371" spans="1:22" s="1718" customFormat="1" ht="7.5" thickBot="1" x14ac:dyDescent="0.4">
      <c r="A371" s="1719"/>
      <c r="B371" s="1683" t="s">
        <v>2452</v>
      </c>
      <c r="C371" s="1684"/>
      <c r="D371" s="1684"/>
      <c r="E371" s="1685"/>
      <c r="F371" s="1683"/>
      <c r="G371" s="1684"/>
      <c r="H371" s="1684"/>
      <c r="I371" s="1686"/>
      <c r="J371" s="1686"/>
      <c r="K371" s="1686"/>
      <c r="L371" s="1686">
        <v>0</v>
      </c>
      <c r="M371" s="1686"/>
      <c r="N371" s="1686"/>
      <c r="O371" s="2705">
        <f t="shared" si="198"/>
        <v>0</v>
      </c>
      <c r="P371" s="1686">
        <v>0</v>
      </c>
      <c r="Q371" s="1686">
        <f t="shared" si="203"/>
        <v>0</v>
      </c>
      <c r="R371" s="1686"/>
      <c r="S371" s="1686">
        <f t="shared" si="208"/>
        <v>0</v>
      </c>
      <c r="T371" s="1687">
        <f t="shared" si="209"/>
        <v>0</v>
      </c>
      <c r="U371" s="1603">
        <v>33</v>
      </c>
    </row>
    <row r="372" spans="1:22" s="1634" customFormat="1" ht="10.5" x14ac:dyDescent="0.35">
      <c r="A372" s="1632"/>
      <c r="B372" s="1648"/>
      <c r="C372" s="1703"/>
      <c r="D372" s="1697"/>
      <c r="E372" s="1698"/>
      <c r="F372" s="1699"/>
      <c r="G372" s="1697"/>
      <c r="H372" s="1697"/>
      <c r="I372" s="1700"/>
      <c r="J372" s="1700">
        <f>SUM(J358:J371)</f>
        <v>1435713.8333333333</v>
      </c>
      <c r="K372" s="1700">
        <f>SUM(K358:K371)</f>
        <v>31858090.000000004</v>
      </c>
      <c r="L372" s="1700">
        <f>SUM(L358:L371)</f>
        <v>84350580</v>
      </c>
      <c r="M372" s="1700">
        <f t="shared" ref="M372:T372" si="213">SUM(M358:M371)</f>
        <v>0</v>
      </c>
      <c r="N372" s="1700">
        <f t="shared" si="213"/>
        <v>0</v>
      </c>
      <c r="O372" s="1700">
        <f t="shared" si="213"/>
        <v>84350580</v>
      </c>
      <c r="P372" s="1700">
        <f t="shared" si="213"/>
        <v>26171646.666666672</v>
      </c>
      <c r="Q372" s="1700">
        <f t="shared" si="213"/>
        <v>1435713.8333333333</v>
      </c>
      <c r="R372" s="1700">
        <f t="shared" si="213"/>
        <v>0</v>
      </c>
      <c r="S372" s="1700">
        <f t="shared" si="213"/>
        <v>27607360.5</v>
      </c>
      <c r="T372" s="1702">
        <f t="shared" si="213"/>
        <v>56743219.500000007</v>
      </c>
      <c r="U372" s="1640"/>
      <c r="V372" s="1631"/>
    </row>
    <row r="373" spans="1:22" s="1634" customFormat="1" ht="7" x14ac:dyDescent="0.35">
      <c r="A373" s="1632"/>
      <c r="B373" s="1725">
        <v>3</v>
      </c>
      <c r="C373" s="1645" t="s">
        <v>1583</v>
      </c>
      <c r="D373" s="1636"/>
      <c r="E373" s="1637"/>
      <c r="F373" s="1635"/>
      <c r="G373" s="1636"/>
      <c r="H373" s="1636"/>
      <c r="I373" s="1638"/>
      <c r="J373" s="1638"/>
      <c r="K373" s="1638"/>
      <c r="L373" s="1638"/>
      <c r="M373" s="1638"/>
      <c r="N373" s="1638"/>
      <c r="O373" s="1638"/>
      <c r="P373" s="1638"/>
      <c r="Q373" s="1638"/>
      <c r="R373" s="1638"/>
      <c r="S373" s="1638"/>
      <c r="T373" s="1639"/>
      <c r="U373" s="1640"/>
      <c r="V373" s="1631"/>
    </row>
    <row r="374" spans="1:22" s="1634" customFormat="1" ht="7" x14ac:dyDescent="0.35">
      <c r="A374" s="1643"/>
      <c r="B374" s="1683">
        <v>1</v>
      </c>
      <c r="C374" s="1684" t="s">
        <v>7067</v>
      </c>
      <c r="D374" s="1684"/>
      <c r="E374" s="1685">
        <v>44044</v>
      </c>
      <c r="F374" s="1683"/>
      <c r="G374" s="1684" t="s">
        <v>7068</v>
      </c>
      <c r="H374" s="1684">
        <v>4</v>
      </c>
      <c r="I374" s="1686">
        <v>48</v>
      </c>
      <c r="J374" s="1686">
        <v>729166.66666666663</v>
      </c>
      <c r="K374" s="1686">
        <v>35000000</v>
      </c>
      <c r="L374" s="1686">
        <v>35000000</v>
      </c>
      <c r="M374" s="1686"/>
      <c r="N374" s="1686"/>
      <c r="O374" s="2705">
        <f t="shared" ref="O374:O399" si="214">L374+M374-N374</f>
        <v>35000000</v>
      </c>
      <c r="P374" s="1686">
        <v>34999999.002222233</v>
      </c>
      <c r="Q374" s="1686">
        <v>0</v>
      </c>
      <c r="R374" s="1686"/>
      <c r="S374" s="1686">
        <f t="shared" ref="S374:S386" si="215">P374+Q374-R374</f>
        <v>34999999.002222233</v>
      </c>
      <c r="T374" s="1687">
        <f t="shared" ref="T374:T386" si="216">O374-S374</f>
        <v>0.99777776747941971</v>
      </c>
      <c r="U374" s="1603">
        <v>34</v>
      </c>
      <c r="V374" s="1631"/>
    </row>
    <row r="375" spans="1:22" s="1634" customFormat="1" ht="7" x14ac:dyDescent="0.35">
      <c r="A375" s="1643"/>
      <c r="B375" s="1683">
        <v>2</v>
      </c>
      <c r="C375" s="1684" t="s">
        <v>7069</v>
      </c>
      <c r="D375" s="1684"/>
      <c r="E375" s="1685">
        <v>44228</v>
      </c>
      <c r="F375" s="1683"/>
      <c r="G375" s="1684" t="s">
        <v>6955</v>
      </c>
      <c r="H375" s="1684">
        <v>4</v>
      </c>
      <c r="I375" s="1686">
        <v>48</v>
      </c>
      <c r="J375" s="1686">
        <v>77083.333333333328</v>
      </c>
      <c r="K375" s="1686">
        <v>3700000</v>
      </c>
      <c r="L375" s="1686">
        <v>3700000</v>
      </c>
      <c r="M375" s="1686"/>
      <c r="N375" s="1686"/>
      <c r="O375" s="2705">
        <f t="shared" si="214"/>
        <v>3700000</v>
      </c>
      <c r="P375" s="1686">
        <v>3699999.0000000051</v>
      </c>
      <c r="Q375" s="1686">
        <v>0</v>
      </c>
      <c r="R375" s="1686"/>
      <c r="S375" s="1686">
        <f t="shared" si="215"/>
        <v>3699999.0000000051</v>
      </c>
      <c r="T375" s="1687">
        <f t="shared" si="216"/>
        <v>0.99999999487772584</v>
      </c>
      <c r="U375" s="1603">
        <v>34</v>
      </c>
      <c r="V375" s="1631"/>
    </row>
    <row r="376" spans="1:22" s="1634" customFormat="1" ht="7" x14ac:dyDescent="0.35">
      <c r="A376" s="1643"/>
      <c r="B376" s="1683">
        <v>3</v>
      </c>
      <c r="C376" s="1684" t="s">
        <v>7069</v>
      </c>
      <c r="D376" s="1684"/>
      <c r="E376" s="1685">
        <v>44256</v>
      </c>
      <c r="F376" s="1683"/>
      <c r="G376" s="1684" t="s">
        <v>6952</v>
      </c>
      <c r="H376" s="1684">
        <v>4</v>
      </c>
      <c r="I376" s="1686">
        <v>48</v>
      </c>
      <c r="J376" s="1686">
        <v>33333.333333333336</v>
      </c>
      <c r="K376" s="1686">
        <v>1600000</v>
      </c>
      <c r="L376" s="1686">
        <v>1600000</v>
      </c>
      <c r="M376" s="1686"/>
      <c r="N376" s="1686"/>
      <c r="O376" s="2705">
        <f t="shared" si="214"/>
        <v>1600000</v>
      </c>
      <c r="P376" s="1686">
        <v>1599998.9999999988</v>
      </c>
      <c r="Q376" s="1686">
        <v>0</v>
      </c>
      <c r="R376" s="1686"/>
      <c r="S376" s="1686">
        <f t="shared" si="215"/>
        <v>1599998.9999999988</v>
      </c>
      <c r="T376" s="1687">
        <f t="shared" si="216"/>
        <v>1.0000000011641532</v>
      </c>
      <c r="U376" s="1603">
        <v>34</v>
      </c>
      <c r="V376" s="1631"/>
    </row>
    <row r="377" spans="1:22" s="1634" customFormat="1" ht="7" x14ac:dyDescent="0.35">
      <c r="A377" s="1643"/>
      <c r="B377" s="1683">
        <v>4</v>
      </c>
      <c r="C377" s="1684" t="s">
        <v>7069</v>
      </c>
      <c r="D377" s="1684"/>
      <c r="E377" s="1685">
        <v>44378</v>
      </c>
      <c r="F377" s="1683"/>
      <c r="G377" s="1684" t="s">
        <v>7070</v>
      </c>
      <c r="H377" s="1684">
        <v>4</v>
      </c>
      <c r="I377" s="1686">
        <v>48</v>
      </c>
      <c r="J377" s="1686">
        <v>167708.33333333334</v>
      </c>
      <c r="K377" s="1686">
        <v>8050000</v>
      </c>
      <c r="L377" s="1686">
        <v>8050000</v>
      </c>
      <c r="M377" s="1686"/>
      <c r="N377" s="1686"/>
      <c r="O377" s="2705">
        <f t="shared" si="214"/>
        <v>8050000</v>
      </c>
      <c r="P377" s="1686">
        <v>8049998.9999999953</v>
      </c>
      <c r="Q377" s="1686">
        <v>0</v>
      </c>
      <c r="R377" s="1686"/>
      <c r="S377" s="1686">
        <f t="shared" si="215"/>
        <v>8049998.9999999953</v>
      </c>
      <c r="T377" s="1687">
        <f t="shared" si="216"/>
        <v>1.0000000046566129</v>
      </c>
      <c r="U377" s="1603">
        <v>34</v>
      </c>
      <c r="V377" s="1631"/>
    </row>
    <row r="378" spans="1:22" s="1634" customFormat="1" ht="7" x14ac:dyDescent="0.35">
      <c r="A378" s="1643"/>
      <c r="B378" s="1683">
        <v>5</v>
      </c>
      <c r="C378" s="1684" t="s">
        <v>7067</v>
      </c>
      <c r="D378" s="1684"/>
      <c r="E378" s="1685">
        <v>44378</v>
      </c>
      <c r="F378" s="1683"/>
      <c r="G378" s="1684">
        <v>90</v>
      </c>
      <c r="H378" s="1684">
        <v>4</v>
      </c>
      <c r="I378" s="1686">
        <v>48</v>
      </c>
      <c r="J378" s="1686">
        <v>1500000</v>
      </c>
      <c r="K378" s="1686">
        <v>72000000</v>
      </c>
      <c r="L378" s="1686">
        <v>72000000</v>
      </c>
      <c r="M378" s="1686"/>
      <c r="N378" s="1686"/>
      <c r="O378" s="2705">
        <f t="shared" si="214"/>
        <v>72000000</v>
      </c>
      <c r="P378" s="1686">
        <v>71999999</v>
      </c>
      <c r="Q378" s="1686">
        <v>0</v>
      </c>
      <c r="R378" s="1686"/>
      <c r="S378" s="1686">
        <f t="shared" si="215"/>
        <v>71999999</v>
      </c>
      <c r="T378" s="1687">
        <f t="shared" si="216"/>
        <v>1</v>
      </c>
      <c r="U378" s="1603">
        <v>34</v>
      </c>
      <c r="V378" s="1631"/>
    </row>
    <row r="379" spans="1:22" s="1634" customFormat="1" ht="7" x14ac:dyDescent="0.35">
      <c r="A379" s="1643"/>
      <c r="B379" s="1683">
        <v>6</v>
      </c>
      <c r="C379" s="1684" t="s">
        <v>7071</v>
      </c>
      <c r="D379" s="1684"/>
      <c r="E379" s="1685">
        <v>44470</v>
      </c>
      <c r="F379" s="1683"/>
      <c r="G379" s="1684" t="s">
        <v>6966</v>
      </c>
      <c r="H379" s="1684">
        <v>4</v>
      </c>
      <c r="I379" s="1686">
        <v>48</v>
      </c>
      <c r="J379" s="1686">
        <v>85833.333333333328</v>
      </c>
      <c r="K379" s="1686">
        <v>4120000</v>
      </c>
      <c r="L379" s="1686">
        <v>4120000</v>
      </c>
      <c r="M379" s="1686"/>
      <c r="N379" s="1686"/>
      <c r="O379" s="2705">
        <f t="shared" si="214"/>
        <v>4120000</v>
      </c>
      <c r="P379" s="1686">
        <v>4119999.0000000028</v>
      </c>
      <c r="Q379" s="1686">
        <v>0</v>
      </c>
      <c r="R379" s="1686"/>
      <c r="S379" s="1686">
        <f t="shared" si="215"/>
        <v>4119999.0000000028</v>
      </c>
      <c r="T379" s="1687">
        <f t="shared" si="216"/>
        <v>0.99999999720603228</v>
      </c>
      <c r="U379" s="1603">
        <v>34</v>
      </c>
      <c r="V379" s="1631"/>
    </row>
    <row r="380" spans="1:22" s="1634" customFormat="1" ht="7" x14ac:dyDescent="0.35">
      <c r="A380" s="1643"/>
      <c r="B380" s="1683">
        <v>7</v>
      </c>
      <c r="C380" s="1684" t="s">
        <v>7072</v>
      </c>
      <c r="D380" s="1684"/>
      <c r="E380" s="1685">
        <v>44652</v>
      </c>
      <c r="F380" s="1683"/>
      <c r="G380" s="1684"/>
      <c r="H380" s="1684">
        <v>4</v>
      </c>
      <c r="I380" s="1686">
        <v>48</v>
      </c>
      <c r="J380" s="1686">
        <v>1887500</v>
      </c>
      <c r="K380" s="1686">
        <v>90600000</v>
      </c>
      <c r="L380" s="1686">
        <v>90600000</v>
      </c>
      <c r="M380" s="1686"/>
      <c r="N380" s="1686"/>
      <c r="O380" s="2705">
        <f t="shared" si="214"/>
        <v>90600000</v>
      </c>
      <c r="P380" s="1686">
        <v>90599999</v>
      </c>
      <c r="Q380" s="1686">
        <v>0</v>
      </c>
      <c r="R380" s="1686"/>
      <c r="S380" s="1686">
        <f t="shared" si="215"/>
        <v>90599999</v>
      </c>
      <c r="T380" s="1687">
        <f t="shared" si="216"/>
        <v>1</v>
      </c>
      <c r="U380" s="1603">
        <v>34</v>
      </c>
      <c r="V380" s="1631"/>
    </row>
    <row r="381" spans="1:22" s="1634" customFormat="1" ht="7" x14ac:dyDescent="0.35">
      <c r="A381" s="1643"/>
      <c r="B381" s="1683">
        <v>8</v>
      </c>
      <c r="C381" s="1684" t="s">
        <v>7072</v>
      </c>
      <c r="D381" s="1684"/>
      <c r="E381" s="1685">
        <v>44682</v>
      </c>
      <c r="F381" s="1683"/>
      <c r="G381" s="1684"/>
      <c r="H381" s="1684">
        <v>4</v>
      </c>
      <c r="I381" s="1686">
        <v>48</v>
      </c>
      <c r="J381" s="1686">
        <v>1666666.6666666667</v>
      </c>
      <c r="K381" s="1686">
        <v>80000000</v>
      </c>
      <c r="L381" s="1686">
        <v>80000000</v>
      </c>
      <c r="M381" s="1686"/>
      <c r="N381" s="1686"/>
      <c r="O381" s="2705">
        <f t="shared" si="214"/>
        <v>80000000</v>
      </c>
      <c r="P381" s="1686">
        <v>79999998.999999955</v>
      </c>
      <c r="Q381" s="1686">
        <v>0</v>
      </c>
      <c r="R381" s="1686"/>
      <c r="S381" s="1686">
        <f t="shared" si="215"/>
        <v>79999998.999999955</v>
      </c>
      <c r="T381" s="1687">
        <f t="shared" si="216"/>
        <v>1.0000000447034836</v>
      </c>
      <c r="U381" s="1603">
        <v>34</v>
      </c>
      <c r="V381" s="1631"/>
    </row>
    <row r="382" spans="1:22" s="1634" customFormat="1" ht="7" x14ac:dyDescent="0.35">
      <c r="A382" s="1643"/>
      <c r="B382" s="1683">
        <v>9</v>
      </c>
      <c r="C382" s="1684" t="s">
        <v>7073</v>
      </c>
      <c r="D382" s="1684"/>
      <c r="E382" s="1685">
        <v>44713</v>
      </c>
      <c r="F382" s="1683"/>
      <c r="G382" s="1684"/>
      <c r="H382" s="1684">
        <v>4</v>
      </c>
      <c r="I382" s="1686">
        <v>48</v>
      </c>
      <c r="J382" s="1686">
        <v>364583.33333333331</v>
      </c>
      <c r="K382" s="1686">
        <v>17500000</v>
      </c>
      <c r="L382" s="1686">
        <v>17500000</v>
      </c>
      <c r="M382" s="1686"/>
      <c r="N382" s="1686"/>
      <c r="O382" s="2705">
        <f t="shared" si="214"/>
        <v>17500000</v>
      </c>
      <c r="P382" s="1686">
        <v>17499999.999999981</v>
      </c>
      <c r="Q382" s="1686">
        <v>-1</v>
      </c>
      <c r="R382" s="1686"/>
      <c r="S382" s="1686">
        <f t="shared" si="215"/>
        <v>17499998.999999981</v>
      </c>
      <c r="T382" s="1687">
        <f t="shared" si="216"/>
        <v>1.0000000186264515</v>
      </c>
      <c r="U382" s="1603">
        <v>34</v>
      </c>
      <c r="V382" s="1631"/>
    </row>
    <row r="383" spans="1:22" s="1634" customFormat="1" ht="7" x14ac:dyDescent="0.35">
      <c r="A383" s="1643"/>
      <c r="B383" s="1683">
        <v>10</v>
      </c>
      <c r="C383" s="1684" t="s">
        <v>7074</v>
      </c>
      <c r="D383" s="1684"/>
      <c r="E383" s="1685">
        <v>45108</v>
      </c>
      <c r="F383" s="1683"/>
      <c r="G383" s="1684" t="s">
        <v>7075</v>
      </c>
      <c r="H383" s="1684">
        <v>4</v>
      </c>
      <c r="I383" s="1686">
        <v>48</v>
      </c>
      <c r="J383" s="1686">
        <v>2864583.3333333335</v>
      </c>
      <c r="K383" s="1686">
        <v>137500000</v>
      </c>
      <c r="L383" s="1686">
        <v>137500000</v>
      </c>
      <c r="M383" s="1686"/>
      <c r="N383" s="1686"/>
      <c r="O383" s="2705">
        <f t="shared" si="214"/>
        <v>137500000</v>
      </c>
      <c r="P383" s="1686">
        <v>98536502.666666627</v>
      </c>
      <c r="Q383" s="1686">
        <v>2864583.3333333335</v>
      </c>
      <c r="R383" s="1686"/>
      <c r="S383" s="1686">
        <f t="shared" si="215"/>
        <v>101401085.99999996</v>
      </c>
      <c r="T383" s="1687">
        <f t="shared" si="216"/>
        <v>36098914.000000045</v>
      </c>
      <c r="U383" s="1603">
        <v>34</v>
      </c>
      <c r="V383" s="1631"/>
    </row>
    <row r="384" spans="1:22" s="1634" customFormat="1" ht="7" x14ac:dyDescent="0.35">
      <c r="A384" s="1643"/>
      <c r="B384" s="1683">
        <v>11</v>
      </c>
      <c r="C384" s="1684" t="s">
        <v>776</v>
      </c>
      <c r="D384" s="1684"/>
      <c r="E384" s="1685">
        <v>45108</v>
      </c>
      <c r="F384" s="1683"/>
      <c r="G384" s="1684" t="s">
        <v>7076</v>
      </c>
      <c r="H384" s="1684">
        <v>4</v>
      </c>
      <c r="I384" s="1686">
        <v>48</v>
      </c>
      <c r="J384" s="1686">
        <v>1875000</v>
      </c>
      <c r="K384" s="1686">
        <v>90000000</v>
      </c>
      <c r="L384" s="1686">
        <v>90000000</v>
      </c>
      <c r="M384" s="1686"/>
      <c r="N384" s="1686"/>
      <c r="O384" s="2705">
        <f t="shared" si="214"/>
        <v>90000000</v>
      </c>
      <c r="P384" s="1686">
        <v>65625000</v>
      </c>
      <c r="Q384" s="1686">
        <v>1875000</v>
      </c>
      <c r="R384" s="1686"/>
      <c r="S384" s="1686">
        <f t="shared" si="215"/>
        <v>67500000</v>
      </c>
      <c r="T384" s="1687">
        <f t="shared" si="216"/>
        <v>22500000</v>
      </c>
      <c r="U384" s="1603">
        <v>34</v>
      </c>
      <c r="V384" s="1631"/>
    </row>
    <row r="385" spans="1:22" s="1634" customFormat="1" ht="7" x14ac:dyDescent="0.35">
      <c r="A385" s="1643"/>
      <c r="B385" s="1683">
        <v>12</v>
      </c>
      <c r="C385" s="1684" t="s">
        <v>7077</v>
      </c>
      <c r="D385" s="1684"/>
      <c r="E385" s="1685">
        <v>45108</v>
      </c>
      <c r="F385" s="1683"/>
      <c r="G385" s="1684" t="s">
        <v>7076</v>
      </c>
      <c r="H385" s="1684">
        <v>4</v>
      </c>
      <c r="I385" s="1686">
        <v>48</v>
      </c>
      <c r="J385" s="1686">
        <v>218750</v>
      </c>
      <c r="K385" s="1686">
        <v>10500000</v>
      </c>
      <c r="L385" s="1686">
        <v>10500000</v>
      </c>
      <c r="M385" s="1686"/>
      <c r="N385" s="1686"/>
      <c r="O385" s="2705">
        <f t="shared" si="214"/>
        <v>10500000</v>
      </c>
      <c r="P385" s="1686">
        <v>7656250</v>
      </c>
      <c r="Q385" s="1686">
        <v>218750</v>
      </c>
      <c r="R385" s="1686"/>
      <c r="S385" s="1686">
        <f t="shared" si="215"/>
        <v>7875000</v>
      </c>
      <c r="T385" s="1687">
        <f t="shared" si="216"/>
        <v>2625000</v>
      </c>
      <c r="U385" s="1603">
        <v>34</v>
      </c>
      <c r="V385" s="1631"/>
    </row>
    <row r="386" spans="1:22" s="1634" customFormat="1" ht="7" x14ac:dyDescent="0.35">
      <c r="A386" s="1643"/>
      <c r="B386" s="1683">
        <v>13</v>
      </c>
      <c r="C386" s="1684" t="s">
        <v>7078</v>
      </c>
      <c r="D386" s="1684"/>
      <c r="E386" s="1685">
        <v>44774</v>
      </c>
      <c r="F386" s="1683"/>
      <c r="G386" s="1684" t="s">
        <v>6952</v>
      </c>
      <c r="H386" s="1684">
        <v>4</v>
      </c>
      <c r="I386" s="1686">
        <v>48</v>
      </c>
      <c r="J386" s="1686">
        <v>21875</v>
      </c>
      <c r="K386" s="1686">
        <v>1050000</v>
      </c>
      <c r="L386" s="1686">
        <v>1050000</v>
      </c>
      <c r="M386" s="1686"/>
      <c r="N386" s="1686"/>
      <c r="O386" s="2705">
        <f t="shared" si="214"/>
        <v>1050000</v>
      </c>
      <c r="P386" s="1686">
        <v>1006250</v>
      </c>
      <c r="Q386" s="1686">
        <v>21875</v>
      </c>
      <c r="R386" s="1686"/>
      <c r="S386" s="1686">
        <f t="shared" si="215"/>
        <v>1028125</v>
      </c>
      <c r="T386" s="1687">
        <f t="shared" si="216"/>
        <v>21875</v>
      </c>
      <c r="U386" s="1603">
        <v>34</v>
      </c>
      <c r="V386" s="1631"/>
    </row>
    <row r="387" spans="1:22" s="1634" customFormat="1" ht="7" x14ac:dyDescent="0.35">
      <c r="A387" s="1643"/>
      <c r="B387" s="1683">
        <v>14</v>
      </c>
      <c r="C387" s="1684" t="s">
        <v>7171</v>
      </c>
      <c r="D387" s="1684"/>
      <c r="E387" s="1685">
        <v>45413</v>
      </c>
      <c r="F387" s="1683" t="s">
        <v>7172</v>
      </c>
      <c r="G387" s="1684">
        <v>1</v>
      </c>
      <c r="H387" s="1684">
        <v>5</v>
      </c>
      <c r="I387" s="1686">
        <v>60</v>
      </c>
      <c r="J387" s="1686">
        <f>K387*G387/I387</f>
        <v>33333.333333333336</v>
      </c>
      <c r="K387" s="1686">
        <v>2000000</v>
      </c>
      <c r="L387" s="1686">
        <v>2000000</v>
      </c>
      <c r="M387" s="1686"/>
      <c r="N387" s="1686"/>
      <c r="O387" s="2705">
        <f t="shared" si="214"/>
        <v>2000000</v>
      </c>
      <c r="P387" s="1686">
        <v>833333.3333333336</v>
      </c>
      <c r="Q387" s="1686">
        <f>J387</f>
        <v>33333.333333333336</v>
      </c>
      <c r="R387" s="1686"/>
      <c r="S387" s="1686">
        <f t="shared" ref="S387" si="217">P387+Q387-R387</f>
        <v>866666.66666666698</v>
      </c>
      <c r="T387" s="1687">
        <f t="shared" ref="T387" si="218">O387-S387</f>
        <v>1133333.333333333</v>
      </c>
      <c r="U387" s="1603">
        <v>34</v>
      </c>
      <c r="V387" s="1631"/>
    </row>
    <row r="388" spans="1:22" s="1634" customFormat="1" ht="7" x14ac:dyDescent="0.35">
      <c r="A388" s="1643"/>
      <c r="B388" s="1683">
        <v>15</v>
      </c>
      <c r="C388" s="1684" t="s">
        <v>7319</v>
      </c>
      <c r="D388" s="1684"/>
      <c r="E388" s="1685">
        <v>45473</v>
      </c>
      <c r="F388" s="1683" t="s">
        <v>7320</v>
      </c>
      <c r="G388" s="1684">
        <v>19</v>
      </c>
      <c r="H388" s="1684">
        <v>5</v>
      </c>
      <c r="I388" s="1686">
        <v>60</v>
      </c>
      <c r="J388" s="1686">
        <f>K388*G388/I388</f>
        <v>821666.66666666674</v>
      </c>
      <c r="K388" s="1686">
        <f>49300000/19</f>
        <v>2594736.8421052634</v>
      </c>
      <c r="L388" s="1686">
        <v>49300000</v>
      </c>
      <c r="M388" s="1686"/>
      <c r="N388" s="1686"/>
      <c r="O388" s="2705">
        <f t="shared" si="214"/>
        <v>49300000</v>
      </c>
      <c r="P388" s="1686">
        <v>19720000</v>
      </c>
      <c r="Q388" s="1686">
        <f>J388</f>
        <v>821666.66666666674</v>
      </c>
      <c r="R388" s="1686"/>
      <c r="S388" s="1686">
        <f t="shared" ref="S388:S399" si="219">P388+Q388-R388</f>
        <v>20541666.666666668</v>
      </c>
      <c r="T388" s="1687">
        <f t="shared" ref="T388:T399" si="220">O388-S388</f>
        <v>28758333.333333332</v>
      </c>
      <c r="U388" s="1603">
        <v>34</v>
      </c>
      <c r="V388" s="1631"/>
    </row>
    <row r="389" spans="1:22" s="1634" customFormat="1" ht="7" x14ac:dyDescent="0.35">
      <c r="A389" s="1643"/>
      <c r="B389" s="1683">
        <v>16</v>
      </c>
      <c r="C389" s="1684" t="s">
        <v>7366</v>
      </c>
      <c r="D389" s="1684"/>
      <c r="E389" s="1685">
        <v>45498</v>
      </c>
      <c r="F389" s="1683" t="s">
        <v>7364</v>
      </c>
      <c r="G389" s="1684">
        <v>50</v>
      </c>
      <c r="H389" s="1684">
        <v>5</v>
      </c>
      <c r="I389" s="1686">
        <v>60</v>
      </c>
      <c r="J389" s="1686">
        <f>K389*G389/I389</f>
        <v>1143733.3333333333</v>
      </c>
      <c r="K389" s="1686">
        <f>68624000/50</f>
        <v>1372480</v>
      </c>
      <c r="L389" s="1686">
        <v>68624000</v>
      </c>
      <c r="M389" s="1686"/>
      <c r="N389" s="1686"/>
      <c r="O389" s="2705">
        <f t="shared" si="214"/>
        <v>68624000</v>
      </c>
      <c r="P389" s="1686">
        <v>25162133.333333328</v>
      </c>
      <c r="Q389" s="1686">
        <f t="shared" ref="Q389:Q399" si="221">J389</f>
        <v>1143733.3333333333</v>
      </c>
      <c r="R389" s="1686"/>
      <c r="S389" s="1686">
        <f>P389+Q389-R389</f>
        <v>26305866.66666666</v>
      </c>
      <c r="T389" s="1687">
        <f t="shared" si="220"/>
        <v>42318133.333333343</v>
      </c>
      <c r="U389" s="1603">
        <v>34</v>
      </c>
      <c r="V389" s="1631"/>
    </row>
    <row r="390" spans="1:22" s="1634" customFormat="1" ht="7" x14ac:dyDescent="0.35">
      <c r="A390" s="1643"/>
      <c r="B390" s="1683">
        <v>17</v>
      </c>
      <c r="C390" s="1684" t="s">
        <v>7366</v>
      </c>
      <c r="D390" s="1684" t="s">
        <v>7170</v>
      </c>
      <c r="E390" s="1685">
        <v>45808</v>
      </c>
      <c r="F390" s="1683" t="s">
        <v>7691</v>
      </c>
      <c r="G390" s="1684">
        <v>1</v>
      </c>
      <c r="H390" s="1684">
        <v>5</v>
      </c>
      <c r="I390" s="1686">
        <v>60</v>
      </c>
      <c r="J390" s="1686">
        <f>K390*G390/I390</f>
        <v>129166.66666666667</v>
      </c>
      <c r="K390" s="1686">
        <v>7750000</v>
      </c>
      <c r="L390" s="1686">
        <f t="shared" ref="L390:L395" si="222">G390*K390</f>
        <v>7750000</v>
      </c>
      <c r="M390" s="1686"/>
      <c r="N390" s="1686"/>
      <c r="O390" s="2705">
        <f t="shared" si="214"/>
        <v>7750000</v>
      </c>
      <c r="P390" s="1686">
        <v>1679166.666666667</v>
      </c>
      <c r="Q390" s="1686">
        <f t="shared" si="221"/>
        <v>129166.66666666667</v>
      </c>
      <c r="R390" s="1686"/>
      <c r="S390" s="1686">
        <f t="shared" ref="S390" si="223">P390+Q390-R390</f>
        <v>1808333.3333333337</v>
      </c>
      <c r="T390" s="1687">
        <f t="shared" ref="T390" si="224">O390-S390</f>
        <v>5941666.666666666</v>
      </c>
      <c r="U390" s="1603">
        <v>34</v>
      </c>
      <c r="V390" s="1631"/>
    </row>
    <row r="391" spans="1:22" s="1634" customFormat="1" ht="7" x14ac:dyDescent="0.35">
      <c r="A391" s="1643"/>
      <c r="B391" s="1683">
        <v>18</v>
      </c>
      <c r="C391" s="1684" t="s">
        <v>7744</v>
      </c>
      <c r="D391" s="1684" t="s">
        <v>7170</v>
      </c>
      <c r="E391" s="1685">
        <v>45869</v>
      </c>
      <c r="F391" s="1683" t="s">
        <v>7741</v>
      </c>
      <c r="G391" s="1684">
        <v>80</v>
      </c>
      <c r="H391" s="1636">
        <v>5</v>
      </c>
      <c r="I391" s="1686">
        <v>60</v>
      </c>
      <c r="J391" s="1686">
        <f>K391*G391/I391</f>
        <v>668000</v>
      </c>
      <c r="K391" s="1686">
        <v>501000</v>
      </c>
      <c r="L391" s="1686">
        <f t="shared" si="222"/>
        <v>40080000</v>
      </c>
      <c r="M391" s="1686"/>
      <c r="N391" s="1686"/>
      <c r="O391" s="2705">
        <f t="shared" si="214"/>
        <v>40080000</v>
      </c>
      <c r="P391" s="1686">
        <v>7348000</v>
      </c>
      <c r="Q391" s="1686">
        <f t="shared" si="221"/>
        <v>668000</v>
      </c>
      <c r="R391" s="1686"/>
      <c r="S391" s="1686">
        <f t="shared" ref="S391:S394" si="225">P391+Q391-R391</f>
        <v>8016000</v>
      </c>
      <c r="T391" s="1687">
        <f t="shared" ref="T391:T394" si="226">O391-S391</f>
        <v>32064000</v>
      </c>
      <c r="U391" s="1603">
        <v>34</v>
      </c>
      <c r="V391" s="1631"/>
    </row>
    <row r="392" spans="1:22" s="1634" customFormat="1" ht="7" x14ac:dyDescent="0.35">
      <c r="A392" s="1643"/>
      <c r="B392" s="1683">
        <v>19</v>
      </c>
      <c r="C392" s="1684" t="s">
        <v>7745</v>
      </c>
      <c r="D392" s="1684" t="s">
        <v>7170</v>
      </c>
      <c r="E392" s="1685">
        <v>45869</v>
      </c>
      <c r="F392" s="1683" t="s">
        <v>7741</v>
      </c>
      <c r="G392" s="1684">
        <v>80</v>
      </c>
      <c r="H392" s="1636">
        <v>5</v>
      </c>
      <c r="I392" s="1638">
        <v>60</v>
      </c>
      <c r="J392" s="1686">
        <f t="shared" ref="J392:J396" si="227">K392*G392/I392</f>
        <v>280000</v>
      </c>
      <c r="K392" s="1686">
        <v>210000</v>
      </c>
      <c r="L392" s="1686">
        <f t="shared" si="222"/>
        <v>16800000</v>
      </c>
      <c r="M392" s="1686"/>
      <c r="N392" s="1686"/>
      <c r="O392" s="2705">
        <f t="shared" si="214"/>
        <v>16800000</v>
      </c>
      <c r="P392" s="1686">
        <v>3080000</v>
      </c>
      <c r="Q392" s="1686">
        <f t="shared" si="221"/>
        <v>280000</v>
      </c>
      <c r="R392" s="1686"/>
      <c r="S392" s="1686">
        <f t="shared" si="225"/>
        <v>3360000</v>
      </c>
      <c r="T392" s="1687">
        <f t="shared" si="226"/>
        <v>13440000</v>
      </c>
      <c r="U392" s="1603">
        <v>34</v>
      </c>
      <c r="V392" s="1631"/>
    </row>
    <row r="393" spans="1:22" s="1634" customFormat="1" ht="7" x14ac:dyDescent="0.35">
      <c r="A393" s="1643"/>
      <c r="B393" s="1683">
        <v>20</v>
      </c>
      <c r="C393" s="1684" t="s">
        <v>7746</v>
      </c>
      <c r="D393" s="1684" t="s">
        <v>7170</v>
      </c>
      <c r="E393" s="1685">
        <v>45869</v>
      </c>
      <c r="F393" s="1683" t="s">
        <v>7741</v>
      </c>
      <c r="G393" s="1684">
        <v>80</v>
      </c>
      <c r="H393" s="1636">
        <v>5</v>
      </c>
      <c r="I393" s="1686">
        <v>60</v>
      </c>
      <c r="J393" s="1686">
        <f t="shared" si="227"/>
        <v>50666.666666666664</v>
      </c>
      <c r="K393" s="1686">
        <v>38000</v>
      </c>
      <c r="L393" s="1686">
        <f t="shared" si="222"/>
        <v>3040000</v>
      </c>
      <c r="M393" s="1686"/>
      <c r="N393" s="1686"/>
      <c r="O393" s="2705">
        <f t="shared" si="214"/>
        <v>3040000</v>
      </c>
      <c r="P393" s="1686">
        <v>557333.33333333337</v>
      </c>
      <c r="Q393" s="1686">
        <f t="shared" si="221"/>
        <v>50666.666666666664</v>
      </c>
      <c r="R393" s="1686"/>
      <c r="S393" s="1686">
        <f t="shared" si="225"/>
        <v>608000</v>
      </c>
      <c r="T393" s="1687">
        <f t="shared" si="226"/>
        <v>2432000</v>
      </c>
      <c r="U393" s="1603">
        <v>34</v>
      </c>
      <c r="V393" s="1631"/>
    </row>
    <row r="394" spans="1:22" s="1634" customFormat="1" ht="7" x14ac:dyDescent="0.35">
      <c r="A394" s="1643"/>
      <c r="B394" s="1683">
        <v>21</v>
      </c>
      <c r="C394" s="1684" t="s">
        <v>7747</v>
      </c>
      <c r="D394" s="1684" t="s">
        <v>7170</v>
      </c>
      <c r="E394" s="1685">
        <v>45869</v>
      </c>
      <c r="F394" s="1683" t="s">
        <v>7741</v>
      </c>
      <c r="G394" s="1684">
        <v>80</v>
      </c>
      <c r="H394" s="1636">
        <v>5</v>
      </c>
      <c r="I394" s="1686">
        <v>60</v>
      </c>
      <c r="J394" s="1686">
        <f t="shared" si="227"/>
        <v>66666.666666666672</v>
      </c>
      <c r="K394" s="1686">
        <v>50000</v>
      </c>
      <c r="L394" s="1686">
        <f t="shared" si="222"/>
        <v>4000000</v>
      </c>
      <c r="M394" s="1686"/>
      <c r="N394" s="1686"/>
      <c r="O394" s="2705">
        <f t="shared" si="214"/>
        <v>4000000</v>
      </c>
      <c r="P394" s="1686">
        <v>733333.33333333326</v>
      </c>
      <c r="Q394" s="1686">
        <f t="shared" si="221"/>
        <v>66666.666666666672</v>
      </c>
      <c r="R394" s="1686"/>
      <c r="S394" s="1686">
        <f t="shared" si="225"/>
        <v>799999.99999999988</v>
      </c>
      <c r="T394" s="1687">
        <f t="shared" si="226"/>
        <v>3200000</v>
      </c>
      <c r="U394" s="1603">
        <v>34</v>
      </c>
      <c r="V394" s="1631"/>
    </row>
    <row r="395" spans="1:22" s="1634" customFormat="1" ht="7" x14ac:dyDescent="0.35">
      <c r="A395" s="1643"/>
      <c r="B395" s="1683">
        <v>22</v>
      </c>
      <c r="C395" s="1684" t="s">
        <v>7748</v>
      </c>
      <c r="D395" s="1684" t="s">
        <v>7170</v>
      </c>
      <c r="E395" s="1685">
        <v>45869</v>
      </c>
      <c r="F395" s="1683"/>
      <c r="G395" s="1684">
        <v>35</v>
      </c>
      <c r="H395" s="1684">
        <v>5</v>
      </c>
      <c r="I395" s="1686">
        <v>60</v>
      </c>
      <c r="J395" s="1686">
        <f t="shared" si="227"/>
        <v>1458333.3333333333</v>
      </c>
      <c r="K395" s="1686">
        <v>2500000</v>
      </c>
      <c r="L395" s="1686">
        <f t="shared" si="222"/>
        <v>87500000</v>
      </c>
      <c r="M395" s="1686"/>
      <c r="N395" s="1686"/>
      <c r="O395" s="2705">
        <f t="shared" si="214"/>
        <v>87500000</v>
      </c>
      <c r="P395" s="1686">
        <v>16041666.66666667</v>
      </c>
      <c r="Q395" s="1686">
        <f t="shared" si="221"/>
        <v>1458333.3333333333</v>
      </c>
      <c r="R395" s="1686"/>
      <c r="S395" s="1686">
        <f t="shared" ref="S395:S396" si="228">P395+Q395-R395</f>
        <v>17500000.000000004</v>
      </c>
      <c r="T395" s="1687">
        <f t="shared" ref="T395:T396" si="229">O395-S395</f>
        <v>70000000</v>
      </c>
      <c r="U395" s="1603">
        <v>34</v>
      </c>
      <c r="V395" s="1631"/>
    </row>
    <row r="396" spans="1:22" s="1634" customFormat="1" ht="7" x14ac:dyDescent="0.35">
      <c r="A396" s="1643"/>
      <c r="B396" s="1683">
        <v>23</v>
      </c>
      <c r="C396" s="1684" t="s">
        <v>8141</v>
      </c>
      <c r="D396" s="1684" t="s">
        <v>7583</v>
      </c>
      <c r="E396" s="1685">
        <v>46142</v>
      </c>
      <c r="F396" s="1683" t="s">
        <v>8140</v>
      </c>
      <c r="G396" s="1684">
        <v>12</v>
      </c>
      <c r="H396" s="1684">
        <v>5</v>
      </c>
      <c r="I396" s="1686">
        <v>60</v>
      </c>
      <c r="J396" s="1686">
        <f t="shared" si="227"/>
        <v>200000</v>
      </c>
      <c r="K396" s="1686">
        <v>1000000</v>
      </c>
      <c r="L396" s="1686">
        <f>K396*G396</f>
        <v>12000000</v>
      </c>
      <c r="M396" s="1686"/>
      <c r="N396" s="1686"/>
      <c r="O396" s="2705">
        <f t="shared" si="214"/>
        <v>12000000</v>
      </c>
      <c r="P396" s="1686">
        <v>400000</v>
      </c>
      <c r="Q396" s="1686">
        <f t="shared" si="221"/>
        <v>200000</v>
      </c>
      <c r="R396" s="1686"/>
      <c r="S396" s="1686">
        <f t="shared" si="228"/>
        <v>600000</v>
      </c>
      <c r="T396" s="1687">
        <f t="shared" si="229"/>
        <v>11400000</v>
      </c>
      <c r="U396" s="1603">
        <v>34</v>
      </c>
      <c r="V396" s="1631"/>
    </row>
    <row r="397" spans="1:22" s="1634" customFormat="1" ht="7" x14ac:dyDescent="0.35">
      <c r="A397" s="1643"/>
      <c r="B397" s="1683">
        <v>24</v>
      </c>
      <c r="C397" s="1684"/>
      <c r="D397" s="1684"/>
      <c r="E397" s="1685"/>
      <c r="F397" s="1683"/>
      <c r="G397" s="1684"/>
      <c r="H397" s="1684"/>
      <c r="I397" s="1686"/>
      <c r="J397" s="1686"/>
      <c r="K397" s="1686"/>
      <c r="L397" s="1686"/>
      <c r="M397" s="1686"/>
      <c r="N397" s="1686"/>
      <c r="O397" s="2705"/>
      <c r="P397" s="1686"/>
      <c r="Q397" s="1686"/>
      <c r="R397" s="1686"/>
      <c r="S397" s="1686"/>
      <c r="T397" s="1687"/>
      <c r="U397" s="1603">
        <v>34</v>
      </c>
      <c r="V397" s="1631"/>
    </row>
    <row r="398" spans="1:22" s="1634" customFormat="1" ht="7" x14ac:dyDescent="0.35">
      <c r="A398" s="1643"/>
      <c r="B398" s="1683">
        <v>25</v>
      </c>
      <c r="C398" s="1684"/>
      <c r="D398" s="1684"/>
      <c r="E398" s="1685"/>
      <c r="F398" s="1683"/>
      <c r="G398" s="1684"/>
      <c r="H398" s="1684"/>
      <c r="I398" s="1686"/>
      <c r="J398" s="1686"/>
      <c r="K398" s="1686"/>
      <c r="L398" s="1686"/>
      <c r="M398" s="1686"/>
      <c r="N398" s="1686"/>
      <c r="O398" s="2705"/>
      <c r="P398" s="1686"/>
      <c r="Q398" s="1686"/>
      <c r="R398" s="1686"/>
      <c r="S398" s="1686"/>
      <c r="T398" s="1687"/>
      <c r="U398" s="1603">
        <v>34</v>
      </c>
      <c r="V398" s="1631"/>
    </row>
    <row r="399" spans="1:22" s="1634" customFormat="1" ht="7.5" thickBot="1" x14ac:dyDescent="0.4">
      <c r="A399" s="1632"/>
      <c r="B399" s="1683">
        <v>26</v>
      </c>
      <c r="C399" s="1636"/>
      <c r="D399" s="1636"/>
      <c r="E399" s="1637"/>
      <c r="F399" s="1635"/>
      <c r="G399" s="1636"/>
      <c r="H399" s="1636"/>
      <c r="I399" s="1638"/>
      <c r="J399" s="1638"/>
      <c r="K399" s="1638"/>
      <c r="L399" s="1638">
        <v>0</v>
      </c>
      <c r="M399" s="1638"/>
      <c r="N399" s="1638"/>
      <c r="O399" s="2705">
        <f t="shared" si="214"/>
        <v>0</v>
      </c>
      <c r="P399" s="1638">
        <v>0</v>
      </c>
      <c r="Q399" s="1686">
        <f t="shared" si="221"/>
        <v>0</v>
      </c>
      <c r="R399" s="1638"/>
      <c r="S399" s="1686">
        <f t="shared" si="219"/>
        <v>0</v>
      </c>
      <c r="T399" s="1687">
        <f t="shared" si="220"/>
        <v>0</v>
      </c>
      <c r="U399" s="1603">
        <v>34</v>
      </c>
      <c r="V399" s="1631"/>
    </row>
    <row r="400" spans="1:22" s="1634" customFormat="1" ht="10.5" x14ac:dyDescent="0.35">
      <c r="A400" s="1632"/>
      <c r="B400" s="1648"/>
      <c r="C400" s="1703"/>
      <c r="D400" s="1697"/>
      <c r="E400" s="1698"/>
      <c r="F400" s="1699"/>
      <c r="G400" s="1697"/>
      <c r="H400" s="1697"/>
      <c r="I400" s="1700"/>
      <c r="J400" s="1700">
        <f t="shared" ref="J400:T400" si="230">SUM(J374:J399)</f>
        <v>16343650</v>
      </c>
      <c r="K400" s="1700">
        <f t="shared" si="230"/>
        <v>569636216.84210527</v>
      </c>
      <c r="L400" s="1700">
        <f t="shared" si="230"/>
        <v>842714000</v>
      </c>
      <c r="M400" s="1700">
        <f t="shared" si="230"/>
        <v>0</v>
      </c>
      <c r="N400" s="1700">
        <f t="shared" si="230"/>
        <v>0</v>
      </c>
      <c r="O400" s="1700">
        <f t="shared" si="230"/>
        <v>842714000</v>
      </c>
      <c r="P400" s="1700">
        <f t="shared" si="230"/>
        <v>560948961.33555543</v>
      </c>
      <c r="Q400" s="1700">
        <f t="shared" si="230"/>
        <v>9831774.0000000019</v>
      </c>
      <c r="R400" s="1700">
        <f t="shared" si="230"/>
        <v>0</v>
      </c>
      <c r="S400" s="1700">
        <f t="shared" si="230"/>
        <v>570780735.33555555</v>
      </c>
      <c r="T400" s="1702">
        <f t="shared" si="230"/>
        <v>271933264.66444457</v>
      </c>
      <c r="U400" s="1640"/>
      <c r="V400" s="1631"/>
    </row>
    <row r="401" spans="1:22" s="1634" customFormat="1" ht="7" x14ac:dyDescent="0.35">
      <c r="A401" s="1632"/>
      <c r="B401" s="1725">
        <v>4</v>
      </c>
      <c r="C401" s="1645" t="s">
        <v>1585</v>
      </c>
      <c r="D401" s="1636"/>
      <c r="E401" s="1637"/>
      <c r="F401" s="1635"/>
      <c r="G401" s="1636"/>
      <c r="H401" s="1636"/>
      <c r="I401" s="1638"/>
      <c r="J401" s="1638"/>
      <c r="K401" s="1638"/>
      <c r="L401" s="1638"/>
      <c r="M401" s="1638"/>
      <c r="N401" s="1638"/>
      <c r="O401" s="1638"/>
      <c r="P401" s="1638"/>
      <c r="Q401" s="1638"/>
      <c r="R401" s="1638"/>
      <c r="S401" s="1638"/>
      <c r="T401" s="1639"/>
      <c r="U401" s="1640"/>
      <c r="V401" s="1631"/>
    </row>
    <row r="402" spans="1:22" s="1718" customFormat="1" ht="7" x14ac:dyDescent="0.35">
      <c r="A402" s="1716"/>
      <c r="B402" s="1683">
        <v>1</v>
      </c>
      <c r="C402" s="1684" t="s">
        <v>7079</v>
      </c>
      <c r="D402" s="1684"/>
      <c r="E402" s="1685"/>
      <c r="F402" s="1683"/>
      <c r="G402" s="1684" t="s">
        <v>6952</v>
      </c>
      <c r="H402" s="1684">
        <v>4</v>
      </c>
      <c r="I402" s="1686">
        <v>48</v>
      </c>
      <c r="J402" s="1686">
        <v>34375</v>
      </c>
      <c r="K402" s="1686">
        <v>1650000</v>
      </c>
      <c r="L402" s="1686">
        <v>1650000</v>
      </c>
      <c r="M402" s="1686"/>
      <c r="N402" s="1686"/>
      <c r="O402" s="2705">
        <f t="shared" ref="O402:O431" si="231">L402+M402-N402</f>
        <v>1650000</v>
      </c>
      <c r="P402" s="1686">
        <v>1649999</v>
      </c>
      <c r="Q402" s="1686">
        <v>0</v>
      </c>
      <c r="R402" s="1686"/>
      <c r="S402" s="1686">
        <f t="shared" ref="S402:S417" si="232">P402+Q402-R402</f>
        <v>1649999</v>
      </c>
      <c r="T402" s="1687">
        <f t="shared" ref="T402:T417" si="233">O402-S402</f>
        <v>1</v>
      </c>
      <c r="U402" s="1603">
        <v>35</v>
      </c>
    </row>
    <row r="403" spans="1:22" s="1718" customFormat="1" ht="7" x14ac:dyDescent="0.35">
      <c r="A403" s="1716"/>
      <c r="B403" s="1683">
        <v>2</v>
      </c>
      <c r="C403" s="1684" t="s">
        <v>7080</v>
      </c>
      <c r="D403" s="1684"/>
      <c r="E403" s="1685">
        <v>44409</v>
      </c>
      <c r="F403" s="1683"/>
      <c r="G403" s="1684" t="s">
        <v>6952</v>
      </c>
      <c r="H403" s="1684">
        <v>4</v>
      </c>
      <c r="I403" s="1686">
        <v>48</v>
      </c>
      <c r="J403" s="1686">
        <v>102083.33333333333</v>
      </c>
      <c r="K403" s="1686">
        <v>4900000</v>
      </c>
      <c r="L403" s="1686">
        <v>4900000</v>
      </c>
      <c r="M403" s="1686"/>
      <c r="N403" s="1686"/>
      <c r="O403" s="2705">
        <f t="shared" si="231"/>
        <v>4900000</v>
      </c>
      <c r="P403" s="1686">
        <v>4899999.0000000028</v>
      </c>
      <c r="Q403" s="1686">
        <v>0</v>
      </c>
      <c r="R403" s="1686"/>
      <c r="S403" s="1686">
        <f t="shared" si="232"/>
        <v>4899999.0000000028</v>
      </c>
      <c r="T403" s="1687">
        <f t="shared" si="233"/>
        <v>0.99999999720603228</v>
      </c>
      <c r="U403" s="1603">
        <v>35</v>
      </c>
    </row>
    <row r="404" spans="1:22" s="1718" customFormat="1" ht="7" x14ac:dyDescent="0.35">
      <c r="A404" s="1716"/>
      <c r="B404" s="1683">
        <v>3</v>
      </c>
      <c r="C404" s="1684" t="s">
        <v>7081</v>
      </c>
      <c r="D404" s="1684"/>
      <c r="E404" s="1685">
        <v>44440</v>
      </c>
      <c r="F404" s="1683"/>
      <c r="G404" s="1684" t="s">
        <v>6970</v>
      </c>
      <c r="H404" s="1684">
        <v>4</v>
      </c>
      <c r="I404" s="1686">
        <v>48</v>
      </c>
      <c r="J404" s="1686">
        <v>187500</v>
      </c>
      <c r="K404" s="1686">
        <v>9000000</v>
      </c>
      <c r="L404" s="1686">
        <v>9000000</v>
      </c>
      <c r="M404" s="1686"/>
      <c r="N404" s="1686"/>
      <c r="O404" s="2705">
        <f t="shared" si="231"/>
        <v>9000000</v>
      </c>
      <c r="P404" s="1686">
        <v>8999999</v>
      </c>
      <c r="Q404" s="1686">
        <v>0</v>
      </c>
      <c r="R404" s="1686"/>
      <c r="S404" s="1686">
        <f t="shared" si="232"/>
        <v>8999999</v>
      </c>
      <c r="T404" s="1687">
        <f t="shared" si="233"/>
        <v>1</v>
      </c>
      <c r="U404" s="1603">
        <v>35</v>
      </c>
    </row>
    <row r="405" spans="1:22" s="1718" customFormat="1" ht="7" x14ac:dyDescent="0.35">
      <c r="A405" s="1716"/>
      <c r="B405" s="1683">
        <v>4</v>
      </c>
      <c r="C405" s="1684" t="s">
        <v>7082</v>
      </c>
      <c r="D405" s="1684"/>
      <c r="E405" s="1685">
        <v>44440</v>
      </c>
      <c r="F405" s="1683"/>
      <c r="G405" s="1684" t="s">
        <v>6974</v>
      </c>
      <c r="H405" s="1684">
        <v>4</v>
      </c>
      <c r="I405" s="1686">
        <v>48</v>
      </c>
      <c r="J405" s="1686">
        <v>111250</v>
      </c>
      <c r="K405" s="1686">
        <v>5340000</v>
      </c>
      <c r="L405" s="1686">
        <v>5340000</v>
      </c>
      <c r="M405" s="1686"/>
      <c r="N405" s="1686"/>
      <c r="O405" s="2705">
        <f t="shared" si="231"/>
        <v>5340000</v>
      </c>
      <c r="P405" s="1686">
        <v>5339999</v>
      </c>
      <c r="Q405" s="1686">
        <v>0</v>
      </c>
      <c r="R405" s="1686"/>
      <c r="S405" s="1686">
        <f t="shared" si="232"/>
        <v>5339999</v>
      </c>
      <c r="T405" s="1687">
        <f t="shared" si="233"/>
        <v>1</v>
      </c>
      <c r="U405" s="1603">
        <v>35</v>
      </c>
    </row>
    <row r="406" spans="1:22" s="1718" customFormat="1" ht="7" x14ac:dyDescent="0.35">
      <c r="A406" s="1716"/>
      <c r="B406" s="1683">
        <v>5</v>
      </c>
      <c r="C406" s="1684" t="s">
        <v>7083</v>
      </c>
      <c r="D406" s="1684"/>
      <c r="E406" s="1685">
        <v>44470</v>
      </c>
      <c r="F406" s="1683"/>
      <c r="G406" s="1684" t="s">
        <v>6974</v>
      </c>
      <c r="H406" s="1684">
        <v>4</v>
      </c>
      <c r="I406" s="1686">
        <v>48</v>
      </c>
      <c r="J406" s="1686">
        <v>100000</v>
      </c>
      <c r="K406" s="1686">
        <v>4800000</v>
      </c>
      <c r="L406" s="1686">
        <v>4800000</v>
      </c>
      <c r="M406" s="1686"/>
      <c r="N406" s="1686"/>
      <c r="O406" s="2705">
        <f t="shared" si="231"/>
        <v>4800000</v>
      </c>
      <c r="P406" s="1686">
        <v>4799999</v>
      </c>
      <c r="Q406" s="1686">
        <v>0</v>
      </c>
      <c r="R406" s="1686"/>
      <c r="S406" s="1686">
        <f t="shared" si="232"/>
        <v>4799999</v>
      </c>
      <c r="T406" s="1687">
        <f t="shared" si="233"/>
        <v>1</v>
      </c>
      <c r="U406" s="1603">
        <v>35</v>
      </c>
    </row>
    <row r="407" spans="1:22" s="1718" customFormat="1" ht="7" x14ac:dyDescent="0.35">
      <c r="A407" s="1716"/>
      <c r="B407" s="1683">
        <v>6</v>
      </c>
      <c r="C407" s="1684" t="s">
        <v>7084</v>
      </c>
      <c r="D407" s="1684"/>
      <c r="E407" s="1685">
        <v>44652</v>
      </c>
      <c r="F407" s="1683"/>
      <c r="G407" s="1684"/>
      <c r="H407" s="1684">
        <v>4</v>
      </c>
      <c r="I407" s="1686">
        <v>48</v>
      </c>
      <c r="J407" s="1686">
        <v>416666.66666666669</v>
      </c>
      <c r="K407" s="1686">
        <v>20000000</v>
      </c>
      <c r="L407" s="1686">
        <v>20000000</v>
      </c>
      <c r="M407" s="1686"/>
      <c r="N407" s="1686"/>
      <c r="O407" s="2705">
        <f t="shared" si="231"/>
        <v>20000000</v>
      </c>
      <c r="P407" s="1686">
        <v>19999998.999999996</v>
      </c>
      <c r="Q407" s="1686">
        <v>0</v>
      </c>
      <c r="R407" s="1686"/>
      <c r="S407" s="1686">
        <f t="shared" si="232"/>
        <v>19999998.999999996</v>
      </c>
      <c r="T407" s="1687">
        <f t="shared" si="233"/>
        <v>1.0000000037252903</v>
      </c>
      <c r="U407" s="1603">
        <v>35</v>
      </c>
    </row>
    <row r="408" spans="1:22" s="1718" customFormat="1" ht="7" x14ac:dyDescent="0.35">
      <c r="A408" s="1716"/>
      <c r="B408" s="1683">
        <v>7</v>
      </c>
      <c r="C408" s="1684" t="s">
        <v>7087</v>
      </c>
      <c r="D408" s="1684"/>
      <c r="E408" s="1685">
        <v>44805</v>
      </c>
      <c r="F408" s="1683"/>
      <c r="G408" s="1684" t="s">
        <v>6952</v>
      </c>
      <c r="H408" s="1684">
        <v>4</v>
      </c>
      <c r="I408" s="1686">
        <v>48</v>
      </c>
      <c r="J408" s="1686">
        <v>67708.333333333328</v>
      </c>
      <c r="K408" s="1686">
        <v>3250000</v>
      </c>
      <c r="L408" s="1686">
        <v>3250000</v>
      </c>
      <c r="M408" s="1686"/>
      <c r="N408" s="1686"/>
      <c r="O408" s="2705">
        <f t="shared" si="231"/>
        <v>3250000</v>
      </c>
      <c r="P408" s="1686">
        <v>3046870.6666666679</v>
      </c>
      <c r="Q408" s="1686">
        <v>67708.333333333328</v>
      </c>
      <c r="R408" s="1686"/>
      <c r="S408" s="1686">
        <f t="shared" si="232"/>
        <v>3114579.0000000014</v>
      </c>
      <c r="T408" s="1687">
        <f t="shared" si="233"/>
        <v>135420.9999999986</v>
      </c>
      <c r="U408" s="1603">
        <v>35</v>
      </c>
    </row>
    <row r="409" spans="1:22" s="1718" customFormat="1" ht="7" x14ac:dyDescent="0.35">
      <c r="A409" s="1716"/>
      <c r="B409" s="1683">
        <v>8</v>
      </c>
      <c r="C409" s="1684" t="s">
        <v>7083</v>
      </c>
      <c r="D409" s="1684"/>
      <c r="E409" s="1685">
        <v>44805</v>
      </c>
      <c r="F409" s="1683"/>
      <c r="G409" s="1684"/>
      <c r="H409" s="1684">
        <v>4</v>
      </c>
      <c r="I409" s="1686">
        <v>48</v>
      </c>
      <c r="J409" s="1686">
        <v>27083.333333333332</v>
      </c>
      <c r="K409" s="1686">
        <v>1300000</v>
      </c>
      <c r="L409" s="1686">
        <v>1300000</v>
      </c>
      <c r="M409" s="1686"/>
      <c r="N409" s="1686"/>
      <c r="O409" s="2705">
        <f t="shared" si="231"/>
        <v>1300000</v>
      </c>
      <c r="P409" s="1686">
        <v>1218745.666666667</v>
      </c>
      <c r="Q409" s="1686">
        <v>27083.333333333332</v>
      </c>
      <c r="R409" s="1686"/>
      <c r="S409" s="1686">
        <f t="shared" si="232"/>
        <v>1245829.0000000002</v>
      </c>
      <c r="T409" s="1687">
        <f t="shared" si="233"/>
        <v>54170.999999999767</v>
      </c>
      <c r="U409" s="1603">
        <v>35</v>
      </c>
    </row>
    <row r="410" spans="1:22" s="1718" customFormat="1" ht="7" x14ac:dyDescent="0.35">
      <c r="A410" s="1716"/>
      <c r="B410" s="1683">
        <v>9</v>
      </c>
      <c r="C410" s="1684" t="s">
        <v>7084</v>
      </c>
      <c r="D410" s="1684"/>
      <c r="E410" s="1685">
        <v>45078</v>
      </c>
      <c r="F410" s="1683"/>
      <c r="G410" s="1684" t="s">
        <v>7075</v>
      </c>
      <c r="H410" s="1684">
        <v>4</v>
      </c>
      <c r="I410" s="1686">
        <v>48</v>
      </c>
      <c r="J410" s="1686">
        <v>1250000</v>
      </c>
      <c r="K410" s="1686">
        <v>60000000</v>
      </c>
      <c r="L410" s="1686">
        <v>60000000</v>
      </c>
      <c r="M410" s="1686"/>
      <c r="N410" s="1686"/>
      <c r="O410" s="2705">
        <f t="shared" si="231"/>
        <v>60000000</v>
      </c>
      <c r="P410" s="1686">
        <v>45000000</v>
      </c>
      <c r="Q410" s="1686">
        <v>1250000</v>
      </c>
      <c r="R410" s="1686"/>
      <c r="S410" s="1686">
        <f t="shared" si="232"/>
        <v>46250000</v>
      </c>
      <c r="T410" s="1687">
        <f t="shared" si="233"/>
        <v>13750000</v>
      </c>
      <c r="U410" s="1603">
        <v>35</v>
      </c>
    </row>
    <row r="411" spans="1:22" s="1718" customFormat="1" ht="7" x14ac:dyDescent="0.35">
      <c r="A411" s="1716"/>
      <c r="B411" s="1683">
        <v>10</v>
      </c>
      <c r="C411" s="1684" t="s">
        <v>7088</v>
      </c>
      <c r="D411" s="1684"/>
      <c r="E411" s="1685">
        <v>45108</v>
      </c>
      <c r="F411" s="1683"/>
      <c r="G411" s="1684" t="s">
        <v>7089</v>
      </c>
      <c r="H411" s="1684">
        <v>4</v>
      </c>
      <c r="I411" s="1686">
        <v>48</v>
      </c>
      <c r="J411" s="1686">
        <v>802083.33333333337</v>
      </c>
      <c r="K411" s="1686">
        <v>38500000</v>
      </c>
      <c r="L411" s="1686">
        <v>38500000</v>
      </c>
      <c r="M411" s="1686"/>
      <c r="N411" s="1686"/>
      <c r="O411" s="2705">
        <f t="shared" si="231"/>
        <v>38500000</v>
      </c>
      <c r="P411" s="1686">
        <v>28072916.666666649</v>
      </c>
      <c r="Q411" s="1686">
        <v>802083.33333333337</v>
      </c>
      <c r="R411" s="1686"/>
      <c r="S411" s="1686">
        <f t="shared" si="232"/>
        <v>28874999.999999981</v>
      </c>
      <c r="T411" s="1687">
        <f t="shared" si="233"/>
        <v>9625000.0000000186</v>
      </c>
      <c r="U411" s="1603">
        <v>35</v>
      </c>
    </row>
    <row r="412" spans="1:22" s="1718" customFormat="1" ht="7" x14ac:dyDescent="0.35">
      <c r="A412" s="1716"/>
      <c r="B412" s="1683">
        <v>11</v>
      </c>
      <c r="C412" s="1684" t="s">
        <v>7095</v>
      </c>
      <c r="D412" s="1684"/>
      <c r="E412" s="1685">
        <v>44713</v>
      </c>
      <c r="F412" s="1683"/>
      <c r="G412" s="1684"/>
      <c r="H412" s="1684">
        <v>2</v>
      </c>
      <c r="I412" s="1686">
        <v>24</v>
      </c>
      <c r="J412" s="1686">
        <v>85416.666666666672</v>
      </c>
      <c r="K412" s="1686">
        <v>2050000</v>
      </c>
      <c r="L412" s="1686">
        <v>2050000</v>
      </c>
      <c r="M412" s="1686"/>
      <c r="N412" s="1686"/>
      <c r="O412" s="2705">
        <f t="shared" si="231"/>
        <v>2050000</v>
      </c>
      <c r="P412" s="1686">
        <v>2049999.0000000005</v>
      </c>
      <c r="Q412" s="1638">
        <v>0</v>
      </c>
      <c r="R412" s="1686"/>
      <c r="S412" s="1686">
        <f t="shared" si="232"/>
        <v>2049999.0000000005</v>
      </c>
      <c r="T412" s="1687">
        <f t="shared" si="233"/>
        <v>0.99999999953433871</v>
      </c>
      <c r="U412" s="1603">
        <v>35</v>
      </c>
    </row>
    <row r="413" spans="1:22" s="1718" customFormat="1" ht="7" x14ac:dyDescent="0.35">
      <c r="A413" s="1716"/>
      <c r="B413" s="1683">
        <v>12</v>
      </c>
      <c r="C413" s="1684" t="s">
        <v>7096</v>
      </c>
      <c r="D413" s="1684"/>
      <c r="E413" s="1685">
        <v>44986</v>
      </c>
      <c r="F413" s="1683"/>
      <c r="G413" s="1684" t="s">
        <v>7055</v>
      </c>
      <c r="H413" s="1684">
        <v>4</v>
      </c>
      <c r="I413" s="1686">
        <f t="shared" ref="I413" si="234">12*H413</f>
        <v>48</v>
      </c>
      <c r="J413" s="1686">
        <f t="shared" ref="J413" si="235">K413/I413</f>
        <v>42708.333333333336</v>
      </c>
      <c r="K413" s="1686">
        <v>2050000</v>
      </c>
      <c r="L413" s="1686">
        <v>2050000</v>
      </c>
      <c r="M413" s="1686"/>
      <c r="N413" s="1686"/>
      <c r="O413" s="2705">
        <f t="shared" si="231"/>
        <v>2050000</v>
      </c>
      <c r="P413" s="1686">
        <v>1665624.9999999958</v>
      </c>
      <c r="Q413" s="1686">
        <f t="shared" ref="Q413" si="236">J413</f>
        <v>42708.333333333336</v>
      </c>
      <c r="R413" s="1686"/>
      <c r="S413" s="1686">
        <f t="shared" si="232"/>
        <v>1708333.3333333291</v>
      </c>
      <c r="T413" s="1687">
        <f t="shared" si="233"/>
        <v>341666.66666667094</v>
      </c>
      <c r="U413" s="1603">
        <v>35</v>
      </c>
    </row>
    <row r="414" spans="1:22" s="1718" customFormat="1" ht="7" x14ac:dyDescent="0.35">
      <c r="A414" s="1716"/>
      <c r="B414" s="1683">
        <v>13</v>
      </c>
      <c r="C414" s="1684" t="s">
        <v>7100</v>
      </c>
      <c r="D414" s="1684"/>
      <c r="E414" s="1685">
        <v>44986</v>
      </c>
      <c r="F414" s="1683"/>
      <c r="G414" s="1684" t="s">
        <v>7055</v>
      </c>
      <c r="H414" s="1684">
        <v>4</v>
      </c>
      <c r="I414" s="1686">
        <v>48</v>
      </c>
      <c r="J414" s="1686">
        <v>11979.166666666666</v>
      </c>
      <c r="K414" s="1686">
        <v>575000</v>
      </c>
      <c r="L414" s="1686">
        <v>575000</v>
      </c>
      <c r="M414" s="1686"/>
      <c r="N414" s="1686"/>
      <c r="O414" s="2705">
        <f t="shared" si="231"/>
        <v>575000</v>
      </c>
      <c r="P414" s="1686">
        <v>467187.50000000064</v>
      </c>
      <c r="Q414" s="1686">
        <v>11979.166666666666</v>
      </c>
      <c r="R414" s="1686"/>
      <c r="S414" s="1686">
        <f t="shared" si="232"/>
        <v>479166.66666666733</v>
      </c>
      <c r="T414" s="1687">
        <f t="shared" si="233"/>
        <v>95833.333333332674</v>
      </c>
      <c r="U414" s="1603">
        <v>35</v>
      </c>
    </row>
    <row r="415" spans="1:22" s="1718" customFormat="1" ht="7" x14ac:dyDescent="0.35">
      <c r="A415" s="1716"/>
      <c r="B415" s="1683">
        <v>14</v>
      </c>
      <c r="C415" s="1684" t="s">
        <v>7095</v>
      </c>
      <c r="D415" s="1684"/>
      <c r="E415" s="1685">
        <v>45078</v>
      </c>
      <c r="F415" s="1683"/>
      <c r="G415" s="1684" t="s">
        <v>7092</v>
      </c>
      <c r="H415" s="1684">
        <v>4</v>
      </c>
      <c r="I415" s="1686">
        <v>48</v>
      </c>
      <c r="J415" s="1686">
        <v>83333.333333333328</v>
      </c>
      <c r="K415" s="1686">
        <v>4000000</v>
      </c>
      <c r="L415" s="1686">
        <v>4000000</v>
      </c>
      <c r="M415" s="1686"/>
      <c r="N415" s="1686"/>
      <c r="O415" s="2705">
        <f t="shared" si="231"/>
        <v>4000000</v>
      </c>
      <c r="P415" s="1686">
        <v>2999999.9999999981</v>
      </c>
      <c r="Q415" s="1686">
        <v>83333.333333333328</v>
      </c>
      <c r="R415" s="1686"/>
      <c r="S415" s="1686">
        <f t="shared" si="232"/>
        <v>3083333.3333333316</v>
      </c>
      <c r="T415" s="1687">
        <f t="shared" si="233"/>
        <v>916666.66666666837</v>
      </c>
      <c r="U415" s="1603">
        <v>35</v>
      </c>
    </row>
    <row r="416" spans="1:22" s="1718" customFormat="1" ht="7" x14ac:dyDescent="0.35">
      <c r="A416" s="1716"/>
      <c r="B416" s="1683">
        <v>15</v>
      </c>
      <c r="C416" s="1684" t="s">
        <v>7101</v>
      </c>
      <c r="D416" s="1684"/>
      <c r="E416" s="1685">
        <v>45383</v>
      </c>
      <c r="F416" s="1683"/>
      <c r="G416" s="1684">
        <v>1</v>
      </c>
      <c r="H416" s="1684">
        <v>5</v>
      </c>
      <c r="I416" s="1686">
        <v>60</v>
      </c>
      <c r="J416" s="1686">
        <f>K416*G416/I416</f>
        <v>128333.33333333333</v>
      </c>
      <c r="K416" s="1686">
        <v>7700000</v>
      </c>
      <c r="L416" s="1686">
        <v>7700000</v>
      </c>
      <c r="M416" s="1686"/>
      <c r="N416" s="1686"/>
      <c r="O416" s="2705">
        <f t="shared" si="231"/>
        <v>7700000</v>
      </c>
      <c r="P416" s="1686">
        <v>3080000.0000000005</v>
      </c>
      <c r="Q416" s="1686">
        <f>J416</f>
        <v>128333.33333333333</v>
      </c>
      <c r="R416" s="1686"/>
      <c r="S416" s="1686">
        <f t="shared" ref="S416" si="237">P416+Q416-R416</f>
        <v>3208333.333333334</v>
      </c>
      <c r="T416" s="1687">
        <f t="shared" ref="T416" si="238">O416-S416</f>
        <v>4491666.666666666</v>
      </c>
      <c r="U416" s="1603">
        <v>35</v>
      </c>
    </row>
    <row r="417" spans="1:21" s="1718" customFormat="1" ht="7" x14ac:dyDescent="0.35">
      <c r="A417" s="1716"/>
      <c r="B417" s="1683">
        <v>16</v>
      </c>
      <c r="C417" s="1684" t="s">
        <v>7101</v>
      </c>
      <c r="D417" s="1684" t="s">
        <v>7321</v>
      </c>
      <c r="E417" s="1685">
        <v>45473</v>
      </c>
      <c r="F417" s="1683"/>
      <c r="G417" s="1684">
        <v>3</v>
      </c>
      <c r="H417" s="1684">
        <v>5</v>
      </c>
      <c r="I417" s="1686">
        <v>60</v>
      </c>
      <c r="J417" s="1686">
        <f>K417*G417/I417</f>
        <v>170833.33333333334</v>
      </c>
      <c r="K417" s="1686">
        <f>10250000/3</f>
        <v>3416666.6666666665</v>
      </c>
      <c r="L417" s="1686">
        <v>10250000</v>
      </c>
      <c r="M417" s="1686"/>
      <c r="N417" s="1686"/>
      <c r="O417" s="2705">
        <f t="shared" si="231"/>
        <v>10250000</v>
      </c>
      <c r="P417" s="1686">
        <v>4100000.0000000014</v>
      </c>
      <c r="Q417" s="1686">
        <f>J417</f>
        <v>170833.33333333334</v>
      </c>
      <c r="R417" s="1686"/>
      <c r="S417" s="1686">
        <f t="shared" si="232"/>
        <v>4270833.3333333349</v>
      </c>
      <c r="T417" s="1687">
        <f t="shared" si="233"/>
        <v>5979166.6666666651</v>
      </c>
      <c r="U417" s="1603">
        <v>35</v>
      </c>
    </row>
    <row r="418" spans="1:21" s="1718" customFormat="1" ht="7" x14ac:dyDescent="0.35">
      <c r="A418" s="1716"/>
      <c r="B418" s="1683">
        <v>17</v>
      </c>
      <c r="C418" s="1684" t="s">
        <v>7322</v>
      </c>
      <c r="D418" s="1684" t="s">
        <v>7323</v>
      </c>
      <c r="E418" s="1685">
        <v>45473</v>
      </c>
      <c r="F418" s="1683"/>
      <c r="G418" s="1684">
        <v>1</v>
      </c>
      <c r="H418" s="1684">
        <v>5</v>
      </c>
      <c r="I418" s="1686">
        <v>60</v>
      </c>
      <c r="J418" s="1686">
        <f>K418*G418/I418</f>
        <v>45208.333333333336</v>
      </c>
      <c r="K418" s="1686">
        <v>2712500</v>
      </c>
      <c r="L418" s="1686">
        <v>2712500</v>
      </c>
      <c r="M418" s="1686"/>
      <c r="N418" s="1686"/>
      <c r="O418" s="2705">
        <f t="shared" si="231"/>
        <v>2712500</v>
      </c>
      <c r="P418" s="1686">
        <v>1085000.0000000002</v>
      </c>
      <c r="Q418" s="1686">
        <f>J418</f>
        <v>45208.333333333336</v>
      </c>
      <c r="R418" s="1686"/>
      <c r="S418" s="1686">
        <f t="shared" ref="S418" si="239">P418+Q418-R418</f>
        <v>1130208.3333333335</v>
      </c>
      <c r="T418" s="1687">
        <f t="shared" ref="T418" si="240">O418-S418</f>
        <v>1582291.6666666665</v>
      </c>
      <c r="U418" s="1603">
        <v>35</v>
      </c>
    </row>
    <row r="419" spans="1:21" s="1718" customFormat="1" ht="7" x14ac:dyDescent="0.35">
      <c r="A419" s="1716"/>
      <c r="B419" s="1683">
        <v>18</v>
      </c>
      <c r="C419" s="1684" t="s">
        <v>7574</v>
      </c>
      <c r="D419" s="1684" t="s">
        <v>7575</v>
      </c>
      <c r="E419" s="1685">
        <v>45595</v>
      </c>
      <c r="F419" s="1683" t="s">
        <v>7567</v>
      </c>
      <c r="G419" s="1684">
        <v>1</v>
      </c>
      <c r="H419" s="1684">
        <v>5</v>
      </c>
      <c r="I419" s="1686">
        <v>60</v>
      </c>
      <c r="J419" s="1686">
        <f t="shared" ref="J419:J425" si="241">K419*G419/I419</f>
        <v>21666.666666666668</v>
      </c>
      <c r="K419" s="1686">
        <v>1300000</v>
      </c>
      <c r="L419" s="1686">
        <v>1300000</v>
      </c>
      <c r="M419" s="1686"/>
      <c r="N419" s="1686"/>
      <c r="O419" s="2705">
        <f t="shared" si="231"/>
        <v>1300000</v>
      </c>
      <c r="P419" s="1686">
        <v>433333.33333333343</v>
      </c>
      <c r="Q419" s="1686">
        <f t="shared" ref="Q419:Q431" si="242">J419</f>
        <v>21666.666666666668</v>
      </c>
      <c r="R419" s="1686"/>
      <c r="S419" s="1686">
        <f>P419+Q419-R419</f>
        <v>455000.00000000012</v>
      </c>
      <c r="T419" s="1687">
        <f>O419-S419</f>
        <v>844999.99999999988</v>
      </c>
      <c r="U419" s="1603">
        <v>35</v>
      </c>
    </row>
    <row r="420" spans="1:21" s="1718" customFormat="1" ht="7" x14ac:dyDescent="0.35">
      <c r="A420" s="1716"/>
      <c r="B420" s="1683">
        <v>19</v>
      </c>
      <c r="C420" s="1684" t="s">
        <v>3115</v>
      </c>
      <c r="D420" s="1684" t="s">
        <v>7576</v>
      </c>
      <c r="E420" s="1685">
        <v>45595</v>
      </c>
      <c r="F420" s="1683" t="s">
        <v>7577</v>
      </c>
      <c r="G420" s="1684">
        <v>16</v>
      </c>
      <c r="H420" s="1684">
        <v>5</v>
      </c>
      <c r="I420" s="1686">
        <v>60</v>
      </c>
      <c r="J420" s="1686">
        <f t="shared" si="241"/>
        <v>271666.66666666669</v>
      </c>
      <c r="K420" s="1686">
        <v>1018750</v>
      </c>
      <c r="L420" s="1686">
        <v>16300000</v>
      </c>
      <c r="M420" s="1686"/>
      <c r="N420" s="1686"/>
      <c r="O420" s="2705">
        <f t="shared" si="231"/>
        <v>16300000</v>
      </c>
      <c r="P420" s="1686">
        <v>5433333.333333334</v>
      </c>
      <c r="Q420" s="1686">
        <f t="shared" si="242"/>
        <v>271666.66666666669</v>
      </c>
      <c r="R420" s="1686"/>
      <c r="S420" s="1686">
        <f t="shared" ref="S420:S422" si="243">P420+Q420-R420</f>
        <v>5705000.0000000009</v>
      </c>
      <c r="T420" s="1687">
        <f t="shared" ref="T420:T422" si="244">O420-S420</f>
        <v>10595000</v>
      </c>
      <c r="U420" s="1603">
        <v>35</v>
      </c>
    </row>
    <row r="421" spans="1:21" s="1718" customFormat="1" ht="7" x14ac:dyDescent="0.35">
      <c r="A421" s="1716"/>
      <c r="B421" s="1683">
        <v>20</v>
      </c>
      <c r="C421" s="1684" t="s">
        <v>7578</v>
      </c>
      <c r="D421" s="1684" t="s">
        <v>7579</v>
      </c>
      <c r="E421" s="1685">
        <v>45595</v>
      </c>
      <c r="F421" s="1683" t="s">
        <v>7580</v>
      </c>
      <c r="G421" s="1684">
        <v>2</v>
      </c>
      <c r="H421" s="1684">
        <v>5</v>
      </c>
      <c r="I421" s="1686">
        <v>60</v>
      </c>
      <c r="J421" s="1686">
        <f t="shared" si="241"/>
        <v>266666.66666666669</v>
      </c>
      <c r="K421" s="1686">
        <v>8000000</v>
      </c>
      <c r="L421" s="1686">
        <v>16000000</v>
      </c>
      <c r="M421" s="1686"/>
      <c r="N421" s="1686"/>
      <c r="O421" s="2705">
        <f t="shared" si="231"/>
        <v>16000000</v>
      </c>
      <c r="P421" s="1686">
        <v>5333333.333333334</v>
      </c>
      <c r="Q421" s="1686">
        <f t="shared" si="242"/>
        <v>266666.66666666669</v>
      </c>
      <c r="R421" s="1686"/>
      <c r="S421" s="1686">
        <f>P421+Q421-R421</f>
        <v>5600000.0000000009</v>
      </c>
      <c r="T421" s="1687">
        <f t="shared" si="244"/>
        <v>10400000</v>
      </c>
      <c r="U421" s="1603">
        <v>35</v>
      </c>
    </row>
    <row r="422" spans="1:21" s="1718" customFormat="1" ht="7" x14ac:dyDescent="0.35">
      <c r="A422" s="1716"/>
      <c r="B422" s="1683">
        <v>21</v>
      </c>
      <c r="C422" s="1684" t="s">
        <v>7604</v>
      </c>
      <c r="D422" s="1684" t="s">
        <v>7605</v>
      </c>
      <c r="E422" s="1685">
        <v>45600</v>
      </c>
      <c r="F422" s="1683" t="s">
        <v>7606</v>
      </c>
      <c r="G422" s="1684">
        <v>4</v>
      </c>
      <c r="H422" s="1684">
        <v>5</v>
      </c>
      <c r="I422" s="1686">
        <v>60</v>
      </c>
      <c r="J422" s="1686">
        <f t="shared" si="241"/>
        <v>10833.333333333334</v>
      </c>
      <c r="K422" s="1686">
        <v>162500</v>
      </c>
      <c r="L422" s="1686">
        <f t="shared" ref="L422:L427" si="245">K422*G422</f>
        <v>650000</v>
      </c>
      <c r="M422" s="1686"/>
      <c r="N422" s="1686"/>
      <c r="O422" s="2705">
        <f t="shared" si="231"/>
        <v>650000</v>
      </c>
      <c r="P422" s="1686">
        <v>205833.33333333337</v>
      </c>
      <c r="Q422" s="1686">
        <f t="shared" si="242"/>
        <v>10833.333333333334</v>
      </c>
      <c r="R422" s="1686"/>
      <c r="S422" s="1686">
        <f t="shared" si="243"/>
        <v>216666.66666666672</v>
      </c>
      <c r="T422" s="1687">
        <f t="shared" si="244"/>
        <v>433333.33333333326</v>
      </c>
      <c r="U422" s="1603">
        <v>35</v>
      </c>
    </row>
    <row r="423" spans="1:21" s="1718" customFormat="1" ht="7" x14ac:dyDescent="0.35">
      <c r="A423" s="1716"/>
      <c r="B423" s="1683">
        <v>22</v>
      </c>
      <c r="C423" s="1684" t="s">
        <v>7662</v>
      </c>
      <c r="D423" s="1684" t="s">
        <v>7317</v>
      </c>
      <c r="E423" s="1685">
        <v>45716</v>
      </c>
      <c r="F423" s="1683" t="s">
        <v>7660</v>
      </c>
      <c r="G423" s="1684">
        <v>1</v>
      </c>
      <c r="H423" s="1684">
        <v>5</v>
      </c>
      <c r="I423" s="1686">
        <v>60</v>
      </c>
      <c r="J423" s="1686">
        <f t="shared" si="241"/>
        <v>15151.666666666666</v>
      </c>
      <c r="K423" s="1686">
        <v>909100</v>
      </c>
      <c r="L423" s="1686">
        <f t="shared" si="245"/>
        <v>909100</v>
      </c>
      <c r="M423" s="1686"/>
      <c r="N423" s="1686"/>
      <c r="O423" s="2705">
        <f t="shared" si="231"/>
        <v>909100</v>
      </c>
      <c r="P423" s="1686">
        <v>242426.6666666666</v>
      </c>
      <c r="Q423" s="1686">
        <f t="shared" si="242"/>
        <v>15151.666666666666</v>
      </c>
      <c r="R423" s="1686"/>
      <c r="S423" s="1686">
        <f t="shared" ref="S423:S425" si="246">P423+Q423-R423</f>
        <v>257578.33333333326</v>
      </c>
      <c r="T423" s="1687">
        <f t="shared" ref="T423:T425" si="247">O423-S423</f>
        <v>651521.66666666674</v>
      </c>
      <c r="U423" s="1603">
        <v>35</v>
      </c>
    </row>
    <row r="424" spans="1:21" s="1718" customFormat="1" ht="7" x14ac:dyDescent="0.35">
      <c r="A424" s="1716"/>
      <c r="B424" s="1683">
        <v>23</v>
      </c>
      <c r="C424" s="1684" t="s">
        <v>7669</v>
      </c>
      <c r="D424" s="1684" t="s">
        <v>7315</v>
      </c>
      <c r="E424" s="1685">
        <v>45747</v>
      </c>
      <c r="F424" s="1683" t="s">
        <v>7668</v>
      </c>
      <c r="G424" s="1684">
        <v>1</v>
      </c>
      <c r="H424" s="1684">
        <v>5</v>
      </c>
      <c r="I424" s="1686">
        <v>60</v>
      </c>
      <c r="J424" s="1686">
        <f t="shared" si="241"/>
        <v>66750</v>
      </c>
      <c r="K424" s="1686">
        <v>4005000</v>
      </c>
      <c r="L424" s="1686">
        <f t="shared" si="245"/>
        <v>4005000</v>
      </c>
      <c r="M424" s="1686"/>
      <c r="N424" s="1686"/>
      <c r="O424" s="2705">
        <f t="shared" si="231"/>
        <v>4005000</v>
      </c>
      <c r="P424" s="1686">
        <v>1001250</v>
      </c>
      <c r="Q424" s="1686">
        <f t="shared" si="242"/>
        <v>66750</v>
      </c>
      <c r="R424" s="1686"/>
      <c r="S424" s="1686">
        <f t="shared" si="246"/>
        <v>1068000</v>
      </c>
      <c r="T424" s="1687">
        <f t="shared" si="247"/>
        <v>2937000</v>
      </c>
      <c r="U424" s="1603">
        <v>35</v>
      </c>
    </row>
    <row r="425" spans="1:21" s="1718" customFormat="1" ht="7" x14ac:dyDescent="0.35">
      <c r="A425" s="1716"/>
      <c r="B425" s="1683">
        <v>24</v>
      </c>
      <c r="C425" s="1684" t="s">
        <v>7806</v>
      </c>
      <c r="D425" s="1684" t="s">
        <v>7561</v>
      </c>
      <c r="E425" s="1685">
        <v>45880</v>
      </c>
      <c r="F425" s="1683" t="s">
        <v>7807</v>
      </c>
      <c r="G425" s="1684">
        <v>1</v>
      </c>
      <c r="H425" s="1684">
        <v>5</v>
      </c>
      <c r="I425" s="1686">
        <v>60</v>
      </c>
      <c r="J425" s="1686">
        <f t="shared" si="241"/>
        <v>24000</v>
      </c>
      <c r="K425" s="1686">
        <v>1440000</v>
      </c>
      <c r="L425" s="1686">
        <f t="shared" si="245"/>
        <v>1440000</v>
      </c>
      <c r="M425" s="1686"/>
      <c r="N425" s="1686"/>
      <c r="O425" s="2705">
        <f t="shared" si="231"/>
        <v>1440000</v>
      </c>
      <c r="P425" s="1686">
        <v>240000</v>
      </c>
      <c r="Q425" s="1686">
        <f t="shared" si="242"/>
        <v>24000</v>
      </c>
      <c r="R425" s="1686"/>
      <c r="S425" s="1686">
        <f t="shared" si="246"/>
        <v>264000</v>
      </c>
      <c r="T425" s="1687">
        <f t="shared" si="247"/>
        <v>1176000</v>
      </c>
      <c r="U425" s="1603">
        <v>35</v>
      </c>
    </row>
    <row r="426" spans="1:21" s="1718" customFormat="1" ht="7" x14ac:dyDescent="0.35">
      <c r="A426" s="1716"/>
      <c r="B426" s="1683">
        <v>25</v>
      </c>
      <c r="C426" s="1684" t="s">
        <v>3115</v>
      </c>
      <c r="D426" s="1684" t="s">
        <v>7945</v>
      </c>
      <c r="E426" s="1685">
        <v>45911</v>
      </c>
      <c r="F426" s="1683" t="s">
        <v>7946</v>
      </c>
      <c r="G426" s="1684">
        <v>1</v>
      </c>
      <c r="H426" s="1684">
        <v>5</v>
      </c>
      <c r="I426" s="1686">
        <v>60</v>
      </c>
      <c r="J426" s="1686">
        <f>K426*G426/I426</f>
        <v>200000</v>
      </c>
      <c r="K426" s="1686">
        <v>12000000</v>
      </c>
      <c r="L426" s="1686">
        <f t="shared" si="245"/>
        <v>12000000</v>
      </c>
      <c r="M426" s="1686"/>
      <c r="N426" s="1686"/>
      <c r="O426" s="2705">
        <f t="shared" si="231"/>
        <v>12000000</v>
      </c>
      <c r="P426" s="1686">
        <v>1800000</v>
      </c>
      <c r="Q426" s="1686">
        <f t="shared" si="242"/>
        <v>200000</v>
      </c>
      <c r="R426" s="1686"/>
      <c r="S426" s="1686">
        <f t="shared" ref="S426" si="248">P426+Q426-R426</f>
        <v>2000000</v>
      </c>
      <c r="T426" s="1687">
        <f t="shared" ref="T426" si="249">O426-S426</f>
        <v>10000000</v>
      </c>
      <c r="U426" s="1603">
        <v>35</v>
      </c>
    </row>
    <row r="427" spans="1:21" s="1718" customFormat="1" ht="7" x14ac:dyDescent="0.35">
      <c r="A427" s="1716"/>
      <c r="B427" s="1683">
        <v>26</v>
      </c>
      <c r="C427" s="1684" t="s">
        <v>8027</v>
      </c>
      <c r="D427" s="1684" t="s">
        <v>8028</v>
      </c>
      <c r="E427" s="1685">
        <v>46367</v>
      </c>
      <c r="F427" s="1683" t="s">
        <v>8029</v>
      </c>
      <c r="G427" s="1684">
        <v>5</v>
      </c>
      <c r="H427" s="1684">
        <v>5</v>
      </c>
      <c r="I427" s="1686">
        <v>60</v>
      </c>
      <c r="J427" s="1686">
        <f t="shared" ref="J427:J429" si="250">K427*G427/I427</f>
        <v>29166.666666666668</v>
      </c>
      <c r="K427" s="1686">
        <f>350000</f>
        <v>350000</v>
      </c>
      <c r="L427" s="1686">
        <f t="shared" si="245"/>
        <v>1750000</v>
      </c>
      <c r="M427" s="1686"/>
      <c r="N427" s="1686"/>
      <c r="O427" s="2705">
        <f t="shared" si="231"/>
        <v>1750000</v>
      </c>
      <c r="P427" s="1686">
        <v>175000</v>
      </c>
      <c r="Q427" s="1686">
        <f t="shared" si="242"/>
        <v>29166.666666666668</v>
      </c>
      <c r="R427" s="1686"/>
      <c r="S427" s="1686">
        <f t="shared" ref="S427:S431" si="251">P427+Q427-R427</f>
        <v>204166.66666666666</v>
      </c>
      <c r="T427" s="1687">
        <f t="shared" ref="T427:T431" si="252">O427-S427</f>
        <v>1545833.3333333333</v>
      </c>
      <c r="U427" s="1603">
        <v>35</v>
      </c>
    </row>
    <row r="428" spans="1:21" s="1718" customFormat="1" ht="7" x14ac:dyDescent="0.35">
      <c r="A428" s="1716"/>
      <c r="B428" s="1683">
        <v>27</v>
      </c>
      <c r="C428" s="1684" t="s">
        <v>8142</v>
      </c>
      <c r="D428" s="1684" t="s">
        <v>3112</v>
      </c>
      <c r="E428" s="1685">
        <v>46142</v>
      </c>
      <c r="F428" s="1683" t="s">
        <v>8140</v>
      </c>
      <c r="G428" s="1684">
        <v>1</v>
      </c>
      <c r="H428" s="1684">
        <v>5</v>
      </c>
      <c r="I428" s="1686">
        <v>60</v>
      </c>
      <c r="J428" s="1686">
        <f t="shared" si="250"/>
        <v>69683.333333333328</v>
      </c>
      <c r="K428" s="1686">
        <v>4181000</v>
      </c>
      <c r="L428" s="1686">
        <f>K428*G428</f>
        <v>4181000</v>
      </c>
      <c r="M428" s="1686"/>
      <c r="N428" s="1686"/>
      <c r="O428" s="2705">
        <f t="shared" si="231"/>
        <v>4181000</v>
      </c>
      <c r="P428" s="1686">
        <v>0</v>
      </c>
      <c r="Q428" s="1686">
        <f t="shared" si="242"/>
        <v>69683.333333333328</v>
      </c>
      <c r="R428" s="1686"/>
      <c r="S428" s="1686">
        <f>P428+Q428-R428</f>
        <v>69683.333333333328</v>
      </c>
      <c r="T428" s="1687">
        <f t="shared" si="252"/>
        <v>4111316.6666666665</v>
      </c>
      <c r="U428" s="1603">
        <v>35</v>
      </c>
    </row>
    <row r="429" spans="1:21" s="1718" customFormat="1" ht="7" x14ac:dyDescent="0.35">
      <c r="A429" s="1716"/>
      <c r="B429" s="1683">
        <v>28</v>
      </c>
      <c r="C429" s="1684" t="s">
        <v>3115</v>
      </c>
      <c r="D429" s="1684" t="s">
        <v>7583</v>
      </c>
      <c r="E429" s="1685">
        <v>46203</v>
      </c>
      <c r="F429" s="1683" t="s">
        <v>8250</v>
      </c>
      <c r="G429" s="1684">
        <v>1</v>
      </c>
      <c r="H429" s="1684">
        <v>5</v>
      </c>
      <c r="I429" s="1686">
        <v>60</v>
      </c>
      <c r="J429" s="1686">
        <f t="shared" si="250"/>
        <v>25000</v>
      </c>
      <c r="K429" s="1686">
        <v>1500000</v>
      </c>
      <c r="L429" s="1686"/>
      <c r="M429" s="1686">
        <f>K429*G429</f>
        <v>1500000</v>
      </c>
      <c r="N429" s="1686"/>
      <c r="O429" s="2705">
        <f t="shared" si="231"/>
        <v>1500000</v>
      </c>
      <c r="P429" s="1686">
        <v>0</v>
      </c>
      <c r="Q429" s="1686">
        <f t="shared" si="242"/>
        <v>25000</v>
      </c>
      <c r="R429" s="1686"/>
      <c r="S429" s="1686">
        <f>P429+Q429-R429</f>
        <v>25000</v>
      </c>
      <c r="T429" s="1687">
        <f t="shared" ref="T429" si="253">O429-S429</f>
        <v>1475000</v>
      </c>
      <c r="U429" s="1603">
        <v>35</v>
      </c>
    </row>
    <row r="430" spans="1:21" s="1718" customFormat="1" ht="7" x14ac:dyDescent="0.35">
      <c r="A430" s="1716"/>
      <c r="B430" s="1683">
        <v>29</v>
      </c>
      <c r="C430" s="1684"/>
      <c r="D430" s="1684"/>
      <c r="E430" s="1685"/>
      <c r="F430" s="1683"/>
      <c r="G430" s="1684"/>
      <c r="H430" s="1684"/>
      <c r="I430" s="1686"/>
      <c r="J430" s="1686"/>
      <c r="K430" s="1686"/>
      <c r="L430" s="1686"/>
      <c r="M430" s="1686"/>
      <c r="N430" s="1686"/>
      <c r="O430" s="2705"/>
      <c r="P430" s="1686"/>
      <c r="Q430" s="1686"/>
      <c r="R430" s="1686"/>
      <c r="S430" s="1686"/>
      <c r="T430" s="1687"/>
      <c r="U430" s="1603">
        <v>35</v>
      </c>
    </row>
    <row r="431" spans="1:21" s="1718" customFormat="1" ht="7.5" thickBot="1" x14ac:dyDescent="0.4">
      <c r="A431" s="1719"/>
      <c r="B431" s="1683">
        <v>30</v>
      </c>
      <c r="C431" s="1684"/>
      <c r="D431" s="1684"/>
      <c r="E431" s="1685"/>
      <c r="F431" s="1683"/>
      <c r="G431" s="1684"/>
      <c r="H431" s="1684"/>
      <c r="I431" s="1686"/>
      <c r="J431" s="1686"/>
      <c r="K431" s="1686"/>
      <c r="L431" s="1686"/>
      <c r="M431" s="1686"/>
      <c r="N431" s="1686"/>
      <c r="O431" s="2705">
        <f t="shared" si="231"/>
        <v>0</v>
      </c>
      <c r="P431" s="1686">
        <v>0</v>
      </c>
      <c r="Q431" s="1686">
        <f t="shared" si="242"/>
        <v>0</v>
      </c>
      <c r="R431" s="1686"/>
      <c r="S431" s="1686">
        <f t="shared" si="251"/>
        <v>0</v>
      </c>
      <c r="T431" s="1687">
        <f t="shared" si="252"/>
        <v>0</v>
      </c>
      <c r="U431" s="1603">
        <v>35</v>
      </c>
    </row>
    <row r="432" spans="1:21" s="1631" customFormat="1" ht="10.5" x14ac:dyDescent="0.35">
      <c r="A432" s="1632"/>
      <c r="B432" s="1648"/>
      <c r="C432" s="1703"/>
      <c r="D432" s="1697"/>
      <c r="E432" s="1698"/>
      <c r="F432" s="1699"/>
      <c r="G432" s="1697"/>
      <c r="H432" s="1697"/>
      <c r="I432" s="1700"/>
      <c r="J432" s="1700">
        <f t="shared" ref="J432:T432" si="254">SUM(J402:J431)</f>
        <v>4667147.5000000009</v>
      </c>
      <c r="K432" s="1700">
        <f t="shared" si="254"/>
        <v>206110516.66666666</v>
      </c>
      <c r="L432" s="1700">
        <f t="shared" si="254"/>
        <v>236612600</v>
      </c>
      <c r="M432" s="1700">
        <f t="shared" si="254"/>
        <v>1500000</v>
      </c>
      <c r="N432" s="1700">
        <f t="shared" si="254"/>
        <v>0</v>
      </c>
      <c r="O432" s="1700">
        <f t="shared" si="254"/>
        <v>238112600</v>
      </c>
      <c r="P432" s="1700">
        <f t="shared" si="254"/>
        <v>153340848.50000003</v>
      </c>
      <c r="Q432" s="1700">
        <f t="shared" si="254"/>
        <v>3629855.8333333335</v>
      </c>
      <c r="R432" s="1700">
        <f t="shared" si="254"/>
        <v>0</v>
      </c>
      <c r="S432" s="1700">
        <f t="shared" si="254"/>
        <v>156970704.33333334</v>
      </c>
      <c r="T432" s="1702">
        <f t="shared" si="254"/>
        <v>81141895.666666687</v>
      </c>
      <c r="U432" s="1640"/>
    </row>
    <row r="433" spans="1:21" s="1631" customFormat="1" ht="7" x14ac:dyDescent="0.35">
      <c r="A433" s="1632"/>
      <c r="B433" s="1725">
        <v>5</v>
      </c>
      <c r="C433" s="1645" t="s">
        <v>1587</v>
      </c>
      <c r="D433" s="1636"/>
      <c r="E433" s="1637"/>
      <c r="F433" s="1635"/>
      <c r="G433" s="1636"/>
      <c r="H433" s="1636"/>
      <c r="I433" s="1638"/>
      <c r="J433" s="1638"/>
      <c r="K433" s="1638"/>
      <c r="L433" s="1638"/>
      <c r="M433" s="1638"/>
      <c r="N433" s="1638"/>
      <c r="O433" s="1638"/>
      <c r="P433" s="1638"/>
      <c r="Q433" s="1638"/>
      <c r="R433" s="1638"/>
      <c r="S433" s="1638"/>
      <c r="T433" s="1639"/>
      <c r="U433" s="1640"/>
    </row>
    <row r="434" spans="1:21" s="1718" customFormat="1" ht="7" x14ac:dyDescent="0.35">
      <c r="A434" s="1716"/>
      <c r="B434" s="1683">
        <v>1</v>
      </c>
      <c r="C434" s="1684" t="s">
        <v>7085</v>
      </c>
      <c r="D434" s="1684"/>
      <c r="E434" s="1685">
        <v>44713</v>
      </c>
      <c r="F434" s="1683"/>
      <c r="G434" s="1684"/>
      <c r="H434" s="1684">
        <v>4</v>
      </c>
      <c r="I434" s="1686">
        <f t="shared" ref="I434:I435" si="255">12*H434</f>
        <v>48</v>
      </c>
      <c r="J434" s="1686">
        <f t="shared" ref="J434:J435" si="256">K434/I434</f>
        <v>1255208.3333333333</v>
      </c>
      <c r="K434" s="1686">
        <v>60250000</v>
      </c>
      <c r="L434" s="1686">
        <v>60250000</v>
      </c>
      <c r="M434" s="1686"/>
      <c r="N434" s="1686"/>
      <c r="O434" s="2705">
        <f t="shared" ref="O434:O440" si="257">L434+M434-N434</f>
        <v>60250000</v>
      </c>
      <c r="P434" s="1686">
        <v>60250000.000000015</v>
      </c>
      <c r="Q434" s="1686">
        <v>-1</v>
      </c>
      <c r="R434" s="1686"/>
      <c r="S434" s="1686">
        <f t="shared" ref="S434:S436" si="258">P434+Q434-R434</f>
        <v>60249999.000000015</v>
      </c>
      <c r="T434" s="1687">
        <f t="shared" ref="T434:T436" si="259">O434-S434</f>
        <v>0.99999998509883881</v>
      </c>
      <c r="U434" s="1603">
        <v>36</v>
      </c>
    </row>
    <row r="435" spans="1:21" s="1718" customFormat="1" ht="7" x14ac:dyDescent="0.35">
      <c r="A435" s="1716"/>
      <c r="B435" s="1683">
        <v>2</v>
      </c>
      <c r="C435" s="1684" t="s">
        <v>7086</v>
      </c>
      <c r="D435" s="1684"/>
      <c r="E435" s="1685">
        <v>44713</v>
      </c>
      <c r="F435" s="1683"/>
      <c r="G435" s="1684"/>
      <c r="H435" s="1684">
        <v>4</v>
      </c>
      <c r="I435" s="1686">
        <f t="shared" si="255"/>
        <v>48</v>
      </c>
      <c r="J435" s="1686">
        <f t="shared" si="256"/>
        <v>67708.333333333328</v>
      </c>
      <c r="K435" s="1686">
        <v>3250000</v>
      </c>
      <c r="L435" s="1686">
        <v>3250000</v>
      </c>
      <c r="M435" s="1686"/>
      <c r="N435" s="1686"/>
      <c r="O435" s="2705">
        <f t="shared" si="257"/>
        <v>3250000</v>
      </c>
      <c r="P435" s="1686">
        <v>3249999.9999999986</v>
      </c>
      <c r="Q435" s="1686">
        <v>-1</v>
      </c>
      <c r="R435" s="1686"/>
      <c r="S435" s="1686">
        <f t="shared" si="258"/>
        <v>3249998.9999999986</v>
      </c>
      <c r="T435" s="1687">
        <f t="shared" si="259"/>
        <v>1.0000000013969839</v>
      </c>
      <c r="U435" s="1603">
        <v>36</v>
      </c>
    </row>
    <row r="436" spans="1:21" s="1718" customFormat="1" ht="7" x14ac:dyDescent="0.35">
      <c r="A436" s="1716"/>
      <c r="B436" s="1683">
        <v>3</v>
      </c>
      <c r="C436" s="1684" t="s">
        <v>7086</v>
      </c>
      <c r="D436" s="1684"/>
      <c r="E436" s="1685">
        <v>44774</v>
      </c>
      <c r="F436" s="1683"/>
      <c r="G436" s="1684"/>
      <c r="H436" s="1684">
        <v>4</v>
      </c>
      <c r="I436" s="1686">
        <v>48</v>
      </c>
      <c r="J436" s="1686">
        <v>93750</v>
      </c>
      <c r="K436" s="1686">
        <v>4500000</v>
      </c>
      <c r="L436" s="1686">
        <v>4500000</v>
      </c>
      <c r="M436" s="1686"/>
      <c r="N436" s="1686"/>
      <c r="O436" s="2705">
        <f t="shared" si="257"/>
        <v>4500000</v>
      </c>
      <c r="P436" s="1686">
        <v>4312500</v>
      </c>
      <c r="Q436" s="1686">
        <v>93750</v>
      </c>
      <c r="R436" s="1686"/>
      <c r="S436" s="1686">
        <f t="shared" si="258"/>
        <v>4406250</v>
      </c>
      <c r="T436" s="1687">
        <f t="shared" si="259"/>
        <v>93750</v>
      </c>
      <c r="U436" s="1603">
        <v>36</v>
      </c>
    </row>
    <row r="437" spans="1:21" s="1718" customFormat="1" ht="7" x14ac:dyDescent="0.35">
      <c r="A437" s="1716"/>
      <c r="B437" s="1683">
        <v>4</v>
      </c>
      <c r="C437" s="1684" t="s">
        <v>7086</v>
      </c>
      <c r="D437" s="1684" t="s">
        <v>7561</v>
      </c>
      <c r="E437" s="1685">
        <v>45565</v>
      </c>
      <c r="F437" s="1683"/>
      <c r="G437" s="1684">
        <v>15</v>
      </c>
      <c r="H437" s="1684">
        <v>5</v>
      </c>
      <c r="I437" s="1686">
        <v>60</v>
      </c>
      <c r="J437" s="1686">
        <f>K437*G437/I437</f>
        <v>223700</v>
      </c>
      <c r="K437" s="1686">
        <f>13422000/15</f>
        <v>894800</v>
      </c>
      <c r="L437" s="1686">
        <v>13422000</v>
      </c>
      <c r="M437" s="1686"/>
      <c r="N437" s="1686"/>
      <c r="O437" s="2705">
        <f t="shared" si="257"/>
        <v>13422000</v>
      </c>
      <c r="P437" s="1686">
        <v>4697700</v>
      </c>
      <c r="Q437" s="1686">
        <f>J437</f>
        <v>223700</v>
      </c>
      <c r="R437" s="1686"/>
      <c r="S437" s="1686">
        <f t="shared" ref="S437:S438" si="260">P437+Q437-R437</f>
        <v>4921400</v>
      </c>
      <c r="T437" s="1687">
        <f t="shared" ref="T437:T438" si="261">O437-S437</f>
        <v>8500600</v>
      </c>
      <c r="U437" s="1603">
        <v>36</v>
      </c>
    </row>
    <row r="438" spans="1:21" s="1718" customFormat="1" ht="7" x14ac:dyDescent="0.35">
      <c r="A438" s="1716"/>
      <c r="B438" s="1683">
        <v>5</v>
      </c>
      <c r="C438" s="1684" t="s">
        <v>8002</v>
      </c>
      <c r="D438" s="1684" t="s">
        <v>8004</v>
      </c>
      <c r="E438" s="1685">
        <v>45987</v>
      </c>
      <c r="F438" s="1683" t="s">
        <v>8005</v>
      </c>
      <c r="G438" s="1684">
        <v>7</v>
      </c>
      <c r="H438" s="1684">
        <v>5</v>
      </c>
      <c r="I438" s="1686">
        <v>60</v>
      </c>
      <c r="J438" s="1686">
        <f t="shared" ref="J438:J440" si="262">K438*G438/I438</f>
        <v>80000.00003333333</v>
      </c>
      <c r="K438" s="1686">
        <v>685714.28599999996</v>
      </c>
      <c r="L438" s="1686">
        <f>K438*G438</f>
        <v>4800000.0019999994</v>
      </c>
      <c r="M438" s="1686"/>
      <c r="N438" s="1686"/>
      <c r="O438" s="2705">
        <f t="shared" si="257"/>
        <v>4800000.0019999994</v>
      </c>
      <c r="P438" s="1686">
        <v>560000.00023333333</v>
      </c>
      <c r="Q438" s="1686">
        <f>J438</f>
        <v>80000.00003333333</v>
      </c>
      <c r="R438" s="1686"/>
      <c r="S438" s="1686">
        <f t="shared" si="260"/>
        <v>640000.00026666664</v>
      </c>
      <c r="T438" s="1687">
        <f t="shared" si="261"/>
        <v>4160000.0017333329</v>
      </c>
      <c r="U438" s="1603">
        <v>36</v>
      </c>
    </row>
    <row r="439" spans="1:21" s="1718" customFormat="1" ht="7" x14ac:dyDescent="0.35">
      <c r="A439" s="1716"/>
      <c r="B439" s="1683">
        <v>6</v>
      </c>
      <c r="C439" s="1684" t="s">
        <v>8003</v>
      </c>
      <c r="D439" s="1684" t="s">
        <v>7949</v>
      </c>
      <c r="E439" s="1685">
        <v>45987</v>
      </c>
      <c r="F439" s="1683" t="s">
        <v>8006</v>
      </c>
      <c r="G439" s="1684">
        <v>8</v>
      </c>
      <c r="H439" s="1684">
        <v>5</v>
      </c>
      <c r="I439" s="1686">
        <v>60</v>
      </c>
      <c r="J439" s="1686">
        <f t="shared" si="262"/>
        <v>70000</v>
      </c>
      <c r="K439" s="1686">
        <v>525000</v>
      </c>
      <c r="L439" s="1686">
        <f>K439*G439</f>
        <v>4200000</v>
      </c>
      <c r="M439" s="1686"/>
      <c r="N439" s="1686"/>
      <c r="O439" s="2705">
        <f t="shared" si="257"/>
        <v>4200000</v>
      </c>
      <c r="P439" s="1686">
        <v>490000</v>
      </c>
      <c r="Q439" s="1686">
        <f t="shared" ref="Q439:Q441" si="263">J439</f>
        <v>70000</v>
      </c>
      <c r="R439" s="1686"/>
      <c r="S439" s="1686">
        <f t="shared" ref="S439:S441" si="264">P439+Q439-R439</f>
        <v>560000</v>
      </c>
      <c r="T439" s="1687">
        <f t="shared" ref="T439:T441" si="265">O439-S439</f>
        <v>3640000</v>
      </c>
      <c r="U439" s="1603">
        <v>36</v>
      </c>
    </row>
    <row r="440" spans="1:21" s="1718" customFormat="1" ht="14" x14ac:dyDescent="0.35">
      <c r="A440" s="1716"/>
      <c r="B440" s="1683">
        <v>7</v>
      </c>
      <c r="C440" s="3262" t="s">
        <v>8086</v>
      </c>
      <c r="D440" s="1684" t="s">
        <v>7548</v>
      </c>
      <c r="E440" s="1685">
        <v>46081</v>
      </c>
      <c r="F440" s="1683" t="s">
        <v>8085</v>
      </c>
      <c r="G440" s="1684">
        <v>1</v>
      </c>
      <c r="H440" s="1684">
        <v>5</v>
      </c>
      <c r="I440" s="1686">
        <v>60</v>
      </c>
      <c r="J440" s="1686">
        <f t="shared" si="262"/>
        <v>7962.3</v>
      </c>
      <c r="K440" s="1686">
        <v>477738</v>
      </c>
      <c r="L440" s="1686">
        <f>K440*G440</f>
        <v>477738</v>
      </c>
      <c r="M440" s="1686"/>
      <c r="N440" s="1686"/>
      <c r="O440" s="2705">
        <f t="shared" si="257"/>
        <v>477738</v>
      </c>
      <c r="P440" s="1686">
        <v>31849.200000000001</v>
      </c>
      <c r="Q440" s="1686">
        <f t="shared" si="263"/>
        <v>7962.3</v>
      </c>
      <c r="R440" s="1686"/>
      <c r="S440" s="1686">
        <f t="shared" ref="S440" si="266">P440+Q440-R440</f>
        <v>39811.5</v>
      </c>
      <c r="T440" s="1687">
        <f t="shared" ref="T440" si="267">O440-S440</f>
        <v>437926.5</v>
      </c>
      <c r="U440" s="1603">
        <v>36</v>
      </c>
    </row>
    <row r="441" spans="1:21" s="1718" customFormat="1" ht="7.5" thickBot="1" x14ac:dyDescent="0.4">
      <c r="A441" s="1719"/>
      <c r="B441" s="1683">
        <v>8</v>
      </c>
      <c r="C441" s="1684"/>
      <c r="D441" s="1684"/>
      <c r="E441" s="1685"/>
      <c r="F441" s="1683"/>
      <c r="G441" s="1684"/>
      <c r="H441" s="1684"/>
      <c r="I441" s="1686"/>
      <c r="J441" s="1686"/>
      <c r="K441" s="1686"/>
      <c r="L441" s="1686"/>
      <c r="M441" s="1686"/>
      <c r="N441" s="1686"/>
      <c r="O441" s="2705">
        <f>L441+M441-N441</f>
        <v>0</v>
      </c>
      <c r="P441" s="1686">
        <v>0</v>
      </c>
      <c r="Q441" s="1686">
        <f t="shared" si="263"/>
        <v>0</v>
      </c>
      <c r="R441" s="1686"/>
      <c r="S441" s="1686">
        <f t="shared" si="264"/>
        <v>0</v>
      </c>
      <c r="T441" s="1687">
        <f t="shared" si="265"/>
        <v>0</v>
      </c>
      <c r="U441" s="1603">
        <v>36</v>
      </c>
    </row>
    <row r="442" spans="1:21" s="1631" customFormat="1" ht="10.5" x14ac:dyDescent="0.35">
      <c r="A442" s="1632"/>
      <c r="B442" s="1648"/>
      <c r="C442" s="1703"/>
      <c r="D442" s="1697"/>
      <c r="E442" s="1698"/>
      <c r="F442" s="1699"/>
      <c r="G442" s="1697"/>
      <c r="H442" s="1697"/>
      <c r="I442" s="1700"/>
      <c r="J442" s="1700">
        <f>SUM(J434:J441)</f>
        <v>1798328.9667</v>
      </c>
      <c r="K442" s="1700">
        <f t="shared" ref="K442:T442" si="268">SUM(K434:K441)</f>
        <v>70583252.285999998</v>
      </c>
      <c r="L442" s="1700">
        <f t="shared" si="268"/>
        <v>90899738.002000004</v>
      </c>
      <c r="M442" s="1700">
        <f t="shared" si="268"/>
        <v>0</v>
      </c>
      <c r="N442" s="1700">
        <f t="shared" si="268"/>
        <v>0</v>
      </c>
      <c r="O442" s="1700">
        <f>SUM(O434:O441)</f>
        <v>90899738.002000004</v>
      </c>
      <c r="P442" s="1700">
        <f>SUM(P434:P441)</f>
        <v>73592049.200233355</v>
      </c>
      <c r="Q442" s="1700">
        <f t="shared" si="268"/>
        <v>475410.3000333333</v>
      </c>
      <c r="R442" s="1700">
        <f t="shared" si="268"/>
        <v>0</v>
      </c>
      <c r="S442" s="1700">
        <f t="shared" si="268"/>
        <v>74067459.500266686</v>
      </c>
      <c r="T442" s="1702">
        <f t="shared" si="268"/>
        <v>16832278.501733318</v>
      </c>
      <c r="U442" s="1640"/>
    </row>
    <row r="443" spans="1:21" s="1631" customFormat="1" ht="7" x14ac:dyDescent="0.35">
      <c r="A443" s="1632"/>
      <c r="B443" s="1725">
        <v>6</v>
      </c>
      <c r="C443" s="1645" t="s">
        <v>1589</v>
      </c>
      <c r="D443" s="1636"/>
      <c r="E443" s="1637"/>
      <c r="F443" s="1635"/>
      <c r="G443" s="1636"/>
      <c r="H443" s="1636"/>
      <c r="I443" s="1638"/>
      <c r="J443" s="1638"/>
      <c r="K443" s="1638"/>
      <c r="L443" s="1638"/>
      <c r="M443" s="1638"/>
      <c r="N443" s="1638"/>
      <c r="O443" s="1638"/>
      <c r="P443" s="1638"/>
      <c r="Q443" s="1638"/>
      <c r="R443" s="1638"/>
      <c r="S443" s="1638"/>
      <c r="T443" s="1639"/>
      <c r="U443" s="1640"/>
    </row>
    <row r="444" spans="1:21" s="1718" customFormat="1" ht="7" x14ac:dyDescent="0.35">
      <c r="A444" s="1716"/>
      <c r="B444" s="1683">
        <v>1</v>
      </c>
      <c r="C444" s="1684" t="s">
        <v>7090</v>
      </c>
      <c r="D444" s="1684"/>
      <c r="E444" s="1685">
        <v>44805</v>
      </c>
      <c r="F444" s="1683"/>
      <c r="G444" s="1684"/>
      <c r="H444" s="1684">
        <v>4</v>
      </c>
      <c r="I444" s="1686">
        <v>48</v>
      </c>
      <c r="J444" s="1686">
        <v>87500</v>
      </c>
      <c r="K444" s="1686">
        <v>4200000</v>
      </c>
      <c r="L444" s="1686">
        <v>4200000</v>
      </c>
      <c r="M444" s="1686"/>
      <c r="N444" s="1686"/>
      <c r="O444" s="2705">
        <f t="shared" ref="O444:O446" si="269">L444+M444-N444</f>
        <v>4200000</v>
      </c>
      <c r="P444" s="1686">
        <v>3937500</v>
      </c>
      <c r="Q444" s="1686">
        <v>87500</v>
      </c>
      <c r="R444" s="1686"/>
      <c r="S444" s="1686">
        <f t="shared" ref="S444:S447" si="270">P444+Q444-R444</f>
        <v>4025000</v>
      </c>
      <c r="T444" s="1687">
        <f t="shared" ref="T444:T447" si="271">O444-S444</f>
        <v>175000</v>
      </c>
      <c r="U444" s="1603">
        <v>37</v>
      </c>
    </row>
    <row r="445" spans="1:21" s="1718" customFormat="1" ht="7" x14ac:dyDescent="0.35">
      <c r="A445" s="1716"/>
      <c r="B445" s="1683">
        <v>2</v>
      </c>
      <c r="C445" s="1684" t="s">
        <v>7091</v>
      </c>
      <c r="D445" s="1684"/>
      <c r="E445" s="1685">
        <v>45047</v>
      </c>
      <c r="F445" s="1683"/>
      <c r="G445" s="1684" t="s">
        <v>7092</v>
      </c>
      <c r="H445" s="1684">
        <v>4</v>
      </c>
      <c r="I445" s="1686">
        <v>48</v>
      </c>
      <c r="J445" s="1686">
        <v>99750</v>
      </c>
      <c r="K445" s="1686">
        <v>4788000</v>
      </c>
      <c r="L445" s="1686">
        <v>4788000</v>
      </c>
      <c r="M445" s="1686"/>
      <c r="N445" s="1686"/>
      <c r="O445" s="2705">
        <f t="shared" si="269"/>
        <v>4788000</v>
      </c>
      <c r="P445" s="1686">
        <v>3690750</v>
      </c>
      <c r="Q445" s="1686">
        <v>99750</v>
      </c>
      <c r="R445" s="1686"/>
      <c r="S445" s="1686">
        <f t="shared" si="270"/>
        <v>3790500</v>
      </c>
      <c r="T445" s="1687">
        <f t="shared" si="271"/>
        <v>997500</v>
      </c>
      <c r="U445" s="1603">
        <v>37</v>
      </c>
    </row>
    <row r="446" spans="1:21" s="1718" customFormat="1" ht="7" x14ac:dyDescent="0.35">
      <c r="A446" s="1716"/>
      <c r="B446" s="1683">
        <v>3</v>
      </c>
      <c r="C446" s="1684" t="s">
        <v>7093</v>
      </c>
      <c r="D446" s="1684"/>
      <c r="E446" s="1685">
        <v>45108</v>
      </c>
      <c r="F446" s="1683"/>
      <c r="G446" s="1684" t="s">
        <v>7094</v>
      </c>
      <c r="H446" s="1684">
        <v>4</v>
      </c>
      <c r="I446" s="1686">
        <v>48</v>
      </c>
      <c r="J446" s="1686">
        <v>37500</v>
      </c>
      <c r="K446" s="1686">
        <v>1800000</v>
      </c>
      <c r="L446" s="1686">
        <v>1800000</v>
      </c>
      <c r="M446" s="1686"/>
      <c r="N446" s="1686"/>
      <c r="O446" s="2705">
        <f t="shared" si="269"/>
        <v>1800000</v>
      </c>
      <c r="P446" s="1686">
        <v>1312500</v>
      </c>
      <c r="Q446" s="1686">
        <v>37500</v>
      </c>
      <c r="R446" s="1686"/>
      <c r="S446" s="1686">
        <f t="shared" si="270"/>
        <v>1350000</v>
      </c>
      <c r="T446" s="1687">
        <f t="shared" si="271"/>
        <v>450000</v>
      </c>
      <c r="U446" s="1603">
        <v>37</v>
      </c>
    </row>
    <row r="447" spans="1:21" s="1718" customFormat="1" ht="7" x14ac:dyDescent="0.35">
      <c r="A447" s="1716"/>
      <c r="B447" s="1683">
        <v>4</v>
      </c>
      <c r="C447" s="1684" t="s">
        <v>7553</v>
      </c>
      <c r="D447" s="1684" t="s">
        <v>3084</v>
      </c>
      <c r="E447" s="1685">
        <v>45535</v>
      </c>
      <c r="F447" s="1683" t="s">
        <v>7549</v>
      </c>
      <c r="G447" s="1684">
        <v>1</v>
      </c>
      <c r="H447" s="1684">
        <v>5</v>
      </c>
      <c r="I447" s="1686">
        <v>60</v>
      </c>
      <c r="J447" s="1686">
        <f>K447*G447/I447</f>
        <v>8846.4</v>
      </c>
      <c r="K447" s="1686">
        <v>530784</v>
      </c>
      <c r="L447" s="1686">
        <v>530784</v>
      </c>
      <c r="M447" s="1686"/>
      <c r="N447" s="1686"/>
      <c r="O447" s="2705">
        <f>L447+M447-N447</f>
        <v>530784</v>
      </c>
      <c r="P447" s="1686">
        <v>194620.79999999993</v>
      </c>
      <c r="Q447" s="1686">
        <f>J447</f>
        <v>8846.4</v>
      </c>
      <c r="R447" s="1686"/>
      <c r="S447" s="1686">
        <f t="shared" si="270"/>
        <v>203467.19999999992</v>
      </c>
      <c r="T447" s="1687">
        <f t="shared" si="271"/>
        <v>327316.80000000005</v>
      </c>
      <c r="U447" s="1603">
        <v>37</v>
      </c>
    </row>
    <row r="448" spans="1:21" s="1718" customFormat="1" ht="7" x14ac:dyDescent="0.35">
      <c r="A448" s="1716"/>
      <c r="B448" s="1683">
        <v>5</v>
      </c>
      <c r="C448" s="1684" t="s">
        <v>7480</v>
      </c>
      <c r="D448" s="1684" t="s">
        <v>3084</v>
      </c>
      <c r="E448" s="1685">
        <v>45595</v>
      </c>
      <c r="F448" s="1683" t="s">
        <v>7581</v>
      </c>
      <c r="G448" s="1684">
        <v>1</v>
      </c>
      <c r="H448" s="1684">
        <v>5</v>
      </c>
      <c r="I448" s="1686">
        <v>60</v>
      </c>
      <c r="J448" s="1686">
        <f>K448*G448/I448</f>
        <v>20833.333333333332</v>
      </c>
      <c r="K448" s="1686">
        <v>1250000</v>
      </c>
      <c r="L448" s="1686">
        <v>1250000</v>
      </c>
      <c r="M448" s="1686"/>
      <c r="N448" s="1686"/>
      <c r="O448" s="2705">
        <f t="shared" ref="O448:O455" si="272">L448+M448-N448</f>
        <v>1250000</v>
      </c>
      <c r="P448" s="1686">
        <v>416666.66666666657</v>
      </c>
      <c r="Q448" s="1686">
        <f t="shared" ref="Q448:Q456" si="273">J448</f>
        <v>20833.333333333332</v>
      </c>
      <c r="R448" s="1686"/>
      <c r="S448" s="1686">
        <f t="shared" ref="S448:S456" si="274">P448+Q448-R448</f>
        <v>437499.99999999988</v>
      </c>
      <c r="T448" s="1687">
        <f t="shared" ref="T448:T456" si="275">O448-S448</f>
        <v>812500.00000000012</v>
      </c>
      <c r="U448" s="1603">
        <v>37</v>
      </c>
    </row>
    <row r="449" spans="1:21" s="1718" customFormat="1" ht="7" x14ac:dyDescent="0.35">
      <c r="A449" s="1716"/>
      <c r="B449" s="1683">
        <v>6</v>
      </c>
      <c r="C449" s="1684" t="s">
        <v>7093</v>
      </c>
      <c r="D449" s="1684" t="s">
        <v>3084</v>
      </c>
      <c r="E449" s="1685">
        <v>45595</v>
      </c>
      <c r="F449" s="1683" t="s">
        <v>7573</v>
      </c>
      <c r="G449" s="1684">
        <v>100</v>
      </c>
      <c r="H449" s="1684">
        <v>5</v>
      </c>
      <c r="I449" s="1686">
        <v>60</v>
      </c>
      <c r="J449" s="1686">
        <f t="shared" ref="J449:J455" si="276">K449*G449/I449</f>
        <v>94400</v>
      </c>
      <c r="K449" s="1686">
        <v>56640</v>
      </c>
      <c r="L449" s="1686">
        <v>5664000</v>
      </c>
      <c r="M449" s="1686"/>
      <c r="N449" s="1686"/>
      <c r="O449" s="2705">
        <f t="shared" si="272"/>
        <v>5664000</v>
      </c>
      <c r="P449" s="1686">
        <v>1888000</v>
      </c>
      <c r="Q449" s="1686">
        <f t="shared" si="273"/>
        <v>94400</v>
      </c>
      <c r="R449" s="1686"/>
      <c r="S449" s="1686">
        <f t="shared" si="274"/>
        <v>1982400</v>
      </c>
      <c r="T449" s="1687">
        <f t="shared" si="275"/>
        <v>3681600</v>
      </c>
      <c r="U449" s="1603">
        <v>37</v>
      </c>
    </row>
    <row r="450" spans="1:21" s="1718" customFormat="1" ht="7" x14ac:dyDescent="0.35">
      <c r="A450" s="1716"/>
      <c r="B450" s="1683">
        <v>7</v>
      </c>
      <c r="C450" s="1684" t="s">
        <v>7607</v>
      </c>
      <c r="D450" s="1684" t="s">
        <v>3084</v>
      </c>
      <c r="E450" s="1685">
        <v>45626</v>
      </c>
      <c r="F450" s="1683" t="s">
        <v>7597</v>
      </c>
      <c r="G450" s="1684">
        <v>1</v>
      </c>
      <c r="H450" s="1684">
        <v>5</v>
      </c>
      <c r="I450" s="1686">
        <v>60</v>
      </c>
      <c r="J450" s="1686">
        <f t="shared" si="276"/>
        <v>106666.66666666667</v>
      </c>
      <c r="K450" s="1686">
        <v>6400000</v>
      </c>
      <c r="L450" s="1686">
        <f>K450*G450</f>
        <v>6400000</v>
      </c>
      <c r="M450" s="1686"/>
      <c r="N450" s="1686"/>
      <c r="O450" s="2705">
        <f t="shared" si="272"/>
        <v>6400000</v>
      </c>
      <c r="P450" s="1686">
        <v>2026666.6666666672</v>
      </c>
      <c r="Q450" s="1686">
        <f t="shared" si="273"/>
        <v>106666.66666666667</v>
      </c>
      <c r="R450" s="1686"/>
      <c r="S450" s="1686">
        <f t="shared" si="274"/>
        <v>2133333.333333334</v>
      </c>
      <c r="T450" s="1687">
        <f>O450-S450</f>
        <v>4266666.666666666</v>
      </c>
      <c r="U450" s="1603">
        <v>37</v>
      </c>
    </row>
    <row r="451" spans="1:21" s="1718" customFormat="1" ht="7" x14ac:dyDescent="0.35">
      <c r="A451" s="1716"/>
      <c r="B451" s="1683">
        <v>8</v>
      </c>
      <c r="C451" s="1684" t="s">
        <v>7626</v>
      </c>
      <c r="D451" s="1684" t="s">
        <v>3084</v>
      </c>
      <c r="E451" s="1685">
        <v>45640</v>
      </c>
      <c r="F451" s="1683" t="s">
        <v>7627</v>
      </c>
      <c r="G451" s="1684">
        <v>1</v>
      </c>
      <c r="H451" s="1684">
        <v>5</v>
      </c>
      <c r="I451" s="1686">
        <v>60</v>
      </c>
      <c r="J451" s="1686">
        <f t="shared" si="276"/>
        <v>29166.666666666668</v>
      </c>
      <c r="K451" s="1686">
        <v>1750000</v>
      </c>
      <c r="L451" s="1686">
        <f>K451</f>
        <v>1750000</v>
      </c>
      <c r="M451" s="1686"/>
      <c r="N451" s="1686"/>
      <c r="O451" s="2705">
        <f t="shared" si="272"/>
        <v>1750000</v>
      </c>
      <c r="P451" s="1686">
        <v>525000.00000000012</v>
      </c>
      <c r="Q451" s="1686">
        <f t="shared" si="273"/>
        <v>29166.666666666668</v>
      </c>
      <c r="R451" s="1686"/>
      <c r="S451" s="1686">
        <f t="shared" ref="S451:S453" si="277">P451+Q451-R451</f>
        <v>554166.66666666674</v>
      </c>
      <c r="T451" s="1687">
        <f t="shared" ref="T451:T453" si="278">O451-S451</f>
        <v>1195833.3333333333</v>
      </c>
      <c r="U451" s="1603">
        <v>37</v>
      </c>
    </row>
    <row r="452" spans="1:21" s="1718" customFormat="1" ht="7" x14ac:dyDescent="0.35">
      <c r="A452" s="1716"/>
      <c r="B452" s="1683">
        <v>9</v>
      </c>
      <c r="C452" s="1684" t="s">
        <v>7636</v>
      </c>
      <c r="D452" s="1684" t="s">
        <v>3084</v>
      </c>
      <c r="E452" s="1685">
        <v>45682</v>
      </c>
      <c r="F452" s="1683" t="s">
        <v>7637</v>
      </c>
      <c r="G452" s="1684">
        <v>1</v>
      </c>
      <c r="H452" s="1684">
        <v>5</v>
      </c>
      <c r="I452" s="1686">
        <v>60</v>
      </c>
      <c r="J452" s="1686">
        <f t="shared" si="276"/>
        <v>23333.333333333332</v>
      </c>
      <c r="K452" s="1686">
        <v>1400000</v>
      </c>
      <c r="L452" s="1686">
        <f>G452*K452</f>
        <v>1400000</v>
      </c>
      <c r="M452" s="1686"/>
      <c r="N452" s="1686"/>
      <c r="O452" s="2705">
        <f t="shared" si="272"/>
        <v>1400000</v>
      </c>
      <c r="P452" s="1686">
        <v>396666.66666666663</v>
      </c>
      <c r="Q452" s="1686">
        <f t="shared" si="273"/>
        <v>23333.333333333332</v>
      </c>
      <c r="R452" s="1686"/>
      <c r="S452" s="1686">
        <f t="shared" si="277"/>
        <v>419999.99999999994</v>
      </c>
      <c r="T452" s="1687">
        <f t="shared" si="278"/>
        <v>980000</v>
      </c>
      <c r="U452" s="1603">
        <v>37</v>
      </c>
    </row>
    <row r="453" spans="1:21" s="1718" customFormat="1" ht="7" x14ac:dyDescent="0.35">
      <c r="A453" s="1716"/>
      <c r="B453" s="1683">
        <v>10</v>
      </c>
      <c r="C453" s="1684" t="s">
        <v>7971</v>
      </c>
      <c r="D453" s="1684" t="s">
        <v>3084</v>
      </c>
      <c r="E453" s="1685">
        <v>45960</v>
      </c>
      <c r="F453" s="1683" t="s">
        <v>7972</v>
      </c>
      <c r="G453" s="1684">
        <v>2</v>
      </c>
      <c r="H453" s="1684">
        <v>5</v>
      </c>
      <c r="I453" s="1686">
        <v>60</v>
      </c>
      <c r="J453" s="1686">
        <f t="shared" si="276"/>
        <v>48333.333333333336</v>
      </c>
      <c r="K453" s="1686">
        <v>1450000</v>
      </c>
      <c r="L453" s="1686">
        <f>G453*K453</f>
        <v>2900000</v>
      </c>
      <c r="M453" s="1686"/>
      <c r="N453" s="1686"/>
      <c r="O453" s="2705">
        <f t="shared" si="272"/>
        <v>2900000</v>
      </c>
      <c r="P453" s="1686">
        <v>386666.66666666663</v>
      </c>
      <c r="Q453" s="1686">
        <f t="shared" si="273"/>
        <v>48333.333333333336</v>
      </c>
      <c r="R453" s="1686"/>
      <c r="S453" s="1686">
        <f t="shared" si="277"/>
        <v>434999.99999999994</v>
      </c>
      <c r="T453" s="1687">
        <f t="shared" si="278"/>
        <v>2465000</v>
      </c>
      <c r="U453" s="1603">
        <v>37</v>
      </c>
    </row>
    <row r="454" spans="1:21" s="1718" customFormat="1" ht="7" x14ac:dyDescent="0.35">
      <c r="A454" s="1716"/>
      <c r="B454" s="1683">
        <v>11</v>
      </c>
      <c r="C454" s="1684" t="s">
        <v>8030</v>
      </c>
      <c r="D454" s="1684" t="s">
        <v>3084</v>
      </c>
      <c r="E454" s="1685">
        <v>45997</v>
      </c>
      <c r="F454" s="1683" t="s">
        <v>8031</v>
      </c>
      <c r="G454" s="1684">
        <v>2</v>
      </c>
      <c r="H454" s="1684">
        <v>5</v>
      </c>
      <c r="I454" s="1686">
        <v>60</v>
      </c>
      <c r="J454" s="1686">
        <f t="shared" si="276"/>
        <v>48333.333333333336</v>
      </c>
      <c r="K454" s="1686">
        <v>1450000</v>
      </c>
      <c r="L454" s="1686">
        <f>K454*G454</f>
        <v>2900000</v>
      </c>
      <c r="M454" s="1686"/>
      <c r="N454" s="1686"/>
      <c r="O454" s="2705">
        <f t="shared" si="272"/>
        <v>2900000</v>
      </c>
      <c r="P454" s="1686">
        <v>290000</v>
      </c>
      <c r="Q454" s="1686">
        <f t="shared" si="273"/>
        <v>48333.333333333336</v>
      </c>
      <c r="R454" s="1686"/>
      <c r="S454" s="1686">
        <f t="shared" ref="S454" si="279">P454+Q454-R454</f>
        <v>338333.33333333331</v>
      </c>
      <c r="T454" s="1687">
        <f t="shared" ref="T454" si="280">O454-S454</f>
        <v>2561666.6666666665</v>
      </c>
      <c r="U454" s="1603">
        <v>37</v>
      </c>
    </row>
    <row r="455" spans="1:21" s="1718" customFormat="1" ht="7" x14ac:dyDescent="0.35">
      <c r="A455" s="1716"/>
      <c r="B455" s="1683">
        <v>12</v>
      </c>
      <c r="C455" s="1684" t="s">
        <v>7971</v>
      </c>
      <c r="D455" s="1684" t="s">
        <v>3084</v>
      </c>
      <c r="E455" s="1685">
        <v>46045</v>
      </c>
      <c r="F455" s="1683" t="s">
        <v>8052</v>
      </c>
      <c r="G455" s="1684">
        <v>1</v>
      </c>
      <c r="H455" s="1684">
        <v>5</v>
      </c>
      <c r="I455" s="1686">
        <v>60</v>
      </c>
      <c r="J455" s="1686">
        <f t="shared" si="276"/>
        <v>29666.666666666668</v>
      </c>
      <c r="K455" s="1686">
        <v>1780000</v>
      </c>
      <c r="L455" s="1686">
        <f>K455*G455</f>
        <v>1780000</v>
      </c>
      <c r="M455" s="1686"/>
      <c r="N455" s="1686"/>
      <c r="O455" s="2705">
        <f t="shared" si="272"/>
        <v>1780000</v>
      </c>
      <c r="P455" s="1686">
        <v>148333.33333333334</v>
      </c>
      <c r="Q455" s="1686">
        <f t="shared" si="273"/>
        <v>29666.666666666668</v>
      </c>
      <c r="R455" s="1686"/>
      <c r="S455" s="1686">
        <f t="shared" ref="S455" si="281">P455+Q455-R455</f>
        <v>178000</v>
      </c>
      <c r="T455" s="1687">
        <f t="shared" ref="T455" si="282">O455-S455</f>
        <v>1602000</v>
      </c>
      <c r="U455" s="1603">
        <v>37</v>
      </c>
    </row>
    <row r="456" spans="1:21" s="1718" customFormat="1" ht="7.5" thickBot="1" x14ac:dyDescent="0.4">
      <c r="A456" s="1719"/>
      <c r="B456" s="1683">
        <v>13</v>
      </c>
      <c r="C456" s="1684"/>
      <c r="D456" s="1684"/>
      <c r="E456" s="1685"/>
      <c r="F456" s="1683"/>
      <c r="G456" s="1684"/>
      <c r="H456" s="1684"/>
      <c r="I456" s="1686"/>
      <c r="J456" s="1686"/>
      <c r="K456" s="1686"/>
      <c r="L456" s="1686"/>
      <c r="M456" s="1686"/>
      <c r="N456" s="1686"/>
      <c r="O456" s="2705">
        <f>L456+M456-N456</f>
        <v>0</v>
      </c>
      <c r="P456" s="1686">
        <v>0</v>
      </c>
      <c r="Q456" s="1686">
        <f t="shared" si="273"/>
        <v>0</v>
      </c>
      <c r="R456" s="1686"/>
      <c r="S456" s="1686">
        <f t="shared" si="274"/>
        <v>0</v>
      </c>
      <c r="T456" s="1687">
        <f t="shared" si="275"/>
        <v>0</v>
      </c>
      <c r="U456" s="1603">
        <v>37</v>
      </c>
    </row>
    <row r="457" spans="1:21" s="1631" customFormat="1" ht="10.5" x14ac:dyDescent="0.35">
      <c r="A457" s="1632"/>
      <c r="B457" s="1648"/>
      <c r="C457" s="1648"/>
      <c r="D457" s="1703"/>
      <c r="E457" s="1697"/>
      <c r="F457" s="1698"/>
      <c r="G457" s="1699"/>
      <c r="H457" s="1697"/>
      <c r="I457" s="1697"/>
      <c r="J457" s="1700">
        <f>SUM(J444:J456)</f>
        <v>634329.7333333334</v>
      </c>
      <c r="K457" s="1700">
        <f t="shared" ref="K457:T457" si="283">SUM(K444:K456)</f>
        <v>26855424</v>
      </c>
      <c r="L457" s="1700">
        <f>SUM(L444:L456)</f>
        <v>35362784</v>
      </c>
      <c r="M457" s="1704">
        <f t="shared" si="283"/>
        <v>0</v>
      </c>
      <c r="N457" s="1700">
        <f t="shared" si="283"/>
        <v>0</v>
      </c>
      <c r="O457" s="1700">
        <f>SUM(O444:O456)</f>
        <v>35362784</v>
      </c>
      <c r="P457" s="1700">
        <f>SUM(P444:P456)</f>
        <v>15213370.800000001</v>
      </c>
      <c r="Q457" s="1700">
        <f t="shared" si="283"/>
        <v>634329.7333333334</v>
      </c>
      <c r="R457" s="1700">
        <f t="shared" si="283"/>
        <v>0</v>
      </c>
      <c r="S457" s="1700">
        <f t="shared" si="283"/>
        <v>15847700.533333333</v>
      </c>
      <c r="T457" s="1700">
        <f t="shared" si="283"/>
        <v>19515083.466666669</v>
      </c>
      <c r="U457" s="1702"/>
    </row>
    <row r="458" spans="1:21" s="1631" customFormat="1" ht="9" customHeight="1" x14ac:dyDescent="0.35">
      <c r="A458" s="1632"/>
      <c r="B458" s="1725">
        <v>7</v>
      </c>
      <c r="C458" s="1645" t="s">
        <v>1591</v>
      </c>
      <c r="D458" s="1636"/>
      <c r="E458" s="1637"/>
      <c r="F458" s="1635"/>
      <c r="G458" s="1636"/>
      <c r="H458" s="1636"/>
      <c r="I458" s="1638"/>
      <c r="J458" s="1638"/>
      <c r="K458" s="1638"/>
      <c r="L458" s="1638"/>
      <c r="M458" s="1638"/>
      <c r="N458" s="1638"/>
      <c r="O458" s="1638"/>
      <c r="P458" s="1638"/>
      <c r="Q458" s="1638"/>
      <c r="R458" s="1638"/>
      <c r="S458" s="1638"/>
      <c r="T458" s="1639"/>
      <c r="U458" s="1640"/>
    </row>
    <row r="459" spans="1:21" s="1718" customFormat="1" ht="7" x14ac:dyDescent="0.35">
      <c r="A459" s="1716"/>
      <c r="B459" s="1683">
        <v>1</v>
      </c>
      <c r="C459" s="1684" t="s">
        <v>7097</v>
      </c>
      <c r="D459" s="1684"/>
      <c r="E459" s="1685">
        <v>45108</v>
      </c>
      <c r="F459" s="1683"/>
      <c r="G459" s="1684" t="s">
        <v>7055</v>
      </c>
      <c r="H459" s="1684">
        <v>4</v>
      </c>
      <c r="I459" s="1686">
        <v>48</v>
      </c>
      <c r="J459" s="1686">
        <v>39062.5</v>
      </c>
      <c r="K459" s="1686">
        <v>1875000</v>
      </c>
      <c r="L459" s="1686">
        <v>1875000</v>
      </c>
      <c r="M459" s="1686"/>
      <c r="N459" s="1686"/>
      <c r="O459" s="2705">
        <f t="shared" ref="O459:O465" si="284">L459+M459-N459</f>
        <v>1875000</v>
      </c>
      <c r="P459" s="1686">
        <v>1367187.5</v>
      </c>
      <c r="Q459" s="1686">
        <v>39062.5</v>
      </c>
      <c r="R459" s="1686"/>
      <c r="S459" s="1686">
        <f t="shared" ref="S459:S460" si="285">P459+Q459-R459</f>
        <v>1406250</v>
      </c>
      <c r="T459" s="1687">
        <f t="shared" ref="T459:T460" si="286">O459-S459</f>
        <v>468750</v>
      </c>
      <c r="U459" s="1603">
        <v>38</v>
      </c>
    </row>
    <row r="460" spans="1:21" s="1718" customFormat="1" ht="7" x14ac:dyDescent="0.35">
      <c r="A460" s="1716"/>
      <c r="B460" s="1683">
        <v>2</v>
      </c>
      <c r="C460" s="1684" t="s">
        <v>7808</v>
      </c>
      <c r="D460" s="1684" t="s">
        <v>7689</v>
      </c>
      <c r="E460" s="1685">
        <v>45894</v>
      </c>
      <c r="F460" s="1683"/>
      <c r="G460" s="1684">
        <v>1</v>
      </c>
      <c r="H460" s="1684">
        <v>5</v>
      </c>
      <c r="I460" s="1686">
        <v>60</v>
      </c>
      <c r="J460" s="1686">
        <f>K460*G460/I460</f>
        <v>22649.083333333332</v>
      </c>
      <c r="K460" s="1686">
        <v>1358945</v>
      </c>
      <c r="L460" s="1686">
        <f>K460*G460</f>
        <v>1358945</v>
      </c>
      <c r="M460" s="1686"/>
      <c r="N460" s="1686"/>
      <c r="O460" s="2705">
        <f t="shared" si="284"/>
        <v>1358945</v>
      </c>
      <c r="P460" s="1686">
        <v>226490.83333333337</v>
      </c>
      <c r="Q460" s="1686">
        <f t="shared" ref="Q460:Q465" si="287">J460</f>
        <v>22649.083333333332</v>
      </c>
      <c r="R460" s="1686"/>
      <c r="S460" s="1686">
        <f t="shared" si="285"/>
        <v>249139.91666666672</v>
      </c>
      <c r="T460" s="1687">
        <f t="shared" si="286"/>
        <v>1109805.0833333333</v>
      </c>
      <c r="U460" s="1603">
        <v>38</v>
      </c>
    </row>
    <row r="461" spans="1:21" s="1718" customFormat="1" ht="7" x14ac:dyDescent="0.35">
      <c r="A461" s="1716"/>
      <c r="B461" s="1683">
        <v>3</v>
      </c>
      <c r="C461" s="1684" t="s">
        <v>7809</v>
      </c>
      <c r="D461" s="1684" t="s">
        <v>7689</v>
      </c>
      <c r="E461" s="1685">
        <v>45894</v>
      </c>
      <c r="F461" s="1683"/>
      <c r="G461" s="1684">
        <v>1</v>
      </c>
      <c r="H461" s="1684">
        <v>5</v>
      </c>
      <c r="I461" s="1686">
        <v>60</v>
      </c>
      <c r="J461" s="1686">
        <f>K461*G461/I461</f>
        <v>6464.583333333333</v>
      </c>
      <c r="K461" s="1686">
        <v>387875</v>
      </c>
      <c r="L461" s="1686">
        <f>K461*G461</f>
        <v>387875</v>
      </c>
      <c r="M461" s="1686"/>
      <c r="N461" s="1686"/>
      <c r="O461" s="2705">
        <f t="shared" si="284"/>
        <v>387875</v>
      </c>
      <c r="P461" s="1686">
        <v>64645.833333333343</v>
      </c>
      <c r="Q461" s="1686">
        <f t="shared" si="287"/>
        <v>6464.583333333333</v>
      </c>
      <c r="R461" s="1686"/>
      <c r="S461" s="1686">
        <f t="shared" ref="S461" si="288">P461+Q461-R461</f>
        <v>71110.416666666672</v>
      </c>
      <c r="T461" s="1687">
        <f t="shared" ref="T461" si="289">O461-S461</f>
        <v>316764.58333333331</v>
      </c>
      <c r="U461" s="1603">
        <v>38</v>
      </c>
    </row>
    <row r="462" spans="1:21" s="1718" customFormat="1" ht="7" x14ac:dyDescent="0.35">
      <c r="A462" s="1716"/>
      <c r="B462" s="1683">
        <v>4</v>
      </c>
      <c r="C462" s="1684" t="s">
        <v>8115</v>
      </c>
      <c r="D462" s="1684" t="s">
        <v>3113</v>
      </c>
      <c r="E462" s="1685">
        <v>46091</v>
      </c>
      <c r="F462" s="1683" t="s">
        <v>8113</v>
      </c>
      <c r="G462" s="1684">
        <v>1</v>
      </c>
      <c r="H462" s="1684">
        <v>5</v>
      </c>
      <c r="I462" s="1686">
        <v>60</v>
      </c>
      <c r="J462" s="1686">
        <f>K462*G462/I462</f>
        <v>22100</v>
      </c>
      <c r="K462" s="1686">
        <v>1326000</v>
      </c>
      <c r="L462" s="1686">
        <f>K462*G462</f>
        <v>1326000</v>
      </c>
      <c r="M462" s="1686"/>
      <c r="N462" s="1686"/>
      <c r="O462" s="2705">
        <f t="shared" si="284"/>
        <v>1326000</v>
      </c>
      <c r="P462" s="1686">
        <v>66300</v>
      </c>
      <c r="Q462" s="1686">
        <f t="shared" si="287"/>
        <v>22100</v>
      </c>
      <c r="R462" s="1686"/>
      <c r="S462" s="1686">
        <f t="shared" ref="S462:S465" si="290">P462+Q462-R462</f>
        <v>88400</v>
      </c>
      <c r="T462" s="1687">
        <f t="shared" ref="T462:T465" si="291">O462-S462</f>
        <v>1237600</v>
      </c>
      <c r="U462" s="1603">
        <v>38</v>
      </c>
    </row>
    <row r="463" spans="1:21" s="1718" customFormat="1" ht="7" x14ac:dyDescent="0.35">
      <c r="A463" s="1716"/>
      <c r="B463" s="1683">
        <v>5</v>
      </c>
      <c r="C463" s="1684" t="s">
        <v>8173</v>
      </c>
      <c r="D463" s="1684" t="s">
        <v>3113</v>
      </c>
      <c r="E463" s="1685">
        <v>46172</v>
      </c>
      <c r="F463" s="1683" t="s">
        <v>8174</v>
      </c>
      <c r="G463" s="1684">
        <v>6</v>
      </c>
      <c r="H463" s="1684">
        <v>5</v>
      </c>
      <c r="I463" s="1686">
        <v>60</v>
      </c>
      <c r="J463" s="1686">
        <f>K463*G463/I463</f>
        <v>195000</v>
      </c>
      <c r="K463" s="1686">
        <v>1950000</v>
      </c>
      <c r="L463" s="1686">
        <f>K463*G463</f>
        <v>11700000</v>
      </c>
      <c r="M463" s="1686"/>
      <c r="N463" s="1686"/>
      <c r="O463" s="2705">
        <f t="shared" si="284"/>
        <v>11700000</v>
      </c>
      <c r="P463" s="1686">
        <v>195000</v>
      </c>
      <c r="Q463" s="1686">
        <f t="shared" si="287"/>
        <v>195000</v>
      </c>
      <c r="R463" s="1686"/>
      <c r="S463" s="1686">
        <f t="shared" si="290"/>
        <v>390000</v>
      </c>
      <c r="T463" s="1687">
        <f t="shared" si="291"/>
        <v>11310000</v>
      </c>
      <c r="U463" s="1603">
        <v>38</v>
      </c>
    </row>
    <row r="464" spans="1:21" s="1718" customFormat="1" ht="7" x14ac:dyDescent="0.35">
      <c r="A464" s="1716"/>
      <c r="B464" s="1683">
        <v>6</v>
      </c>
      <c r="C464" s="1684"/>
      <c r="D464" s="1684"/>
      <c r="E464" s="1685"/>
      <c r="F464" s="1683"/>
      <c r="G464" s="1684"/>
      <c r="H464" s="1684"/>
      <c r="I464" s="1686"/>
      <c r="J464" s="1686"/>
      <c r="K464" s="1686"/>
      <c r="L464" s="1686"/>
      <c r="M464" s="1686"/>
      <c r="N464" s="1686"/>
      <c r="O464" s="2705"/>
      <c r="P464" s="1686"/>
      <c r="Q464" s="1686"/>
      <c r="R464" s="1686"/>
      <c r="S464" s="1686"/>
      <c r="T464" s="1687"/>
      <c r="U464" s="1603"/>
    </row>
    <row r="465" spans="1:22" s="1718" customFormat="1" ht="7.5" thickBot="1" x14ac:dyDescent="0.4">
      <c r="A465" s="1716"/>
      <c r="B465" s="1683"/>
      <c r="C465" s="1684"/>
      <c r="D465" s="1684"/>
      <c r="E465" s="1685"/>
      <c r="F465" s="1683"/>
      <c r="G465" s="1684"/>
      <c r="H465" s="1684"/>
      <c r="I465" s="1686"/>
      <c r="J465" s="1686"/>
      <c r="K465" s="1686"/>
      <c r="L465" s="1686"/>
      <c r="M465" s="1686"/>
      <c r="N465" s="1686"/>
      <c r="O465" s="2705">
        <f t="shared" si="284"/>
        <v>0</v>
      </c>
      <c r="P465" s="1686">
        <v>0</v>
      </c>
      <c r="Q465" s="1686">
        <f t="shared" si="287"/>
        <v>0</v>
      </c>
      <c r="R465" s="1686"/>
      <c r="S465" s="1686">
        <f t="shared" si="290"/>
        <v>0</v>
      </c>
      <c r="T465" s="1687">
        <f t="shared" si="291"/>
        <v>0</v>
      </c>
      <c r="U465" s="1603">
        <v>38</v>
      </c>
    </row>
    <row r="466" spans="1:22" s="1631" customFormat="1" ht="10.5" x14ac:dyDescent="0.35">
      <c r="A466" s="1643"/>
      <c r="B466" s="1648"/>
      <c r="C466" s="1648"/>
      <c r="D466" s="1648"/>
      <c r="E466" s="1703"/>
      <c r="F466" s="1697"/>
      <c r="G466" s="1698"/>
      <c r="H466" s="1699"/>
      <c r="I466" s="1697"/>
      <c r="J466" s="1697">
        <f>SUM(J459:J465)</f>
        <v>285276.16666666663</v>
      </c>
      <c r="K466" s="1700">
        <f t="shared" ref="K466:T466" si="292">SUM(K459:K465)</f>
        <v>6897820</v>
      </c>
      <c r="L466" s="1700">
        <f t="shared" si="292"/>
        <v>16647820</v>
      </c>
      <c r="M466" s="1700">
        <f t="shared" si="292"/>
        <v>0</v>
      </c>
      <c r="N466" s="1704">
        <f t="shared" si="292"/>
        <v>0</v>
      </c>
      <c r="O466" s="1700">
        <f>SUM(O459:O465)</f>
        <v>16647820</v>
      </c>
      <c r="P466" s="1700">
        <f>SUM(P459:P465)</f>
        <v>1919624.1666666667</v>
      </c>
      <c r="Q466" s="1700">
        <f t="shared" si="292"/>
        <v>285276.16666666663</v>
      </c>
      <c r="R466" s="1700">
        <f t="shared" si="292"/>
        <v>0</v>
      </c>
      <c r="S466" s="1700">
        <f t="shared" si="292"/>
        <v>2204900.3333333335</v>
      </c>
      <c r="T466" s="1700">
        <f t="shared" si="292"/>
        <v>14442919.666666666</v>
      </c>
      <c r="U466" s="1700"/>
    </row>
    <row r="467" spans="1:22" s="1631" customFormat="1" ht="7" x14ac:dyDescent="0.35">
      <c r="A467" s="1643"/>
      <c r="B467" s="1725">
        <v>8</v>
      </c>
      <c r="C467" s="1645" t="s">
        <v>1593</v>
      </c>
      <c r="D467" s="1636"/>
      <c r="E467" s="1637"/>
      <c r="F467" s="1635"/>
      <c r="G467" s="1636"/>
      <c r="H467" s="1636"/>
      <c r="I467" s="1638"/>
      <c r="J467" s="1638"/>
      <c r="K467" s="1638"/>
      <c r="L467" s="1638"/>
      <c r="M467" s="1638"/>
      <c r="N467" s="1638"/>
      <c r="O467" s="1638"/>
      <c r="P467" s="1638"/>
      <c r="Q467" s="1638"/>
      <c r="R467" s="1638"/>
      <c r="S467" s="1638"/>
      <c r="T467" s="1639"/>
      <c r="U467" s="1640"/>
    </row>
    <row r="468" spans="1:22" s="1718" customFormat="1" ht="7" x14ac:dyDescent="0.35">
      <c r="A468" s="1716"/>
      <c r="B468" s="1683">
        <v>1</v>
      </c>
      <c r="C468" s="1684" t="s">
        <v>7098</v>
      </c>
      <c r="D468" s="1684"/>
      <c r="E468" s="1685">
        <v>44866</v>
      </c>
      <c r="F468" s="1683"/>
      <c r="G468" s="1684"/>
      <c r="H468" s="1684">
        <v>4</v>
      </c>
      <c r="I468" s="1686">
        <v>48</v>
      </c>
      <c r="J468" s="1686">
        <v>129583.33333333333</v>
      </c>
      <c r="K468" s="1686">
        <v>6220000</v>
      </c>
      <c r="L468" s="1686">
        <v>6220000</v>
      </c>
      <c r="M468" s="1686"/>
      <c r="N468" s="1686"/>
      <c r="O468" s="2705">
        <f t="shared" ref="O468:O477" si="293">L468+M468-N468</f>
        <v>6220000</v>
      </c>
      <c r="P468" s="1686">
        <v>5572079.666666666</v>
      </c>
      <c r="Q468" s="1686">
        <v>129583.33333333333</v>
      </c>
      <c r="R468" s="1686"/>
      <c r="S468" s="1686">
        <f t="shared" ref="S468:S473" si="294">P468+Q468-R468</f>
        <v>5701662.9999999991</v>
      </c>
      <c r="T468" s="1687">
        <f t="shared" ref="T468:T473" si="295">O468-S468</f>
        <v>518337.00000000093</v>
      </c>
      <c r="U468" s="1603">
        <v>39</v>
      </c>
    </row>
    <row r="469" spans="1:22" s="1718" customFormat="1" ht="7" x14ac:dyDescent="0.35">
      <c r="A469" s="1716"/>
      <c r="B469" s="1683">
        <v>2</v>
      </c>
      <c r="C469" s="1684" t="s">
        <v>7099</v>
      </c>
      <c r="D469" s="1684"/>
      <c r="E469" s="1685">
        <v>45231</v>
      </c>
      <c r="F469" s="1683"/>
      <c r="G469" s="1684" t="s">
        <v>6952</v>
      </c>
      <c r="H469" s="1684">
        <v>4</v>
      </c>
      <c r="I469" s="1686">
        <v>48</v>
      </c>
      <c r="J469" s="1686">
        <v>55208.333333333336</v>
      </c>
      <c r="K469" s="1686">
        <v>2650000</v>
      </c>
      <c r="L469" s="1686">
        <v>2650000</v>
      </c>
      <c r="M469" s="1686"/>
      <c r="N469" s="1686"/>
      <c r="O469" s="2705">
        <f t="shared" si="293"/>
        <v>2650000</v>
      </c>
      <c r="P469" s="1686">
        <v>1711458.3333333363</v>
      </c>
      <c r="Q469" s="1686">
        <v>55208.333333333336</v>
      </c>
      <c r="R469" s="1686"/>
      <c r="S469" s="1686">
        <f t="shared" si="294"/>
        <v>1766666.6666666695</v>
      </c>
      <c r="T469" s="1687">
        <f t="shared" si="295"/>
        <v>883333.33333333046</v>
      </c>
      <c r="U469" s="1603">
        <v>39</v>
      </c>
    </row>
    <row r="470" spans="1:22" s="1718" customFormat="1" ht="7" x14ac:dyDescent="0.35">
      <c r="A470" s="1719"/>
      <c r="B470" s="1683">
        <v>3</v>
      </c>
      <c r="C470" s="1684" t="s">
        <v>7098</v>
      </c>
      <c r="D470" s="1684"/>
      <c r="E470" s="1685">
        <v>44743</v>
      </c>
      <c r="F470" s="1683"/>
      <c r="G470" s="1684"/>
      <c r="H470" s="1684">
        <v>4</v>
      </c>
      <c r="I470" s="1686">
        <v>48</v>
      </c>
      <c r="J470" s="1686">
        <v>47062.5</v>
      </c>
      <c r="K470" s="1686">
        <v>2259000</v>
      </c>
      <c r="L470" s="1686">
        <v>2259000</v>
      </c>
      <c r="M470" s="1686"/>
      <c r="N470" s="1686"/>
      <c r="O470" s="2705">
        <f t="shared" si="293"/>
        <v>2259000</v>
      </c>
      <c r="P470" s="1686">
        <v>2211937.5</v>
      </c>
      <c r="Q470" s="1686">
        <v>47062.5</v>
      </c>
      <c r="R470" s="1686"/>
      <c r="S470" s="1686">
        <f t="shared" si="294"/>
        <v>2259000</v>
      </c>
      <c r="T470" s="1687">
        <f t="shared" si="295"/>
        <v>0</v>
      </c>
      <c r="U470" s="1603">
        <v>39</v>
      </c>
    </row>
    <row r="471" spans="1:22" s="1718" customFormat="1" ht="7" x14ac:dyDescent="0.35">
      <c r="A471" s="1719"/>
      <c r="B471" s="1683">
        <v>4</v>
      </c>
      <c r="C471" s="1684" t="s">
        <v>7165</v>
      </c>
      <c r="D471" s="1684"/>
      <c r="E471" s="1685">
        <v>45426</v>
      </c>
      <c r="F471" s="1683"/>
      <c r="G471" s="1684">
        <v>1</v>
      </c>
      <c r="H471" s="1684">
        <v>5</v>
      </c>
      <c r="I471" s="1686">
        <v>60</v>
      </c>
      <c r="J471" s="1686">
        <f>K471*G471/I471</f>
        <v>5000</v>
      </c>
      <c r="K471" s="1686">
        <v>300000</v>
      </c>
      <c r="L471" s="1686">
        <v>300000</v>
      </c>
      <c r="M471" s="1686"/>
      <c r="N471" s="1686"/>
      <c r="O471" s="2705">
        <f t="shared" si="293"/>
        <v>300000</v>
      </c>
      <c r="P471" s="1686">
        <v>125000</v>
      </c>
      <c r="Q471" s="1686">
        <f>J471</f>
        <v>5000</v>
      </c>
      <c r="R471" s="1686"/>
      <c r="S471" s="1686">
        <f t="shared" si="294"/>
        <v>130000</v>
      </c>
      <c r="T471" s="1687">
        <f t="shared" si="295"/>
        <v>170000</v>
      </c>
      <c r="U471" s="1603">
        <v>39</v>
      </c>
    </row>
    <row r="472" spans="1:22" s="1718" customFormat="1" ht="7" x14ac:dyDescent="0.35">
      <c r="A472" s="1719"/>
      <c r="B472" s="1683">
        <v>5</v>
      </c>
      <c r="C472" s="1684" t="s">
        <v>7358</v>
      </c>
      <c r="D472" s="1684" t="s">
        <v>7315</v>
      </c>
      <c r="E472" s="1685">
        <v>45488</v>
      </c>
      <c r="F472" s="1683" t="s">
        <v>7359</v>
      </c>
      <c r="G472" s="1684">
        <v>1</v>
      </c>
      <c r="H472" s="1684">
        <v>5</v>
      </c>
      <c r="I472" s="1686">
        <v>60</v>
      </c>
      <c r="J472" s="1686">
        <f t="shared" ref="J472" si="296">K472*G472/I472</f>
        <v>105000</v>
      </c>
      <c r="K472" s="1686">
        <v>6300000</v>
      </c>
      <c r="L472" s="1686">
        <v>6300000</v>
      </c>
      <c r="M472" s="1686"/>
      <c r="N472" s="1686"/>
      <c r="O472" s="2705">
        <f t="shared" si="293"/>
        <v>6300000</v>
      </c>
      <c r="P472" s="1686">
        <v>2415000</v>
      </c>
      <c r="Q472" s="1686">
        <f t="shared" ref="Q472:Q477" si="297">J472</f>
        <v>105000</v>
      </c>
      <c r="R472" s="1686"/>
      <c r="S472" s="1686">
        <f t="shared" si="294"/>
        <v>2520000</v>
      </c>
      <c r="T472" s="1687">
        <f t="shared" si="295"/>
        <v>3780000</v>
      </c>
      <c r="U472" s="1603">
        <v>39</v>
      </c>
    </row>
    <row r="473" spans="1:22" s="1718" customFormat="1" ht="7" x14ac:dyDescent="0.35">
      <c r="A473" s="1719"/>
      <c r="B473" s="1683">
        <v>6</v>
      </c>
      <c r="C473" s="1684" t="s">
        <v>7080</v>
      </c>
      <c r="D473" s="1684" t="s">
        <v>7562</v>
      </c>
      <c r="E473" s="1685">
        <v>45555</v>
      </c>
      <c r="F473" s="1683" t="s">
        <v>7563</v>
      </c>
      <c r="G473" s="1684">
        <v>2</v>
      </c>
      <c r="H473" s="1684">
        <v>5</v>
      </c>
      <c r="I473" s="1686">
        <v>60</v>
      </c>
      <c r="J473" s="2887">
        <f>K473*G473/I473</f>
        <v>490000</v>
      </c>
      <c r="K473" s="1686">
        <f>29400000/2</f>
        <v>14700000</v>
      </c>
      <c r="L473" s="1686">
        <v>29400000</v>
      </c>
      <c r="M473" s="1686"/>
      <c r="N473" s="1686"/>
      <c r="O473" s="2705">
        <f t="shared" si="293"/>
        <v>29400000</v>
      </c>
      <c r="P473" s="1686">
        <v>10290000</v>
      </c>
      <c r="Q473" s="1686">
        <f t="shared" si="297"/>
        <v>490000</v>
      </c>
      <c r="R473" s="1686"/>
      <c r="S473" s="1686">
        <f t="shared" si="294"/>
        <v>10780000</v>
      </c>
      <c r="T473" s="1687">
        <f t="shared" si="295"/>
        <v>18620000</v>
      </c>
      <c r="U473" s="1603">
        <v>39</v>
      </c>
    </row>
    <row r="474" spans="1:22" s="1718" customFormat="1" ht="7" x14ac:dyDescent="0.35">
      <c r="A474" s="1719"/>
      <c r="B474" s="1683">
        <v>7</v>
      </c>
      <c r="C474" s="1684" t="s">
        <v>7582</v>
      </c>
      <c r="D474" s="1684" t="s">
        <v>7583</v>
      </c>
      <c r="E474" s="1685">
        <v>45595</v>
      </c>
      <c r="F474" s="1683" t="s">
        <v>7567</v>
      </c>
      <c r="G474" s="1684">
        <v>1</v>
      </c>
      <c r="H474" s="1684">
        <v>5</v>
      </c>
      <c r="I474" s="1686">
        <v>60</v>
      </c>
      <c r="J474" s="2887">
        <f>K474*G474/I474</f>
        <v>40433.833333333336</v>
      </c>
      <c r="K474" s="1686">
        <v>2426030</v>
      </c>
      <c r="L474" s="1686">
        <v>2426030</v>
      </c>
      <c r="M474" s="1686"/>
      <c r="N474" s="1686"/>
      <c r="O474" s="2705">
        <f t="shared" si="293"/>
        <v>2426030</v>
      </c>
      <c r="P474" s="1686">
        <v>808676.66666666686</v>
      </c>
      <c r="Q474" s="1686">
        <f t="shared" si="297"/>
        <v>40433.833333333336</v>
      </c>
      <c r="R474" s="1686"/>
      <c r="S474" s="1686">
        <f t="shared" ref="S474:S477" si="298">P474+Q474-R474</f>
        <v>849110.50000000023</v>
      </c>
      <c r="T474" s="1687">
        <f t="shared" ref="T474:T477" si="299">O474-S474</f>
        <v>1576919.4999999998</v>
      </c>
      <c r="U474" s="1603">
        <v>39</v>
      </c>
    </row>
    <row r="475" spans="1:22" s="1718" customFormat="1" ht="7" x14ac:dyDescent="0.35">
      <c r="A475" s="1719"/>
      <c r="B475" s="1683">
        <v>8</v>
      </c>
      <c r="C475" s="1684" t="s">
        <v>7663</v>
      </c>
      <c r="D475" s="1684" t="s">
        <v>7569</v>
      </c>
      <c r="E475" s="1685">
        <v>45716</v>
      </c>
      <c r="F475" s="1683" t="s">
        <v>7660</v>
      </c>
      <c r="G475" s="1684">
        <v>1</v>
      </c>
      <c r="H475" s="1684">
        <v>5</v>
      </c>
      <c r="I475" s="1686">
        <v>60</v>
      </c>
      <c r="J475" s="2887">
        <f>K475*G475/I475</f>
        <v>100666.66666666667</v>
      </c>
      <c r="K475" s="1686">
        <v>6040000</v>
      </c>
      <c r="L475" s="1686">
        <f>K475*G475</f>
        <v>6040000</v>
      </c>
      <c r="M475" s="1686"/>
      <c r="N475" s="1686"/>
      <c r="O475" s="2705">
        <f t="shared" si="293"/>
        <v>6040000</v>
      </c>
      <c r="P475" s="1686">
        <v>1610666.666666667</v>
      </c>
      <c r="Q475" s="1686">
        <f t="shared" si="297"/>
        <v>100666.66666666667</v>
      </c>
      <c r="R475" s="1686"/>
      <c r="S475" s="1686">
        <f t="shared" si="298"/>
        <v>1711333.3333333337</v>
      </c>
      <c r="T475" s="1687">
        <f t="shared" si="299"/>
        <v>4328666.666666666</v>
      </c>
      <c r="U475" s="1603">
        <v>39</v>
      </c>
    </row>
    <row r="476" spans="1:22" s="1718" customFormat="1" ht="7" x14ac:dyDescent="0.35">
      <c r="A476" s="1719"/>
      <c r="B476" s="1683">
        <v>9</v>
      </c>
      <c r="C476" s="1684"/>
      <c r="D476" s="1684"/>
      <c r="E476" s="1685"/>
      <c r="F476" s="1683"/>
      <c r="G476" s="1684"/>
      <c r="H476" s="1684"/>
      <c r="I476" s="1686"/>
      <c r="J476" s="2887"/>
      <c r="K476" s="1686"/>
      <c r="L476" s="1686"/>
      <c r="M476" s="1686"/>
      <c r="N476" s="1686"/>
      <c r="O476" s="2705">
        <f t="shared" si="293"/>
        <v>0</v>
      </c>
      <c r="P476" s="1686">
        <v>0</v>
      </c>
      <c r="Q476" s="1686">
        <f t="shared" si="297"/>
        <v>0</v>
      </c>
      <c r="R476" s="1686"/>
      <c r="S476" s="1686">
        <f t="shared" si="298"/>
        <v>0</v>
      </c>
      <c r="T476" s="1687">
        <f t="shared" si="299"/>
        <v>0</v>
      </c>
      <c r="U476" s="1603">
        <v>39</v>
      </c>
    </row>
    <row r="477" spans="1:22" s="1718" customFormat="1" ht="7.5" thickBot="1" x14ac:dyDescent="0.4">
      <c r="A477" s="1716"/>
      <c r="B477" s="1683">
        <v>10</v>
      </c>
      <c r="C477" s="1684"/>
      <c r="D477" s="1684"/>
      <c r="E477" s="1685"/>
      <c r="F477" s="1683"/>
      <c r="G477" s="1684"/>
      <c r="H477" s="1684"/>
      <c r="I477" s="1686"/>
      <c r="J477" s="1686"/>
      <c r="K477" s="1686"/>
      <c r="L477" s="1686"/>
      <c r="M477" s="1686"/>
      <c r="N477" s="1686"/>
      <c r="O477" s="2705">
        <f t="shared" si="293"/>
        <v>0</v>
      </c>
      <c r="P477" s="1686">
        <v>0</v>
      </c>
      <c r="Q477" s="1686">
        <f t="shared" si="297"/>
        <v>0</v>
      </c>
      <c r="R477" s="1686"/>
      <c r="S477" s="1686">
        <f t="shared" si="298"/>
        <v>0</v>
      </c>
      <c r="T477" s="1687">
        <f t="shared" si="299"/>
        <v>0</v>
      </c>
      <c r="U477" s="1603">
        <v>39</v>
      </c>
    </row>
    <row r="478" spans="1:22" s="1631" customFormat="1" ht="10.5" x14ac:dyDescent="0.35">
      <c r="A478" s="1632"/>
      <c r="B478" s="1648"/>
      <c r="C478" s="1648"/>
      <c r="D478" s="1648"/>
      <c r="E478" s="1703"/>
      <c r="F478" s="1697"/>
      <c r="G478" s="1698"/>
      <c r="H478" s="1699"/>
      <c r="I478" s="1697"/>
      <c r="J478" s="1697">
        <f>SUM(J468:J477)</f>
        <v>972954.66666666663</v>
      </c>
      <c r="K478" s="1700">
        <f t="shared" ref="K478:T478" si="300">SUM(K468:K477)</f>
        <v>40895030</v>
      </c>
      <c r="L478" s="1700">
        <f t="shared" si="300"/>
        <v>55595030</v>
      </c>
      <c r="M478" s="1700">
        <f t="shared" si="300"/>
        <v>0</v>
      </c>
      <c r="N478" s="1704">
        <f t="shared" si="300"/>
        <v>0</v>
      </c>
      <c r="O478" s="1700">
        <f>SUM(O468:O477)</f>
        <v>55595030</v>
      </c>
      <c r="P478" s="1700">
        <f>SUM(P468:P477)</f>
        <v>24744818.833333336</v>
      </c>
      <c r="Q478" s="1700">
        <f>SUM(Q468:Q477)</f>
        <v>972954.66666666663</v>
      </c>
      <c r="R478" s="1700">
        <f t="shared" si="300"/>
        <v>0</v>
      </c>
      <c r="S478" s="1700">
        <f t="shared" si="300"/>
        <v>25717773.5</v>
      </c>
      <c r="T478" s="1700">
        <f t="shared" si="300"/>
        <v>29877256.5</v>
      </c>
      <c r="U478" s="1640"/>
    </row>
    <row r="479" spans="1:22" s="1631" customFormat="1" ht="7.5" thickBot="1" x14ac:dyDescent="0.4">
      <c r="A479" s="1632"/>
      <c r="B479" s="1635"/>
      <c r="C479" s="1636"/>
      <c r="D479" s="1636"/>
      <c r="E479" s="1637"/>
      <c r="F479" s="1635"/>
      <c r="G479" s="1636"/>
      <c r="H479" s="1636"/>
      <c r="I479" s="1638"/>
      <c r="J479" s="1638"/>
      <c r="K479" s="1638"/>
      <c r="L479" s="1638"/>
      <c r="M479" s="1638"/>
      <c r="N479" s="1638"/>
      <c r="O479" s="1638"/>
      <c r="P479" s="1638"/>
      <c r="Q479" s="1638"/>
      <c r="R479" s="1638"/>
      <c r="S479" s="1638"/>
      <c r="T479" s="1639"/>
      <c r="U479" s="1640"/>
    </row>
    <row r="480" spans="1:22" s="1631" customFormat="1" ht="12" thickBot="1" x14ac:dyDescent="0.4">
      <c r="A480" s="1740"/>
      <c r="B480" s="1741"/>
      <c r="C480" s="1742" t="s">
        <v>3116</v>
      </c>
      <c r="D480" s="1742"/>
      <c r="E480" s="1743"/>
      <c r="F480" s="1744"/>
      <c r="G480" s="1742"/>
      <c r="H480" s="1742"/>
      <c r="I480" s="1745"/>
      <c r="J480" s="1745">
        <f t="shared" ref="J480:T480" si="301">J478+J466+J457+J442+J432+J400+J372+J356</f>
        <v>28028750.883366663</v>
      </c>
      <c r="K480" s="1745">
        <f t="shared" si="301"/>
        <v>1003164280.7137262</v>
      </c>
      <c r="L480" s="1745">
        <f t="shared" si="301"/>
        <v>1464478553.0019999</v>
      </c>
      <c r="M480" s="1745">
        <f t="shared" si="301"/>
        <v>1500000</v>
      </c>
      <c r="N480" s="1745">
        <f t="shared" si="301"/>
        <v>0</v>
      </c>
      <c r="O480" s="1745">
        <f t="shared" si="301"/>
        <v>1465978553.0019999</v>
      </c>
      <c r="P480" s="1745">
        <f t="shared" si="301"/>
        <v>912188919.68801105</v>
      </c>
      <c r="Q480" s="1745">
        <f t="shared" si="301"/>
        <v>18917086.216700003</v>
      </c>
      <c r="R480" s="1745">
        <f t="shared" si="301"/>
        <v>0</v>
      </c>
      <c r="S480" s="1745">
        <f t="shared" si="301"/>
        <v>931106005.90471113</v>
      </c>
      <c r="T480" s="1746">
        <f t="shared" si="301"/>
        <v>534872547.09728903</v>
      </c>
      <c r="U480" s="1652">
        <f>O480-S480</f>
        <v>534872547.09728873</v>
      </c>
      <c r="V480" s="1653">
        <f>T480-U480</f>
        <v>0</v>
      </c>
    </row>
    <row r="481" spans="1:22" s="1631" customFormat="1" ht="7" x14ac:dyDescent="0.35">
      <c r="A481" s="1632"/>
      <c r="B481" s="1635"/>
      <c r="C481" s="1636"/>
      <c r="D481" s="1636"/>
      <c r="E481" s="1637"/>
      <c r="F481" s="1635"/>
      <c r="G481" s="1636"/>
      <c r="H481" s="1636"/>
      <c r="I481" s="1638">
        <f t="shared" ref="I481" si="302">12*H481</f>
        <v>0</v>
      </c>
      <c r="J481" s="1638"/>
      <c r="K481" s="1638"/>
      <c r="L481" s="1638"/>
      <c r="M481" s="1638"/>
      <c r="N481" s="1638"/>
      <c r="O481" s="1638"/>
      <c r="P481" s="1638"/>
      <c r="Q481" s="1638"/>
      <c r="R481" s="1638"/>
      <c r="S481" s="1638"/>
      <c r="T481" s="1639"/>
      <c r="U481" s="1640"/>
    </row>
    <row r="482" spans="1:22" s="1631" customFormat="1" ht="7" x14ac:dyDescent="0.35">
      <c r="A482" s="1643">
        <v>5</v>
      </c>
      <c r="B482" s="1644" t="s">
        <v>3109</v>
      </c>
      <c r="C482" s="1645"/>
      <c r="D482" s="1636"/>
      <c r="E482" s="1637"/>
      <c r="F482" s="1635"/>
      <c r="G482" s="1636"/>
      <c r="H482" s="1636"/>
      <c r="I482" s="1638">
        <f>12*H482</f>
        <v>0</v>
      </c>
      <c r="J482" s="1638"/>
      <c r="K482" s="1638"/>
      <c r="L482" s="1638"/>
      <c r="M482" s="1638"/>
      <c r="N482" s="1638"/>
      <c r="O482" s="1638"/>
      <c r="P482" s="1638"/>
      <c r="Q482" s="1638"/>
      <c r="R482" s="1638"/>
      <c r="S482" s="1638"/>
      <c r="T482" s="1639"/>
      <c r="U482" s="1640"/>
    </row>
    <row r="483" spans="1:22" s="1642" customFormat="1" ht="7" x14ac:dyDescent="0.35">
      <c r="A483" s="1632"/>
      <c r="B483" s="1635">
        <v>1</v>
      </c>
      <c r="C483" s="1636" t="s">
        <v>7102</v>
      </c>
      <c r="D483" s="1636" t="s">
        <v>6947</v>
      </c>
      <c r="E483" s="1637">
        <v>44283</v>
      </c>
      <c r="F483" s="1635"/>
      <c r="G483" s="1636" t="s">
        <v>7103</v>
      </c>
      <c r="H483" s="1636">
        <v>5</v>
      </c>
      <c r="I483" s="1638">
        <v>60</v>
      </c>
      <c r="J483" s="1638">
        <v>1333333.3333333333</v>
      </c>
      <c r="K483" s="1638">
        <v>80000000</v>
      </c>
      <c r="L483" s="1638">
        <v>80000000</v>
      </c>
      <c r="M483" s="1638"/>
      <c r="N483" s="1638"/>
      <c r="O483" s="2705">
        <f t="shared" ref="O483:O487" si="303">L483+M483-N483</f>
        <v>80000000</v>
      </c>
      <c r="P483" s="1638">
        <v>79999998.999999985</v>
      </c>
      <c r="Q483" s="1638">
        <v>0</v>
      </c>
      <c r="R483" s="1638"/>
      <c r="S483" s="1686">
        <f t="shared" ref="S483" si="304">P483+Q483-R483</f>
        <v>79999998.999999985</v>
      </c>
      <c r="T483" s="1687">
        <f t="shared" ref="T483" si="305">O483-S483</f>
        <v>1.0000000149011612</v>
      </c>
      <c r="U483" s="1640">
        <v>42</v>
      </c>
    </row>
    <row r="484" spans="1:22" s="1642" customFormat="1" ht="7" x14ac:dyDescent="0.35">
      <c r="A484" s="1632"/>
      <c r="B484" s="1635">
        <v>2</v>
      </c>
      <c r="C484" s="1636" t="s">
        <v>8058</v>
      </c>
      <c r="D484" s="1636" t="s">
        <v>6947</v>
      </c>
      <c r="E484" s="1637">
        <v>46053</v>
      </c>
      <c r="F484" s="1635" t="s">
        <v>8055</v>
      </c>
      <c r="G484" s="1636">
        <v>1</v>
      </c>
      <c r="H484" s="1636">
        <v>8</v>
      </c>
      <c r="I484" s="1638">
        <v>96</v>
      </c>
      <c r="J484" s="1638">
        <f>K484*G484/I484</f>
        <v>1093750</v>
      </c>
      <c r="K484" s="1638">
        <v>105000000</v>
      </c>
      <c r="L484" s="1638">
        <f>K484*G484</f>
        <v>105000000</v>
      </c>
      <c r="M484" s="1638"/>
      <c r="N484" s="1638"/>
      <c r="O484" s="2705">
        <f t="shared" si="303"/>
        <v>105000000</v>
      </c>
      <c r="P484" s="1638">
        <v>5468750</v>
      </c>
      <c r="Q484" s="1638">
        <f>J484</f>
        <v>1093750</v>
      </c>
      <c r="R484" s="1638"/>
      <c r="S484" s="1686">
        <f t="shared" ref="S484:S487" si="306">P484+Q484-R484</f>
        <v>6562500</v>
      </c>
      <c r="T484" s="1687">
        <f t="shared" ref="T484:T487" si="307">O484-S484</f>
        <v>98437500</v>
      </c>
      <c r="U484" s="1640">
        <v>42</v>
      </c>
    </row>
    <row r="485" spans="1:22" s="1642" customFormat="1" ht="7" x14ac:dyDescent="0.35">
      <c r="A485" s="1632"/>
      <c r="B485" s="1635">
        <v>3</v>
      </c>
      <c r="C485" s="1636" t="s">
        <v>8059</v>
      </c>
      <c r="D485" s="1636" t="s">
        <v>6947</v>
      </c>
      <c r="E485" s="1637">
        <v>46053</v>
      </c>
      <c r="F485" s="1635" t="s">
        <v>8055</v>
      </c>
      <c r="G485" s="1636">
        <v>1</v>
      </c>
      <c r="H485" s="1636">
        <v>8</v>
      </c>
      <c r="I485" s="1638">
        <v>96</v>
      </c>
      <c r="J485" s="1638">
        <f>K485*G485/I485</f>
        <v>937500</v>
      </c>
      <c r="K485" s="1638">
        <v>90000000</v>
      </c>
      <c r="L485" s="1638">
        <f>K485*G485</f>
        <v>90000000</v>
      </c>
      <c r="M485" s="1638"/>
      <c r="N485" s="1638"/>
      <c r="O485" s="2705">
        <f t="shared" si="303"/>
        <v>90000000</v>
      </c>
      <c r="P485" s="1638">
        <v>4687500</v>
      </c>
      <c r="Q485" s="1638">
        <f t="shared" ref="Q485:Q486" si="308">J485</f>
        <v>937500</v>
      </c>
      <c r="R485" s="1638"/>
      <c r="S485" s="1686">
        <f t="shared" ref="S485:S486" si="309">P485+Q485-R485</f>
        <v>5625000</v>
      </c>
      <c r="T485" s="1687">
        <f t="shared" ref="T485:T486" si="310">O485-S485</f>
        <v>84375000</v>
      </c>
      <c r="U485" s="1640">
        <v>42</v>
      </c>
    </row>
    <row r="486" spans="1:22" s="1642" customFormat="1" ht="7" x14ac:dyDescent="0.35">
      <c r="A486" s="1632"/>
      <c r="B486" s="1635">
        <v>4</v>
      </c>
      <c r="C486" s="1636"/>
      <c r="D486" s="1636"/>
      <c r="E486" s="1637"/>
      <c r="F486" s="1635"/>
      <c r="G486" s="1636"/>
      <c r="H486" s="1636"/>
      <c r="I486" s="1638"/>
      <c r="J486" s="1638"/>
      <c r="K486" s="1638"/>
      <c r="L486" s="1638"/>
      <c r="M486" s="1638"/>
      <c r="N486" s="1638"/>
      <c r="O486" s="2705">
        <f t="shared" si="303"/>
        <v>0</v>
      </c>
      <c r="P486" s="1638">
        <v>0</v>
      </c>
      <c r="Q486" s="1638">
        <f t="shared" si="308"/>
        <v>0</v>
      </c>
      <c r="R486" s="1638"/>
      <c r="S486" s="1686">
        <f t="shared" si="309"/>
        <v>0</v>
      </c>
      <c r="T486" s="1687">
        <f t="shared" si="310"/>
        <v>0</v>
      </c>
      <c r="U486" s="1640">
        <v>42</v>
      </c>
    </row>
    <row r="487" spans="1:22" ht="12" thickBot="1" x14ac:dyDescent="0.4">
      <c r="A487" s="1632"/>
      <c r="B487" s="1635">
        <v>5</v>
      </c>
      <c r="C487" s="1636"/>
      <c r="D487" s="1636"/>
      <c r="E487" s="1637"/>
      <c r="F487" s="1635"/>
      <c r="G487" s="1636"/>
      <c r="H487" s="1636"/>
      <c r="I487" s="1638"/>
      <c r="J487" s="1638"/>
      <c r="K487" s="1638"/>
      <c r="L487" s="1638"/>
      <c r="M487" s="1638"/>
      <c r="N487" s="1638"/>
      <c r="O487" s="2705">
        <f t="shared" si="303"/>
        <v>0</v>
      </c>
      <c r="P487" s="1638">
        <v>0</v>
      </c>
      <c r="Q487" s="1638"/>
      <c r="R487" s="1638"/>
      <c r="S487" s="1686">
        <f t="shared" si="306"/>
        <v>0</v>
      </c>
      <c r="T487" s="1687">
        <f t="shared" si="307"/>
        <v>0</v>
      </c>
      <c r="U487" s="1640">
        <v>42</v>
      </c>
    </row>
    <row r="488" spans="1:22" x14ac:dyDescent="0.35">
      <c r="A488" s="1632"/>
      <c r="B488" s="1648"/>
      <c r="C488" s="1703" t="s">
        <v>1597</v>
      </c>
      <c r="D488" s="1697"/>
      <c r="E488" s="1698"/>
      <c r="F488" s="1699"/>
      <c r="G488" s="1697"/>
      <c r="H488" s="1697"/>
      <c r="I488" s="1700"/>
      <c r="J488" s="1700">
        <f>SUM(J483:J487)</f>
        <v>3364583.333333333</v>
      </c>
      <c r="K488" s="1700">
        <f t="shared" ref="K488:T488" si="311">SUM(K483:K487)</f>
        <v>275000000</v>
      </c>
      <c r="L488" s="1700">
        <f t="shared" si="311"/>
        <v>275000000</v>
      </c>
      <c r="M488" s="1700">
        <f t="shared" si="311"/>
        <v>0</v>
      </c>
      <c r="N488" s="1700">
        <f t="shared" si="311"/>
        <v>0</v>
      </c>
      <c r="O488" s="1700">
        <f t="shared" si="311"/>
        <v>275000000</v>
      </c>
      <c r="P488" s="1700">
        <f t="shared" si="311"/>
        <v>90156248.999999985</v>
      </c>
      <c r="Q488" s="1700">
        <f>SUM(Q483:Q487)</f>
        <v>2031250</v>
      </c>
      <c r="R488" s="1700">
        <f t="shared" si="311"/>
        <v>0</v>
      </c>
      <c r="S488" s="1700">
        <f t="shared" si="311"/>
        <v>92187498.999999985</v>
      </c>
      <c r="T488" s="1702">
        <f t="shared" si="311"/>
        <v>182812501</v>
      </c>
      <c r="U488" s="1640"/>
    </row>
    <row r="489" spans="1:22" x14ac:dyDescent="0.35">
      <c r="A489" s="1632"/>
      <c r="B489" s="1635"/>
      <c r="C489" s="1636"/>
      <c r="D489" s="1636"/>
      <c r="E489" s="1637"/>
      <c r="F489" s="1635"/>
      <c r="G489" s="1636"/>
      <c r="H489" s="1636"/>
      <c r="I489" s="1638"/>
      <c r="J489" s="1638"/>
      <c r="K489" s="1638"/>
      <c r="L489" s="1638"/>
      <c r="M489" s="1638"/>
      <c r="N489" s="1638"/>
      <c r="O489" s="1638"/>
      <c r="P489" s="1638"/>
      <c r="Q489" s="1638"/>
      <c r="R489" s="1638"/>
      <c r="S489" s="1638"/>
      <c r="T489" s="1639"/>
      <c r="U489" s="1640"/>
    </row>
    <row r="490" spans="1:22" x14ac:dyDescent="0.35">
      <c r="A490" s="1719"/>
      <c r="B490" s="1683">
        <v>1</v>
      </c>
      <c r="C490" s="1684" t="s">
        <v>7104</v>
      </c>
      <c r="D490" s="1684" t="s">
        <v>6947</v>
      </c>
      <c r="E490" s="1685">
        <v>44957</v>
      </c>
      <c r="F490" s="1683"/>
      <c r="G490" s="1684" t="s">
        <v>6952</v>
      </c>
      <c r="H490" s="1684">
        <v>5</v>
      </c>
      <c r="I490" s="1686">
        <v>60</v>
      </c>
      <c r="J490" s="1686">
        <v>158333.33333333334</v>
      </c>
      <c r="K490" s="1686">
        <v>9500000</v>
      </c>
      <c r="L490" s="1686">
        <v>9500000</v>
      </c>
      <c r="M490" s="1686"/>
      <c r="N490" s="1686"/>
      <c r="O490" s="2705">
        <f t="shared" ref="O490:O492" si="312">L490+M490-N490</f>
        <v>9500000</v>
      </c>
      <c r="P490" s="1686">
        <v>6491444.6629999932</v>
      </c>
      <c r="Q490" s="1686">
        <v>158333.33333333334</v>
      </c>
      <c r="R490" s="1686"/>
      <c r="S490" s="1686">
        <f t="shared" ref="S490" si="313">P490+Q490-R490</f>
        <v>6649777.9963333262</v>
      </c>
      <c r="T490" s="1687">
        <f>O490-S490</f>
        <v>2850222.0036666738</v>
      </c>
      <c r="U490" s="1603">
        <v>43</v>
      </c>
      <c r="V490" s="1555"/>
    </row>
    <row r="491" spans="1:22" x14ac:dyDescent="0.35">
      <c r="A491" s="1719"/>
      <c r="B491" s="1683">
        <v>2</v>
      </c>
      <c r="C491" s="1684" t="s">
        <v>8056</v>
      </c>
      <c r="D491" s="1684" t="s">
        <v>6947</v>
      </c>
      <c r="E491" s="1685">
        <v>46052</v>
      </c>
      <c r="F491" s="1683" t="s">
        <v>8055</v>
      </c>
      <c r="G491" s="1684">
        <v>1</v>
      </c>
      <c r="H491" s="1684">
        <v>8</v>
      </c>
      <c r="I491" s="1686">
        <f>H491*12</f>
        <v>96</v>
      </c>
      <c r="J491" s="1686">
        <f>K491*G491/I491</f>
        <v>72916.666666666672</v>
      </c>
      <c r="K491" s="1686">
        <v>7000000</v>
      </c>
      <c r="L491" s="1686">
        <f>K491*G491</f>
        <v>7000000</v>
      </c>
      <c r="M491" s="1638"/>
      <c r="N491" s="1686"/>
      <c r="O491" s="2705">
        <f t="shared" si="312"/>
        <v>7000000</v>
      </c>
      <c r="P491" s="1686">
        <v>364583.33333333337</v>
      </c>
      <c r="Q491" s="1686">
        <f>J491</f>
        <v>72916.666666666672</v>
      </c>
      <c r="R491" s="1686"/>
      <c r="S491" s="1686">
        <f t="shared" ref="S491:S492" si="314">P491+Q491-R491</f>
        <v>437500.00000000006</v>
      </c>
      <c r="T491" s="1687">
        <f t="shared" ref="T491:T492" si="315">O491-S491</f>
        <v>6562500</v>
      </c>
      <c r="U491" s="1603">
        <v>43</v>
      </c>
      <c r="V491" s="1555"/>
    </row>
    <row r="492" spans="1:22" x14ac:dyDescent="0.35">
      <c r="A492" s="1719"/>
      <c r="B492" s="1683">
        <v>3</v>
      </c>
      <c r="C492" s="1684" t="s">
        <v>8057</v>
      </c>
      <c r="D492" s="1684" t="s">
        <v>6947</v>
      </c>
      <c r="E492" s="1685">
        <v>46052</v>
      </c>
      <c r="F492" s="1683" t="s">
        <v>8055</v>
      </c>
      <c r="G492" s="1684">
        <v>1</v>
      </c>
      <c r="H492" s="1684">
        <v>8</v>
      </c>
      <c r="I492" s="1686">
        <f>H492*12</f>
        <v>96</v>
      </c>
      <c r="J492" s="1686">
        <f>K492*G492/I492</f>
        <v>67708.333333333328</v>
      </c>
      <c r="K492" s="1686">
        <v>6500000</v>
      </c>
      <c r="L492" s="1686">
        <f>K492*G492</f>
        <v>6500000</v>
      </c>
      <c r="M492" s="1638"/>
      <c r="N492" s="1686"/>
      <c r="O492" s="2705">
        <f t="shared" si="312"/>
        <v>6500000</v>
      </c>
      <c r="P492" s="1686">
        <v>338541.66666666663</v>
      </c>
      <c r="Q492" s="1686">
        <f>J492</f>
        <v>67708.333333333328</v>
      </c>
      <c r="R492" s="1686"/>
      <c r="S492" s="1686">
        <f t="shared" si="314"/>
        <v>406249.99999999994</v>
      </c>
      <c r="T492" s="1687">
        <f t="shared" si="315"/>
        <v>6093750</v>
      </c>
      <c r="U492" s="1603">
        <v>43</v>
      </c>
      <c r="V492" s="1555"/>
    </row>
    <row r="493" spans="1:22" ht="12" thickBot="1" x14ac:dyDescent="0.4">
      <c r="A493" s="1719"/>
      <c r="B493" s="1683">
        <v>4</v>
      </c>
      <c r="C493" s="1684"/>
      <c r="D493" s="1684"/>
      <c r="E493" s="1685"/>
      <c r="F493" s="1683"/>
      <c r="G493" s="1684"/>
      <c r="H493" s="1684"/>
      <c r="I493" s="1686"/>
      <c r="J493" s="1686"/>
      <c r="K493" s="1686"/>
      <c r="L493" s="1686"/>
      <c r="M493" s="1686"/>
      <c r="N493" s="1686"/>
      <c r="O493" s="1686"/>
      <c r="P493" s="1686"/>
      <c r="Q493" s="1686"/>
      <c r="R493" s="1686"/>
      <c r="S493" s="1686"/>
      <c r="T493" s="1687"/>
      <c r="U493" s="1603"/>
      <c r="V493" s="1555"/>
    </row>
    <row r="494" spans="1:22" s="648" customFormat="1" ht="12" thickBot="1" x14ac:dyDescent="0.4">
      <c r="A494" s="1632"/>
      <c r="B494" s="1648"/>
      <c r="C494" s="1703" t="s">
        <v>1599</v>
      </c>
      <c r="D494" s="1697"/>
      <c r="E494" s="1698"/>
      <c r="F494" s="1699"/>
      <c r="G494" s="1697"/>
      <c r="H494" s="1697"/>
      <c r="I494" s="1700"/>
      <c r="J494" s="1700">
        <f>SUM(J490:J493)</f>
        <v>298958.33333333331</v>
      </c>
      <c r="K494" s="1700">
        <f t="shared" ref="K494:T494" si="316">SUM(K490:K493)</f>
        <v>23000000</v>
      </c>
      <c r="L494" s="1700">
        <f t="shared" si="316"/>
        <v>23000000</v>
      </c>
      <c r="M494" s="1700">
        <f t="shared" si="316"/>
        <v>0</v>
      </c>
      <c r="N494" s="1700">
        <f t="shared" si="316"/>
        <v>0</v>
      </c>
      <c r="O494" s="1700">
        <f t="shared" si="316"/>
        <v>23000000</v>
      </c>
      <c r="P494" s="1700">
        <f t="shared" si="316"/>
        <v>7194569.6629999932</v>
      </c>
      <c r="Q494" s="1700">
        <f>SUM(Q490:Q493)</f>
        <v>298958.33333333331</v>
      </c>
      <c r="R494" s="1700">
        <f t="shared" si="316"/>
        <v>0</v>
      </c>
      <c r="S494" s="1700">
        <f t="shared" si="316"/>
        <v>7493527.9963333262</v>
      </c>
      <c r="T494" s="1702">
        <f t="shared" si="316"/>
        <v>15506472.003666673</v>
      </c>
      <c r="U494" s="1640"/>
    </row>
    <row r="495" spans="1:22" s="648" customFormat="1" ht="12" thickBot="1" x14ac:dyDescent="0.4">
      <c r="A495" s="1632"/>
      <c r="B495" s="1648"/>
      <c r="C495" s="1696"/>
      <c r="D495" s="1697"/>
      <c r="E495" s="1698"/>
      <c r="F495" s="1699"/>
      <c r="G495" s="1697"/>
      <c r="H495" s="1697"/>
      <c r="I495" s="1700"/>
      <c r="J495" s="1700"/>
      <c r="K495" s="1700"/>
      <c r="L495" s="1704"/>
      <c r="M495" s="1700"/>
      <c r="N495" s="1700"/>
      <c r="O495" s="1700"/>
      <c r="P495" s="1700"/>
      <c r="Q495" s="1700"/>
      <c r="R495" s="1700"/>
      <c r="S495" s="1700"/>
      <c r="T495" s="1701"/>
      <c r="U495" s="1640"/>
    </row>
    <row r="496" spans="1:22" ht="12" thickBot="1" x14ac:dyDescent="0.4">
      <c r="A496" s="1733"/>
      <c r="B496" s="1709"/>
      <c r="C496" s="1710" t="s">
        <v>3110</v>
      </c>
      <c r="D496" s="1710"/>
      <c r="E496" s="1711"/>
      <c r="F496" s="1712"/>
      <c r="G496" s="1710"/>
      <c r="H496" s="1710"/>
      <c r="I496" s="1713"/>
      <c r="J496" s="1713">
        <f>J488+J494</f>
        <v>3663541.6666666665</v>
      </c>
      <c r="K496" s="1713">
        <f t="shared" ref="K496:T496" si="317">K488+K494</f>
        <v>298000000</v>
      </c>
      <c r="L496" s="1713">
        <f t="shared" si="317"/>
        <v>298000000</v>
      </c>
      <c r="M496" s="1713">
        <f t="shared" si="317"/>
        <v>0</v>
      </c>
      <c r="N496" s="1713">
        <f t="shared" si="317"/>
        <v>0</v>
      </c>
      <c r="O496" s="1713">
        <f t="shared" si="317"/>
        <v>298000000</v>
      </c>
      <c r="P496" s="1713">
        <f t="shared" si="317"/>
        <v>97350818.662999973</v>
      </c>
      <c r="Q496" s="1713">
        <f t="shared" si="317"/>
        <v>2330208.3333333335</v>
      </c>
      <c r="R496" s="1713">
        <f t="shared" si="317"/>
        <v>0</v>
      </c>
      <c r="S496" s="1713">
        <f t="shared" si="317"/>
        <v>99681026.996333316</v>
      </c>
      <c r="T496" s="1714">
        <f t="shared" si="317"/>
        <v>198318973.00366667</v>
      </c>
      <c r="U496" s="1652"/>
      <c r="V496" s="1653"/>
    </row>
    <row r="497" spans="1:22" x14ac:dyDescent="0.35">
      <c r="A497" s="1716">
        <v>6</v>
      </c>
      <c r="B497" s="1749" t="s">
        <v>3166</v>
      </c>
      <c r="C497" s="1747"/>
      <c r="D497" s="1736"/>
      <c r="E497" s="1737"/>
      <c r="F497" s="1738"/>
      <c r="G497" s="1736"/>
      <c r="H497" s="1736"/>
      <c r="I497" s="1739"/>
      <c r="J497" s="1739"/>
      <c r="K497" s="1739"/>
      <c r="L497" s="1739"/>
      <c r="M497" s="1739"/>
      <c r="N497" s="1739"/>
      <c r="O497" s="1739"/>
      <c r="P497" s="1739"/>
      <c r="Q497" s="1739"/>
      <c r="R497" s="1739"/>
      <c r="S497" s="1739"/>
      <c r="T497" s="1748"/>
      <c r="U497" s="1603"/>
      <c r="V497" s="1555"/>
    </row>
    <row r="498" spans="1:22" x14ac:dyDescent="0.35">
      <c r="A498" s="1719"/>
      <c r="B498" s="1751" t="s">
        <v>2447</v>
      </c>
      <c r="C498" s="1750" t="s">
        <v>333</v>
      </c>
      <c r="D498" s="1736"/>
      <c r="E498" s="1737"/>
      <c r="F498" s="1738"/>
      <c r="G498" s="1736"/>
      <c r="H498" s="1736"/>
      <c r="I498" s="1739"/>
      <c r="J498" s="1739"/>
      <c r="K498" s="1739"/>
      <c r="L498" s="1739"/>
      <c r="M498" s="1739"/>
      <c r="N498" s="1739"/>
      <c r="O498" s="1739"/>
      <c r="P498" s="1739"/>
      <c r="Q498" s="1739"/>
      <c r="R498" s="1739"/>
      <c r="S498" s="1739"/>
      <c r="T498" s="1748"/>
      <c r="U498" s="1603"/>
      <c r="V498" s="1555"/>
    </row>
    <row r="499" spans="1:22" x14ac:dyDescent="0.35">
      <c r="A499" s="1719"/>
      <c r="B499" s="1751" t="s">
        <v>23</v>
      </c>
      <c r="C499" s="2888" t="s">
        <v>7294</v>
      </c>
      <c r="D499" s="2889"/>
      <c r="E499" s="2890"/>
      <c r="F499" s="2891"/>
      <c r="G499" s="2889"/>
      <c r="H499" s="2889"/>
      <c r="I499" s="2892"/>
      <c r="J499" s="2892"/>
      <c r="K499" s="2892"/>
      <c r="L499" s="2893">
        <f>'16'!L188</f>
        <v>126185383</v>
      </c>
      <c r="M499" s="2893">
        <f>'16'!M188</f>
        <v>0</v>
      </c>
      <c r="N499" s="2892"/>
      <c r="O499" s="2894">
        <f>L499+M499-N499</f>
        <v>126185383</v>
      </c>
      <c r="P499" s="2893">
        <f>'16'!P188</f>
        <v>54280103.183333352</v>
      </c>
      <c r="Q499" s="2893">
        <f>'16'!Q188</f>
        <v>1428089.7166666666</v>
      </c>
      <c r="R499" s="2893">
        <f>'16'!R177</f>
        <v>0</v>
      </c>
      <c r="S499" s="2854">
        <f t="shared" ref="S499" si="318">P499+Q499-R499</f>
        <v>55708192.900000021</v>
      </c>
      <c r="T499" s="2855">
        <f t="shared" ref="T499" si="319">O499-S499</f>
        <v>70477190.099999979</v>
      </c>
      <c r="U499" s="1603"/>
      <c r="V499" s="2866">
        <f>S499+[15]Nrc!$C$58</f>
        <v>36503195.910000019</v>
      </c>
    </row>
    <row r="500" spans="1:22" x14ac:dyDescent="0.35">
      <c r="A500" s="1719"/>
      <c r="B500" s="1751" t="s">
        <v>27</v>
      </c>
      <c r="C500" s="1750" t="s">
        <v>680</v>
      </c>
      <c r="D500" s="1736"/>
      <c r="E500" s="1737"/>
      <c r="F500" s="1738"/>
      <c r="G500" s="1736"/>
      <c r="H500" s="1736"/>
      <c r="I500" s="1739"/>
      <c r="J500" s="1739"/>
      <c r="K500" s="1739"/>
      <c r="L500" s="1739"/>
      <c r="M500" s="1739"/>
      <c r="N500" s="1739"/>
      <c r="O500" s="1739"/>
      <c r="P500" s="1739"/>
      <c r="Q500" s="1739"/>
      <c r="R500" s="1739"/>
      <c r="S500" s="1739"/>
      <c r="T500" s="1748"/>
      <c r="U500" s="1603"/>
      <c r="V500" s="1555"/>
    </row>
    <row r="501" spans="1:22" x14ac:dyDescent="0.35">
      <c r="A501" s="1719"/>
      <c r="B501" s="1751" t="s">
        <v>31</v>
      </c>
      <c r="C501" s="1750" t="s">
        <v>682</v>
      </c>
      <c r="D501" s="1736"/>
      <c r="E501" s="1737"/>
      <c r="F501" s="1738"/>
      <c r="G501" s="1736"/>
      <c r="H501" s="1736"/>
      <c r="I501" s="1739"/>
      <c r="J501" s="1739"/>
      <c r="K501" s="1739"/>
      <c r="L501" s="1739"/>
      <c r="M501" s="1739"/>
      <c r="N501" s="1739"/>
      <c r="O501" s="1739"/>
      <c r="P501" s="1739"/>
      <c r="Q501" s="1739"/>
      <c r="R501" s="1739"/>
      <c r="S501" s="1739"/>
      <c r="T501" s="1748"/>
      <c r="U501" s="1603"/>
      <c r="V501" s="1555"/>
    </row>
    <row r="502" spans="1:22" x14ac:dyDescent="0.35">
      <c r="A502" s="1719"/>
      <c r="B502" s="1751" t="s">
        <v>36</v>
      </c>
      <c r="C502" s="1750" t="s">
        <v>684</v>
      </c>
      <c r="D502" s="1736"/>
      <c r="E502" s="1737"/>
      <c r="F502" s="1738"/>
      <c r="G502" s="1736"/>
      <c r="H502" s="1736"/>
      <c r="I502" s="1739"/>
      <c r="J502" s="1739"/>
      <c r="K502" s="1739"/>
      <c r="L502" s="1739"/>
      <c r="M502" s="1739"/>
      <c r="N502" s="1739"/>
      <c r="O502" s="1739"/>
      <c r="P502" s="1739"/>
      <c r="Q502" s="1739"/>
      <c r="R502" s="1739"/>
      <c r="S502" s="1739"/>
      <c r="T502" s="1748"/>
      <c r="U502" s="1603"/>
      <c r="V502" s="1555"/>
    </row>
    <row r="503" spans="1:22" x14ac:dyDescent="0.35">
      <c r="A503" s="1719"/>
      <c r="B503" s="1751" t="s">
        <v>2449</v>
      </c>
      <c r="C503" s="1750" t="s">
        <v>2616</v>
      </c>
      <c r="D503" s="1736"/>
      <c r="E503" s="1737"/>
      <c r="F503" s="1738"/>
      <c r="G503" s="1736"/>
      <c r="H503" s="1736"/>
      <c r="I503" s="1739"/>
      <c r="J503" s="1739"/>
      <c r="K503" s="1739"/>
      <c r="L503" s="1739"/>
      <c r="M503" s="1739"/>
      <c r="N503" s="1739"/>
      <c r="O503" s="1739"/>
      <c r="P503" s="1739"/>
      <c r="Q503" s="1739"/>
      <c r="R503" s="1739"/>
      <c r="S503" s="1739"/>
      <c r="T503" s="1748"/>
      <c r="U503" s="1603"/>
      <c r="V503" s="1555"/>
    </row>
    <row r="504" spans="1:22" x14ac:dyDescent="0.35">
      <c r="A504" s="1719"/>
      <c r="B504" s="1751" t="s">
        <v>759</v>
      </c>
      <c r="C504" s="1750" t="s">
        <v>349</v>
      </c>
      <c r="D504" s="1736"/>
      <c r="E504" s="1737"/>
      <c r="F504" s="1738"/>
      <c r="G504" s="1736"/>
      <c r="H504" s="1736"/>
      <c r="I504" s="1739"/>
      <c r="J504" s="1739"/>
      <c r="K504" s="1739"/>
      <c r="L504" s="1739"/>
      <c r="M504" s="1739"/>
      <c r="N504" s="1739"/>
      <c r="O504" s="1739"/>
      <c r="P504" s="1739"/>
      <c r="Q504" s="1739"/>
      <c r="R504" s="1739"/>
      <c r="S504" s="1739"/>
      <c r="T504" s="1748"/>
      <c r="U504" s="1603"/>
      <c r="V504" s="1555"/>
    </row>
    <row r="505" spans="1:22" ht="12" thickBot="1" x14ac:dyDescent="0.4">
      <c r="A505" s="1719"/>
      <c r="B505" s="1751" t="s">
        <v>701</v>
      </c>
      <c r="C505" s="1747"/>
      <c r="D505" s="1736"/>
      <c r="E505" s="1737"/>
      <c r="F505" s="1738"/>
      <c r="G505" s="1736"/>
      <c r="H505" s="1736"/>
      <c r="I505" s="1739"/>
      <c r="J505" s="1739"/>
      <c r="K505" s="1739"/>
      <c r="L505" s="1739"/>
      <c r="M505" s="1739"/>
      <c r="N505" s="1739"/>
      <c r="O505" s="1739"/>
      <c r="P505" s="1739"/>
      <c r="Q505" s="1739"/>
      <c r="R505" s="1739"/>
      <c r="S505" s="1739"/>
      <c r="T505" s="1748"/>
      <c r="U505" s="1603"/>
      <c r="V505" s="1555"/>
    </row>
    <row r="506" spans="1:22" ht="12" thickBot="1" x14ac:dyDescent="0.4">
      <c r="A506" s="1733"/>
      <c r="B506" s="1752"/>
      <c r="C506" s="1753"/>
      <c r="D506" s="1710"/>
      <c r="E506" s="1711"/>
      <c r="F506" s="1712"/>
      <c r="G506" s="1710"/>
      <c r="H506" s="1710"/>
      <c r="I506" s="1713"/>
      <c r="J506" s="1713"/>
      <c r="K506" s="1713"/>
      <c r="L506" s="1713">
        <f t="shared" ref="L506:T506" si="320">SUM(L498:L505)</f>
        <v>126185383</v>
      </c>
      <c r="M506" s="1713">
        <f t="shared" si="320"/>
        <v>0</v>
      </c>
      <c r="N506" s="1713">
        <f t="shared" si="320"/>
        <v>0</v>
      </c>
      <c r="O506" s="1713">
        <f>SUM(O498:O505)</f>
        <v>126185383</v>
      </c>
      <c r="P506" s="1713">
        <f>SUM(P498:P505)</f>
        <v>54280103.183333352</v>
      </c>
      <c r="Q506" s="1713">
        <f>SUM(Q498:Q505)</f>
        <v>1428089.7166666666</v>
      </c>
      <c r="R506" s="1713">
        <f t="shared" si="320"/>
        <v>0</v>
      </c>
      <c r="S506" s="1713">
        <f t="shared" si="320"/>
        <v>55708192.900000021</v>
      </c>
      <c r="T506" s="1713">
        <f t="shared" si="320"/>
        <v>70477190.099999979</v>
      </c>
      <c r="U506" s="3269"/>
      <c r="V506" s="2866">
        <f>34737110-P506-Q506</f>
        <v>-20971082.900000017</v>
      </c>
    </row>
    <row r="507" spans="1:22" x14ac:dyDescent="0.35">
      <c r="A507" s="1719">
        <v>7</v>
      </c>
      <c r="B507" s="1756" t="s">
        <v>3167</v>
      </c>
      <c r="C507" s="1747"/>
      <c r="D507" s="1736"/>
      <c r="E507" s="1737"/>
      <c r="F507" s="1738"/>
      <c r="G507" s="1736"/>
      <c r="H507" s="1736"/>
      <c r="I507" s="1739"/>
      <c r="J507" s="1739"/>
      <c r="K507" s="1739"/>
      <c r="L507" s="1739"/>
      <c r="M507" s="1739"/>
      <c r="N507" s="1739"/>
      <c r="O507" s="1739"/>
      <c r="P507" s="1739"/>
      <c r="Q507" s="1739"/>
      <c r="R507" s="1739"/>
      <c r="S507" s="1739"/>
      <c r="T507" s="1748"/>
      <c r="U507" s="1603"/>
      <c r="V507" s="1555"/>
    </row>
    <row r="508" spans="1:22" x14ac:dyDescent="0.35">
      <c r="A508" s="1719"/>
      <c r="B508" s="1757">
        <v>1</v>
      </c>
      <c r="C508" s="1747" t="s">
        <v>3168</v>
      </c>
      <c r="D508" s="1736"/>
      <c r="E508" s="1737"/>
      <c r="F508" s="1738"/>
      <c r="G508" s="1736"/>
      <c r="H508" s="1736"/>
      <c r="I508" s="1739"/>
      <c r="J508" s="1739"/>
      <c r="K508" s="1739"/>
      <c r="L508" s="1739"/>
      <c r="M508" s="1739"/>
      <c r="N508" s="1739"/>
      <c r="O508" s="1739"/>
      <c r="P508" s="1739"/>
      <c r="Q508" s="1739"/>
      <c r="R508" s="1739"/>
      <c r="S508" s="1739"/>
      <c r="T508" s="1748"/>
      <c r="U508" s="1603"/>
      <c r="V508" s="1555"/>
    </row>
    <row r="509" spans="1:22" x14ac:dyDescent="0.35">
      <c r="A509" s="1719"/>
      <c r="B509" s="1757">
        <v>1</v>
      </c>
      <c r="C509" s="1750" t="s">
        <v>7154</v>
      </c>
      <c r="D509" s="1736"/>
      <c r="E509" s="1737"/>
      <c r="F509" s="1738"/>
      <c r="G509" s="1736"/>
      <c r="H509" s="1736"/>
      <c r="I509" s="1739"/>
      <c r="J509" s="1739"/>
      <c r="K509" s="1739"/>
      <c r="L509" s="1686">
        <v>0</v>
      </c>
      <c r="M509" s="1686">
        <v>0</v>
      </c>
      <c r="N509" s="1686"/>
      <c r="O509" s="1686">
        <f>L509+M509-N509</f>
        <v>0</v>
      </c>
      <c r="P509" s="1686"/>
      <c r="Q509" s="1686"/>
      <c r="R509" s="1686"/>
      <c r="S509" s="1686"/>
      <c r="T509" s="1687">
        <f>O509-S509</f>
        <v>0</v>
      </c>
      <c r="U509" s="1603"/>
      <c r="V509" s="1555"/>
    </row>
    <row r="510" spans="1:22" x14ac:dyDescent="0.35">
      <c r="A510" s="1719"/>
      <c r="B510" s="1757">
        <v>2</v>
      </c>
      <c r="C510" s="1750" t="s">
        <v>7155</v>
      </c>
      <c r="D510" s="1736"/>
      <c r="E510" s="1737"/>
      <c r="F510" s="1738"/>
      <c r="G510" s="1736"/>
      <c r="H510" s="1736"/>
      <c r="I510" s="1739"/>
      <c r="J510" s="1739"/>
      <c r="K510" s="1739"/>
      <c r="L510" s="1686">
        <v>0</v>
      </c>
      <c r="M510" s="1686">
        <v>0</v>
      </c>
      <c r="N510" s="1686"/>
      <c r="O510" s="1686">
        <f t="shared" ref="O510:O513" si="321">L510+M510-N510</f>
        <v>0</v>
      </c>
      <c r="P510" s="1686"/>
      <c r="Q510" s="1686"/>
      <c r="R510" s="1686"/>
      <c r="S510" s="1686"/>
      <c r="T510" s="1687">
        <f t="shared" ref="T510:T514" si="322">O510-S510</f>
        <v>0</v>
      </c>
      <c r="U510" s="1603"/>
      <c r="V510" s="1555"/>
    </row>
    <row r="511" spans="1:22" x14ac:dyDescent="0.35">
      <c r="A511" s="1719"/>
      <c r="B511" s="1757">
        <v>3</v>
      </c>
      <c r="C511" s="1750" t="s">
        <v>7156</v>
      </c>
      <c r="D511" s="1736"/>
      <c r="E511" s="1737"/>
      <c r="F511" s="1738"/>
      <c r="G511" s="1736"/>
      <c r="H511" s="1736"/>
      <c r="I511" s="1739"/>
      <c r="J511" s="1739"/>
      <c r="K511" s="1739"/>
      <c r="L511" s="1686">
        <v>0</v>
      </c>
      <c r="M511" s="1686">
        <v>0</v>
      </c>
      <c r="N511" s="1686"/>
      <c r="O511" s="1686">
        <f>L511+M511-N511</f>
        <v>0</v>
      </c>
      <c r="P511" s="1686"/>
      <c r="Q511" s="1686"/>
      <c r="R511" s="1686"/>
      <c r="S511" s="1686"/>
      <c r="T511" s="1687">
        <f t="shared" si="322"/>
        <v>0</v>
      </c>
      <c r="U511" s="1603"/>
      <c r="V511" s="1555"/>
    </row>
    <row r="512" spans="1:22" x14ac:dyDescent="0.35">
      <c r="A512" s="1719"/>
      <c r="B512" s="1757">
        <v>4</v>
      </c>
      <c r="C512" s="1750" t="s">
        <v>7173</v>
      </c>
      <c r="D512" s="1736"/>
      <c r="E512" s="1737"/>
      <c r="F512" s="1738"/>
      <c r="G512" s="1736"/>
      <c r="H512" s="1736"/>
      <c r="I512" s="1739"/>
      <c r="J512" s="1739"/>
      <c r="K512" s="1739"/>
      <c r="L512" s="1686">
        <v>0</v>
      </c>
      <c r="M512" s="1686">
        <v>0</v>
      </c>
      <c r="N512" s="1686"/>
      <c r="O512" s="1686">
        <f>L512+M512-N512</f>
        <v>0</v>
      </c>
      <c r="P512" s="1686"/>
      <c r="Q512" s="1686"/>
      <c r="R512" s="1686"/>
      <c r="S512" s="1686"/>
      <c r="T512" s="1687">
        <f t="shared" si="322"/>
        <v>0</v>
      </c>
      <c r="U512" s="1603"/>
      <c r="V512" s="1555"/>
    </row>
    <row r="513" spans="1:24" x14ac:dyDescent="0.35">
      <c r="A513" s="1719"/>
      <c r="B513" s="1757">
        <v>5</v>
      </c>
      <c r="C513" s="1750" t="s">
        <v>7367</v>
      </c>
      <c r="D513" s="1736"/>
      <c r="E513" s="1737"/>
      <c r="F513" s="1738"/>
      <c r="G513" s="1736"/>
      <c r="H513" s="1736"/>
      <c r="I513" s="1739"/>
      <c r="J513" s="1739"/>
      <c r="K513" s="1739"/>
      <c r="L513" s="1686">
        <v>0</v>
      </c>
      <c r="M513" s="1686">
        <v>0</v>
      </c>
      <c r="N513" s="1739"/>
      <c r="O513" s="1686">
        <f t="shared" si="321"/>
        <v>0</v>
      </c>
      <c r="P513" s="1739"/>
      <c r="Q513" s="1739"/>
      <c r="R513" s="1739"/>
      <c r="S513" s="1739"/>
      <c r="T513" s="1687">
        <f t="shared" si="322"/>
        <v>0</v>
      </c>
      <c r="U513" s="1603"/>
      <c r="V513" s="1555"/>
    </row>
    <row r="514" spans="1:24" x14ac:dyDescent="0.35">
      <c r="A514" s="1719"/>
      <c r="B514" s="1757">
        <v>6</v>
      </c>
      <c r="C514" s="1750" t="s">
        <v>7584</v>
      </c>
      <c r="D514" s="1736"/>
      <c r="E514" s="1737"/>
      <c r="F514" s="1738"/>
      <c r="G514" s="1736"/>
      <c r="H514" s="1736"/>
      <c r="I514" s="1739"/>
      <c r="J514" s="1739"/>
      <c r="K514" s="1739"/>
      <c r="L514" s="2965">
        <f>1680894250+6000000+22346000+21984000+23556000+4000000+27524000+24628000+37870000+35000000+39628000+30044000+353276500+194520761+9986000+12547000+9120000+9153500+10326500+9298000+3030000+104315500+140682375+66099000+3150000+35875000+11000000</f>
        <v>2925854386</v>
      </c>
      <c r="M514" s="2965"/>
      <c r="N514" s="2964"/>
      <c r="O514" s="2962">
        <f t="shared" ref="O514" si="323">L514+M514-N514</f>
        <v>2925854386</v>
      </c>
      <c r="P514" s="2964"/>
      <c r="Q514" s="2964"/>
      <c r="R514" s="2964"/>
      <c r="S514" s="2964"/>
      <c r="T514" s="2963">
        <f t="shared" si="322"/>
        <v>2925854386</v>
      </c>
      <c r="U514" s="1603"/>
      <c r="V514" s="1555"/>
    </row>
    <row r="515" spans="1:24" x14ac:dyDescent="0.35">
      <c r="A515" s="1719"/>
      <c r="B515" s="1757"/>
      <c r="C515" s="1747"/>
      <c r="D515" s="1736"/>
      <c r="E515" s="1737"/>
      <c r="F515" s="1738"/>
      <c r="G515" s="1736"/>
      <c r="H515" s="1736"/>
      <c r="I515" s="1739"/>
      <c r="J515" s="1739"/>
      <c r="K515" s="1739"/>
      <c r="L515" s="1739">
        <f>SUM(L509:L514)</f>
        <v>2925854386</v>
      </c>
      <c r="M515" s="1739">
        <f>SUM(M509:M514)</f>
        <v>0</v>
      </c>
      <c r="N515" s="1739">
        <f t="shared" ref="N515:S515" si="324">SUM(N509:N514)</f>
        <v>0</v>
      </c>
      <c r="O515" s="1739">
        <f t="shared" si="324"/>
        <v>2925854386</v>
      </c>
      <c r="P515" s="1739">
        <f t="shared" si="324"/>
        <v>0</v>
      </c>
      <c r="Q515" s="1739">
        <f t="shared" si="324"/>
        <v>0</v>
      </c>
      <c r="R515" s="1739">
        <f t="shared" si="324"/>
        <v>0</v>
      </c>
      <c r="S515" s="1739">
        <f t="shared" si="324"/>
        <v>0</v>
      </c>
      <c r="T515" s="1739">
        <f>SUM(T509:T514)</f>
        <v>2925854386</v>
      </c>
      <c r="U515" s="1603"/>
      <c r="V515" s="1555"/>
    </row>
    <row r="516" spans="1:24" x14ac:dyDescent="0.35">
      <c r="A516" s="1719"/>
      <c r="B516" s="1758">
        <v>2</v>
      </c>
      <c r="C516" s="1749" t="s">
        <v>3169</v>
      </c>
      <c r="D516" s="1736"/>
      <c r="E516" s="1737"/>
      <c r="F516" s="1738"/>
      <c r="G516" s="1736"/>
      <c r="H516" s="1736"/>
      <c r="I516" s="1739"/>
      <c r="J516" s="1739"/>
      <c r="K516" s="1739"/>
      <c r="L516" s="1739"/>
      <c r="M516" s="1739"/>
      <c r="N516" s="1739"/>
      <c r="O516" s="1739"/>
      <c r="P516" s="1739"/>
      <c r="Q516" s="1739"/>
      <c r="R516" s="1739"/>
      <c r="S516" s="1739"/>
      <c r="T516" s="1748"/>
      <c r="U516" s="1603"/>
      <c r="V516" s="1555"/>
    </row>
    <row r="517" spans="1:24" x14ac:dyDescent="0.35">
      <c r="A517" s="1719"/>
      <c r="B517" s="1757" t="s">
        <v>2447</v>
      </c>
      <c r="C517" s="1750" t="s">
        <v>3170</v>
      </c>
      <c r="D517" s="1736"/>
      <c r="E517" s="1737"/>
      <c r="F517" s="1738"/>
      <c r="G517" s="1736"/>
      <c r="H517" s="1736"/>
      <c r="I517" s="1739"/>
      <c r="J517" s="1739"/>
      <c r="K517" s="1739"/>
      <c r="L517" s="1759">
        <v>0</v>
      </c>
      <c r="M517" s="1739"/>
      <c r="N517" s="1739"/>
      <c r="O517" s="1686">
        <f>L517+M517-N517</f>
        <v>0</v>
      </c>
      <c r="P517" s="1686"/>
      <c r="Q517" s="1739"/>
      <c r="R517" s="1739"/>
      <c r="S517" s="1739"/>
      <c r="T517" s="1687">
        <f>O517-S517</f>
        <v>0</v>
      </c>
      <c r="U517" s="1603"/>
      <c r="V517" s="1555"/>
    </row>
    <row r="518" spans="1:24" x14ac:dyDescent="0.35">
      <c r="A518" s="1719"/>
      <c r="B518" s="1757"/>
      <c r="C518" s="1747"/>
      <c r="D518" s="1736"/>
      <c r="E518" s="1737"/>
      <c r="F518" s="1738"/>
      <c r="G518" s="1736"/>
      <c r="H518" s="1736"/>
      <c r="I518" s="1739"/>
      <c r="J518" s="1739"/>
      <c r="K518" s="1739"/>
      <c r="L518" s="1754"/>
      <c r="M518" s="1754"/>
      <c r="N518" s="1754"/>
      <c r="O518" s="1754"/>
      <c r="P518" s="1754"/>
      <c r="Q518" s="1754"/>
      <c r="R518" s="1754"/>
      <c r="S518" s="1754"/>
      <c r="T518" s="1755"/>
      <c r="U518" s="1603"/>
      <c r="V518" s="1555"/>
    </row>
    <row r="519" spans="1:24" x14ac:dyDescent="0.35">
      <c r="A519" s="1719"/>
      <c r="B519" s="1757"/>
      <c r="C519" s="1747"/>
      <c r="D519" s="1736"/>
      <c r="E519" s="1737"/>
      <c r="F519" s="1738"/>
      <c r="G519" s="1736"/>
      <c r="H519" s="1736"/>
      <c r="I519" s="1739"/>
      <c r="J519" s="1739"/>
      <c r="K519" s="1739"/>
      <c r="L519" s="1739">
        <v>0</v>
      </c>
      <c r="M519" s="1739">
        <f t="shared" ref="M519:P519" si="325">SUM(M517:M518)</f>
        <v>0</v>
      </c>
      <c r="N519" s="1739">
        <f t="shared" si="325"/>
        <v>0</v>
      </c>
      <c r="O519" s="1739">
        <f t="shared" si="325"/>
        <v>0</v>
      </c>
      <c r="P519" s="1739">
        <f t="shared" si="325"/>
        <v>0</v>
      </c>
      <c r="Q519" s="1739">
        <f t="shared" ref="Q519" si="326">SUM(Q517:Q518)</f>
        <v>0</v>
      </c>
      <c r="R519" s="1739">
        <f t="shared" ref="R519" si="327">SUM(R517:R518)</f>
        <v>0</v>
      </c>
      <c r="S519" s="1739">
        <f t="shared" ref="S519" si="328">SUM(S517:S518)</f>
        <v>0</v>
      </c>
      <c r="T519" s="1739">
        <f t="shared" ref="T519" si="329">SUM(T517:T518)</f>
        <v>0</v>
      </c>
      <c r="U519" s="1603"/>
      <c r="V519" s="1555"/>
    </row>
    <row r="520" spans="1:24" ht="12" thickBot="1" x14ac:dyDescent="0.4">
      <c r="A520" s="1719"/>
      <c r="B520" s="1757"/>
      <c r="C520" s="1747"/>
      <c r="D520" s="1736"/>
      <c r="E520" s="1737"/>
      <c r="F520" s="1738"/>
      <c r="G520" s="1736"/>
      <c r="H520" s="1736"/>
      <c r="I520" s="1739"/>
      <c r="J520" s="1739"/>
      <c r="K520" s="1739"/>
      <c r="L520" s="1739"/>
      <c r="M520" s="1739"/>
      <c r="N520" s="1739"/>
      <c r="O520" s="1739"/>
      <c r="P520" s="1739"/>
      <c r="Q520" s="1739"/>
      <c r="R520" s="1739"/>
      <c r="S520" s="1739"/>
      <c r="T520" s="1748"/>
      <c r="U520" s="1603"/>
      <c r="V520" s="1555"/>
    </row>
    <row r="521" spans="1:24" s="648" customFormat="1" ht="12" thickBot="1" x14ac:dyDescent="0.4">
      <c r="A521" s="1708"/>
      <c r="B521" s="1760"/>
      <c r="C521" s="1761"/>
      <c r="D521" s="1762"/>
      <c r="E521" s="1763"/>
      <c r="F521" s="1764"/>
      <c r="G521" s="1762"/>
      <c r="H521" s="1762"/>
      <c r="I521" s="1765"/>
      <c r="J521" s="1765"/>
      <c r="K521" s="1765"/>
      <c r="L521" s="1765">
        <f>L519+L515</f>
        <v>2925854386</v>
      </c>
      <c r="M521" s="1765">
        <f t="shared" ref="M521:T521" si="330">M519+M515</f>
        <v>0</v>
      </c>
      <c r="N521" s="1765">
        <f t="shared" si="330"/>
        <v>0</v>
      </c>
      <c r="O521" s="1765">
        <f>O519+O515</f>
        <v>2925854386</v>
      </c>
      <c r="P521" s="1765">
        <f>P519+P515</f>
        <v>0</v>
      </c>
      <c r="Q521" s="1765">
        <f t="shared" si="330"/>
        <v>0</v>
      </c>
      <c r="R521" s="1765">
        <f t="shared" si="330"/>
        <v>0</v>
      </c>
      <c r="S521" s="1765">
        <f t="shared" si="330"/>
        <v>0</v>
      </c>
      <c r="T521" s="1765">
        <f t="shared" si="330"/>
        <v>2925854386</v>
      </c>
      <c r="U521" s="1640"/>
    </row>
    <row r="522" spans="1:24" s="648" customFormat="1" ht="12" thickBot="1" x14ac:dyDescent="0.4">
      <c r="A522" s="1632"/>
      <c r="B522" s="1649"/>
      <c r="C522" s="1641"/>
      <c r="D522" s="1636"/>
      <c r="E522" s="1637"/>
      <c r="F522" s="1635"/>
      <c r="G522" s="1636"/>
      <c r="H522" s="1636"/>
      <c r="I522" s="1638"/>
      <c r="J522" s="1638"/>
      <c r="K522" s="1638"/>
      <c r="L522" s="1638"/>
      <c r="M522" s="1638"/>
      <c r="N522" s="1638"/>
      <c r="O522" s="1638"/>
      <c r="P522" s="1638"/>
      <c r="Q522" s="1638"/>
      <c r="R522" s="1638"/>
      <c r="S522" s="1638"/>
      <c r="T522" s="1639"/>
      <c r="U522" s="1640"/>
    </row>
    <row r="523" spans="1:24" s="1655" customFormat="1" ht="12" thickBot="1" x14ac:dyDescent="0.4">
      <c r="A523" s="3815" t="s">
        <v>3121</v>
      </c>
      <c r="B523" s="3816"/>
      <c r="C523" s="3816"/>
      <c r="D523" s="1650"/>
      <c r="E523" s="1651"/>
      <c r="F523" s="1651"/>
      <c r="G523" s="1650"/>
      <c r="H523" s="1650"/>
      <c r="I523" s="1650">
        <f>12*H523</f>
        <v>0</v>
      </c>
      <c r="J523" s="1650"/>
      <c r="K523" s="1650"/>
      <c r="L523" s="1650">
        <f t="shared" ref="L523:T523" si="331">L496+L480+L329+L71+L25+L506+L521+L136</f>
        <v>22988954372.001999</v>
      </c>
      <c r="M523" s="1650">
        <f t="shared" si="331"/>
        <v>7499000</v>
      </c>
      <c r="N523" s="1650">
        <f t="shared" si="331"/>
        <v>0</v>
      </c>
      <c r="O523" s="1650">
        <f t="shared" si="331"/>
        <v>22996453372.001999</v>
      </c>
      <c r="P523" s="1650">
        <f t="shared" si="331"/>
        <v>3647379974.768527</v>
      </c>
      <c r="Q523" s="1650">
        <f t="shared" si="331"/>
        <v>93248821.722949997</v>
      </c>
      <c r="R523" s="1650">
        <f t="shared" si="331"/>
        <v>0</v>
      </c>
      <c r="S523" s="1650">
        <f t="shared" si="331"/>
        <v>3740628796.4914775</v>
      </c>
      <c r="T523" s="1650">
        <f t="shared" si="331"/>
        <v>19255824575.510525</v>
      </c>
      <c r="U523" s="1652"/>
      <c r="V523" s="1653"/>
      <c r="W523" s="1654"/>
      <c r="X523" s="1654"/>
    </row>
    <row r="524" spans="1:24" x14ac:dyDescent="0.35">
      <c r="L524" s="2966">
        <f>NRC!G29</f>
        <v>22988954372.001999</v>
      </c>
      <c r="O524" s="1663">
        <f>O523-NRC!E29</f>
        <v>0</v>
      </c>
      <c r="P524" s="2966">
        <f>NRC!G30</f>
        <v>-3647379974.7685285</v>
      </c>
      <c r="S524" s="1663">
        <f>S523+NRC!E30</f>
        <v>0</v>
      </c>
      <c r="T524" s="1663">
        <f>T523-NRC!E31</f>
        <v>0</v>
      </c>
      <c r="V524" s="1766"/>
    </row>
    <row r="525" spans="1:24" ht="14" x14ac:dyDescent="0.35">
      <c r="L525" s="2996">
        <f>L523-L524</f>
        <v>0</v>
      </c>
      <c r="M525" s="2859"/>
      <c r="P525" s="2859">
        <f>P523+P524</f>
        <v>0</v>
      </c>
      <c r="Q525" s="1663">
        <f>Q523-Q524</f>
        <v>93248821.722949997</v>
      </c>
      <c r="V525" s="3112">
        <f>Q525-Q499</f>
        <v>91820732.006283328</v>
      </c>
    </row>
    <row r="526" spans="1:24" x14ac:dyDescent="0.35">
      <c r="S526" s="1664" t="s">
        <v>3122</v>
      </c>
      <c r="T526" s="1664"/>
      <c r="U526" s="1665" t="s">
        <v>3123</v>
      </c>
    </row>
    <row r="527" spans="1:24" ht="14.5" x14ac:dyDescent="0.35">
      <c r="J527" s="1666"/>
      <c r="K527" s="3817"/>
      <c r="L527" s="3817"/>
      <c r="M527" s="1663">
        <f>M523-M521-M71</f>
        <v>7499000</v>
      </c>
      <c r="O527" s="1555"/>
      <c r="P527" s="1667">
        <v>56911</v>
      </c>
      <c r="Q527" s="1668" t="s">
        <v>3124</v>
      </c>
      <c r="R527" s="1669"/>
      <c r="S527" s="1669">
        <f>Q33</f>
        <v>17403272.166666664</v>
      </c>
      <c r="T527" s="1669"/>
      <c r="U527" s="1670"/>
    </row>
    <row r="528" spans="1:24" ht="14.5" x14ac:dyDescent="0.35">
      <c r="J528" s="1666"/>
      <c r="O528" s="1555"/>
      <c r="P528" s="1671">
        <v>56912</v>
      </c>
      <c r="Q528" t="s">
        <v>3125</v>
      </c>
      <c r="S528" s="1663">
        <f>Q38</f>
        <v>13408750</v>
      </c>
      <c r="U528" s="1672"/>
    </row>
    <row r="529" spans="4:22" ht="14.5" x14ac:dyDescent="0.35">
      <c r="D529" s="1673"/>
      <c r="E529" s="1673"/>
      <c r="F529" s="1673"/>
      <c r="J529" s="1666"/>
      <c r="K529" s="3817"/>
      <c r="L529" s="3817"/>
      <c r="O529" s="1555"/>
      <c r="P529" s="1671">
        <v>56913</v>
      </c>
      <c r="Q529" t="s">
        <v>3126</v>
      </c>
      <c r="S529" s="1663">
        <f>Q44</f>
        <v>4352608.333333333</v>
      </c>
      <c r="U529" s="1672"/>
    </row>
    <row r="530" spans="4:22" ht="14.5" x14ac:dyDescent="0.35">
      <c r="D530" s="1673"/>
      <c r="E530" s="1673"/>
      <c r="F530" s="1673"/>
      <c r="J530" s="1666"/>
      <c r="O530" s="1555"/>
      <c r="P530" s="1671">
        <v>56914</v>
      </c>
      <c r="Q530" t="s">
        <v>3127</v>
      </c>
      <c r="S530" s="1663">
        <f>Q52</f>
        <v>13792294.737499999</v>
      </c>
      <c r="U530" s="1672"/>
    </row>
    <row r="531" spans="4:22" ht="14.5" x14ac:dyDescent="0.35">
      <c r="D531" s="1673"/>
      <c r="E531" s="1673"/>
      <c r="F531" s="1673"/>
      <c r="J531" s="1666"/>
      <c r="O531" s="1555"/>
      <c r="P531" s="1671">
        <v>56915</v>
      </c>
      <c r="Q531" t="s">
        <v>3128</v>
      </c>
      <c r="U531" s="1672"/>
      <c r="V531" s="834">
        <f>SUM(S527:S567)</f>
        <v>91820732.006283328</v>
      </c>
    </row>
    <row r="532" spans="4:22" ht="14.5" x14ac:dyDescent="0.35">
      <c r="D532" s="1673"/>
      <c r="E532" s="1673"/>
      <c r="F532" s="1673"/>
      <c r="J532" s="1666"/>
      <c r="O532" s="1555"/>
      <c r="P532" s="1671">
        <v>56916</v>
      </c>
      <c r="Q532" t="s">
        <v>3129</v>
      </c>
      <c r="S532" s="1663">
        <f>Q56</f>
        <v>0</v>
      </c>
      <c r="U532" s="1672"/>
    </row>
    <row r="533" spans="4:22" ht="14.5" x14ac:dyDescent="0.35">
      <c r="D533" s="1673"/>
      <c r="E533" s="1673"/>
      <c r="F533" s="1673"/>
      <c r="J533" s="1666"/>
      <c r="O533" s="1555"/>
      <c r="P533" s="1671">
        <v>56917</v>
      </c>
      <c r="Q533" t="s">
        <v>3130</v>
      </c>
      <c r="S533" s="1663">
        <f>Q63</f>
        <v>2336259.375</v>
      </c>
      <c r="U533" s="1672"/>
    </row>
    <row r="534" spans="4:22" ht="14.5" x14ac:dyDescent="0.35">
      <c r="D534" s="1673"/>
      <c r="E534" s="1673"/>
      <c r="F534" s="1673"/>
      <c r="J534" s="1666"/>
      <c r="O534" s="1555"/>
      <c r="P534" s="1671">
        <v>56919</v>
      </c>
      <c r="Q534" t="s">
        <v>3131</v>
      </c>
      <c r="S534" s="1663">
        <f>Q69</f>
        <v>50000</v>
      </c>
      <c r="U534" s="1672"/>
    </row>
    <row r="535" spans="4:22" ht="14.5" x14ac:dyDescent="0.35">
      <c r="D535" s="1673"/>
      <c r="E535" s="1673"/>
      <c r="F535" s="1673"/>
      <c r="P535" s="1671">
        <v>56920</v>
      </c>
      <c r="Q535" t="s">
        <v>561</v>
      </c>
      <c r="U535" s="1672"/>
    </row>
    <row r="536" spans="4:22" ht="14.5" x14ac:dyDescent="0.35">
      <c r="D536" s="1673"/>
      <c r="E536" s="1673"/>
      <c r="F536" s="1673"/>
      <c r="P536" s="1671">
        <v>56921</v>
      </c>
      <c r="Q536" t="s">
        <v>3132</v>
      </c>
      <c r="S536" s="1663">
        <f>Q80</f>
        <v>584658.33333333337</v>
      </c>
      <c r="U536" s="1672"/>
    </row>
    <row r="537" spans="4:22" ht="14.5" x14ac:dyDescent="0.35">
      <c r="D537" s="1673"/>
      <c r="E537" s="1673"/>
      <c r="F537" s="1673"/>
      <c r="P537" s="1671">
        <v>56922</v>
      </c>
      <c r="Q537" t="s">
        <v>3133</v>
      </c>
      <c r="S537" s="1663">
        <f>Q84</f>
        <v>0</v>
      </c>
      <c r="U537" s="1672"/>
    </row>
    <row r="538" spans="4:22" ht="14.5" x14ac:dyDescent="0.35">
      <c r="D538" s="1673"/>
      <c r="E538" s="1673"/>
      <c r="F538" s="1673"/>
      <c r="P538" s="1671">
        <v>56923</v>
      </c>
      <c r="Q538" t="s">
        <v>3134</v>
      </c>
      <c r="S538" s="1663">
        <f>Q91</f>
        <v>58333.333333333336</v>
      </c>
      <c r="U538" s="1672"/>
    </row>
    <row r="539" spans="4:22" ht="14.5" x14ac:dyDescent="0.35">
      <c r="D539" s="1673"/>
      <c r="E539" s="1673"/>
      <c r="F539" s="1673"/>
      <c r="P539" s="1671">
        <v>56924</v>
      </c>
      <c r="Q539" t="s">
        <v>3135</v>
      </c>
      <c r="S539" s="1663">
        <f>Q103</f>
        <v>-1</v>
      </c>
      <c r="U539" s="1672"/>
    </row>
    <row r="540" spans="4:22" ht="14.5" x14ac:dyDescent="0.35">
      <c r="D540" s="1673"/>
      <c r="E540" s="1673"/>
      <c r="F540" s="1673"/>
      <c r="P540" s="1671">
        <v>56925</v>
      </c>
      <c r="Q540" t="s">
        <v>3136</v>
      </c>
      <c r="S540" s="1663">
        <f>Q109</f>
        <v>3299047.9166666665</v>
      </c>
      <c r="U540" s="1672"/>
    </row>
    <row r="541" spans="4:22" ht="14.5" x14ac:dyDescent="0.35">
      <c r="D541" s="1673"/>
      <c r="E541" s="1673"/>
      <c r="F541" s="1673"/>
      <c r="P541" s="1671">
        <v>56926</v>
      </c>
      <c r="Q541" t="s">
        <v>3137</v>
      </c>
      <c r="U541" s="1672"/>
    </row>
    <row r="542" spans="4:22" ht="14.5" x14ac:dyDescent="0.35">
      <c r="D542" s="1673"/>
      <c r="E542" s="1673"/>
      <c r="F542" s="1673"/>
      <c r="P542" s="1671">
        <v>56927</v>
      </c>
      <c r="Q542" t="s">
        <v>3138</v>
      </c>
      <c r="S542" s="1663">
        <f>Q118</f>
        <v>1544154.5104166667</v>
      </c>
      <c r="U542" s="1672"/>
    </row>
    <row r="543" spans="4:22" ht="14.5" x14ac:dyDescent="0.35">
      <c r="D543" s="1673"/>
      <c r="E543" s="1673"/>
      <c r="F543" s="1673"/>
      <c r="P543" s="1671">
        <v>56928</v>
      </c>
      <c r="Q543" t="s">
        <v>3139</v>
      </c>
      <c r="S543" s="1663">
        <f>Q133</f>
        <v>761404.33333333337</v>
      </c>
      <c r="U543" s="1672"/>
    </row>
    <row r="544" spans="4:22" ht="14.5" x14ac:dyDescent="0.35">
      <c r="D544" s="1673"/>
      <c r="E544" s="1673"/>
      <c r="F544" s="1673"/>
      <c r="P544" s="1671">
        <v>56929</v>
      </c>
      <c r="Q544" t="s">
        <v>3140</v>
      </c>
      <c r="U544" s="1672"/>
    </row>
    <row r="545" spans="4:21" ht="14.5" x14ac:dyDescent="0.35">
      <c r="D545" s="1673"/>
      <c r="E545" s="1673"/>
      <c r="F545" s="1673"/>
      <c r="P545" s="1671">
        <v>56930</v>
      </c>
      <c r="Q545" t="s">
        <v>1096</v>
      </c>
      <c r="S545" s="1663">
        <v>0</v>
      </c>
      <c r="U545" s="1672"/>
    </row>
    <row r="546" spans="4:21" ht="14.5" x14ac:dyDescent="0.35">
      <c r="D546" s="1673"/>
      <c r="E546" s="1673"/>
      <c r="F546" s="1673"/>
      <c r="P546" s="1671">
        <v>56931</v>
      </c>
      <c r="Q546" t="s">
        <v>3141</v>
      </c>
      <c r="S546" s="1663">
        <f>Q223</f>
        <v>8877958.2333333362</v>
      </c>
      <c r="U546" s="1672"/>
    </row>
    <row r="547" spans="4:21" ht="14.5" x14ac:dyDescent="0.35">
      <c r="D547" s="1673"/>
      <c r="E547" s="1673"/>
      <c r="F547" s="1673"/>
      <c r="P547" s="1671">
        <v>56932</v>
      </c>
      <c r="Q547" t="s">
        <v>3142</v>
      </c>
      <c r="S547" s="1663">
        <f>Q243</f>
        <v>410890.80000000005</v>
      </c>
      <c r="U547" s="1672"/>
    </row>
    <row r="548" spans="4:21" ht="14.5" x14ac:dyDescent="0.35">
      <c r="D548" s="1673"/>
      <c r="E548" s="1673"/>
      <c r="F548" s="1673"/>
      <c r="P548" s="1671">
        <v>56933</v>
      </c>
      <c r="Q548" t="s">
        <v>3143</v>
      </c>
      <c r="S548" s="1663">
        <f>Q257</f>
        <v>169513.16666666666</v>
      </c>
      <c r="U548" s="1672"/>
    </row>
    <row r="549" spans="4:21" ht="14.5" x14ac:dyDescent="0.35">
      <c r="D549" s="1673"/>
      <c r="E549" s="1673"/>
      <c r="F549" s="1673"/>
      <c r="P549" s="1671">
        <v>56934</v>
      </c>
      <c r="Q549" t="s">
        <v>3144</v>
      </c>
      <c r="S549" s="1663">
        <f>Q314</f>
        <v>2808334.8833333338</v>
      </c>
      <c r="U549" s="1672"/>
    </row>
    <row r="550" spans="4:21" ht="14.5" x14ac:dyDescent="0.35">
      <c r="D550" s="1673"/>
      <c r="E550" s="1673"/>
      <c r="F550" s="1673"/>
      <c r="P550" s="1671">
        <v>56935</v>
      </c>
      <c r="Q550" t="s">
        <v>3145</v>
      </c>
      <c r="U550" s="1672"/>
    </row>
    <row r="551" spans="4:21" ht="14.5" x14ac:dyDescent="0.35">
      <c r="D551" s="1673"/>
      <c r="E551" s="1673"/>
      <c r="F551" s="1673"/>
      <c r="P551" s="1671">
        <v>56936</v>
      </c>
      <c r="Q551" t="s">
        <v>3146</v>
      </c>
      <c r="S551" s="1663">
        <f>Q327</f>
        <v>715958.33333333337</v>
      </c>
      <c r="U551" s="1672"/>
    </row>
    <row r="552" spans="4:21" ht="14.5" x14ac:dyDescent="0.35">
      <c r="D552" s="1673"/>
      <c r="E552" s="1673"/>
      <c r="F552" s="1673"/>
      <c r="P552" s="1671">
        <v>56937</v>
      </c>
      <c r="Q552" t="s">
        <v>3147</v>
      </c>
      <c r="S552" s="1663">
        <v>0</v>
      </c>
      <c r="U552" s="1672"/>
    </row>
    <row r="553" spans="4:21" ht="14.5" x14ac:dyDescent="0.35">
      <c r="D553" s="1673"/>
      <c r="E553" s="1673"/>
      <c r="F553" s="1673"/>
      <c r="P553" s="1671">
        <v>56939</v>
      </c>
      <c r="Q553" t="s">
        <v>3148</v>
      </c>
      <c r="S553" s="1663">
        <v>0</v>
      </c>
      <c r="U553" s="1672"/>
    </row>
    <row r="554" spans="4:21" ht="14.5" x14ac:dyDescent="0.35">
      <c r="D554" s="1673"/>
      <c r="E554" s="1673"/>
      <c r="F554" s="1673"/>
      <c r="P554" s="1671">
        <v>56940</v>
      </c>
      <c r="Q554" t="s">
        <v>3111</v>
      </c>
      <c r="S554" s="1663">
        <v>0</v>
      </c>
      <c r="U554" s="1672"/>
    </row>
    <row r="555" spans="4:21" ht="14.5" x14ac:dyDescent="0.35">
      <c r="D555" s="1673"/>
      <c r="E555" s="1673"/>
      <c r="F555" s="1673"/>
      <c r="P555" s="1671">
        <v>56941</v>
      </c>
      <c r="Q555" t="s">
        <v>3149</v>
      </c>
      <c r="S555" s="1663">
        <f>Q356</f>
        <v>1651771.6833333333</v>
      </c>
      <c r="U555" s="1672"/>
    </row>
    <row r="556" spans="4:21" ht="14.5" x14ac:dyDescent="0.35">
      <c r="D556" s="1673"/>
      <c r="E556" s="1673"/>
      <c r="F556" s="1673"/>
      <c r="P556" s="1671">
        <v>56942</v>
      </c>
      <c r="Q556" t="s">
        <v>3150</v>
      </c>
      <c r="S556" s="1663">
        <f>Q372</f>
        <v>1435713.8333333333</v>
      </c>
      <c r="U556" s="1672"/>
    </row>
    <row r="557" spans="4:21" ht="14.5" x14ac:dyDescent="0.35">
      <c r="D557" s="1673"/>
      <c r="E557" s="1673"/>
      <c r="F557" s="1673"/>
      <c r="P557" s="1671">
        <v>56943</v>
      </c>
      <c r="Q557" t="s">
        <v>3151</v>
      </c>
      <c r="S557" s="1663">
        <f>Q400</f>
        <v>9831774.0000000019</v>
      </c>
      <c r="U557" s="1672"/>
    </row>
    <row r="558" spans="4:21" ht="14.5" x14ac:dyDescent="0.35">
      <c r="D558" s="1673"/>
      <c r="E558" s="1673"/>
      <c r="F558" s="1673"/>
      <c r="P558" s="1671">
        <v>56944</v>
      </c>
      <c r="Q558" t="s">
        <v>3152</v>
      </c>
      <c r="S558" s="1663">
        <f>Q432</f>
        <v>3629855.8333333335</v>
      </c>
      <c r="U558" s="1672"/>
    </row>
    <row r="559" spans="4:21" ht="14.5" x14ac:dyDescent="0.35">
      <c r="D559" s="1673"/>
      <c r="E559" s="1673"/>
      <c r="F559" s="1673"/>
      <c r="P559" s="1671">
        <v>56945</v>
      </c>
      <c r="Q559" t="s">
        <v>3153</v>
      </c>
      <c r="S559" s="1663">
        <f>Q442</f>
        <v>475410.3000333333</v>
      </c>
      <c r="U559" s="1672"/>
    </row>
    <row r="560" spans="4:21" ht="14.5" x14ac:dyDescent="0.35">
      <c r="D560" s="1673"/>
      <c r="E560" s="1673"/>
      <c r="F560" s="1673"/>
      <c r="P560" s="1671">
        <v>56946</v>
      </c>
      <c r="Q560" t="s">
        <v>3154</v>
      </c>
      <c r="S560" s="2980">
        <f>Q457</f>
        <v>634329.7333333334</v>
      </c>
      <c r="U560" s="1672"/>
    </row>
    <row r="561" spans="4:21" ht="14.5" x14ac:dyDescent="0.35">
      <c r="D561" s="1673"/>
      <c r="E561" s="1673"/>
      <c r="F561" s="1673"/>
      <c r="P561" s="1671">
        <v>56947</v>
      </c>
      <c r="Q561" t="s">
        <v>3155</v>
      </c>
      <c r="S561" s="1663">
        <f>Q466</f>
        <v>285276.16666666663</v>
      </c>
      <c r="U561" s="1672"/>
    </row>
    <row r="562" spans="4:21" ht="14.5" x14ac:dyDescent="0.35">
      <c r="D562" s="1673"/>
      <c r="E562" s="1673"/>
      <c r="F562" s="1673"/>
      <c r="P562" s="1671">
        <v>56948</v>
      </c>
      <c r="Q562" t="s">
        <v>3156</v>
      </c>
      <c r="S562" s="1663">
        <f>Q478</f>
        <v>972954.66666666663</v>
      </c>
      <c r="U562" s="1672"/>
    </row>
    <row r="563" spans="4:21" ht="14.5" x14ac:dyDescent="0.35">
      <c r="D563" s="1673"/>
      <c r="E563" s="1673"/>
      <c r="F563" s="1673"/>
      <c r="P563" s="1671">
        <v>56949</v>
      </c>
      <c r="Q563" t="s">
        <v>3157</v>
      </c>
      <c r="S563" s="1663">
        <v>0</v>
      </c>
      <c r="U563" s="1672"/>
    </row>
    <row r="564" spans="4:21" ht="14.5" x14ac:dyDescent="0.35">
      <c r="D564" s="1673"/>
      <c r="E564" s="1673"/>
      <c r="F564" s="1673"/>
      <c r="P564" s="1671">
        <v>56950</v>
      </c>
      <c r="Q564" t="s">
        <v>1102</v>
      </c>
      <c r="S564" s="1663">
        <v>0</v>
      </c>
      <c r="U564" s="1672"/>
    </row>
    <row r="565" spans="4:21" ht="14.5" x14ac:dyDescent="0.35">
      <c r="D565" s="1673"/>
      <c r="E565" s="1673"/>
      <c r="F565" s="1673"/>
      <c r="P565" s="1671">
        <v>56951</v>
      </c>
      <c r="Q565" t="s">
        <v>3158</v>
      </c>
      <c r="S565" s="1663">
        <f>Q488</f>
        <v>2031250</v>
      </c>
      <c r="U565" s="1672"/>
    </row>
    <row r="566" spans="4:21" ht="14.5" x14ac:dyDescent="0.35">
      <c r="D566" s="1673"/>
      <c r="E566" s="1673"/>
      <c r="F566" s="1673"/>
      <c r="P566" s="1671">
        <v>56952</v>
      </c>
      <c r="Q566" t="s">
        <v>3159</v>
      </c>
      <c r="S566" s="1663">
        <f>Q494</f>
        <v>298958.33333333331</v>
      </c>
      <c r="U566" s="1672"/>
    </row>
    <row r="567" spans="4:21" ht="14.5" x14ac:dyDescent="0.35">
      <c r="D567" s="1673"/>
      <c r="E567" s="1673"/>
      <c r="F567" s="1673"/>
      <c r="P567" s="1674">
        <v>56953</v>
      </c>
      <c r="Q567" s="1675" t="s">
        <v>3160</v>
      </c>
      <c r="R567" s="1676"/>
      <c r="S567" s="1676">
        <v>0</v>
      </c>
      <c r="T567" s="1676"/>
      <c r="U567" s="1677"/>
    </row>
    <row r="568" spans="4:21" ht="14.5" x14ac:dyDescent="0.35">
      <c r="D568" s="1673"/>
      <c r="E568" s="1673"/>
      <c r="F568" s="1673"/>
      <c r="P568" s="1678"/>
      <c r="Q568" s="1679">
        <v>12412</v>
      </c>
      <c r="R568" t="s">
        <v>1623</v>
      </c>
      <c r="U568" s="2895">
        <f>S527</f>
        <v>17403272.166666664</v>
      </c>
    </row>
    <row r="569" spans="4:21" ht="14.5" x14ac:dyDescent="0.35">
      <c r="D569" s="1673"/>
      <c r="E569" s="1673"/>
      <c r="F569" s="1673"/>
      <c r="P569" s="1678"/>
      <c r="Q569" s="1679">
        <v>12413</v>
      </c>
      <c r="R569" t="s">
        <v>1625</v>
      </c>
      <c r="U569" s="2895">
        <f t="shared" ref="U569:U608" si="332">S528</f>
        <v>13408750</v>
      </c>
    </row>
    <row r="570" spans="4:21" ht="14.5" x14ac:dyDescent="0.35">
      <c r="D570" s="1673"/>
      <c r="E570" s="1673"/>
      <c r="F570" s="1673"/>
      <c r="P570" s="1678"/>
      <c r="Q570" s="1679">
        <v>12414</v>
      </c>
      <c r="R570" t="s">
        <v>1627</v>
      </c>
      <c r="U570" s="2895">
        <f t="shared" si="332"/>
        <v>4352608.333333333</v>
      </c>
    </row>
    <row r="571" spans="4:21" ht="14.5" x14ac:dyDescent="0.35">
      <c r="D571" s="1673"/>
      <c r="E571" s="1673"/>
      <c r="F571" s="1673"/>
      <c r="P571" s="1678"/>
      <c r="Q571" s="1679">
        <v>12415</v>
      </c>
      <c r="R571" t="s">
        <v>1629</v>
      </c>
      <c r="U571" s="2895">
        <f t="shared" si="332"/>
        <v>13792294.737499999</v>
      </c>
    </row>
    <row r="572" spans="4:21" ht="14.5" x14ac:dyDescent="0.35">
      <c r="D572" s="1673"/>
      <c r="E572" s="1673"/>
      <c r="F572" s="1673"/>
      <c r="P572" s="1678"/>
      <c r="Q572" s="1679">
        <v>12416</v>
      </c>
      <c r="R572" t="s">
        <v>1631</v>
      </c>
      <c r="U572" s="2895">
        <f t="shared" si="332"/>
        <v>0</v>
      </c>
    </row>
    <row r="573" spans="4:21" ht="14.5" x14ac:dyDescent="0.35">
      <c r="D573" s="1673"/>
      <c r="E573" s="1673"/>
      <c r="F573" s="1673"/>
      <c r="P573" s="1678"/>
      <c r="Q573" s="1679">
        <v>12417</v>
      </c>
      <c r="R573" t="s">
        <v>1633</v>
      </c>
      <c r="U573" s="2895">
        <f t="shared" si="332"/>
        <v>0</v>
      </c>
    </row>
    <row r="574" spans="4:21" ht="14.5" x14ac:dyDescent="0.35">
      <c r="D574" s="1673"/>
      <c r="E574" s="1673"/>
      <c r="F574" s="1673"/>
      <c r="P574" s="1678"/>
      <c r="Q574" s="1679">
        <v>12418</v>
      </c>
      <c r="R574" t="s">
        <v>1635</v>
      </c>
      <c r="U574" s="2895">
        <f t="shared" si="332"/>
        <v>2336259.375</v>
      </c>
    </row>
    <row r="575" spans="4:21" ht="14.5" x14ac:dyDescent="0.35">
      <c r="D575" s="1673"/>
      <c r="E575" s="1673"/>
      <c r="F575" s="1673"/>
      <c r="P575" s="1678"/>
      <c r="Q575" s="1679">
        <v>12419</v>
      </c>
      <c r="R575" t="s">
        <v>1637</v>
      </c>
      <c r="U575" s="2895">
        <f t="shared" si="332"/>
        <v>50000</v>
      </c>
    </row>
    <row r="576" spans="4:21" ht="14.5" x14ac:dyDescent="0.35">
      <c r="D576" s="1673"/>
      <c r="E576" s="1673"/>
      <c r="F576" s="1673"/>
      <c r="P576" s="1678"/>
      <c r="Q576" s="1679">
        <v>12420</v>
      </c>
      <c r="R576" t="s">
        <v>1639</v>
      </c>
      <c r="U576" s="2895">
        <f t="shared" si="332"/>
        <v>0</v>
      </c>
    </row>
    <row r="577" spans="4:21" ht="14.5" x14ac:dyDescent="0.35">
      <c r="D577" s="1673"/>
      <c r="E577" s="1673"/>
      <c r="F577" s="1673"/>
      <c r="P577" s="1678"/>
      <c r="Q577" s="1679">
        <v>12421</v>
      </c>
      <c r="R577" t="s">
        <v>1641</v>
      </c>
      <c r="U577" s="2895">
        <f t="shared" si="332"/>
        <v>584658.33333333337</v>
      </c>
    </row>
    <row r="578" spans="4:21" ht="14.5" x14ac:dyDescent="0.35">
      <c r="D578" s="1673"/>
      <c r="E578" s="1673"/>
      <c r="F578" s="1673"/>
      <c r="P578" s="1678"/>
      <c r="Q578" s="1679">
        <v>12422</v>
      </c>
      <c r="R578" t="s">
        <v>1643</v>
      </c>
      <c r="U578" s="2895">
        <f t="shared" si="332"/>
        <v>0</v>
      </c>
    </row>
    <row r="579" spans="4:21" ht="14.5" x14ac:dyDescent="0.35">
      <c r="D579" s="1673"/>
      <c r="E579" s="1673"/>
      <c r="F579" s="1673"/>
      <c r="P579" s="1678"/>
      <c r="Q579" s="1679">
        <v>12423</v>
      </c>
      <c r="R579" t="s">
        <v>1645</v>
      </c>
      <c r="U579" s="2895">
        <f t="shared" si="332"/>
        <v>58333.333333333336</v>
      </c>
    </row>
    <row r="580" spans="4:21" ht="14.5" x14ac:dyDescent="0.35">
      <c r="D580" s="1673"/>
      <c r="E580" s="1673"/>
      <c r="F580" s="1673"/>
      <c r="P580" s="1678"/>
      <c r="Q580" s="1679">
        <v>12424</v>
      </c>
      <c r="R580" t="s">
        <v>1647</v>
      </c>
      <c r="U580" s="2895">
        <f t="shared" si="332"/>
        <v>-1</v>
      </c>
    </row>
    <row r="581" spans="4:21" ht="14.5" x14ac:dyDescent="0.35">
      <c r="D581" s="1673"/>
      <c r="E581" s="1673"/>
      <c r="F581" s="1673"/>
      <c r="P581" s="1678"/>
      <c r="Q581" s="1679">
        <v>12425</v>
      </c>
      <c r="R581" t="s">
        <v>1649</v>
      </c>
      <c r="U581" s="2895">
        <f>S540</f>
        <v>3299047.9166666665</v>
      </c>
    </row>
    <row r="582" spans="4:21" ht="14.5" x14ac:dyDescent="0.35">
      <c r="D582" s="1673"/>
      <c r="E582" s="1673"/>
      <c r="F582" s="1673"/>
      <c r="P582" s="1678"/>
      <c r="Q582" s="1679">
        <v>12426</v>
      </c>
      <c r="R582" t="s">
        <v>1651</v>
      </c>
      <c r="U582" s="2895">
        <f t="shared" si="332"/>
        <v>0</v>
      </c>
    </row>
    <row r="583" spans="4:21" ht="14.5" x14ac:dyDescent="0.35">
      <c r="D583" s="1673"/>
      <c r="E583" s="1673"/>
      <c r="F583" s="1673"/>
      <c r="P583" s="1678"/>
      <c r="Q583" s="1679">
        <v>12427</v>
      </c>
      <c r="R583" t="s">
        <v>1653</v>
      </c>
      <c r="U583" s="2895">
        <f t="shared" si="332"/>
        <v>1544154.5104166667</v>
      </c>
    </row>
    <row r="584" spans="4:21" ht="14.5" x14ac:dyDescent="0.35">
      <c r="P584" s="1678"/>
      <c r="Q584" s="1679">
        <v>12428</v>
      </c>
      <c r="R584" t="s">
        <v>1655</v>
      </c>
      <c r="U584" s="2895">
        <f t="shared" si="332"/>
        <v>761404.33333333337</v>
      </c>
    </row>
    <row r="585" spans="4:21" ht="14.5" x14ac:dyDescent="0.35">
      <c r="P585" s="1678"/>
      <c r="Q585" s="1679">
        <v>12429</v>
      </c>
      <c r="R585" t="s">
        <v>1657</v>
      </c>
      <c r="U585" s="2895">
        <f t="shared" si="332"/>
        <v>0</v>
      </c>
    </row>
    <row r="586" spans="4:21" ht="14.5" x14ac:dyDescent="0.35">
      <c r="P586" s="1678"/>
      <c r="Q586" s="1679">
        <v>12430</v>
      </c>
      <c r="R586" t="s">
        <v>1111</v>
      </c>
      <c r="U586" s="2895">
        <f t="shared" si="332"/>
        <v>0</v>
      </c>
    </row>
    <row r="587" spans="4:21" ht="14.5" x14ac:dyDescent="0.35">
      <c r="P587" s="1678"/>
      <c r="Q587" s="1679">
        <v>12431</v>
      </c>
      <c r="R587" t="s">
        <v>1659</v>
      </c>
      <c r="U587" s="2981">
        <f t="shared" si="332"/>
        <v>8877958.2333333362</v>
      </c>
    </row>
    <row r="588" spans="4:21" ht="14.5" x14ac:dyDescent="0.35">
      <c r="P588" s="1678"/>
      <c r="Q588" s="1679">
        <v>12432</v>
      </c>
      <c r="R588" t="s">
        <v>1661</v>
      </c>
      <c r="U588" s="2895">
        <f>S547</f>
        <v>410890.80000000005</v>
      </c>
    </row>
    <row r="589" spans="4:21" ht="14.5" x14ac:dyDescent="0.35">
      <c r="P589" s="1678"/>
      <c r="Q589" s="1679">
        <v>12433</v>
      </c>
      <c r="R589" t="s">
        <v>1663</v>
      </c>
      <c r="U589" s="2895">
        <f>S548</f>
        <v>169513.16666666666</v>
      </c>
    </row>
    <row r="590" spans="4:21" ht="14.5" x14ac:dyDescent="0.35">
      <c r="P590" s="1678"/>
      <c r="Q590" s="1679">
        <v>12434</v>
      </c>
      <c r="R590" t="s">
        <v>1665</v>
      </c>
      <c r="U590" s="2981">
        <f t="shared" si="332"/>
        <v>2808334.8833333338</v>
      </c>
    </row>
    <row r="591" spans="4:21" ht="14.5" x14ac:dyDescent="0.35">
      <c r="P591" s="1678"/>
      <c r="Q591" s="1679">
        <v>12435</v>
      </c>
      <c r="R591" t="s">
        <v>1667</v>
      </c>
      <c r="U591" s="2895">
        <f t="shared" si="332"/>
        <v>0</v>
      </c>
    </row>
    <row r="592" spans="4:21" ht="14.5" x14ac:dyDescent="0.35">
      <c r="P592" s="1678"/>
      <c r="Q592" s="1679">
        <v>12436</v>
      </c>
      <c r="R592" t="s">
        <v>1669</v>
      </c>
      <c r="U592" s="2895">
        <f t="shared" si="332"/>
        <v>715958.33333333337</v>
      </c>
    </row>
    <row r="593" spans="16:21" ht="14.5" x14ac:dyDescent="0.35">
      <c r="P593" s="1678"/>
      <c r="Q593" s="1679">
        <v>12437</v>
      </c>
      <c r="R593" t="s">
        <v>1671</v>
      </c>
      <c r="U593" s="2895">
        <f t="shared" si="332"/>
        <v>0</v>
      </c>
    </row>
    <row r="594" spans="16:21" ht="14.5" x14ac:dyDescent="0.35">
      <c r="P594" s="1678"/>
      <c r="Q594" s="1679">
        <v>12439</v>
      </c>
      <c r="R594" t="s">
        <v>1674</v>
      </c>
      <c r="U594" s="2895">
        <f t="shared" si="332"/>
        <v>0</v>
      </c>
    </row>
    <row r="595" spans="16:21" ht="14.5" x14ac:dyDescent="0.35">
      <c r="P595" s="1678"/>
      <c r="Q595" s="1679">
        <v>12440</v>
      </c>
      <c r="R595" t="s">
        <v>1113</v>
      </c>
      <c r="U595" s="2895">
        <f t="shared" si="332"/>
        <v>0</v>
      </c>
    </row>
    <row r="596" spans="16:21" ht="14.5" x14ac:dyDescent="0.35">
      <c r="P596" s="1678"/>
      <c r="Q596" s="1679">
        <v>12441</v>
      </c>
      <c r="R596" t="s">
        <v>1676</v>
      </c>
      <c r="U596" s="2895">
        <f t="shared" si="332"/>
        <v>1651771.6833333333</v>
      </c>
    </row>
    <row r="597" spans="16:21" ht="14.5" x14ac:dyDescent="0.35">
      <c r="P597" s="1678"/>
      <c r="Q597" s="1679">
        <v>12442</v>
      </c>
      <c r="R597" t="s">
        <v>1678</v>
      </c>
      <c r="U597" s="2895">
        <f t="shared" si="332"/>
        <v>1435713.8333333333</v>
      </c>
    </row>
    <row r="598" spans="16:21" ht="14.5" x14ac:dyDescent="0.35">
      <c r="P598" s="1678"/>
      <c r="Q598" s="1679">
        <v>12443</v>
      </c>
      <c r="R598" t="s">
        <v>1680</v>
      </c>
      <c r="U598" s="2895">
        <f t="shared" si="332"/>
        <v>9831774.0000000019</v>
      </c>
    </row>
    <row r="599" spans="16:21" ht="14.5" x14ac:dyDescent="0.35">
      <c r="P599" s="1678"/>
      <c r="Q599" s="1679">
        <v>12444</v>
      </c>
      <c r="R599" t="s">
        <v>1682</v>
      </c>
      <c r="U599" s="2895">
        <f t="shared" si="332"/>
        <v>3629855.8333333335</v>
      </c>
    </row>
    <row r="600" spans="16:21" ht="14.5" x14ac:dyDescent="0.35">
      <c r="P600" s="1678"/>
      <c r="Q600" s="1679">
        <v>12445</v>
      </c>
      <c r="R600" t="s">
        <v>1684</v>
      </c>
      <c r="U600" s="2895">
        <f t="shared" si="332"/>
        <v>475410.3000333333</v>
      </c>
    </row>
    <row r="601" spans="16:21" ht="14.5" x14ac:dyDescent="0.35">
      <c r="P601" s="1678"/>
      <c r="Q601" s="1679">
        <v>12446</v>
      </c>
      <c r="R601" t="s">
        <v>1686</v>
      </c>
      <c r="U601" s="2895">
        <f t="shared" si="332"/>
        <v>634329.7333333334</v>
      </c>
    </row>
    <row r="602" spans="16:21" ht="14.5" x14ac:dyDescent="0.35">
      <c r="P602" s="1678"/>
      <c r="Q602" s="1679">
        <v>12447</v>
      </c>
      <c r="R602" t="s">
        <v>1688</v>
      </c>
      <c r="U602" s="2895">
        <f>S561</f>
        <v>285276.16666666663</v>
      </c>
    </row>
    <row r="603" spans="16:21" ht="14.5" x14ac:dyDescent="0.35">
      <c r="P603" s="1678"/>
      <c r="Q603" s="1679">
        <v>12448</v>
      </c>
      <c r="R603" t="s">
        <v>1690</v>
      </c>
      <c r="U603" s="2895">
        <f t="shared" si="332"/>
        <v>972954.66666666663</v>
      </c>
    </row>
    <row r="604" spans="16:21" ht="14.5" x14ac:dyDescent="0.35">
      <c r="P604" s="1678"/>
      <c r="Q604" s="1679">
        <v>12449</v>
      </c>
      <c r="R604" t="s">
        <v>1692</v>
      </c>
      <c r="U604" s="2895">
        <f t="shared" si="332"/>
        <v>0</v>
      </c>
    </row>
    <row r="605" spans="16:21" ht="14.5" x14ac:dyDescent="0.35">
      <c r="P605" s="1678"/>
      <c r="Q605" s="1679">
        <v>12450</v>
      </c>
      <c r="R605" t="s">
        <v>1115</v>
      </c>
      <c r="U605" s="2895">
        <f t="shared" si="332"/>
        <v>0</v>
      </c>
    </row>
    <row r="606" spans="16:21" ht="14.5" x14ac:dyDescent="0.35">
      <c r="P606" s="1678"/>
      <c r="Q606" s="1679">
        <v>12451</v>
      </c>
      <c r="R606" t="s">
        <v>1694</v>
      </c>
      <c r="U606" s="2895">
        <f t="shared" si="332"/>
        <v>2031250</v>
      </c>
    </row>
    <row r="607" spans="16:21" ht="14.5" x14ac:dyDescent="0.35">
      <c r="P607" s="1678"/>
      <c r="Q607" s="1679">
        <v>12452</v>
      </c>
      <c r="R607" t="s">
        <v>1696</v>
      </c>
      <c r="U607" s="2895">
        <f t="shared" si="332"/>
        <v>298958.33333333331</v>
      </c>
    </row>
    <row r="608" spans="16:21" ht="14.5" x14ac:dyDescent="0.35">
      <c r="P608" s="1680"/>
      <c r="Q608" s="1681">
        <v>12453</v>
      </c>
      <c r="R608" s="1675" t="s">
        <v>1698</v>
      </c>
      <c r="S608" s="1676"/>
      <c r="T608" s="1676"/>
      <c r="U608" s="2895">
        <f t="shared" si="332"/>
        <v>0</v>
      </c>
    </row>
    <row r="610" spans="18:19" x14ac:dyDescent="0.35">
      <c r="R610" s="1663" t="s">
        <v>3161</v>
      </c>
      <c r="S610" s="1663">
        <f>SUM(S527:S567)</f>
        <v>91820732.006283328</v>
      </c>
    </row>
    <row r="611" spans="18:19" x14ac:dyDescent="0.35">
      <c r="R611" s="1663" t="s">
        <v>3162</v>
      </c>
      <c r="S611" s="1663">
        <f>SUM(U568:U608)</f>
        <v>91820732.006283328</v>
      </c>
    </row>
    <row r="612" spans="18:19" x14ac:dyDescent="0.35">
      <c r="S612" s="1663">
        <f>S610-S611</f>
        <v>0</v>
      </c>
    </row>
    <row r="613" spans="18:19" x14ac:dyDescent="0.35">
      <c r="R613" s="1663" t="s">
        <v>3163</v>
      </c>
      <c r="S613" s="1663">
        <f>S610</f>
        <v>91820732.006283328</v>
      </c>
    </row>
    <row r="614" spans="18:19" x14ac:dyDescent="0.35">
      <c r="R614" s="1663" t="s">
        <v>3164</v>
      </c>
      <c r="S614" s="1663">
        <f>Q523</f>
        <v>93248821.722949997</v>
      </c>
    </row>
    <row r="615" spans="18:19" x14ac:dyDescent="0.35">
      <c r="S615" s="1663">
        <f>S613-S614</f>
        <v>-1428089.7166666687</v>
      </c>
    </row>
  </sheetData>
  <autoFilter ref="L11:T608"/>
  <mergeCells count="18">
    <mergeCell ref="A523:C523"/>
    <mergeCell ref="K527:L527"/>
    <mergeCell ref="K529:L529"/>
    <mergeCell ref="A8:T8"/>
    <mergeCell ref="A10:B14"/>
    <mergeCell ref="F10:F14"/>
    <mergeCell ref="G10:G14"/>
    <mergeCell ref="H10:H14"/>
    <mergeCell ref="K10:K14"/>
    <mergeCell ref="L10:O10"/>
    <mergeCell ref="P10:S10"/>
    <mergeCell ref="T13:T14"/>
    <mergeCell ref="A7:T7"/>
    <mergeCell ref="A1:O1"/>
    <mergeCell ref="A2:T2"/>
    <mergeCell ref="A4:T4"/>
    <mergeCell ref="A5:T5"/>
    <mergeCell ref="A6:T6"/>
  </mergeCells>
  <phoneticPr fontId="174" type="noConversion"/>
  <pageMargins left="0.7" right="0.7" top="0.75" bottom="0.75" header="0.3" footer="0.3"/>
  <pageSetup paperSize="9" orientation="portrait" horizontalDpi="0" verticalDpi="0"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680"/>
  <sheetViews>
    <sheetView view="pageBreakPreview" topLeftCell="A183" zoomScale="90" zoomScaleNormal="100" zoomScaleSheetLayoutView="90" workbookViewId="0">
      <selection activeCell="C131" sqref="C131:E135"/>
    </sheetView>
  </sheetViews>
  <sheetFormatPr defaultColWidth="9" defaultRowHeight="14.5" x14ac:dyDescent="0.35"/>
  <cols>
    <col min="1" max="1" width="5.1796875" customWidth="1"/>
    <col min="2" max="2" width="6.7265625" customWidth="1"/>
    <col min="3" max="3" width="28.7265625" customWidth="1"/>
    <col min="4" max="4" width="8" style="3142" customWidth="1"/>
    <col min="5" max="6" width="15.7265625" customWidth="1"/>
    <col min="7" max="7" width="20.81640625" customWidth="1"/>
    <col min="8" max="8" width="22.1796875" customWidth="1"/>
    <col min="9" max="9" width="34.81640625" customWidth="1"/>
  </cols>
  <sheetData>
    <row r="1" spans="1:13" x14ac:dyDescent="0.35">
      <c r="C1" s="945">
        <v>2</v>
      </c>
      <c r="D1" s="945">
        <v>3</v>
      </c>
      <c r="E1" s="945">
        <v>4</v>
      </c>
      <c r="F1" s="945">
        <v>5</v>
      </c>
      <c r="G1" s="945">
        <v>6</v>
      </c>
      <c r="H1" s="945">
        <v>7</v>
      </c>
      <c r="I1" s="945">
        <v>8</v>
      </c>
    </row>
    <row r="2" spans="1:13" x14ac:dyDescent="0.35">
      <c r="A2" s="3785" t="str">
        <f>NRC!B2</f>
        <v>PESANTREN ISLAM AL-IRSYAD TENGARAN 6 BONDOWOSO</v>
      </c>
      <c r="B2" s="3785"/>
      <c r="C2" s="3785"/>
      <c r="D2" s="3785"/>
      <c r="E2" s="3785"/>
      <c r="F2" s="3785"/>
      <c r="G2" s="3785"/>
      <c r="H2" s="3785"/>
      <c r="I2" s="3785"/>
    </row>
    <row r="3" spans="1:13" x14ac:dyDescent="0.35">
      <c r="A3" s="946"/>
      <c r="B3" s="947"/>
      <c r="C3" s="947"/>
      <c r="D3" s="948"/>
      <c r="E3" s="949"/>
      <c r="F3" s="949"/>
      <c r="G3" s="949"/>
      <c r="H3" s="949"/>
      <c r="I3" s="950"/>
    </row>
    <row r="4" spans="1:13" x14ac:dyDescent="0.35">
      <c r="A4" s="1142" t="s">
        <v>3171</v>
      </c>
      <c r="B4" s="951"/>
      <c r="C4" s="951"/>
      <c r="D4" s="951"/>
      <c r="E4" s="951"/>
      <c r="F4" s="951"/>
      <c r="G4" s="951"/>
      <c r="H4" s="951"/>
      <c r="I4" s="951"/>
      <c r="J4" s="952"/>
      <c r="K4" s="952"/>
      <c r="L4" s="953"/>
    </row>
    <row r="5" spans="1:13" x14ac:dyDescent="0.35">
      <c r="A5" s="967" t="s">
        <v>3172</v>
      </c>
      <c r="B5" s="1767"/>
      <c r="C5" s="1768"/>
      <c r="D5" s="3171"/>
      <c r="E5" s="1768"/>
      <c r="F5" s="1768"/>
      <c r="G5" s="1768"/>
      <c r="H5" s="1768"/>
      <c r="I5" s="1769" t="s">
        <v>3173</v>
      </c>
    </row>
    <row r="6" spans="1:13" x14ac:dyDescent="0.35">
      <c r="A6" s="1770" t="str">
        <f>'1'!A6</f>
        <v>30 June 2026</v>
      </c>
      <c r="B6" s="1770"/>
      <c r="C6" s="1770"/>
      <c r="D6" s="3171"/>
      <c r="E6" s="1768"/>
      <c r="F6" s="1768"/>
      <c r="G6" s="1768"/>
      <c r="H6" s="1771"/>
      <c r="I6" s="1771">
        <f>'1'!L6</f>
        <v>46203</v>
      </c>
    </row>
    <row r="7" spans="1:13" ht="15.5" x14ac:dyDescent="0.35">
      <c r="A7" s="961" t="str">
        <f>'1'!A7</f>
        <v>(Dengan perbandingan informasi keuangan untuk bulan yang berakhir 31 May 2026 /</v>
      </c>
      <c r="B7" s="1767"/>
      <c r="C7" s="1768"/>
      <c r="D7" s="3171"/>
      <c r="E7" s="1768"/>
      <c r="F7" s="1768"/>
      <c r="G7" s="1768"/>
      <c r="H7" s="1768"/>
      <c r="I7" s="964" t="str">
        <f>'1'!L7</f>
        <v>With Comparative financial information for the month ended May 31, 2026 )</v>
      </c>
    </row>
    <row r="8" spans="1:13" x14ac:dyDescent="0.35">
      <c r="A8" s="967" t="s">
        <v>2426</v>
      </c>
      <c r="B8" s="968"/>
      <c r="C8" s="968"/>
      <c r="D8" s="969"/>
      <c r="E8" s="968"/>
      <c r="F8" s="968"/>
      <c r="G8" s="968"/>
      <c r="H8" s="968"/>
      <c r="I8" s="970" t="s">
        <v>177</v>
      </c>
    </row>
    <row r="9" spans="1:13" x14ac:dyDescent="0.35">
      <c r="A9" s="967" t="s">
        <v>531</v>
      </c>
      <c r="B9" s="968"/>
      <c r="C9" s="968"/>
      <c r="D9" s="969"/>
      <c r="E9" s="968"/>
      <c r="F9" s="968"/>
      <c r="G9" s="968"/>
      <c r="H9" s="968"/>
      <c r="I9" s="970" t="s">
        <v>532</v>
      </c>
    </row>
    <row r="10" spans="1:13" ht="15" thickBot="1" x14ac:dyDescent="0.4">
      <c r="A10" s="971"/>
      <c r="C10" s="972"/>
      <c r="D10" s="973"/>
      <c r="E10" s="972"/>
      <c r="F10" s="972"/>
      <c r="G10" s="972"/>
      <c r="H10" s="972"/>
      <c r="I10" s="974"/>
    </row>
    <row r="11" spans="1:13" x14ac:dyDescent="0.35">
      <c r="A11" s="975" t="s">
        <v>2428</v>
      </c>
      <c r="B11" s="976" t="s">
        <v>1043</v>
      </c>
      <c r="C11" s="977"/>
      <c r="D11" s="3172" t="s">
        <v>2429</v>
      </c>
      <c r="E11" s="3830" t="str">
        <f>H11</f>
        <v>30 June 2026/</v>
      </c>
      <c r="F11" s="3831"/>
      <c r="G11" s="3832"/>
      <c r="H11" s="1772" t="str">
        <f>'1'!L11</f>
        <v>30 June 2026/</v>
      </c>
      <c r="I11" s="1773" t="s">
        <v>2601</v>
      </c>
    </row>
    <row r="12" spans="1:13" x14ac:dyDescent="0.35">
      <c r="A12" s="987"/>
      <c r="B12" s="988" t="s">
        <v>447</v>
      </c>
      <c r="C12" s="989"/>
      <c r="D12" s="3173" t="s">
        <v>2435</v>
      </c>
      <c r="E12" s="991" t="s">
        <v>2436</v>
      </c>
      <c r="F12" s="991" t="s">
        <v>2437</v>
      </c>
      <c r="G12" s="991" t="s">
        <v>417</v>
      </c>
      <c r="H12" s="1844">
        <f>'1'!L12</f>
        <v>46203</v>
      </c>
      <c r="I12" s="1774" t="s">
        <v>2606</v>
      </c>
      <c r="K12" s="1775"/>
      <c r="L12" s="1775"/>
      <c r="M12" s="1775"/>
    </row>
    <row r="13" spans="1:13" ht="15" thickBot="1" x14ac:dyDescent="0.4">
      <c r="A13" s="997"/>
      <c r="B13" s="998"/>
      <c r="C13" s="999"/>
      <c r="D13" s="3174"/>
      <c r="E13" s="1001" t="s">
        <v>302</v>
      </c>
      <c r="F13" s="1001" t="s">
        <v>2441</v>
      </c>
      <c r="G13" s="1001" t="s">
        <v>421</v>
      </c>
      <c r="H13" s="1776"/>
      <c r="I13" s="1777"/>
    </row>
    <row r="14" spans="1:13" x14ac:dyDescent="0.35">
      <c r="A14" s="1778"/>
      <c r="B14" s="1779"/>
      <c r="C14" s="1779"/>
      <c r="D14" s="3175"/>
      <c r="E14" s="1779"/>
      <c r="F14" s="1779"/>
      <c r="G14" s="1779"/>
      <c r="H14" s="1780"/>
      <c r="I14" s="1781"/>
    </row>
    <row r="15" spans="1:13" x14ac:dyDescent="0.35">
      <c r="A15" s="1012" t="s">
        <v>533</v>
      </c>
      <c r="B15" s="1013" t="s">
        <v>7343</v>
      </c>
      <c r="C15" s="1014"/>
      <c r="D15" s="1015"/>
      <c r="E15" s="1016"/>
      <c r="F15" s="1017"/>
      <c r="G15" s="1017"/>
      <c r="H15" s="1782"/>
      <c r="I15" s="1018"/>
    </row>
    <row r="16" spans="1:13" x14ac:dyDescent="0.35">
      <c r="A16" s="1042"/>
      <c r="B16" s="1031"/>
      <c r="C16" s="1034" t="s">
        <v>2485</v>
      </c>
      <c r="D16" s="3176"/>
      <c r="E16" s="1035"/>
      <c r="F16" s="1035"/>
      <c r="G16" s="1035"/>
      <c r="H16" s="1784"/>
      <c r="I16" s="1038"/>
    </row>
    <row r="17" spans="1:9" x14ac:dyDescent="0.35">
      <c r="A17" s="1042"/>
      <c r="B17" s="1031"/>
      <c r="C17" s="1034" t="s">
        <v>7329</v>
      </c>
      <c r="D17" s="3176"/>
      <c r="E17" s="1035"/>
      <c r="F17" s="1035"/>
      <c r="G17" s="1035"/>
      <c r="H17" s="1784"/>
      <c r="I17" s="1038"/>
    </row>
    <row r="18" spans="1:9" x14ac:dyDescent="0.35">
      <c r="A18" s="1020"/>
      <c r="B18" s="1021" t="s">
        <v>2447</v>
      </c>
      <c r="C18" s="1022" t="s">
        <v>7772</v>
      </c>
      <c r="D18" s="2944" t="s">
        <v>7330</v>
      </c>
      <c r="E18" s="1024">
        <v>1900000</v>
      </c>
      <c r="F18" s="1024"/>
      <c r="G18" s="1024">
        <f t="shared" ref="G18:G37" si="0">SUM(E18:F18)</f>
        <v>1900000</v>
      </c>
      <c r="H18" s="1783">
        <f>G18</f>
        <v>1900000</v>
      </c>
      <c r="I18" s="1025"/>
    </row>
    <row r="19" spans="1:9" x14ac:dyDescent="0.35">
      <c r="A19" s="1020"/>
      <c r="B19" s="1021" t="s">
        <v>23</v>
      </c>
      <c r="C19" s="1022" t="s">
        <v>8251</v>
      </c>
      <c r="D19" s="2944" t="s">
        <v>7330</v>
      </c>
      <c r="E19" s="1024">
        <v>1900000</v>
      </c>
      <c r="F19" s="1024"/>
      <c r="G19" s="1024">
        <f t="shared" si="0"/>
        <v>1900000</v>
      </c>
      <c r="H19" s="1783">
        <f t="shared" ref="H19:H37" si="1">G19</f>
        <v>1900000</v>
      </c>
      <c r="I19" s="1025"/>
    </row>
    <row r="20" spans="1:9" x14ac:dyDescent="0.35">
      <c r="A20" s="1020"/>
      <c r="B20" s="1021" t="s">
        <v>27</v>
      </c>
      <c r="C20" s="1022" t="s">
        <v>8252</v>
      </c>
      <c r="D20" s="2944" t="s">
        <v>7330</v>
      </c>
      <c r="E20" s="1024">
        <v>1050000</v>
      </c>
      <c r="F20" s="1024"/>
      <c r="G20" s="1024">
        <f t="shared" si="0"/>
        <v>1050000</v>
      </c>
      <c r="H20" s="1783">
        <f t="shared" si="1"/>
        <v>1050000</v>
      </c>
      <c r="I20" s="1025"/>
    </row>
    <row r="21" spans="1:9" x14ac:dyDescent="0.35">
      <c r="A21" s="1020"/>
      <c r="B21" s="1021" t="s">
        <v>31</v>
      </c>
      <c r="C21" s="1022"/>
      <c r="D21" s="2944"/>
      <c r="E21" s="1024"/>
      <c r="F21" s="1024"/>
      <c r="G21" s="1024">
        <f t="shared" si="0"/>
        <v>0</v>
      </c>
      <c r="H21" s="1783">
        <f t="shared" si="1"/>
        <v>0</v>
      </c>
      <c r="I21" s="1025"/>
    </row>
    <row r="22" spans="1:9" x14ac:dyDescent="0.35">
      <c r="A22" s="1020"/>
      <c r="B22" s="1021" t="s">
        <v>36</v>
      </c>
      <c r="C22" s="1022"/>
      <c r="D22" s="2944"/>
      <c r="E22" s="1024"/>
      <c r="F22" s="1024"/>
      <c r="G22" s="1024">
        <f t="shared" si="0"/>
        <v>0</v>
      </c>
      <c r="H22" s="1783">
        <f t="shared" si="1"/>
        <v>0</v>
      </c>
      <c r="I22" s="1025"/>
    </row>
    <row r="23" spans="1:9" x14ac:dyDescent="0.35">
      <c r="A23" s="1020"/>
      <c r="B23" s="1021" t="s">
        <v>2449</v>
      </c>
      <c r="C23" s="1022"/>
      <c r="D23" s="2944"/>
      <c r="E23" s="1024"/>
      <c r="F23" s="1024"/>
      <c r="G23" s="1024">
        <f t="shared" si="0"/>
        <v>0</v>
      </c>
      <c r="H23" s="1783">
        <f t="shared" si="1"/>
        <v>0</v>
      </c>
      <c r="I23" s="1025"/>
    </row>
    <row r="24" spans="1:9" x14ac:dyDescent="0.35">
      <c r="A24" s="1020"/>
      <c r="B24" s="1021" t="s">
        <v>759</v>
      </c>
      <c r="C24" s="1022"/>
      <c r="D24" s="2944"/>
      <c r="E24" s="1024"/>
      <c r="F24" s="1024"/>
      <c r="G24" s="1024">
        <f t="shared" si="0"/>
        <v>0</v>
      </c>
      <c r="H24" s="1783">
        <f t="shared" si="1"/>
        <v>0</v>
      </c>
      <c r="I24" s="1025"/>
    </row>
    <row r="25" spans="1:9" x14ac:dyDescent="0.35">
      <c r="A25" s="1020"/>
      <c r="B25" s="1021" t="s">
        <v>701</v>
      </c>
      <c r="C25" s="1022"/>
      <c r="D25" s="2944"/>
      <c r="E25" s="1024"/>
      <c r="F25" s="1024"/>
      <c r="G25" s="1024">
        <f t="shared" si="0"/>
        <v>0</v>
      </c>
      <c r="H25" s="1783">
        <f t="shared" si="1"/>
        <v>0</v>
      </c>
      <c r="I25" s="1025"/>
    </row>
    <row r="26" spans="1:9" x14ac:dyDescent="0.35">
      <c r="A26" s="1020"/>
      <c r="B26" s="1021" t="s">
        <v>1027</v>
      </c>
      <c r="C26" s="1022"/>
      <c r="D26" s="2944"/>
      <c r="E26" s="1024"/>
      <c r="F26" s="1024"/>
      <c r="G26" s="1024">
        <f t="shared" si="0"/>
        <v>0</v>
      </c>
      <c r="H26" s="1783">
        <f t="shared" si="1"/>
        <v>0</v>
      </c>
      <c r="I26" s="1025"/>
    </row>
    <row r="27" spans="1:9" x14ac:dyDescent="0.35">
      <c r="A27" s="1020"/>
      <c r="B27" s="1021" t="s">
        <v>762</v>
      </c>
      <c r="C27" s="1022"/>
      <c r="D27" s="2944"/>
      <c r="E27" s="1024"/>
      <c r="F27" s="1024"/>
      <c r="G27" s="1024">
        <f t="shared" si="0"/>
        <v>0</v>
      </c>
      <c r="H27" s="1783">
        <f t="shared" si="1"/>
        <v>0</v>
      </c>
      <c r="I27" s="1025"/>
    </row>
    <row r="28" spans="1:9" x14ac:dyDescent="0.35">
      <c r="A28" s="1020"/>
      <c r="B28" s="1021" t="s">
        <v>874</v>
      </c>
      <c r="C28" s="1022"/>
      <c r="D28" s="2944"/>
      <c r="E28" s="1024"/>
      <c r="F28" s="1024"/>
      <c r="G28" s="1024">
        <f t="shared" si="0"/>
        <v>0</v>
      </c>
      <c r="H28" s="1783">
        <f t="shared" si="1"/>
        <v>0</v>
      </c>
      <c r="I28" s="1025"/>
    </row>
    <row r="29" spans="1:9" x14ac:dyDescent="0.35">
      <c r="A29" s="1020"/>
      <c r="B29" s="1021" t="s">
        <v>2450</v>
      </c>
      <c r="C29" s="1022"/>
      <c r="D29" s="2944"/>
      <c r="E29" s="1024"/>
      <c r="F29" s="1024"/>
      <c r="G29" s="1024">
        <f t="shared" si="0"/>
        <v>0</v>
      </c>
      <c r="H29" s="1783">
        <f t="shared" si="1"/>
        <v>0</v>
      </c>
      <c r="I29" s="1025"/>
    </row>
    <row r="30" spans="1:9" x14ac:dyDescent="0.35">
      <c r="A30" s="1020"/>
      <c r="B30" s="1021" t="s">
        <v>2451</v>
      </c>
      <c r="C30" s="1022"/>
      <c r="D30" s="2944"/>
      <c r="E30" s="1024"/>
      <c r="F30" s="1024"/>
      <c r="G30" s="1024">
        <f t="shared" si="0"/>
        <v>0</v>
      </c>
      <c r="H30" s="1783">
        <f t="shared" si="1"/>
        <v>0</v>
      </c>
      <c r="I30" s="1025"/>
    </row>
    <row r="31" spans="1:9" x14ac:dyDescent="0.35">
      <c r="A31" s="1020"/>
      <c r="B31" s="1021" t="s">
        <v>2452</v>
      </c>
      <c r="C31" s="1022"/>
      <c r="D31" s="2944"/>
      <c r="E31" s="1024"/>
      <c r="F31" s="1024"/>
      <c r="G31" s="1024">
        <f t="shared" si="0"/>
        <v>0</v>
      </c>
      <c r="H31" s="1783">
        <f t="shared" si="1"/>
        <v>0</v>
      </c>
      <c r="I31" s="1025"/>
    </row>
    <row r="32" spans="1:9" x14ac:dyDescent="0.35">
      <c r="A32" s="1020"/>
      <c r="B32" s="1021" t="s">
        <v>2453</v>
      </c>
      <c r="C32" s="1022"/>
      <c r="D32" s="2944"/>
      <c r="E32" s="1024"/>
      <c r="F32" s="1024"/>
      <c r="G32" s="1024">
        <f t="shared" si="0"/>
        <v>0</v>
      </c>
      <c r="H32" s="1783">
        <f t="shared" si="1"/>
        <v>0</v>
      </c>
      <c r="I32" s="1025"/>
    </row>
    <row r="33" spans="1:9" x14ac:dyDescent="0.35">
      <c r="A33" s="1020"/>
      <c r="B33" s="1021" t="s">
        <v>2454</v>
      </c>
      <c r="C33" s="1022" t="s">
        <v>2448</v>
      </c>
      <c r="D33" s="2944" t="s">
        <v>2448</v>
      </c>
      <c r="E33" s="1024"/>
      <c r="F33" s="1024"/>
      <c r="G33" s="1024">
        <f t="shared" si="0"/>
        <v>0</v>
      </c>
      <c r="H33" s="1783">
        <f t="shared" si="1"/>
        <v>0</v>
      </c>
      <c r="I33" s="1025"/>
    </row>
    <row r="34" spans="1:9" x14ac:dyDescent="0.35">
      <c r="A34" s="1020"/>
      <c r="B34" s="1021" t="s">
        <v>2455</v>
      </c>
      <c r="C34" s="1022" t="s">
        <v>2448</v>
      </c>
      <c r="D34" s="2944" t="s">
        <v>2448</v>
      </c>
      <c r="E34" s="1024"/>
      <c r="F34" s="1024"/>
      <c r="G34" s="1024">
        <f t="shared" si="0"/>
        <v>0</v>
      </c>
      <c r="H34" s="1783">
        <f t="shared" si="1"/>
        <v>0</v>
      </c>
      <c r="I34" s="1025"/>
    </row>
    <row r="35" spans="1:9" x14ac:dyDescent="0.35">
      <c r="A35" s="1020"/>
      <c r="B35" s="1021" t="s">
        <v>168</v>
      </c>
      <c r="C35" s="1022" t="s">
        <v>2448</v>
      </c>
      <c r="D35" s="2944" t="s">
        <v>2448</v>
      </c>
      <c r="E35" s="1024"/>
      <c r="F35" s="1024"/>
      <c r="G35" s="1024">
        <f t="shared" si="0"/>
        <v>0</v>
      </c>
      <c r="H35" s="1783">
        <f t="shared" si="1"/>
        <v>0</v>
      </c>
      <c r="I35" s="1025"/>
    </row>
    <row r="36" spans="1:9" x14ac:dyDescent="0.35">
      <c r="A36" s="1020"/>
      <c r="B36" s="1021" t="s">
        <v>171</v>
      </c>
      <c r="C36" s="1022" t="s">
        <v>2448</v>
      </c>
      <c r="D36" s="2944" t="s">
        <v>2448</v>
      </c>
      <c r="E36" s="1024" t="s">
        <v>2448</v>
      </c>
      <c r="F36" s="1024" t="s">
        <v>2448</v>
      </c>
      <c r="G36" s="1024">
        <f t="shared" si="0"/>
        <v>0</v>
      </c>
      <c r="H36" s="1783">
        <f t="shared" si="1"/>
        <v>0</v>
      </c>
      <c r="I36" s="1025"/>
    </row>
    <row r="37" spans="1:9" x14ac:dyDescent="0.35">
      <c r="A37" s="1020"/>
      <c r="B37" s="1021" t="s">
        <v>173</v>
      </c>
      <c r="C37" s="1022" t="s">
        <v>2448</v>
      </c>
      <c r="D37" s="2944" t="s">
        <v>2448</v>
      </c>
      <c r="E37" s="1024" t="s">
        <v>2448</v>
      </c>
      <c r="F37" s="1024" t="s">
        <v>2448</v>
      </c>
      <c r="G37" s="1024">
        <f t="shared" si="0"/>
        <v>0</v>
      </c>
      <c r="H37" s="1783">
        <f t="shared" si="1"/>
        <v>0</v>
      </c>
      <c r="I37" s="1025"/>
    </row>
    <row r="38" spans="1:9" x14ac:dyDescent="0.35">
      <c r="A38" s="1020"/>
      <c r="B38" s="1031"/>
      <c r="C38" s="1022"/>
      <c r="D38" s="2944"/>
      <c r="E38" s="1032">
        <f>SUM(E18:E37)</f>
        <v>4850000</v>
      </c>
      <c r="F38" s="1032">
        <f>SUM(F18:F37)</f>
        <v>0</v>
      </c>
      <c r="G38" s="1032">
        <f>SUM(G18:G37)</f>
        <v>4850000</v>
      </c>
      <c r="H38" s="1032">
        <f>SUM(H18:H37)</f>
        <v>4850000</v>
      </c>
      <c r="I38" s="1033"/>
    </row>
    <row r="39" spans="1:9" x14ac:dyDescent="0.35">
      <c r="A39" s="1020"/>
      <c r="B39" s="1031"/>
      <c r="C39" s="1034" t="s">
        <v>7331</v>
      </c>
      <c r="D39" s="2944"/>
      <c r="E39" s="1035"/>
      <c r="F39" s="1035"/>
      <c r="G39" s="1035"/>
      <c r="H39" s="1784"/>
      <c r="I39" s="1038"/>
    </row>
    <row r="40" spans="1:9" x14ac:dyDescent="0.35">
      <c r="A40" s="1020"/>
      <c r="B40" s="1021" t="s">
        <v>2447</v>
      </c>
      <c r="C40" s="1022" t="s">
        <v>8253</v>
      </c>
      <c r="D40" s="2944" t="s">
        <v>7332</v>
      </c>
      <c r="E40" s="1024">
        <v>1900000</v>
      </c>
      <c r="F40" s="1024"/>
      <c r="G40" s="1024">
        <f t="shared" ref="G40:G58" si="2">SUM(E40:F40)</f>
        <v>1900000</v>
      </c>
      <c r="H40" s="1783">
        <f>G40</f>
        <v>1900000</v>
      </c>
      <c r="I40" s="1025"/>
    </row>
    <row r="41" spans="1:9" x14ac:dyDescent="0.35">
      <c r="A41" s="1020"/>
      <c r="B41" s="1021" t="s">
        <v>23</v>
      </c>
      <c r="C41" s="1022" t="s">
        <v>7420</v>
      </c>
      <c r="D41" s="2944" t="s">
        <v>7332</v>
      </c>
      <c r="E41" s="1024">
        <v>22800000</v>
      </c>
      <c r="F41" s="1024"/>
      <c r="G41" s="1024">
        <f t="shared" si="2"/>
        <v>22800000</v>
      </c>
      <c r="H41" s="1783">
        <f t="shared" ref="H41:H58" si="3">G41</f>
        <v>22800000</v>
      </c>
      <c r="I41" s="1025"/>
    </row>
    <row r="42" spans="1:9" x14ac:dyDescent="0.35">
      <c r="A42" s="1020"/>
      <c r="B42" s="1021" t="s">
        <v>27</v>
      </c>
      <c r="C42" s="1022" t="s">
        <v>8254</v>
      </c>
      <c r="D42" s="2944" t="s">
        <v>7332</v>
      </c>
      <c r="E42" s="1024">
        <v>1900000</v>
      </c>
      <c r="F42" s="1024"/>
      <c r="G42" s="1024">
        <f t="shared" si="2"/>
        <v>1900000</v>
      </c>
      <c r="H42" s="1783">
        <f t="shared" si="3"/>
        <v>1900000</v>
      </c>
      <c r="I42" s="1025"/>
    </row>
    <row r="43" spans="1:9" x14ac:dyDescent="0.35">
      <c r="A43" s="1020"/>
      <c r="B43" s="1021" t="s">
        <v>31</v>
      </c>
      <c r="C43" s="1022" t="s">
        <v>8255</v>
      </c>
      <c r="D43" s="2944" t="s">
        <v>7332</v>
      </c>
      <c r="E43" s="1024">
        <v>1900000</v>
      </c>
      <c r="F43" s="1024"/>
      <c r="G43" s="1024">
        <f t="shared" si="2"/>
        <v>1900000</v>
      </c>
      <c r="H43" s="1783">
        <f t="shared" si="3"/>
        <v>1900000</v>
      </c>
      <c r="I43" s="1025"/>
    </row>
    <row r="44" spans="1:9" x14ac:dyDescent="0.35">
      <c r="A44" s="1020"/>
      <c r="B44" s="1021" t="s">
        <v>36</v>
      </c>
      <c r="C44" s="1022" t="s">
        <v>7953</v>
      </c>
      <c r="D44" s="2944" t="s">
        <v>7332</v>
      </c>
      <c r="E44" s="1024">
        <v>1900000</v>
      </c>
      <c r="F44" s="1024"/>
      <c r="G44" s="1024">
        <f t="shared" si="2"/>
        <v>1900000</v>
      </c>
      <c r="H44" s="1783">
        <f t="shared" si="3"/>
        <v>1900000</v>
      </c>
      <c r="I44" s="1025"/>
    </row>
    <row r="45" spans="1:9" x14ac:dyDescent="0.35">
      <c r="A45" s="1020"/>
      <c r="B45" s="1021" t="s">
        <v>2449</v>
      </c>
      <c r="C45" s="1022" t="s">
        <v>8106</v>
      </c>
      <c r="D45" s="2944" t="s">
        <v>7332</v>
      </c>
      <c r="E45" s="1024">
        <v>1900000</v>
      </c>
      <c r="F45" s="1024"/>
      <c r="G45" s="1024">
        <f t="shared" si="2"/>
        <v>1900000</v>
      </c>
      <c r="H45" s="1783">
        <f t="shared" si="3"/>
        <v>1900000</v>
      </c>
      <c r="I45" s="1025"/>
    </row>
    <row r="46" spans="1:9" x14ac:dyDescent="0.35">
      <c r="A46" s="1020"/>
      <c r="B46" s="1021" t="s">
        <v>759</v>
      </c>
      <c r="C46" s="1022"/>
      <c r="D46" s="2944"/>
      <c r="E46" s="1024"/>
      <c r="F46" s="1024"/>
      <c r="G46" s="1024">
        <f t="shared" si="2"/>
        <v>0</v>
      </c>
      <c r="H46" s="1783">
        <f t="shared" si="3"/>
        <v>0</v>
      </c>
      <c r="I46" s="1025"/>
    </row>
    <row r="47" spans="1:9" x14ac:dyDescent="0.35">
      <c r="A47" s="1020"/>
      <c r="B47" s="1021" t="s">
        <v>1027</v>
      </c>
      <c r="C47" s="1022"/>
      <c r="D47" s="2944"/>
      <c r="E47" s="1024"/>
      <c r="F47" s="1024"/>
      <c r="G47" s="1024">
        <f t="shared" si="2"/>
        <v>0</v>
      </c>
      <c r="H47" s="1783">
        <f t="shared" si="3"/>
        <v>0</v>
      </c>
      <c r="I47" s="1025"/>
    </row>
    <row r="48" spans="1:9" x14ac:dyDescent="0.35">
      <c r="A48" s="1020"/>
      <c r="B48" s="1021" t="s">
        <v>762</v>
      </c>
      <c r="C48" s="1022"/>
      <c r="D48" s="2944"/>
      <c r="E48" s="1024"/>
      <c r="F48" s="1024"/>
      <c r="G48" s="1024">
        <f t="shared" si="2"/>
        <v>0</v>
      </c>
      <c r="H48" s="1783">
        <f t="shared" si="3"/>
        <v>0</v>
      </c>
      <c r="I48" s="1025"/>
    </row>
    <row r="49" spans="1:9" x14ac:dyDescent="0.35">
      <c r="A49" s="1020"/>
      <c r="B49" s="1021" t="s">
        <v>874</v>
      </c>
      <c r="C49" s="1022"/>
      <c r="D49" s="2944"/>
      <c r="E49" s="1024"/>
      <c r="F49" s="1024"/>
      <c r="G49" s="1024">
        <f t="shared" si="2"/>
        <v>0</v>
      </c>
      <c r="H49" s="1783">
        <f t="shared" si="3"/>
        <v>0</v>
      </c>
      <c r="I49" s="1025"/>
    </row>
    <row r="50" spans="1:9" x14ac:dyDescent="0.35">
      <c r="A50" s="1020"/>
      <c r="B50" s="1021" t="s">
        <v>2450</v>
      </c>
      <c r="C50" s="1022"/>
      <c r="D50" s="2944"/>
      <c r="E50" s="1024"/>
      <c r="F50" s="1024"/>
      <c r="G50" s="1024">
        <f t="shared" si="2"/>
        <v>0</v>
      </c>
      <c r="H50" s="1783">
        <f t="shared" si="3"/>
        <v>0</v>
      </c>
      <c r="I50" s="1025"/>
    </row>
    <row r="51" spans="1:9" x14ac:dyDescent="0.35">
      <c r="A51" s="1020"/>
      <c r="B51" s="1021" t="s">
        <v>2451</v>
      </c>
      <c r="C51" s="1022"/>
      <c r="D51" s="2944"/>
      <c r="E51" s="1024"/>
      <c r="F51" s="1024"/>
      <c r="G51" s="1024">
        <f t="shared" si="2"/>
        <v>0</v>
      </c>
      <c r="H51" s="1783">
        <f t="shared" si="3"/>
        <v>0</v>
      </c>
      <c r="I51" s="1025"/>
    </row>
    <row r="52" spans="1:9" x14ac:dyDescent="0.35">
      <c r="A52" s="1020"/>
      <c r="B52" s="1021" t="s">
        <v>2452</v>
      </c>
      <c r="C52" s="1022"/>
      <c r="D52" s="2944"/>
      <c r="E52" s="1024"/>
      <c r="F52" s="1024"/>
      <c r="G52" s="1024">
        <f t="shared" si="2"/>
        <v>0</v>
      </c>
      <c r="H52" s="1783">
        <f t="shared" si="3"/>
        <v>0</v>
      </c>
      <c r="I52" s="1025"/>
    </row>
    <row r="53" spans="1:9" x14ac:dyDescent="0.35">
      <c r="A53" s="1020"/>
      <c r="B53" s="1021" t="s">
        <v>2453</v>
      </c>
      <c r="C53" s="1022"/>
      <c r="D53" s="2944"/>
      <c r="E53" s="1024"/>
      <c r="F53" s="1024" t="s">
        <v>2448</v>
      </c>
      <c r="G53" s="1024">
        <f t="shared" si="2"/>
        <v>0</v>
      </c>
      <c r="H53" s="1783">
        <f t="shared" si="3"/>
        <v>0</v>
      </c>
      <c r="I53" s="1025"/>
    </row>
    <row r="54" spans="1:9" x14ac:dyDescent="0.35">
      <c r="A54" s="1020"/>
      <c r="B54" s="1021" t="s">
        <v>2454</v>
      </c>
      <c r="C54" s="1022"/>
      <c r="D54" s="2944"/>
      <c r="E54" s="1024"/>
      <c r="F54" s="1024" t="s">
        <v>2448</v>
      </c>
      <c r="G54" s="1024">
        <f t="shared" si="2"/>
        <v>0</v>
      </c>
      <c r="H54" s="1783">
        <f t="shared" si="3"/>
        <v>0</v>
      </c>
      <c r="I54" s="1025"/>
    </row>
    <row r="55" spans="1:9" x14ac:dyDescent="0.35">
      <c r="A55" s="1020"/>
      <c r="B55" s="1021" t="s">
        <v>2455</v>
      </c>
      <c r="C55" s="1022" t="s">
        <v>2448</v>
      </c>
      <c r="D55" s="2944" t="s">
        <v>2448</v>
      </c>
      <c r="E55" s="1024" t="s">
        <v>2448</v>
      </c>
      <c r="F55" s="1024" t="s">
        <v>2448</v>
      </c>
      <c r="G55" s="1024">
        <f t="shared" si="2"/>
        <v>0</v>
      </c>
      <c r="H55" s="1783">
        <f t="shared" si="3"/>
        <v>0</v>
      </c>
      <c r="I55" s="1025"/>
    </row>
    <row r="56" spans="1:9" x14ac:dyDescent="0.35">
      <c r="A56" s="1020"/>
      <c r="B56" s="1021" t="s">
        <v>168</v>
      </c>
      <c r="C56" s="1022" t="s">
        <v>2448</v>
      </c>
      <c r="D56" s="2944" t="s">
        <v>2448</v>
      </c>
      <c r="E56" s="1024" t="s">
        <v>2448</v>
      </c>
      <c r="F56" s="1024" t="s">
        <v>2448</v>
      </c>
      <c r="G56" s="1024">
        <f t="shared" si="2"/>
        <v>0</v>
      </c>
      <c r="H56" s="1783">
        <f t="shared" si="3"/>
        <v>0</v>
      </c>
      <c r="I56" s="1025"/>
    </row>
    <row r="57" spans="1:9" x14ac:dyDescent="0.35">
      <c r="A57" s="1020"/>
      <c r="B57" s="1021" t="s">
        <v>171</v>
      </c>
      <c r="C57" s="1022" t="s">
        <v>2448</v>
      </c>
      <c r="D57" s="2944" t="s">
        <v>2448</v>
      </c>
      <c r="E57" s="1024" t="s">
        <v>2448</v>
      </c>
      <c r="F57" s="1024" t="s">
        <v>2448</v>
      </c>
      <c r="G57" s="1024">
        <f t="shared" si="2"/>
        <v>0</v>
      </c>
      <c r="H57" s="1783">
        <f t="shared" si="3"/>
        <v>0</v>
      </c>
      <c r="I57" s="1025"/>
    </row>
    <row r="58" spans="1:9" x14ac:dyDescent="0.35">
      <c r="A58" s="1020"/>
      <c r="B58" s="1021" t="s">
        <v>173</v>
      </c>
      <c r="C58" s="1022" t="s">
        <v>2448</v>
      </c>
      <c r="D58" s="2944" t="s">
        <v>2448</v>
      </c>
      <c r="E58" s="1024" t="s">
        <v>2448</v>
      </c>
      <c r="F58" s="1024" t="s">
        <v>2448</v>
      </c>
      <c r="G58" s="1024">
        <f t="shared" si="2"/>
        <v>0</v>
      </c>
      <c r="H58" s="1783">
        <f t="shared" si="3"/>
        <v>0</v>
      </c>
      <c r="I58" s="1025"/>
    </row>
    <row r="59" spans="1:9" x14ac:dyDescent="0.35">
      <c r="A59" s="1020"/>
      <c r="B59" s="1031"/>
      <c r="C59" s="1022"/>
      <c r="D59" s="2944"/>
      <c r="E59" s="1032">
        <f>SUM(E40:E58)</f>
        <v>32300000</v>
      </c>
      <c r="F59" s="1032">
        <f>SUM(F40:F58)</f>
        <v>0</v>
      </c>
      <c r="G59" s="1032">
        <f>SUM(G40:G58)</f>
        <v>32300000</v>
      </c>
      <c r="H59" s="1032">
        <f>SUM(H40:H58)</f>
        <v>32300000</v>
      </c>
      <c r="I59" s="1033"/>
    </row>
    <row r="60" spans="1:9" x14ac:dyDescent="0.35">
      <c r="A60" s="1020"/>
      <c r="B60" s="1031"/>
      <c r="C60" s="1034" t="s">
        <v>7333</v>
      </c>
      <c r="D60" s="2944"/>
      <c r="E60" s="1035"/>
      <c r="F60" s="1035"/>
      <c r="G60" s="1035"/>
      <c r="H60" s="1784"/>
      <c r="I60" s="1038"/>
    </row>
    <row r="61" spans="1:9" x14ac:dyDescent="0.35">
      <c r="A61" s="1020"/>
      <c r="B61" s="1021" t="s">
        <v>2447</v>
      </c>
      <c r="C61" s="1022" t="s">
        <v>8256</v>
      </c>
      <c r="D61" s="2944" t="s">
        <v>7334</v>
      </c>
      <c r="E61" s="1024">
        <v>1900000</v>
      </c>
      <c r="F61" s="1024"/>
      <c r="G61" s="1024">
        <f t="shared" ref="G61:G80" si="4">SUM(E61:F61)</f>
        <v>1900000</v>
      </c>
      <c r="H61" s="1783">
        <f>G61</f>
        <v>1900000</v>
      </c>
      <c r="I61" s="1025"/>
    </row>
    <row r="62" spans="1:9" x14ac:dyDescent="0.35">
      <c r="A62" s="1020"/>
      <c r="B62" s="1021" t="s">
        <v>23</v>
      </c>
      <c r="C62" s="1022" t="s">
        <v>8143</v>
      </c>
      <c r="D62" s="2944" t="s">
        <v>7334</v>
      </c>
      <c r="E62" s="1024">
        <v>1900000</v>
      </c>
      <c r="F62" s="1024"/>
      <c r="G62" s="1024">
        <f t="shared" si="4"/>
        <v>1900000</v>
      </c>
      <c r="H62" s="1783">
        <f t="shared" ref="H62:H80" si="5">G62</f>
        <v>1900000</v>
      </c>
      <c r="I62" s="1025"/>
    </row>
    <row r="63" spans="1:9" x14ac:dyDescent="0.35">
      <c r="A63" s="1020"/>
      <c r="B63" s="1021" t="s">
        <v>27</v>
      </c>
      <c r="C63" s="1022" t="s">
        <v>7812</v>
      </c>
      <c r="D63" s="2944" t="s">
        <v>7334</v>
      </c>
      <c r="E63" s="1024">
        <v>1900000</v>
      </c>
      <c r="F63" s="1024"/>
      <c r="G63" s="1024">
        <f t="shared" si="4"/>
        <v>1900000</v>
      </c>
      <c r="H63" s="1783">
        <f t="shared" si="5"/>
        <v>1900000</v>
      </c>
      <c r="I63" s="1025"/>
    </row>
    <row r="64" spans="1:9" x14ac:dyDescent="0.35">
      <c r="A64" s="1020"/>
      <c r="B64" s="1021" t="s">
        <v>31</v>
      </c>
      <c r="C64" s="1022"/>
      <c r="D64" s="2944"/>
      <c r="E64" s="1024"/>
      <c r="F64" s="1024"/>
      <c r="G64" s="1024">
        <f t="shared" si="4"/>
        <v>0</v>
      </c>
      <c r="H64" s="1783">
        <f t="shared" si="5"/>
        <v>0</v>
      </c>
      <c r="I64" s="1025"/>
    </row>
    <row r="65" spans="1:9" x14ac:dyDescent="0.35">
      <c r="A65" s="1020"/>
      <c r="B65" s="1021" t="s">
        <v>36</v>
      </c>
      <c r="C65" s="1022"/>
      <c r="D65" s="2944"/>
      <c r="E65" s="1024"/>
      <c r="F65" s="1024"/>
      <c r="G65" s="1024">
        <f t="shared" si="4"/>
        <v>0</v>
      </c>
      <c r="H65" s="1783">
        <f t="shared" si="5"/>
        <v>0</v>
      </c>
      <c r="I65" s="1025"/>
    </row>
    <row r="66" spans="1:9" x14ac:dyDescent="0.35">
      <c r="A66" s="1020"/>
      <c r="B66" s="1021" t="s">
        <v>2449</v>
      </c>
      <c r="C66" s="1022"/>
      <c r="D66" s="2944"/>
      <c r="E66" s="1024"/>
      <c r="F66" s="1024"/>
      <c r="G66" s="1024">
        <f t="shared" si="4"/>
        <v>0</v>
      </c>
      <c r="H66" s="1783">
        <f t="shared" si="5"/>
        <v>0</v>
      </c>
      <c r="I66" s="1025"/>
    </row>
    <row r="67" spans="1:9" x14ac:dyDescent="0.35">
      <c r="A67" s="1020"/>
      <c r="B67" s="1021" t="s">
        <v>759</v>
      </c>
      <c r="C67" s="1022"/>
      <c r="D67" s="2944"/>
      <c r="E67" s="1024"/>
      <c r="F67" s="1024"/>
      <c r="G67" s="1024">
        <f t="shared" si="4"/>
        <v>0</v>
      </c>
      <c r="H67" s="1783">
        <f t="shared" si="5"/>
        <v>0</v>
      </c>
      <c r="I67" s="1025"/>
    </row>
    <row r="68" spans="1:9" x14ac:dyDescent="0.35">
      <c r="A68" s="1020"/>
      <c r="B68" s="1021" t="s">
        <v>701</v>
      </c>
      <c r="C68" s="1022"/>
      <c r="D68" s="2944"/>
      <c r="E68" s="1024"/>
      <c r="F68" s="1024"/>
      <c r="G68" s="1024">
        <f t="shared" si="4"/>
        <v>0</v>
      </c>
      <c r="H68" s="1783">
        <f t="shared" si="5"/>
        <v>0</v>
      </c>
      <c r="I68" s="1025"/>
    </row>
    <row r="69" spans="1:9" x14ac:dyDescent="0.35">
      <c r="A69" s="1020"/>
      <c r="B69" s="1021" t="s">
        <v>1027</v>
      </c>
      <c r="C69" s="1022"/>
      <c r="D69" s="2944"/>
      <c r="E69" s="1024"/>
      <c r="F69" s="1024"/>
      <c r="G69" s="1024">
        <f t="shared" si="4"/>
        <v>0</v>
      </c>
      <c r="H69" s="1783">
        <f t="shared" si="5"/>
        <v>0</v>
      </c>
      <c r="I69" s="1025"/>
    </row>
    <row r="70" spans="1:9" x14ac:dyDescent="0.35">
      <c r="A70" s="1020"/>
      <c r="B70" s="1021" t="s">
        <v>762</v>
      </c>
      <c r="C70" s="1022"/>
      <c r="D70" s="2944"/>
      <c r="E70" s="1024"/>
      <c r="F70" s="1024"/>
      <c r="G70" s="1024">
        <f t="shared" si="4"/>
        <v>0</v>
      </c>
      <c r="H70" s="1783">
        <f t="shared" si="5"/>
        <v>0</v>
      </c>
      <c r="I70" s="1025"/>
    </row>
    <row r="71" spans="1:9" x14ac:dyDescent="0.35">
      <c r="A71" s="1020"/>
      <c r="B71" s="1021" t="s">
        <v>874</v>
      </c>
      <c r="C71" s="1022"/>
      <c r="D71" s="2944"/>
      <c r="E71" s="1024"/>
      <c r="F71" s="1024"/>
      <c r="G71" s="1024">
        <f t="shared" si="4"/>
        <v>0</v>
      </c>
      <c r="H71" s="1783">
        <f t="shared" si="5"/>
        <v>0</v>
      </c>
      <c r="I71" s="1025"/>
    </row>
    <row r="72" spans="1:9" x14ac:dyDescent="0.35">
      <c r="A72" s="1020"/>
      <c r="B72" s="1021" t="s">
        <v>2450</v>
      </c>
      <c r="C72" s="1022"/>
      <c r="D72" s="2944"/>
      <c r="E72" s="1024"/>
      <c r="F72" s="1024"/>
      <c r="G72" s="1024">
        <f t="shared" si="4"/>
        <v>0</v>
      </c>
      <c r="H72" s="1783">
        <f t="shared" si="5"/>
        <v>0</v>
      </c>
      <c r="I72" s="1025"/>
    </row>
    <row r="73" spans="1:9" x14ac:dyDescent="0.35">
      <c r="A73" s="1020"/>
      <c r="B73" s="1021" t="s">
        <v>2451</v>
      </c>
      <c r="C73" s="1022"/>
      <c r="D73" s="2944"/>
      <c r="E73" s="1024"/>
      <c r="F73" s="1024" t="s">
        <v>2448</v>
      </c>
      <c r="G73" s="1024">
        <f t="shared" si="4"/>
        <v>0</v>
      </c>
      <c r="H73" s="1783">
        <f t="shared" si="5"/>
        <v>0</v>
      </c>
      <c r="I73" s="1025"/>
    </row>
    <row r="74" spans="1:9" x14ac:dyDescent="0.35">
      <c r="A74" s="1020"/>
      <c r="B74" s="1021" t="s">
        <v>2452</v>
      </c>
      <c r="C74" s="1022"/>
      <c r="D74" s="2944"/>
      <c r="E74" s="1024"/>
      <c r="F74" s="1024" t="s">
        <v>2448</v>
      </c>
      <c r="G74" s="1024">
        <f t="shared" si="4"/>
        <v>0</v>
      </c>
      <c r="H74" s="1783">
        <f t="shared" si="5"/>
        <v>0</v>
      </c>
      <c r="I74" s="1025"/>
    </row>
    <row r="75" spans="1:9" x14ac:dyDescent="0.35">
      <c r="A75" s="1020"/>
      <c r="B75" s="1021" t="s">
        <v>2453</v>
      </c>
      <c r="C75" s="1022"/>
      <c r="D75" s="2944"/>
      <c r="E75" s="1024"/>
      <c r="F75" s="1024" t="s">
        <v>2448</v>
      </c>
      <c r="G75" s="1024">
        <f t="shared" si="4"/>
        <v>0</v>
      </c>
      <c r="H75" s="1783">
        <f t="shared" si="5"/>
        <v>0</v>
      </c>
      <c r="I75" s="1025"/>
    </row>
    <row r="76" spans="1:9" x14ac:dyDescent="0.35">
      <c r="A76" s="1020"/>
      <c r="B76" s="1021" t="s">
        <v>2454</v>
      </c>
      <c r="C76" s="1022"/>
      <c r="D76" s="2944"/>
      <c r="E76" s="1024"/>
      <c r="F76" s="1024" t="s">
        <v>2448</v>
      </c>
      <c r="G76" s="1024">
        <f t="shared" si="4"/>
        <v>0</v>
      </c>
      <c r="H76" s="1783">
        <f t="shared" si="5"/>
        <v>0</v>
      </c>
      <c r="I76" s="1025"/>
    </row>
    <row r="77" spans="1:9" x14ac:dyDescent="0.35">
      <c r="A77" s="1020"/>
      <c r="B77" s="1021" t="s">
        <v>2455</v>
      </c>
      <c r="C77" s="1022"/>
      <c r="D77" s="2944" t="s">
        <v>2448</v>
      </c>
      <c r="E77" s="1024" t="s">
        <v>2448</v>
      </c>
      <c r="F77" s="1024" t="s">
        <v>2448</v>
      </c>
      <c r="G77" s="1024">
        <f t="shared" si="4"/>
        <v>0</v>
      </c>
      <c r="H77" s="1783">
        <f t="shared" si="5"/>
        <v>0</v>
      </c>
      <c r="I77" s="1025"/>
    </row>
    <row r="78" spans="1:9" x14ac:dyDescent="0.35">
      <c r="A78" s="1020"/>
      <c r="B78" s="1021" t="s">
        <v>168</v>
      </c>
      <c r="C78" s="1022" t="s">
        <v>2448</v>
      </c>
      <c r="D78" s="2944" t="s">
        <v>2448</v>
      </c>
      <c r="E78" s="1024" t="s">
        <v>2448</v>
      </c>
      <c r="F78" s="1024" t="s">
        <v>2448</v>
      </c>
      <c r="G78" s="1024">
        <f t="shared" si="4"/>
        <v>0</v>
      </c>
      <c r="H78" s="1783">
        <f t="shared" si="5"/>
        <v>0</v>
      </c>
      <c r="I78" s="1025"/>
    </row>
    <row r="79" spans="1:9" x14ac:dyDescent="0.35">
      <c r="A79" s="1020"/>
      <c r="B79" s="1021" t="s">
        <v>171</v>
      </c>
      <c r="C79" s="1022" t="s">
        <v>2448</v>
      </c>
      <c r="D79" s="2944" t="s">
        <v>2448</v>
      </c>
      <c r="E79" s="1024" t="s">
        <v>2448</v>
      </c>
      <c r="F79" s="1024" t="s">
        <v>2448</v>
      </c>
      <c r="G79" s="1024">
        <f t="shared" si="4"/>
        <v>0</v>
      </c>
      <c r="H79" s="1783">
        <f t="shared" si="5"/>
        <v>0</v>
      </c>
      <c r="I79" s="1025"/>
    </row>
    <row r="80" spans="1:9" x14ac:dyDescent="0.35">
      <c r="A80" s="1020"/>
      <c r="B80" s="1021" t="s">
        <v>173</v>
      </c>
      <c r="C80" s="1022" t="s">
        <v>2448</v>
      </c>
      <c r="D80" s="2944" t="s">
        <v>2448</v>
      </c>
      <c r="E80" s="1024" t="s">
        <v>2448</v>
      </c>
      <c r="F80" s="1024" t="s">
        <v>2448</v>
      </c>
      <c r="G80" s="1024">
        <f t="shared" si="4"/>
        <v>0</v>
      </c>
      <c r="H80" s="1783">
        <f t="shared" si="5"/>
        <v>0</v>
      </c>
      <c r="I80" s="1025"/>
    </row>
    <row r="81" spans="1:9" ht="15" thickBot="1" x14ac:dyDescent="0.4">
      <c r="A81" s="1020"/>
      <c r="B81" s="1031"/>
      <c r="C81" s="1022"/>
      <c r="D81" s="2944"/>
      <c r="E81" s="1032">
        <f>SUM(E61:E80)</f>
        <v>5700000</v>
      </c>
      <c r="F81" s="1032">
        <f>SUM(F61:F80)</f>
        <v>0</v>
      </c>
      <c r="G81" s="1032">
        <f>SUM(G61:G80)</f>
        <v>5700000</v>
      </c>
      <c r="H81" s="1032">
        <f>SUM(H61:H80)</f>
        <v>5700000</v>
      </c>
      <c r="I81" s="1033"/>
    </row>
    <row r="82" spans="1:9" ht="15" thickBot="1" x14ac:dyDescent="0.4">
      <c r="A82" s="2877" t="s">
        <v>7344</v>
      </c>
      <c r="B82" s="1040"/>
      <c r="C82" s="1041"/>
      <c r="D82" s="3177"/>
      <c r="E82" s="1786">
        <f>E38+E59+E81</f>
        <v>42850000</v>
      </c>
      <c r="F82" s="1786">
        <f>F38+F59+F81</f>
        <v>0</v>
      </c>
      <c r="G82" s="1786">
        <f>G38+G59+G81</f>
        <v>42850000</v>
      </c>
      <c r="H82" s="1786">
        <f>H38+H59+H81</f>
        <v>42850000</v>
      </c>
      <c r="I82" s="1787"/>
    </row>
    <row r="83" spans="1:9" ht="16.5" x14ac:dyDescent="0.35">
      <c r="A83" s="1045" t="str">
        <f>IN!C4</f>
        <v>Laporan Keuangan June 2026</v>
      </c>
      <c r="B83" s="1788"/>
      <c r="C83" s="1789"/>
      <c r="D83" s="3178"/>
      <c r="E83" s="1048" t="s">
        <v>104</v>
      </c>
      <c r="F83" s="1790"/>
      <c r="G83" s="1790"/>
      <c r="H83" s="1790"/>
      <c r="I83" s="1049" t="str">
        <f>IN!D4</f>
        <v>Financial Statement Jun 2026</v>
      </c>
    </row>
    <row r="84" spans="1:9" x14ac:dyDescent="0.35">
      <c r="A84" s="1053"/>
      <c r="B84" s="1037"/>
      <c r="C84" s="1034" t="s">
        <v>2572</v>
      </c>
      <c r="D84" s="3179"/>
      <c r="E84" s="1024"/>
      <c r="F84" s="1024"/>
      <c r="G84" s="1024"/>
      <c r="H84" s="1783" t="s">
        <v>2448</v>
      </c>
      <c r="I84" s="1036"/>
    </row>
    <row r="85" spans="1:9" x14ac:dyDescent="0.35">
      <c r="A85" s="1051"/>
      <c r="B85" s="1052"/>
      <c r="C85" s="1034" t="s">
        <v>7335</v>
      </c>
      <c r="D85" s="3179"/>
      <c r="E85" s="1024"/>
      <c r="F85" s="1024"/>
      <c r="G85" s="1024"/>
      <c r="H85" s="1783"/>
      <c r="I85" s="1036"/>
    </row>
    <row r="86" spans="1:9" x14ac:dyDescent="0.35">
      <c r="A86" s="1020"/>
      <c r="B86" s="1021" t="s">
        <v>2447</v>
      </c>
      <c r="C86" s="1022" t="s">
        <v>7421</v>
      </c>
      <c r="D86" s="2944" t="s">
        <v>7336</v>
      </c>
      <c r="E86" s="1024">
        <v>400000</v>
      </c>
      <c r="F86" s="1024"/>
      <c r="G86" s="1024">
        <f t="shared" ref="G86:G105" si="6">SUM(E86:F86)</f>
        <v>400000</v>
      </c>
      <c r="H86" s="1783">
        <f t="shared" ref="H86:H105" si="7">G86</f>
        <v>400000</v>
      </c>
      <c r="I86" s="1025"/>
    </row>
    <row r="87" spans="1:9" x14ac:dyDescent="0.35">
      <c r="A87" s="1020"/>
      <c r="B87" s="1021" t="s">
        <v>23</v>
      </c>
      <c r="C87" s="1022" t="s">
        <v>8257</v>
      </c>
      <c r="D87" s="2944" t="s">
        <v>7336</v>
      </c>
      <c r="E87" s="1024">
        <v>1900000</v>
      </c>
      <c r="F87" s="1024"/>
      <c r="G87" s="1024">
        <f t="shared" si="6"/>
        <v>1900000</v>
      </c>
      <c r="H87" s="1783">
        <f t="shared" si="7"/>
        <v>1900000</v>
      </c>
      <c r="I87" s="1025"/>
    </row>
    <row r="88" spans="1:9" x14ac:dyDescent="0.35">
      <c r="A88" s="1020"/>
      <c r="B88" s="1021" t="s">
        <v>27</v>
      </c>
      <c r="C88" s="1022" t="s">
        <v>8107</v>
      </c>
      <c r="D88" s="2944" t="s">
        <v>7336</v>
      </c>
      <c r="E88" s="1024">
        <v>1900000</v>
      </c>
      <c r="F88" s="1024"/>
      <c r="G88" s="1024">
        <f t="shared" si="6"/>
        <v>1900000</v>
      </c>
      <c r="H88" s="1783">
        <f t="shared" si="7"/>
        <v>1900000</v>
      </c>
      <c r="I88" s="1025"/>
    </row>
    <row r="89" spans="1:9" x14ac:dyDescent="0.35">
      <c r="A89" s="1020"/>
      <c r="B89" s="1021" t="s">
        <v>31</v>
      </c>
      <c r="C89" s="1022" t="s">
        <v>8258</v>
      </c>
      <c r="D89" s="2944" t="s">
        <v>7336</v>
      </c>
      <c r="E89" s="1024">
        <v>1900000</v>
      </c>
      <c r="F89" s="1024"/>
      <c r="G89" s="1024">
        <f t="shared" si="6"/>
        <v>1900000</v>
      </c>
      <c r="H89" s="1783">
        <f t="shared" si="7"/>
        <v>1900000</v>
      </c>
      <c r="I89" s="1025"/>
    </row>
    <row r="90" spans="1:9" x14ac:dyDescent="0.35">
      <c r="A90" s="1020"/>
      <c r="B90" s="1021" t="s">
        <v>36</v>
      </c>
      <c r="C90" s="1022" t="s">
        <v>8007</v>
      </c>
      <c r="D90" s="2944" t="s">
        <v>7336</v>
      </c>
      <c r="E90" s="1024">
        <v>1900000</v>
      </c>
      <c r="F90" s="1024"/>
      <c r="G90" s="1024">
        <f t="shared" si="6"/>
        <v>1900000</v>
      </c>
      <c r="H90" s="1783">
        <f t="shared" si="7"/>
        <v>1900000</v>
      </c>
      <c r="I90" s="1025"/>
    </row>
    <row r="91" spans="1:9" x14ac:dyDescent="0.35">
      <c r="A91" s="1020"/>
      <c r="B91" s="1021" t="s">
        <v>2449</v>
      </c>
      <c r="C91" s="1022" t="s">
        <v>7707</v>
      </c>
      <c r="D91" s="2944" t="s">
        <v>7336</v>
      </c>
      <c r="E91" s="1024">
        <v>200000</v>
      </c>
      <c r="F91" s="1024"/>
      <c r="G91" s="1024">
        <f t="shared" si="6"/>
        <v>200000</v>
      </c>
      <c r="H91" s="1783">
        <f t="shared" si="7"/>
        <v>200000</v>
      </c>
      <c r="I91" s="1025"/>
    </row>
    <row r="92" spans="1:9" x14ac:dyDescent="0.35">
      <c r="A92" s="1020"/>
      <c r="B92" s="1021" t="s">
        <v>759</v>
      </c>
      <c r="C92" s="1022" t="s">
        <v>7813</v>
      </c>
      <c r="D92" s="2944" t="s">
        <v>7336</v>
      </c>
      <c r="E92" s="1024">
        <v>1000000</v>
      </c>
      <c r="F92" s="1024"/>
      <c r="G92" s="1024">
        <f t="shared" si="6"/>
        <v>1000000</v>
      </c>
      <c r="H92" s="1783">
        <f t="shared" si="7"/>
        <v>1000000</v>
      </c>
      <c r="I92" s="1025"/>
    </row>
    <row r="93" spans="1:9" x14ac:dyDescent="0.35">
      <c r="A93" s="1020"/>
      <c r="B93" s="1021" t="s">
        <v>701</v>
      </c>
      <c r="C93" s="1022" t="s">
        <v>8108</v>
      </c>
      <c r="D93" s="2944" t="s">
        <v>7336</v>
      </c>
      <c r="E93" s="1024">
        <v>1900000</v>
      </c>
      <c r="F93" s="1024"/>
      <c r="G93" s="1024">
        <f t="shared" si="6"/>
        <v>1900000</v>
      </c>
      <c r="H93" s="1783">
        <f t="shared" si="7"/>
        <v>1900000</v>
      </c>
      <c r="I93" s="1025"/>
    </row>
    <row r="94" spans="1:9" x14ac:dyDescent="0.35">
      <c r="A94" s="1020"/>
      <c r="B94" s="1021" t="s">
        <v>1027</v>
      </c>
      <c r="C94" s="1022" t="s">
        <v>8109</v>
      </c>
      <c r="D94" s="2944" t="s">
        <v>7336</v>
      </c>
      <c r="E94" s="1024">
        <v>1900000</v>
      </c>
      <c r="F94" s="1024"/>
      <c r="G94" s="1024">
        <f t="shared" si="6"/>
        <v>1900000</v>
      </c>
      <c r="H94" s="1783">
        <f t="shared" si="7"/>
        <v>1900000</v>
      </c>
      <c r="I94" s="1025"/>
    </row>
    <row r="95" spans="1:9" x14ac:dyDescent="0.35">
      <c r="A95" s="1020"/>
      <c r="B95" s="1021" t="s">
        <v>762</v>
      </c>
      <c r="C95" s="1022" t="s">
        <v>7773</v>
      </c>
      <c r="D95" s="2944" t="s">
        <v>7336</v>
      </c>
      <c r="E95" s="1024">
        <v>3000000</v>
      </c>
      <c r="F95" s="1024" t="s">
        <v>2448</v>
      </c>
      <c r="G95" s="1024">
        <f t="shared" si="6"/>
        <v>3000000</v>
      </c>
      <c r="H95" s="1783">
        <f t="shared" si="7"/>
        <v>3000000</v>
      </c>
      <c r="I95" s="1025"/>
    </row>
    <row r="96" spans="1:9" x14ac:dyDescent="0.35">
      <c r="A96" s="1020"/>
      <c r="B96" s="1021" t="s">
        <v>874</v>
      </c>
      <c r="C96" s="1022" t="s">
        <v>8259</v>
      </c>
      <c r="D96" s="2944" t="s">
        <v>7336</v>
      </c>
      <c r="E96" s="1024">
        <v>1900000</v>
      </c>
      <c r="F96" s="1024" t="s">
        <v>2448</v>
      </c>
      <c r="G96" s="1024">
        <f t="shared" si="6"/>
        <v>1900000</v>
      </c>
      <c r="H96" s="1783">
        <f t="shared" si="7"/>
        <v>1900000</v>
      </c>
      <c r="I96" s="1025"/>
    </row>
    <row r="97" spans="1:9" x14ac:dyDescent="0.35">
      <c r="A97" s="1020"/>
      <c r="B97" s="1021" t="s">
        <v>2450</v>
      </c>
      <c r="C97" s="1022" t="s">
        <v>7814</v>
      </c>
      <c r="D97" s="2944" t="s">
        <v>7336</v>
      </c>
      <c r="E97" s="1024">
        <v>1900000</v>
      </c>
      <c r="F97" s="1024"/>
      <c r="G97" s="1024">
        <f t="shared" si="6"/>
        <v>1900000</v>
      </c>
      <c r="H97" s="1783">
        <f t="shared" si="7"/>
        <v>1900000</v>
      </c>
      <c r="I97" s="1025"/>
    </row>
    <row r="98" spans="1:9" x14ac:dyDescent="0.35">
      <c r="A98" s="1020"/>
      <c r="B98" s="1021" t="s">
        <v>2451</v>
      </c>
      <c r="C98" s="1022"/>
      <c r="D98" s="2944"/>
      <c r="E98" s="1024"/>
      <c r="F98" s="1024"/>
      <c r="G98" s="1024">
        <f t="shared" si="6"/>
        <v>0</v>
      </c>
      <c r="H98" s="1783">
        <f t="shared" si="7"/>
        <v>0</v>
      </c>
      <c r="I98" s="1025"/>
    </row>
    <row r="99" spans="1:9" x14ac:dyDescent="0.35">
      <c r="A99" s="1020"/>
      <c r="B99" s="1021" t="s">
        <v>2452</v>
      </c>
      <c r="C99" s="1022"/>
      <c r="D99" s="2944"/>
      <c r="E99" s="1024"/>
      <c r="F99" s="1024"/>
      <c r="G99" s="1024">
        <f t="shared" si="6"/>
        <v>0</v>
      </c>
      <c r="H99" s="1783">
        <f t="shared" si="7"/>
        <v>0</v>
      </c>
      <c r="I99" s="1025"/>
    </row>
    <row r="100" spans="1:9" x14ac:dyDescent="0.35">
      <c r="A100" s="1020"/>
      <c r="B100" s="1021" t="s">
        <v>2453</v>
      </c>
      <c r="C100" s="1022"/>
      <c r="D100" s="2944"/>
      <c r="E100" s="1024"/>
      <c r="F100" s="1024"/>
      <c r="G100" s="1024">
        <f t="shared" si="6"/>
        <v>0</v>
      </c>
      <c r="H100" s="1783">
        <f t="shared" si="7"/>
        <v>0</v>
      </c>
      <c r="I100" s="1025"/>
    </row>
    <row r="101" spans="1:9" x14ac:dyDescent="0.35">
      <c r="A101" s="1020"/>
      <c r="B101" s="1021" t="s">
        <v>2454</v>
      </c>
      <c r="C101" s="1022"/>
      <c r="D101" s="2944"/>
      <c r="E101" s="1024"/>
      <c r="F101" s="1024"/>
      <c r="G101" s="1024">
        <f t="shared" si="6"/>
        <v>0</v>
      </c>
      <c r="H101" s="1783">
        <f t="shared" si="7"/>
        <v>0</v>
      </c>
      <c r="I101" s="1025"/>
    </row>
    <row r="102" spans="1:9" x14ac:dyDescent="0.35">
      <c r="A102" s="1020"/>
      <c r="B102" s="1021" t="s">
        <v>2455</v>
      </c>
      <c r="C102" s="1022"/>
      <c r="D102" s="2944"/>
      <c r="E102" s="1024"/>
      <c r="F102" s="1024"/>
      <c r="G102" s="1024">
        <f t="shared" si="6"/>
        <v>0</v>
      </c>
      <c r="H102" s="1783">
        <f t="shared" si="7"/>
        <v>0</v>
      </c>
      <c r="I102" s="1025"/>
    </row>
    <row r="103" spans="1:9" x14ac:dyDescent="0.35">
      <c r="A103" s="1020"/>
      <c r="B103" s="1021" t="s">
        <v>168</v>
      </c>
      <c r="C103" s="1022" t="s">
        <v>2448</v>
      </c>
      <c r="D103" s="2944" t="s">
        <v>2448</v>
      </c>
      <c r="E103" s="1024" t="s">
        <v>2448</v>
      </c>
      <c r="F103" s="1024" t="s">
        <v>2448</v>
      </c>
      <c r="G103" s="1024">
        <f t="shared" si="6"/>
        <v>0</v>
      </c>
      <c r="H103" s="1783">
        <f t="shared" si="7"/>
        <v>0</v>
      </c>
      <c r="I103" s="1025"/>
    </row>
    <row r="104" spans="1:9" x14ac:dyDescent="0.35">
      <c r="A104" s="1020"/>
      <c r="B104" s="1021" t="s">
        <v>171</v>
      </c>
      <c r="C104" s="1022" t="s">
        <v>2448</v>
      </c>
      <c r="D104" s="2944" t="s">
        <v>2448</v>
      </c>
      <c r="E104" s="1024" t="s">
        <v>2448</v>
      </c>
      <c r="F104" s="1024" t="s">
        <v>2448</v>
      </c>
      <c r="G104" s="1024">
        <f t="shared" si="6"/>
        <v>0</v>
      </c>
      <c r="H104" s="1783">
        <f t="shared" si="7"/>
        <v>0</v>
      </c>
      <c r="I104" s="1025"/>
    </row>
    <row r="105" spans="1:9" x14ac:dyDescent="0.35">
      <c r="A105" s="1020"/>
      <c r="B105" s="1021" t="s">
        <v>173</v>
      </c>
      <c r="C105" s="1022" t="s">
        <v>2448</v>
      </c>
      <c r="D105" s="2944" t="s">
        <v>2448</v>
      </c>
      <c r="E105" s="1024" t="s">
        <v>2448</v>
      </c>
      <c r="F105" s="1024" t="s">
        <v>2448</v>
      </c>
      <c r="G105" s="1024">
        <f t="shared" si="6"/>
        <v>0</v>
      </c>
      <c r="H105" s="1783">
        <f t="shared" si="7"/>
        <v>0</v>
      </c>
      <c r="I105" s="1025"/>
    </row>
    <row r="106" spans="1:9" x14ac:dyDescent="0.35">
      <c r="A106" s="1020"/>
      <c r="B106" s="1031"/>
      <c r="C106" s="1022"/>
      <c r="D106" s="2944"/>
      <c r="E106" s="1032">
        <f>SUM(E86:E105)</f>
        <v>19800000</v>
      </c>
      <c r="F106" s="1032">
        <f>SUM(F86:F105)</f>
        <v>0</v>
      </c>
      <c r="G106" s="1032">
        <f>SUM(G86:G105)</f>
        <v>19800000</v>
      </c>
      <c r="H106" s="1032">
        <f>SUM(H86:H105)</f>
        <v>19800000</v>
      </c>
      <c r="I106" s="1033"/>
    </row>
    <row r="107" spans="1:9" x14ac:dyDescent="0.35">
      <c r="A107" s="1020"/>
      <c r="B107" s="1031"/>
      <c r="C107" s="1034" t="s">
        <v>7337</v>
      </c>
      <c r="D107" s="2944"/>
      <c r="E107" s="1035"/>
      <c r="F107" s="1035"/>
      <c r="G107" s="1035"/>
      <c r="H107" s="1784"/>
      <c r="I107" s="1038"/>
    </row>
    <row r="108" spans="1:9" x14ac:dyDescent="0.35">
      <c r="A108" s="1020"/>
      <c r="B108" s="1021" t="s">
        <v>2447</v>
      </c>
      <c r="C108" s="1022" t="s">
        <v>7774</v>
      </c>
      <c r="D108" s="2944" t="s">
        <v>7338</v>
      </c>
      <c r="E108" s="1024">
        <v>51000</v>
      </c>
      <c r="F108" s="1024"/>
      <c r="G108" s="1024">
        <f t="shared" ref="G108:G127" si="8">SUM(E108:F108)</f>
        <v>51000</v>
      </c>
      <c r="H108" s="1783">
        <f t="shared" ref="H108:H127" si="9">G108</f>
        <v>51000</v>
      </c>
      <c r="I108" s="1025"/>
    </row>
    <row r="109" spans="1:9" x14ac:dyDescent="0.35">
      <c r="A109" s="1020"/>
      <c r="B109" s="1021" t="s">
        <v>23</v>
      </c>
      <c r="C109" s="1022" t="s">
        <v>7775</v>
      </c>
      <c r="D109" s="2944" t="s">
        <v>7338</v>
      </c>
      <c r="E109" s="1024">
        <v>501000</v>
      </c>
      <c r="F109" s="1024"/>
      <c r="G109" s="1024">
        <f t="shared" si="8"/>
        <v>501000</v>
      </c>
      <c r="H109" s="1783">
        <f t="shared" si="9"/>
        <v>501000</v>
      </c>
      <c r="I109" s="1025"/>
    </row>
    <row r="110" spans="1:9" x14ac:dyDescent="0.35">
      <c r="A110" s="1020"/>
      <c r="B110" s="1021" t="s">
        <v>27</v>
      </c>
      <c r="C110" s="1022" t="s">
        <v>7422</v>
      </c>
      <c r="D110" s="2944" t="s">
        <v>7338</v>
      </c>
      <c r="E110" s="1024">
        <v>900000</v>
      </c>
      <c r="F110" s="1024"/>
      <c r="G110" s="1024">
        <f t="shared" si="8"/>
        <v>900000</v>
      </c>
      <c r="H110" s="1783">
        <f t="shared" si="9"/>
        <v>900000</v>
      </c>
      <c r="I110" s="1025"/>
    </row>
    <row r="111" spans="1:9" x14ac:dyDescent="0.35">
      <c r="A111" s="1020"/>
      <c r="B111" s="1021" t="s">
        <v>31</v>
      </c>
      <c r="C111" s="1022" t="s">
        <v>7392</v>
      </c>
      <c r="D111" s="2944" t="s">
        <v>7338</v>
      </c>
      <c r="E111" s="1024">
        <v>200000</v>
      </c>
      <c r="F111" s="1024"/>
      <c r="G111" s="1024">
        <f t="shared" si="8"/>
        <v>200000</v>
      </c>
      <c r="H111" s="1783">
        <f t="shared" si="9"/>
        <v>200000</v>
      </c>
      <c r="I111" s="1025"/>
    </row>
    <row r="112" spans="1:9" x14ac:dyDescent="0.35">
      <c r="A112" s="1020"/>
      <c r="B112" s="1021" t="s">
        <v>36</v>
      </c>
      <c r="C112" s="1022" t="s">
        <v>7423</v>
      </c>
      <c r="D112" s="2944" t="s">
        <v>7338</v>
      </c>
      <c r="E112" s="1024">
        <v>22800000</v>
      </c>
      <c r="F112" s="1024"/>
      <c r="G112" s="1024">
        <f t="shared" si="8"/>
        <v>22800000</v>
      </c>
      <c r="H112" s="1783">
        <f t="shared" si="9"/>
        <v>22800000</v>
      </c>
      <c r="I112" s="1025"/>
    </row>
    <row r="113" spans="1:9" x14ac:dyDescent="0.35">
      <c r="A113" s="1020"/>
      <c r="B113" s="1021" t="s">
        <v>2449</v>
      </c>
      <c r="C113" s="1022" t="s">
        <v>7706</v>
      </c>
      <c r="D113" s="2944" t="s">
        <v>7338</v>
      </c>
      <c r="E113" s="1024">
        <v>200000</v>
      </c>
      <c r="F113" s="1024"/>
      <c r="G113" s="1024">
        <f t="shared" si="8"/>
        <v>200000</v>
      </c>
      <c r="H113" s="1783">
        <f t="shared" si="9"/>
        <v>200000</v>
      </c>
      <c r="I113" s="1025"/>
    </row>
    <row r="114" spans="1:9" x14ac:dyDescent="0.35">
      <c r="A114" s="1020"/>
      <c r="B114" s="1021" t="s">
        <v>759</v>
      </c>
      <c r="C114" s="1022" t="s">
        <v>7954</v>
      </c>
      <c r="D114" s="2944" t="s">
        <v>7338</v>
      </c>
      <c r="E114" s="1024">
        <v>19000000</v>
      </c>
      <c r="F114" s="1024"/>
      <c r="G114" s="1024">
        <f t="shared" si="8"/>
        <v>19000000</v>
      </c>
      <c r="H114" s="1783">
        <f t="shared" si="9"/>
        <v>19000000</v>
      </c>
      <c r="I114" s="1025"/>
    </row>
    <row r="115" spans="1:9" x14ac:dyDescent="0.35">
      <c r="A115" s="1020"/>
      <c r="B115" s="1021" t="s">
        <v>701</v>
      </c>
      <c r="C115" s="1022"/>
      <c r="D115" s="2944"/>
      <c r="E115" s="1024"/>
      <c r="F115" s="1024"/>
      <c r="G115" s="1024">
        <f t="shared" si="8"/>
        <v>0</v>
      </c>
      <c r="H115" s="1783">
        <f t="shared" si="9"/>
        <v>0</v>
      </c>
      <c r="I115" s="1025"/>
    </row>
    <row r="116" spans="1:9" x14ac:dyDescent="0.35">
      <c r="A116" s="1020"/>
      <c r="B116" s="1021" t="s">
        <v>1027</v>
      </c>
      <c r="C116" s="1022"/>
      <c r="D116" s="2944"/>
      <c r="E116" s="1024"/>
      <c r="F116" s="1024"/>
      <c r="G116" s="1024">
        <f t="shared" si="8"/>
        <v>0</v>
      </c>
      <c r="H116" s="1783">
        <f t="shared" si="9"/>
        <v>0</v>
      </c>
      <c r="I116" s="1025"/>
    </row>
    <row r="117" spans="1:9" x14ac:dyDescent="0.35">
      <c r="A117" s="1020"/>
      <c r="B117" s="1021" t="s">
        <v>762</v>
      </c>
      <c r="C117" s="1022"/>
      <c r="D117" s="2944"/>
      <c r="E117" s="1024"/>
      <c r="F117" s="1024"/>
      <c r="G117" s="1024">
        <f t="shared" si="8"/>
        <v>0</v>
      </c>
      <c r="H117" s="1783">
        <f t="shared" si="9"/>
        <v>0</v>
      </c>
      <c r="I117" s="1025"/>
    </row>
    <row r="118" spans="1:9" x14ac:dyDescent="0.35">
      <c r="A118" s="1020"/>
      <c r="B118" s="1021" t="s">
        <v>874</v>
      </c>
      <c r="C118" s="1022"/>
      <c r="D118" s="2944"/>
      <c r="E118" s="1024"/>
      <c r="F118" s="1024"/>
      <c r="G118" s="1024">
        <f t="shared" si="8"/>
        <v>0</v>
      </c>
      <c r="H118" s="1783">
        <f t="shared" si="9"/>
        <v>0</v>
      </c>
      <c r="I118" s="1025"/>
    </row>
    <row r="119" spans="1:9" x14ac:dyDescent="0.35">
      <c r="A119" s="1020"/>
      <c r="B119" s="1021" t="s">
        <v>2450</v>
      </c>
      <c r="C119" s="1022"/>
      <c r="D119" s="2944"/>
      <c r="E119" s="1024"/>
      <c r="F119" s="1024"/>
      <c r="G119" s="1024">
        <f t="shared" si="8"/>
        <v>0</v>
      </c>
      <c r="H119" s="1783">
        <f t="shared" si="9"/>
        <v>0</v>
      </c>
      <c r="I119" s="1025"/>
    </row>
    <row r="120" spans="1:9" x14ac:dyDescent="0.35">
      <c r="A120" s="1020"/>
      <c r="B120" s="1021" t="s">
        <v>2451</v>
      </c>
      <c r="C120" s="1022"/>
      <c r="D120" s="2944"/>
      <c r="E120" s="1024"/>
      <c r="F120" s="1024"/>
      <c r="G120" s="1024">
        <f t="shared" si="8"/>
        <v>0</v>
      </c>
      <c r="H120" s="1783">
        <f t="shared" si="9"/>
        <v>0</v>
      </c>
      <c r="I120" s="1025"/>
    </row>
    <row r="121" spans="1:9" x14ac:dyDescent="0.35">
      <c r="A121" s="1020"/>
      <c r="B121" s="1021" t="s">
        <v>2452</v>
      </c>
      <c r="C121" s="1022"/>
      <c r="D121" s="2944"/>
      <c r="E121" s="1024"/>
      <c r="F121" s="1024"/>
      <c r="G121" s="1024">
        <f t="shared" si="8"/>
        <v>0</v>
      </c>
      <c r="H121" s="1783">
        <f t="shared" si="9"/>
        <v>0</v>
      </c>
      <c r="I121" s="1025"/>
    </row>
    <row r="122" spans="1:9" x14ac:dyDescent="0.35">
      <c r="A122" s="1020"/>
      <c r="B122" s="1021" t="s">
        <v>2453</v>
      </c>
      <c r="C122" s="1022"/>
      <c r="D122" s="2944"/>
      <c r="E122" s="1024"/>
      <c r="F122" s="1024"/>
      <c r="G122" s="1024">
        <f t="shared" si="8"/>
        <v>0</v>
      </c>
      <c r="H122" s="1783">
        <f t="shared" si="9"/>
        <v>0</v>
      </c>
      <c r="I122" s="1025"/>
    </row>
    <row r="123" spans="1:9" x14ac:dyDescent="0.35">
      <c r="A123" s="1020"/>
      <c r="B123" s="1021" t="s">
        <v>2454</v>
      </c>
      <c r="C123" s="1022"/>
      <c r="D123" s="2944"/>
      <c r="E123" s="1024"/>
      <c r="F123" s="1024"/>
      <c r="G123" s="1024">
        <f t="shared" si="8"/>
        <v>0</v>
      </c>
      <c r="H123" s="1783">
        <f t="shared" si="9"/>
        <v>0</v>
      </c>
      <c r="I123" s="1025"/>
    </row>
    <row r="124" spans="1:9" x14ac:dyDescent="0.35">
      <c r="A124" s="1020"/>
      <c r="B124" s="1021" t="s">
        <v>2455</v>
      </c>
      <c r="C124" s="1022"/>
      <c r="D124" s="2944"/>
      <c r="E124" s="1024"/>
      <c r="F124" s="1024"/>
      <c r="G124" s="1024">
        <f t="shared" si="8"/>
        <v>0</v>
      </c>
      <c r="H124" s="1783">
        <f t="shared" si="9"/>
        <v>0</v>
      </c>
      <c r="I124" s="1025"/>
    </row>
    <row r="125" spans="1:9" x14ac:dyDescent="0.35">
      <c r="A125" s="1020"/>
      <c r="B125" s="1021" t="s">
        <v>168</v>
      </c>
      <c r="C125" s="1022"/>
      <c r="D125" s="2944"/>
      <c r="E125" s="1024"/>
      <c r="F125" s="1024"/>
      <c r="G125" s="1024">
        <f t="shared" si="8"/>
        <v>0</v>
      </c>
      <c r="H125" s="1783">
        <f t="shared" si="9"/>
        <v>0</v>
      </c>
      <c r="I125" s="1025"/>
    </row>
    <row r="126" spans="1:9" x14ac:dyDescent="0.35">
      <c r="A126" s="1020"/>
      <c r="B126" s="1021" t="s">
        <v>171</v>
      </c>
      <c r="C126" s="1022" t="s">
        <v>2448</v>
      </c>
      <c r="D126" s="2944" t="s">
        <v>2448</v>
      </c>
      <c r="E126" s="1024" t="s">
        <v>2448</v>
      </c>
      <c r="F126" s="1024" t="s">
        <v>2448</v>
      </c>
      <c r="G126" s="1024">
        <f t="shared" si="8"/>
        <v>0</v>
      </c>
      <c r="H126" s="1783">
        <f t="shared" si="9"/>
        <v>0</v>
      </c>
      <c r="I126" s="1025"/>
    </row>
    <row r="127" spans="1:9" x14ac:dyDescent="0.35">
      <c r="A127" s="1020"/>
      <c r="B127" s="1021" t="s">
        <v>173</v>
      </c>
      <c r="C127" s="1022" t="s">
        <v>2448</v>
      </c>
      <c r="D127" s="2944" t="s">
        <v>2448</v>
      </c>
      <c r="E127" s="1024" t="s">
        <v>2448</v>
      </c>
      <c r="F127" s="1024" t="s">
        <v>2448</v>
      </c>
      <c r="G127" s="1024">
        <f t="shared" si="8"/>
        <v>0</v>
      </c>
      <c r="H127" s="1783">
        <f t="shared" si="9"/>
        <v>0</v>
      </c>
      <c r="I127" s="1025"/>
    </row>
    <row r="128" spans="1:9" x14ac:dyDescent="0.35">
      <c r="A128" s="1020"/>
      <c r="B128" s="1031"/>
      <c r="C128" s="1022"/>
      <c r="D128" s="2944"/>
      <c r="E128" s="1032">
        <f>SUM(E108:E127)</f>
        <v>43652000</v>
      </c>
      <c r="F128" s="1032">
        <f>SUM(F108:F127)</f>
        <v>0</v>
      </c>
      <c r="G128" s="1032">
        <f>SUM(G108:G127)</f>
        <v>43652000</v>
      </c>
      <c r="H128" s="1032">
        <f>SUM(H108:H127)</f>
        <v>43652000</v>
      </c>
      <c r="I128" s="1033"/>
    </row>
    <row r="129" spans="1:9" x14ac:dyDescent="0.35">
      <c r="A129" s="1020"/>
      <c r="B129" s="1031"/>
      <c r="C129" s="1034" t="s">
        <v>7339</v>
      </c>
      <c r="D129" s="2944"/>
      <c r="E129" s="1035"/>
      <c r="F129" s="1035"/>
      <c r="G129" s="1035"/>
      <c r="H129" s="1784"/>
      <c r="I129" s="1038"/>
    </row>
    <row r="130" spans="1:9" x14ac:dyDescent="0.35">
      <c r="A130" s="1020"/>
      <c r="B130" s="1021" t="s">
        <v>2447</v>
      </c>
      <c r="C130" s="1022" t="s">
        <v>7815</v>
      </c>
      <c r="D130" s="2944" t="s">
        <v>7340</v>
      </c>
      <c r="E130" s="1024">
        <v>100000</v>
      </c>
      <c r="F130" s="1024"/>
      <c r="G130" s="1024">
        <f t="shared" ref="G130:G149" si="10">SUM(E130:F130)</f>
        <v>100000</v>
      </c>
      <c r="H130" s="1783">
        <f t="shared" ref="H130:H149" si="11">G130</f>
        <v>100000</v>
      </c>
      <c r="I130" s="1025"/>
    </row>
    <row r="131" spans="1:9" x14ac:dyDescent="0.35">
      <c r="A131" s="1020"/>
      <c r="B131" s="1021" t="s">
        <v>23</v>
      </c>
      <c r="C131" s="1022"/>
      <c r="D131" s="2944"/>
      <c r="E131" s="1024"/>
      <c r="F131" s="1024"/>
      <c r="G131" s="1024">
        <f t="shared" si="10"/>
        <v>0</v>
      </c>
      <c r="H131" s="1783">
        <f t="shared" si="11"/>
        <v>0</v>
      </c>
      <c r="I131" s="1025"/>
    </row>
    <row r="132" spans="1:9" x14ac:dyDescent="0.35">
      <c r="A132" s="1020"/>
      <c r="B132" s="1021" t="s">
        <v>27</v>
      </c>
      <c r="C132" s="1022"/>
      <c r="D132" s="2944"/>
      <c r="E132" s="1024"/>
      <c r="F132" s="1024"/>
      <c r="G132" s="1024">
        <f t="shared" si="10"/>
        <v>0</v>
      </c>
      <c r="H132" s="1783">
        <f t="shared" si="11"/>
        <v>0</v>
      </c>
      <c r="I132" s="1025"/>
    </row>
    <row r="133" spans="1:9" x14ac:dyDescent="0.35">
      <c r="A133" s="1020"/>
      <c r="B133" s="1021" t="s">
        <v>31</v>
      </c>
      <c r="C133" s="1022"/>
      <c r="D133" s="2944"/>
      <c r="E133" s="1024"/>
      <c r="F133" s="1024"/>
      <c r="G133" s="1024">
        <f t="shared" si="10"/>
        <v>0</v>
      </c>
      <c r="H133" s="1783">
        <f t="shared" si="11"/>
        <v>0</v>
      </c>
      <c r="I133" s="1025"/>
    </row>
    <row r="134" spans="1:9" x14ac:dyDescent="0.35">
      <c r="A134" s="1020"/>
      <c r="B134" s="1021" t="s">
        <v>36</v>
      </c>
      <c r="C134" s="1022"/>
      <c r="D134" s="2944"/>
      <c r="E134" s="1024"/>
      <c r="F134" s="1024"/>
      <c r="G134" s="1024">
        <f t="shared" si="10"/>
        <v>0</v>
      </c>
      <c r="H134" s="1783">
        <f t="shared" si="11"/>
        <v>0</v>
      </c>
      <c r="I134" s="1025"/>
    </row>
    <row r="135" spans="1:9" x14ac:dyDescent="0.35">
      <c r="A135" s="1020"/>
      <c r="B135" s="1021" t="s">
        <v>2449</v>
      </c>
      <c r="C135" s="1022"/>
      <c r="D135" s="2944"/>
      <c r="E135" s="1024"/>
      <c r="F135" s="1024"/>
      <c r="G135" s="1024">
        <f t="shared" si="10"/>
        <v>0</v>
      </c>
      <c r="H135" s="1783">
        <f t="shared" si="11"/>
        <v>0</v>
      </c>
      <c r="I135" s="1025"/>
    </row>
    <row r="136" spans="1:9" x14ac:dyDescent="0.35">
      <c r="A136" s="1020"/>
      <c r="B136" s="1021" t="s">
        <v>759</v>
      </c>
      <c r="C136" s="1022"/>
      <c r="D136" s="2944"/>
      <c r="E136" s="1024"/>
      <c r="F136" s="1024"/>
      <c r="G136" s="1024">
        <f t="shared" si="10"/>
        <v>0</v>
      </c>
      <c r="H136" s="1783">
        <f t="shared" si="11"/>
        <v>0</v>
      </c>
      <c r="I136" s="1025"/>
    </row>
    <row r="137" spans="1:9" x14ac:dyDescent="0.35">
      <c r="A137" s="1020"/>
      <c r="B137" s="1021" t="s">
        <v>701</v>
      </c>
      <c r="C137" s="1022"/>
      <c r="D137" s="2944"/>
      <c r="E137" s="1024"/>
      <c r="F137" s="1024"/>
      <c r="G137" s="1024">
        <f t="shared" si="10"/>
        <v>0</v>
      </c>
      <c r="H137" s="1783">
        <f t="shared" si="11"/>
        <v>0</v>
      </c>
      <c r="I137" s="1025"/>
    </row>
    <row r="138" spans="1:9" x14ac:dyDescent="0.35">
      <c r="A138" s="1020"/>
      <c r="B138" s="1021" t="s">
        <v>1027</v>
      </c>
      <c r="C138" s="1022"/>
      <c r="D138" s="2944"/>
      <c r="E138" s="1024"/>
      <c r="F138" s="1024"/>
      <c r="G138" s="1024">
        <f t="shared" si="10"/>
        <v>0</v>
      </c>
      <c r="H138" s="1783">
        <f t="shared" si="11"/>
        <v>0</v>
      </c>
      <c r="I138" s="1025"/>
    </row>
    <row r="139" spans="1:9" x14ac:dyDescent="0.35">
      <c r="A139" s="1020"/>
      <c r="B139" s="1021" t="s">
        <v>762</v>
      </c>
      <c r="C139" s="1022"/>
      <c r="D139" s="2944"/>
      <c r="E139" s="1024"/>
      <c r="F139" s="1024"/>
      <c r="G139" s="1024">
        <f t="shared" si="10"/>
        <v>0</v>
      </c>
      <c r="H139" s="1783">
        <f t="shared" si="11"/>
        <v>0</v>
      </c>
      <c r="I139" s="1025"/>
    </row>
    <row r="140" spans="1:9" x14ac:dyDescent="0.35">
      <c r="A140" s="1020"/>
      <c r="B140" s="1021" t="s">
        <v>874</v>
      </c>
      <c r="C140" s="1022"/>
      <c r="D140" s="2944"/>
      <c r="E140" s="1024"/>
      <c r="F140" s="1024"/>
      <c r="G140" s="1024">
        <f t="shared" si="10"/>
        <v>0</v>
      </c>
      <c r="H140" s="1783">
        <f t="shared" si="11"/>
        <v>0</v>
      </c>
      <c r="I140" s="1025"/>
    </row>
    <row r="141" spans="1:9" x14ac:dyDescent="0.35">
      <c r="A141" s="1020"/>
      <c r="B141" s="1021" t="s">
        <v>2450</v>
      </c>
      <c r="C141" s="1022"/>
      <c r="D141" s="2944"/>
      <c r="E141" s="1024"/>
      <c r="F141" s="1024"/>
      <c r="G141" s="1024">
        <f t="shared" si="10"/>
        <v>0</v>
      </c>
      <c r="H141" s="1783">
        <f t="shared" si="11"/>
        <v>0</v>
      </c>
      <c r="I141" s="1025"/>
    </row>
    <row r="142" spans="1:9" x14ac:dyDescent="0.35">
      <c r="A142" s="1020"/>
      <c r="B142" s="1021" t="s">
        <v>2451</v>
      </c>
      <c r="C142" s="1022"/>
      <c r="D142" s="2944" t="s">
        <v>2448</v>
      </c>
      <c r="E142" s="1024"/>
      <c r="F142" s="1024"/>
      <c r="G142" s="1024">
        <f t="shared" si="10"/>
        <v>0</v>
      </c>
      <c r="H142" s="1783">
        <f t="shared" si="11"/>
        <v>0</v>
      </c>
      <c r="I142" s="1025"/>
    </row>
    <row r="143" spans="1:9" x14ac:dyDescent="0.35">
      <c r="A143" s="1020"/>
      <c r="B143" s="1021" t="s">
        <v>2452</v>
      </c>
      <c r="C143" s="1022" t="s">
        <v>2448</v>
      </c>
      <c r="D143" s="2944" t="s">
        <v>2448</v>
      </c>
      <c r="E143" s="1024" t="s">
        <v>2448</v>
      </c>
      <c r="F143" s="1024" t="s">
        <v>2448</v>
      </c>
      <c r="G143" s="1024">
        <f t="shared" si="10"/>
        <v>0</v>
      </c>
      <c r="H143" s="1783">
        <f t="shared" si="11"/>
        <v>0</v>
      </c>
      <c r="I143" s="1025"/>
    </row>
    <row r="144" spans="1:9" x14ac:dyDescent="0.35">
      <c r="A144" s="1020"/>
      <c r="B144" s="1021" t="s">
        <v>2453</v>
      </c>
      <c r="C144" s="1022" t="s">
        <v>2448</v>
      </c>
      <c r="D144" s="2944" t="s">
        <v>2448</v>
      </c>
      <c r="E144" s="1024" t="s">
        <v>2448</v>
      </c>
      <c r="F144" s="1024" t="s">
        <v>2448</v>
      </c>
      <c r="G144" s="1024">
        <f t="shared" si="10"/>
        <v>0</v>
      </c>
      <c r="H144" s="1783">
        <f t="shared" si="11"/>
        <v>0</v>
      </c>
      <c r="I144" s="1025"/>
    </row>
    <row r="145" spans="1:9" x14ac:dyDescent="0.35">
      <c r="A145" s="1020"/>
      <c r="B145" s="1021" t="s">
        <v>2454</v>
      </c>
      <c r="C145" s="1022" t="s">
        <v>2448</v>
      </c>
      <c r="D145" s="2944" t="s">
        <v>2448</v>
      </c>
      <c r="E145" s="1024" t="s">
        <v>2448</v>
      </c>
      <c r="F145" s="1024" t="s">
        <v>2448</v>
      </c>
      <c r="G145" s="1024">
        <f t="shared" si="10"/>
        <v>0</v>
      </c>
      <c r="H145" s="1783">
        <f t="shared" si="11"/>
        <v>0</v>
      </c>
      <c r="I145" s="1025"/>
    </row>
    <row r="146" spans="1:9" x14ac:dyDescent="0.35">
      <c r="A146" s="1020"/>
      <c r="B146" s="1021" t="s">
        <v>2455</v>
      </c>
      <c r="C146" s="1022" t="s">
        <v>2448</v>
      </c>
      <c r="D146" s="2944" t="s">
        <v>2448</v>
      </c>
      <c r="E146" s="1024" t="s">
        <v>2448</v>
      </c>
      <c r="F146" s="1024" t="s">
        <v>2448</v>
      </c>
      <c r="G146" s="1024">
        <f t="shared" si="10"/>
        <v>0</v>
      </c>
      <c r="H146" s="1783">
        <f t="shared" si="11"/>
        <v>0</v>
      </c>
      <c r="I146" s="1025"/>
    </row>
    <row r="147" spans="1:9" x14ac:dyDescent="0.35">
      <c r="A147" s="1020"/>
      <c r="B147" s="1021" t="s">
        <v>168</v>
      </c>
      <c r="C147" s="1022" t="s">
        <v>2448</v>
      </c>
      <c r="D147" s="2944" t="s">
        <v>2448</v>
      </c>
      <c r="E147" s="1024" t="s">
        <v>2448</v>
      </c>
      <c r="F147" s="1024" t="s">
        <v>2448</v>
      </c>
      <c r="G147" s="1024">
        <f t="shared" si="10"/>
        <v>0</v>
      </c>
      <c r="H147" s="1783">
        <f t="shared" si="11"/>
        <v>0</v>
      </c>
      <c r="I147" s="1025"/>
    </row>
    <row r="148" spans="1:9" x14ac:dyDescent="0.35">
      <c r="A148" s="1020"/>
      <c r="B148" s="1021" t="s">
        <v>171</v>
      </c>
      <c r="C148" s="1022" t="s">
        <v>2448</v>
      </c>
      <c r="D148" s="2944" t="s">
        <v>2448</v>
      </c>
      <c r="E148" s="1024" t="s">
        <v>2448</v>
      </c>
      <c r="F148" s="1024" t="s">
        <v>2448</v>
      </c>
      <c r="G148" s="1024">
        <f t="shared" si="10"/>
        <v>0</v>
      </c>
      <c r="H148" s="1783">
        <f t="shared" si="11"/>
        <v>0</v>
      </c>
      <c r="I148" s="1025"/>
    </row>
    <row r="149" spans="1:9" x14ac:dyDescent="0.35">
      <c r="A149" s="1020"/>
      <c r="B149" s="1021" t="s">
        <v>173</v>
      </c>
      <c r="C149" s="1022" t="s">
        <v>2448</v>
      </c>
      <c r="D149" s="2944" t="s">
        <v>2448</v>
      </c>
      <c r="E149" s="1024" t="s">
        <v>2448</v>
      </c>
      <c r="F149" s="1024" t="s">
        <v>2448</v>
      </c>
      <c r="G149" s="1024">
        <f t="shared" si="10"/>
        <v>0</v>
      </c>
      <c r="H149" s="1783">
        <f t="shared" si="11"/>
        <v>0</v>
      </c>
      <c r="I149" s="1025"/>
    </row>
    <row r="150" spans="1:9" ht="15" thickBot="1" x14ac:dyDescent="0.4">
      <c r="A150" s="1020"/>
      <c r="B150" s="1054"/>
      <c r="C150" s="1055"/>
      <c r="D150" s="2944"/>
      <c r="E150" s="1032">
        <f>SUM(E130:E149)</f>
        <v>100000</v>
      </c>
      <c r="F150" s="1032">
        <f>SUM(F130:F149)</f>
        <v>0</v>
      </c>
      <c r="G150" s="1032">
        <f>SUM(G130:G149)</f>
        <v>100000</v>
      </c>
      <c r="H150" s="1032">
        <f>SUM(H130:H149)</f>
        <v>100000</v>
      </c>
      <c r="I150" s="1033"/>
    </row>
    <row r="151" spans="1:9" ht="15" thickBot="1" x14ac:dyDescent="0.4">
      <c r="A151" s="2877" t="s">
        <v>2573</v>
      </c>
      <c r="B151" s="1040"/>
      <c r="C151" s="1041"/>
      <c r="D151" s="3177"/>
      <c r="E151" s="1786">
        <f>E106+E128+E150</f>
        <v>63552000</v>
      </c>
      <c r="F151" s="1786">
        <f>F106+F128+F150</f>
        <v>0</v>
      </c>
      <c r="G151" s="1786">
        <f>G106+G128+G150</f>
        <v>63552000</v>
      </c>
      <c r="H151" s="1786">
        <f>H106+H128+H150</f>
        <v>63552000</v>
      </c>
      <c r="I151" s="1787"/>
    </row>
    <row r="152" spans="1:9" x14ac:dyDescent="0.35">
      <c r="A152" s="1053"/>
      <c r="B152" s="1037"/>
      <c r="C152" s="1034" t="s">
        <v>3174</v>
      </c>
      <c r="D152" s="3180"/>
      <c r="E152" s="1035"/>
      <c r="F152" s="1035"/>
      <c r="G152" s="1035"/>
      <c r="H152" s="1784"/>
      <c r="I152" s="1038"/>
    </row>
    <row r="153" spans="1:9" x14ac:dyDescent="0.35">
      <c r="A153" s="1053"/>
      <c r="B153" s="1037"/>
      <c r="C153" s="1034" t="s">
        <v>909</v>
      </c>
      <c r="D153" s="3180"/>
      <c r="E153" s="1035"/>
      <c r="F153" s="1035"/>
      <c r="G153" s="1035"/>
      <c r="H153" s="1784"/>
      <c r="I153" s="1038"/>
    </row>
    <row r="154" spans="1:9" x14ac:dyDescent="0.35">
      <c r="A154" s="1020"/>
      <c r="B154" s="1021" t="s">
        <v>2447</v>
      </c>
      <c r="C154" s="1022"/>
      <c r="D154" s="2944"/>
      <c r="E154" s="1024"/>
      <c r="F154" s="1024"/>
      <c r="G154" s="1024">
        <f t="shared" ref="G154:G175" si="12">SUM(E154:F154)</f>
        <v>0</v>
      </c>
      <c r="H154" s="1783">
        <f t="shared" ref="H154:H175" si="13">G154</f>
        <v>0</v>
      </c>
      <c r="I154" s="1025"/>
    </row>
    <row r="155" spans="1:9" x14ac:dyDescent="0.35">
      <c r="A155" s="1020"/>
      <c r="B155" s="1021" t="s">
        <v>23</v>
      </c>
      <c r="C155" s="1022"/>
      <c r="D155" s="2944"/>
      <c r="E155" s="1024"/>
      <c r="F155" s="1024"/>
      <c r="G155" s="1024">
        <f t="shared" si="12"/>
        <v>0</v>
      </c>
      <c r="H155" s="1783">
        <f t="shared" si="13"/>
        <v>0</v>
      </c>
      <c r="I155" s="1025"/>
    </row>
    <row r="156" spans="1:9" x14ac:dyDescent="0.35">
      <c r="A156" s="1020"/>
      <c r="B156" s="1021" t="s">
        <v>27</v>
      </c>
      <c r="C156" s="1022"/>
      <c r="D156" s="2944"/>
      <c r="E156" s="1024"/>
      <c r="F156" s="1024"/>
      <c r="G156" s="1024">
        <f t="shared" si="12"/>
        <v>0</v>
      </c>
      <c r="H156" s="1783">
        <f t="shared" si="13"/>
        <v>0</v>
      </c>
      <c r="I156" s="1025"/>
    </row>
    <row r="157" spans="1:9" x14ac:dyDescent="0.35">
      <c r="A157" s="1020"/>
      <c r="B157" s="1021" t="s">
        <v>31</v>
      </c>
      <c r="C157" s="1022"/>
      <c r="D157" s="2944"/>
      <c r="E157" s="1024"/>
      <c r="F157" s="1024"/>
      <c r="G157" s="1024">
        <f t="shared" si="12"/>
        <v>0</v>
      </c>
      <c r="H157" s="1783">
        <f t="shared" si="13"/>
        <v>0</v>
      </c>
      <c r="I157" s="1025"/>
    </row>
    <row r="158" spans="1:9" x14ac:dyDescent="0.35">
      <c r="A158" s="1020"/>
      <c r="B158" s="1021" t="s">
        <v>36</v>
      </c>
      <c r="C158" s="1022"/>
      <c r="D158" s="2944"/>
      <c r="E158" s="1024"/>
      <c r="F158" s="1024"/>
      <c r="G158" s="1024">
        <f t="shared" si="12"/>
        <v>0</v>
      </c>
      <c r="H158" s="1783">
        <f t="shared" si="13"/>
        <v>0</v>
      </c>
      <c r="I158" s="1025"/>
    </row>
    <row r="159" spans="1:9" x14ac:dyDescent="0.35">
      <c r="A159" s="1020"/>
      <c r="B159" s="1021" t="s">
        <v>2449</v>
      </c>
      <c r="C159" s="1022"/>
      <c r="D159" s="2944"/>
      <c r="E159" s="1024"/>
      <c r="F159" s="1024"/>
      <c r="G159" s="1024">
        <f t="shared" si="12"/>
        <v>0</v>
      </c>
      <c r="H159" s="1783">
        <f t="shared" si="13"/>
        <v>0</v>
      </c>
      <c r="I159" s="1025"/>
    </row>
    <row r="160" spans="1:9" x14ac:dyDescent="0.35">
      <c r="A160" s="1020"/>
      <c r="B160" s="1021" t="s">
        <v>759</v>
      </c>
      <c r="C160" s="1022"/>
      <c r="D160" s="2944"/>
      <c r="E160" s="1024"/>
      <c r="F160" s="1024"/>
      <c r="G160" s="1024">
        <f t="shared" si="12"/>
        <v>0</v>
      </c>
      <c r="H160" s="1783">
        <f t="shared" si="13"/>
        <v>0</v>
      </c>
      <c r="I160" s="1025"/>
    </row>
    <row r="161" spans="1:9" x14ac:dyDescent="0.35">
      <c r="A161" s="1020"/>
      <c r="B161" s="1021" t="s">
        <v>701</v>
      </c>
      <c r="C161" s="1022"/>
      <c r="D161" s="2944"/>
      <c r="E161" s="1024"/>
      <c r="F161" s="1024"/>
      <c r="G161" s="1024">
        <f t="shared" si="12"/>
        <v>0</v>
      </c>
      <c r="H161" s="1783">
        <f t="shared" si="13"/>
        <v>0</v>
      </c>
      <c r="I161" s="1025"/>
    </row>
    <row r="162" spans="1:9" x14ac:dyDescent="0.35">
      <c r="A162" s="1020"/>
      <c r="B162" s="1021" t="s">
        <v>1027</v>
      </c>
      <c r="C162" s="1022"/>
      <c r="D162" s="2944"/>
      <c r="E162" s="1024"/>
      <c r="F162" s="1024"/>
      <c r="G162" s="1024">
        <f t="shared" si="12"/>
        <v>0</v>
      </c>
      <c r="H162" s="1783">
        <f t="shared" si="13"/>
        <v>0</v>
      </c>
      <c r="I162" s="1025"/>
    </row>
    <row r="163" spans="1:9" x14ac:dyDescent="0.35">
      <c r="A163" s="1020"/>
      <c r="B163" s="1021" t="s">
        <v>762</v>
      </c>
      <c r="C163" s="1022"/>
      <c r="D163" s="2944"/>
      <c r="E163" s="1024"/>
      <c r="F163" s="1024"/>
      <c r="G163" s="1024">
        <f t="shared" si="12"/>
        <v>0</v>
      </c>
      <c r="H163" s="1783">
        <f t="shared" si="13"/>
        <v>0</v>
      </c>
      <c r="I163" s="1025"/>
    </row>
    <row r="164" spans="1:9" x14ac:dyDescent="0.35">
      <c r="A164" s="1020"/>
      <c r="B164" s="1021" t="s">
        <v>874</v>
      </c>
      <c r="C164" s="1022"/>
      <c r="D164" s="2944"/>
      <c r="E164" s="1024"/>
      <c r="F164" s="1024"/>
      <c r="G164" s="1024">
        <f t="shared" si="12"/>
        <v>0</v>
      </c>
      <c r="H164" s="1783">
        <f t="shared" si="13"/>
        <v>0</v>
      </c>
      <c r="I164" s="1025"/>
    </row>
    <row r="165" spans="1:9" x14ac:dyDescent="0.35">
      <c r="A165" s="1020"/>
      <c r="B165" s="1021" t="s">
        <v>2450</v>
      </c>
      <c r="C165" s="1022"/>
      <c r="D165" s="2944"/>
      <c r="E165" s="1024"/>
      <c r="F165" s="1024" t="s">
        <v>2448</v>
      </c>
      <c r="G165" s="1024">
        <f t="shared" si="12"/>
        <v>0</v>
      </c>
      <c r="H165" s="1783">
        <f t="shared" si="13"/>
        <v>0</v>
      </c>
      <c r="I165" s="1025"/>
    </row>
    <row r="166" spans="1:9" x14ac:dyDescent="0.35">
      <c r="A166" s="1020"/>
      <c r="B166" s="1021" t="s">
        <v>2451</v>
      </c>
      <c r="C166" s="1022"/>
      <c r="D166" s="2944"/>
      <c r="E166" s="1024"/>
      <c r="F166" s="1024"/>
      <c r="G166" s="1024">
        <f t="shared" si="12"/>
        <v>0</v>
      </c>
      <c r="H166" s="1783">
        <f t="shared" si="13"/>
        <v>0</v>
      </c>
      <c r="I166" s="1025"/>
    </row>
    <row r="167" spans="1:9" x14ac:dyDescent="0.35">
      <c r="A167" s="1020"/>
      <c r="B167" s="1021" t="s">
        <v>2452</v>
      </c>
      <c r="C167" s="1022"/>
      <c r="D167" s="2944"/>
      <c r="E167" s="1024"/>
      <c r="F167" s="1024"/>
      <c r="G167" s="1024">
        <f t="shared" si="12"/>
        <v>0</v>
      </c>
      <c r="H167" s="1783">
        <f t="shared" si="13"/>
        <v>0</v>
      </c>
      <c r="I167" s="1025"/>
    </row>
    <row r="168" spans="1:9" x14ac:dyDescent="0.35">
      <c r="A168" s="1020"/>
      <c r="B168" s="1021" t="s">
        <v>2453</v>
      </c>
      <c r="C168" s="1022"/>
      <c r="D168" s="2944"/>
      <c r="E168" s="1024"/>
      <c r="F168" s="1024" t="s">
        <v>2448</v>
      </c>
      <c r="G168" s="1024">
        <f t="shared" si="12"/>
        <v>0</v>
      </c>
      <c r="H168" s="1783">
        <f t="shared" si="13"/>
        <v>0</v>
      </c>
      <c r="I168" s="1025"/>
    </row>
    <row r="169" spans="1:9" x14ac:dyDescent="0.35">
      <c r="A169" s="1020"/>
      <c r="B169" s="1021" t="s">
        <v>2454</v>
      </c>
      <c r="C169" s="1022"/>
      <c r="D169" s="2944"/>
      <c r="E169" s="1024"/>
      <c r="F169" s="1024"/>
      <c r="G169" s="1024">
        <f t="shared" si="12"/>
        <v>0</v>
      </c>
      <c r="H169" s="1783">
        <f t="shared" si="13"/>
        <v>0</v>
      </c>
      <c r="I169" s="1025"/>
    </row>
    <row r="170" spans="1:9" x14ac:dyDescent="0.35">
      <c r="A170" s="1020"/>
      <c r="B170" s="1021" t="s">
        <v>2455</v>
      </c>
      <c r="C170" s="1022"/>
      <c r="D170" s="2944"/>
      <c r="E170" s="1024"/>
      <c r="F170" s="1024"/>
      <c r="G170" s="1024">
        <f t="shared" si="12"/>
        <v>0</v>
      </c>
      <c r="H170" s="1783">
        <f t="shared" si="13"/>
        <v>0</v>
      </c>
      <c r="I170" s="1025"/>
    </row>
    <row r="171" spans="1:9" x14ac:dyDescent="0.35">
      <c r="A171" s="1020"/>
      <c r="B171" s="1021" t="s">
        <v>168</v>
      </c>
      <c r="C171" s="1022"/>
      <c r="D171" s="2944"/>
      <c r="E171" s="1024"/>
      <c r="F171" s="1024"/>
      <c r="G171" s="1024">
        <f t="shared" si="12"/>
        <v>0</v>
      </c>
      <c r="H171" s="1783">
        <f t="shared" si="13"/>
        <v>0</v>
      </c>
      <c r="I171" s="1025"/>
    </row>
    <row r="172" spans="1:9" x14ac:dyDescent="0.35">
      <c r="A172" s="1020"/>
      <c r="B172" s="1021" t="s">
        <v>171</v>
      </c>
      <c r="C172" s="1022"/>
      <c r="D172" s="2944"/>
      <c r="E172" s="1024"/>
      <c r="F172" s="1024"/>
      <c r="G172" s="1024">
        <f t="shared" si="12"/>
        <v>0</v>
      </c>
      <c r="H172" s="1783">
        <f t="shared" si="13"/>
        <v>0</v>
      </c>
      <c r="I172" s="1025"/>
    </row>
    <row r="173" spans="1:9" x14ac:dyDescent="0.35">
      <c r="A173" s="1020"/>
      <c r="B173" s="1021" t="s">
        <v>173</v>
      </c>
      <c r="C173" s="1022"/>
      <c r="D173" s="2944"/>
      <c r="E173" s="1024"/>
      <c r="F173" s="1024"/>
      <c r="G173" s="1024">
        <f t="shared" si="12"/>
        <v>0</v>
      </c>
      <c r="H173" s="1783">
        <f t="shared" si="13"/>
        <v>0</v>
      </c>
      <c r="I173" s="1025"/>
    </row>
    <row r="174" spans="1:9" x14ac:dyDescent="0.35">
      <c r="A174" s="1020"/>
      <c r="B174" s="1021" t="s">
        <v>2456</v>
      </c>
      <c r="C174" s="1022"/>
      <c r="D174" s="2944"/>
      <c r="E174" s="1024"/>
      <c r="F174" s="1024"/>
      <c r="G174" s="1024">
        <f t="shared" si="12"/>
        <v>0</v>
      </c>
      <c r="H174" s="1783">
        <f t="shared" si="13"/>
        <v>0</v>
      </c>
      <c r="I174" s="1025"/>
    </row>
    <row r="175" spans="1:9" ht="15" thickBot="1" x14ac:dyDescent="0.4">
      <c r="A175" s="1020"/>
      <c r="B175" s="1021" t="s">
        <v>2457</v>
      </c>
      <c r="C175" s="1022"/>
      <c r="D175" s="2944"/>
      <c r="E175" s="1024"/>
      <c r="F175" s="1024"/>
      <c r="G175" s="1024">
        <f t="shared" si="12"/>
        <v>0</v>
      </c>
      <c r="H175" s="1783">
        <f t="shared" si="13"/>
        <v>0</v>
      </c>
      <c r="I175" s="1025"/>
    </row>
    <row r="176" spans="1:9" ht="15" thickBot="1" x14ac:dyDescent="0.4">
      <c r="A176" s="1785" t="s">
        <v>2575</v>
      </c>
      <c r="B176" s="1040"/>
      <c r="C176" s="1041"/>
      <c r="D176" s="3177"/>
      <c r="E176" s="1786">
        <f>SUM(E154:E175)</f>
        <v>0</v>
      </c>
      <c r="F176" s="1786">
        <f>SUM(F154:F175)</f>
        <v>0</v>
      </c>
      <c r="G176" s="1786">
        <f>SUM(G154:G175)</f>
        <v>0</v>
      </c>
      <c r="H176" s="1786">
        <f>SUM(H154:H175)</f>
        <v>0</v>
      </c>
      <c r="I176" s="1787"/>
    </row>
    <row r="177" spans="1:9" x14ac:dyDescent="0.35">
      <c r="A177" s="1791" t="s">
        <v>3175</v>
      </c>
      <c r="B177" s="1792"/>
      <c r="C177" s="1792"/>
      <c r="D177" s="3181"/>
      <c r="E177" s="1058"/>
      <c r="F177" s="1058"/>
      <c r="G177" s="1058"/>
      <c r="H177" s="1793"/>
      <c r="I177" s="1059"/>
    </row>
    <row r="178" spans="1:9" ht="15" thickBot="1" x14ac:dyDescent="0.4">
      <c r="A178" s="1060" t="s">
        <v>3176</v>
      </c>
      <c r="B178" s="1061"/>
      <c r="C178" s="1061"/>
      <c r="D178" s="3182"/>
      <c r="E178" s="1794">
        <f>E82+E151+E176</f>
        <v>106402000</v>
      </c>
      <c r="F178" s="1794">
        <f>F82+F151+F176</f>
        <v>0</v>
      </c>
      <c r="G178" s="1794">
        <f>G82+G151+G176</f>
        <v>106402000</v>
      </c>
      <c r="H178" s="1794">
        <f>H82+H151+H176</f>
        <v>106402000</v>
      </c>
      <c r="I178" s="1795"/>
    </row>
    <row r="179" spans="1:9" x14ac:dyDescent="0.35">
      <c r="A179" s="1796"/>
      <c r="B179" s="1797"/>
      <c r="C179" s="1798"/>
      <c r="D179" s="3183"/>
      <c r="E179" s="1799"/>
      <c r="F179" s="1799"/>
      <c r="G179" s="1799"/>
      <c r="H179" s="1799"/>
      <c r="I179" s="1800"/>
    </row>
    <row r="180" spans="1:9" x14ac:dyDescent="0.35">
      <c r="A180" s="1801" t="s">
        <v>576</v>
      </c>
      <c r="B180" s="1802" t="s">
        <v>3177</v>
      </c>
      <c r="C180" s="1803"/>
      <c r="D180" s="3184"/>
      <c r="E180" s="1804"/>
      <c r="F180" s="1804"/>
      <c r="G180" s="1804"/>
      <c r="H180" s="1804"/>
      <c r="I180" s="1800"/>
    </row>
    <row r="181" spans="1:9" x14ac:dyDescent="0.35">
      <c r="A181" s="1805"/>
      <c r="B181" s="1806" t="s">
        <v>533</v>
      </c>
      <c r="C181" s="1037" t="s">
        <v>2579</v>
      </c>
      <c r="D181" s="3184"/>
      <c r="E181" s="1807"/>
      <c r="F181" s="1807"/>
      <c r="G181" s="1807"/>
      <c r="H181" s="1807"/>
      <c r="I181" s="1800"/>
    </row>
    <row r="182" spans="1:9" x14ac:dyDescent="0.35">
      <c r="A182" s="1808"/>
      <c r="B182" s="1809" t="s">
        <v>2447</v>
      </c>
      <c r="C182" s="1810"/>
      <c r="D182" s="3185"/>
      <c r="E182" s="1811"/>
      <c r="F182" s="1811"/>
      <c r="G182" s="1811">
        <f>SUM(E182:F182)</f>
        <v>0</v>
      </c>
      <c r="H182" s="1812"/>
      <c r="I182" s="1800"/>
    </row>
    <row r="183" spans="1:9" x14ac:dyDescent="0.35">
      <c r="A183" s="1808"/>
      <c r="B183" s="1809" t="s">
        <v>23</v>
      </c>
      <c r="C183" s="1810"/>
      <c r="D183" s="3185"/>
      <c r="E183" s="1811"/>
      <c r="F183" s="1811"/>
      <c r="G183" s="1811">
        <f t="shared" ref="G183:G186" si="14">SUM(E183:F183)</f>
        <v>0</v>
      </c>
      <c r="H183" s="1812"/>
      <c r="I183" s="1800"/>
    </row>
    <row r="184" spans="1:9" x14ac:dyDescent="0.35">
      <c r="A184" s="1808"/>
      <c r="B184" s="1809" t="s">
        <v>27</v>
      </c>
      <c r="C184" s="1810"/>
      <c r="D184" s="3185"/>
      <c r="E184" s="1811"/>
      <c r="F184" s="1811"/>
      <c r="G184" s="1811">
        <f t="shared" si="14"/>
        <v>0</v>
      </c>
      <c r="H184" s="1812"/>
      <c r="I184" s="1800"/>
    </row>
    <row r="185" spans="1:9" x14ac:dyDescent="0.35">
      <c r="A185" s="1808"/>
      <c r="B185" s="1809" t="s">
        <v>31</v>
      </c>
      <c r="C185" s="1810"/>
      <c r="D185" s="3185"/>
      <c r="E185" s="1811"/>
      <c r="F185" s="1811"/>
      <c r="G185" s="1811">
        <f t="shared" si="14"/>
        <v>0</v>
      </c>
      <c r="H185" s="1812"/>
      <c r="I185" s="1800"/>
    </row>
    <row r="186" spans="1:9" x14ac:dyDescent="0.35">
      <c r="A186" s="1808"/>
      <c r="B186" s="1809" t="s">
        <v>36</v>
      </c>
      <c r="C186" s="1810"/>
      <c r="D186" s="3185"/>
      <c r="E186" s="1811"/>
      <c r="F186" s="1811"/>
      <c r="G186" s="1811">
        <f t="shared" si="14"/>
        <v>0</v>
      </c>
      <c r="H186" s="1812"/>
      <c r="I186" s="1800"/>
    </row>
    <row r="187" spans="1:9" x14ac:dyDescent="0.35">
      <c r="A187" s="1808"/>
      <c r="B187" s="1814"/>
      <c r="C187" s="1813" t="s">
        <v>2448</v>
      </c>
      <c r="D187" s="3186" t="s">
        <v>2448</v>
      </c>
      <c r="E187" s="1815">
        <f>SUM(E182:E186)</f>
        <v>0</v>
      </c>
      <c r="F187" s="1815">
        <f>SUM(F182:F186)</f>
        <v>0</v>
      </c>
      <c r="G187" s="1815">
        <f>SUM(G182:G186)</f>
        <v>0</v>
      </c>
      <c r="H187" s="1815">
        <f>SUM(H182:H186)</f>
        <v>0</v>
      </c>
      <c r="I187" s="1816"/>
    </row>
    <row r="188" spans="1:9" ht="16.5" x14ac:dyDescent="0.35">
      <c r="A188" s="1045" t="str">
        <f>IN!C4</f>
        <v>Laporan Keuangan June 2026</v>
      </c>
      <c r="B188" s="1788"/>
      <c r="C188" s="1789"/>
      <c r="D188" s="3178"/>
      <c r="E188" s="1048" t="s">
        <v>127</v>
      </c>
      <c r="F188" s="1790"/>
      <c r="G188" s="1790"/>
      <c r="H188" s="1790"/>
      <c r="I188" s="1049" t="str">
        <f>IN!D4</f>
        <v>Financial Statement Jun 2026</v>
      </c>
    </row>
    <row r="189" spans="1:9" x14ac:dyDescent="0.35">
      <c r="A189" s="1817" t="s">
        <v>597</v>
      </c>
      <c r="B189" s="1818" t="s">
        <v>3178</v>
      </c>
      <c r="C189" s="1819"/>
      <c r="D189" s="1820"/>
      <c r="E189" s="1068"/>
      <c r="F189" s="1068"/>
      <c r="G189" s="1068"/>
      <c r="H189" s="1821"/>
      <c r="I189" s="1822"/>
    </row>
    <row r="190" spans="1:9" x14ac:dyDescent="0.35">
      <c r="A190" s="1817"/>
      <c r="B190" s="1823" t="s">
        <v>2447</v>
      </c>
      <c r="C190" s="1824" t="s">
        <v>3179</v>
      </c>
      <c r="D190" s="1820"/>
      <c r="E190" s="1825"/>
      <c r="F190" s="1826"/>
      <c r="G190" s="1811">
        <f t="shared" ref="G190:G192" si="15">SUM(E190:F190)</f>
        <v>0</v>
      </c>
      <c r="H190" s="1821"/>
      <c r="I190" s="1822"/>
    </row>
    <row r="191" spans="1:9" x14ac:dyDescent="0.35">
      <c r="A191" s="1817"/>
      <c r="B191" s="1823" t="s">
        <v>23</v>
      </c>
      <c r="C191" s="1824" t="s">
        <v>3181</v>
      </c>
      <c r="D191" s="1820"/>
      <c r="E191" s="1825"/>
      <c r="F191" s="1826"/>
      <c r="G191" s="1811">
        <f t="shared" si="15"/>
        <v>0</v>
      </c>
      <c r="H191" s="1821"/>
      <c r="I191" s="1822"/>
    </row>
    <row r="192" spans="1:9" x14ac:dyDescent="0.35">
      <c r="A192" s="1817"/>
      <c r="B192" s="1823" t="s">
        <v>27</v>
      </c>
      <c r="C192" s="1825" t="s">
        <v>3182</v>
      </c>
      <c r="D192" s="1820"/>
      <c r="E192" s="1825"/>
      <c r="F192" s="1068"/>
      <c r="G192" s="1811">
        <f t="shared" si="15"/>
        <v>0</v>
      </c>
      <c r="H192" s="1821"/>
      <c r="I192" s="1822"/>
    </row>
    <row r="193" spans="1:9" ht="15" thickBot="1" x14ac:dyDescent="0.4">
      <c r="A193" s="1817"/>
      <c r="B193" s="1823"/>
      <c r="C193" s="1825"/>
      <c r="D193" s="1820"/>
      <c r="E193" s="1068">
        <f>SUM(E190:E192)</f>
        <v>0</v>
      </c>
      <c r="F193" s="1068">
        <f t="shared" ref="F193:H193" si="16">SUM(F190:F192)</f>
        <v>0</v>
      </c>
      <c r="G193" s="1068">
        <f t="shared" si="16"/>
        <v>0</v>
      </c>
      <c r="H193" s="1068">
        <f t="shared" si="16"/>
        <v>0</v>
      </c>
      <c r="I193" s="1822"/>
    </row>
    <row r="194" spans="1:9" ht="46.5" customHeight="1" thickBot="1" x14ac:dyDescent="0.4">
      <c r="A194" s="3833" t="s">
        <v>3183</v>
      </c>
      <c r="B194" s="3834"/>
      <c r="C194" s="3834"/>
      <c r="D194" s="3187"/>
      <c r="E194" s="1829">
        <f>E187+E193</f>
        <v>0</v>
      </c>
      <c r="F194" s="1829">
        <f t="shared" ref="F194:H194" si="17">F187+F193</f>
        <v>0</v>
      </c>
      <c r="G194" s="1829">
        <f t="shared" si="17"/>
        <v>0</v>
      </c>
      <c r="H194" s="1829">
        <f t="shared" si="17"/>
        <v>0</v>
      </c>
      <c r="I194" s="1830"/>
    </row>
    <row r="195" spans="1:9" ht="15" thickBot="1" x14ac:dyDescent="0.4">
      <c r="A195" s="1817"/>
      <c r="B195" s="1831"/>
      <c r="C195" s="1819"/>
      <c r="D195" s="1820"/>
      <c r="E195" s="1068"/>
      <c r="F195" s="1068"/>
      <c r="G195" s="1068"/>
      <c r="H195" s="1832"/>
      <c r="I195" s="1830"/>
    </row>
    <row r="196" spans="1:9" x14ac:dyDescent="0.35">
      <c r="A196" s="1833" t="s">
        <v>3184</v>
      </c>
      <c r="B196" s="1834"/>
      <c r="C196" s="1834"/>
      <c r="D196" s="1834"/>
      <c r="E196" s="1835"/>
      <c r="F196" s="1835"/>
      <c r="G196" s="1835"/>
      <c r="H196" s="1836"/>
      <c r="I196" s="1837"/>
    </row>
    <row r="197" spans="1:9" ht="15" thickBot="1" x14ac:dyDescent="0.4">
      <c r="A197" s="1838" t="s">
        <v>3185</v>
      </c>
      <c r="B197" s="1839"/>
      <c r="C197" s="1839"/>
      <c r="D197" s="1839"/>
      <c r="E197" s="1840">
        <f>E178+E194</f>
        <v>106402000</v>
      </c>
      <c r="F197" s="1840">
        <f>F178+F194</f>
        <v>0</v>
      </c>
      <c r="G197" s="1840">
        <f>G178+G194</f>
        <v>106402000</v>
      </c>
      <c r="H197" s="1840">
        <f>H178+H194</f>
        <v>106402000</v>
      </c>
      <c r="I197" s="1841"/>
    </row>
    <row r="198" spans="1:9" x14ac:dyDescent="0.35">
      <c r="A198" s="1019"/>
      <c r="B198" s="1019"/>
      <c r="C198" s="1019"/>
      <c r="D198" s="3188"/>
      <c r="E198" s="1019"/>
      <c r="F198" s="1019"/>
      <c r="G198" s="1019"/>
      <c r="H198" s="1019"/>
      <c r="I198" s="1140"/>
    </row>
    <row r="199" spans="1:9" x14ac:dyDescent="0.35">
      <c r="E199" s="1141">
        <v>451586000</v>
      </c>
      <c r="F199" s="1141">
        <v>3275000</v>
      </c>
      <c r="G199" s="1141">
        <v>454861000</v>
      </c>
      <c r="H199" s="1141">
        <v>440761000</v>
      </c>
      <c r="I199" s="1842"/>
    </row>
    <row r="200" spans="1:9" ht="16.5" x14ac:dyDescent="0.35">
      <c r="A200" s="1045" t="str">
        <f>IN!C4</f>
        <v>Laporan Keuangan June 2026</v>
      </c>
      <c r="B200" s="1788"/>
      <c r="C200" s="1789"/>
      <c r="D200" s="3178"/>
      <c r="E200" s="3835" t="s">
        <v>2488</v>
      </c>
      <c r="F200" s="3835"/>
      <c r="G200" s="3835"/>
      <c r="H200" s="1790"/>
      <c r="I200" s="1049" t="str">
        <f>IN!D4</f>
        <v>Financial Statement Jun 2026</v>
      </c>
    </row>
    <row r="201" spans="1:9" x14ac:dyDescent="0.35">
      <c r="A201" s="1019"/>
      <c r="B201" s="1019"/>
      <c r="C201" s="1019"/>
      <c r="D201" s="3188"/>
      <c r="E201" s="1019"/>
      <c r="F201" s="1019"/>
      <c r="G201" s="1019"/>
      <c r="H201" s="1019"/>
      <c r="I201" s="1019"/>
    </row>
    <row r="202" spans="1:9" x14ac:dyDescent="0.35">
      <c r="A202" s="1019"/>
      <c r="B202" s="1019"/>
      <c r="C202" s="1019"/>
      <c r="D202" s="3188"/>
      <c r="E202" s="1019"/>
      <c r="F202" s="1019"/>
      <c r="G202" s="1019"/>
      <c r="H202" s="1019"/>
      <c r="I202" s="1019"/>
    </row>
    <row r="203" spans="1:9" x14ac:dyDescent="0.35">
      <c r="A203" s="1019"/>
      <c r="B203" s="1019"/>
      <c r="C203" s="1019"/>
      <c r="D203" s="3188"/>
      <c r="E203" s="1019"/>
      <c r="F203" s="1019"/>
      <c r="G203" s="1019"/>
      <c r="H203" s="1019"/>
      <c r="I203" s="1019"/>
    </row>
    <row r="204" spans="1:9" x14ac:dyDescent="0.35">
      <c r="A204" s="1019"/>
      <c r="B204" s="1019"/>
      <c r="C204" s="1019"/>
      <c r="D204" s="3188"/>
      <c r="E204" s="1019"/>
      <c r="F204" s="1019"/>
      <c r="G204" s="1019"/>
      <c r="H204" s="1019"/>
      <c r="I204" s="1019"/>
    </row>
    <row r="205" spans="1:9" x14ac:dyDescent="0.35">
      <c r="A205" s="1019"/>
      <c r="B205" s="1019"/>
      <c r="C205" s="1019"/>
      <c r="D205" s="3188"/>
      <c r="E205" s="1019"/>
      <c r="F205" s="1019"/>
      <c r="G205" s="1019"/>
      <c r="H205" s="1019"/>
      <c r="I205" s="1140"/>
    </row>
    <row r="206" spans="1:9" x14ac:dyDescent="0.35">
      <c r="A206" s="1019"/>
      <c r="B206" s="1019"/>
      <c r="C206" s="1019"/>
      <c r="D206" s="3188"/>
      <c r="E206" s="1019"/>
      <c r="F206" s="1019"/>
      <c r="G206" s="1019"/>
      <c r="H206" s="1019"/>
      <c r="I206" s="1140"/>
    </row>
    <row r="207" spans="1:9" x14ac:dyDescent="0.35">
      <c r="A207" s="1019"/>
      <c r="B207" s="1019"/>
      <c r="C207" s="1019"/>
      <c r="D207" s="3188"/>
      <c r="E207" s="1019"/>
      <c r="F207" s="1019"/>
      <c r="G207" s="1019"/>
      <c r="H207" s="1019"/>
      <c r="I207" s="1140"/>
    </row>
    <row r="208" spans="1:9" x14ac:dyDescent="0.35">
      <c r="A208" s="1019"/>
      <c r="B208" s="1019"/>
      <c r="C208" s="1019"/>
      <c r="D208" s="3188"/>
      <c r="E208" s="1019"/>
      <c r="F208" s="1019"/>
      <c r="G208" s="1019"/>
      <c r="H208" s="1019"/>
      <c r="I208" s="1140"/>
    </row>
    <row r="209" spans="1:9" x14ac:dyDescent="0.35">
      <c r="A209" s="1019"/>
      <c r="B209" s="1019"/>
      <c r="C209" s="1019"/>
      <c r="D209" s="3188"/>
      <c r="E209" s="1019"/>
      <c r="F209" s="1019"/>
      <c r="G209" s="1019"/>
      <c r="H209" s="1019"/>
      <c r="I209" s="1140"/>
    </row>
    <row r="210" spans="1:9" x14ac:dyDescent="0.35">
      <c r="A210" s="1019"/>
      <c r="B210" s="1019"/>
      <c r="C210" s="1019"/>
      <c r="D210" s="3188"/>
      <c r="E210" s="1019"/>
      <c r="F210" s="1019"/>
      <c r="G210" s="1019"/>
      <c r="H210" s="1019"/>
      <c r="I210" s="1140"/>
    </row>
    <row r="211" spans="1:9" x14ac:dyDescent="0.35">
      <c r="A211" s="1019"/>
      <c r="B211" s="1019"/>
      <c r="C211" s="1019"/>
      <c r="D211" s="3188"/>
      <c r="E211" s="1019"/>
      <c r="F211" s="1019"/>
      <c r="G211" s="1019"/>
      <c r="H211" s="1019"/>
      <c r="I211" s="1140"/>
    </row>
    <row r="212" spans="1:9" x14ac:dyDescent="0.35">
      <c r="A212" s="1019"/>
      <c r="B212" s="1019"/>
      <c r="C212" s="1019"/>
      <c r="D212" s="3188"/>
      <c r="E212" s="1019"/>
      <c r="F212" s="1019"/>
      <c r="G212" s="1019"/>
      <c r="H212" s="1019"/>
      <c r="I212" s="1140"/>
    </row>
    <row r="213" spans="1:9" x14ac:dyDescent="0.35">
      <c r="A213" s="1019"/>
      <c r="B213" s="1019"/>
      <c r="C213" s="1019"/>
      <c r="D213" s="3188"/>
      <c r="E213" s="1019"/>
      <c r="F213" s="1019"/>
      <c r="G213" s="1019"/>
      <c r="H213" s="1019"/>
      <c r="I213" s="1140"/>
    </row>
    <row r="214" spans="1:9" x14ac:dyDescent="0.35">
      <c r="A214" s="1019"/>
      <c r="B214" s="1019"/>
      <c r="C214" s="1019"/>
      <c r="D214" s="3188"/>
      <c r="E214" s="1019"/>
      <c r="F214" s="1019"/>
      <c r="G214" s="1019"/>
      <c r="H214" s="1019"/>
      <c r="I214" s="1140"/>
    </row>
    <row r="215" spans="1:9" x14ac:dyDescent="0.35">
      <c r="A215" s="1019"/>
      <c r="B215" s="1019"/>
      <c r="C215" s="1019"/>
      <c r="D215" s="3188"/>
      <c r="E215" s="1019"/>
      <c r="F215" s="1019"/>
      <c r="G215" s="1019"/>
      <c r="H215" s="1019"/>
      <c r="I215" s="1140"/>
    </row>
    <row r="216" spans="1:9" x14ac:dyDescent="0.35">
      <c r="A216" s="1019"/>
      <c r="B216" s="1019"/>
      <c r="C216" s="1019"/>
      <c r="D216" s="3188"/>
      <c r="E216" s="1019"/>
      <c r="F216" s="1019"/>
      <c r="G216" s="1019"/>
      <c r="H216" s="1019"/>
      <c r="I216" s="1140"/>
    </row>
    <row r="217" spans="1:9" x14ac:dyDescent="0.35">
      <c r="A217" s="1019"/>
      <c r="B217" s="1019"/>
      <c r="C217" s="1019"/>
      <c r="D217" s="3188"/>
      <c r="E217" s="1019"/>
      <c r="F217" s="1019"/>
      <c r="G217" s="1019"/>
      <c r="H217" s="1019"/>
      <c r="I217" s="1140"/>
    </row>
    <row r="218" spans="1:9" x14ac:dyDescent="0.35">
      <c r="A218" s="1019"/>
      <c r="B218" s="1019"/>
      <c r="C218" s="1019"/>
      <c r="D218" s="3188"/>
      <c r="E218" s="1019"/>
      <c r="F218" s="1019"/>
      <c r="G218" s="1019"/>
      <c r="H218" s="1019"/>
      <c r="I218" s="1140"/>
    </row>
    <row r="219" spans="1:9" x14ac:dyDescent="0.35">
      <c r="A219" s="1019"/>
      <c r="B219" s="1019"/>
      <c r="C219" s="1019"/>
      <c r="D219" s="3188"/>
      <c r="E219" s="1019"/>
      <c r="F219" s="1019"/>
      <c r="G219" s="1019"/>
      <c r="H219" s="1019"/>
      <c r="I219" s="1140"/>
    </row>
    <row r="220" spans="1:9" x14ac:dyDescent="0.35">
      <c r="A220" s="1019"/>
      <c r="B220" s="1019"/>
      <c r="C220" s="1019"/>
      <c r="D220" s="3188"/>
      <c r="E220" s="1019"/>
      <c r="F220" s="1019"/>
      <c r="G220" s="1019"/>
      <c r="H220" s="1019"/>
      <c r="I220" s="1140"/>
    </row>
    <row r="221" spans="1:9" x14ac:dyDescent="0.35">
      <c r="A221" s="1019"/>
      <c r="B221" s="1019"/>
      <c r="C221" s="1019"/>
      <c r="D221" s="3188"/>
      <c r="E221" s="1019"/>
      <c r="F221" s="1019"/>
      <c r="G221" s="1019"/>
      <c r="H221" s="1019"/>
      <c r="I221" s="1140"/>
    </row>
    <row r="222" spans="1:9" x14ac:dyDescent="0.35">
      <c r="A222" s="1019"/>
      <c r="B222" s="1019"/>
      <c r="C222" s="1019"/>
      <c r="D222" s="3188"/>
      <c r="E222" s="1019"/>
      <c r="F222" s="1019"/>
      <c r="G222" s="1019"/>
      <c r="H222" s="1019"/>
      <c r="I222" s="1140"/>
    </row>
    <row r="223" spans="1:9" x14ac:dyDescent="0.35">
      <c r="A223" s="1019"/>
      <c r="B223" s="1019"/>
      <c r="C223" s="1019"/>
      <c r="D223" s="3188"/>
      <c r="E223" s="1019"/>
      <c r="F223" s="1019"/>
      <c r="G223" s="1019"/>
      <c r="H223" s="1019"/>
      <c r="I223" s="1140"/>
    </row>
    <row r="224" spans="1:9" x14ac:dyDescent="0.35">
      <c r="A224" s="1019"/>
      <c r="B224" s="1019"/>
      <c r="C224" s="1019"/>
      <c r="D224" s="3188"/>
      <c r="E224" s="1019"/>
      <c r="F224" s="1019"/>
      <c r="G224" s="1019"/>
      <c r="H224" s="1019"/>
      <c r="I224" s="1140"/>
    </row>
    <row r="225" spans="1:9" x14ac:dyDescent="0.35">
      <c r="A225" s="1019"/>
      <c r="B225" s="1019"/>
      <c r="C225" s="1019"/>
      <c r="D225" s="3188"/>
      <c r="E225" s="1019"/>
      <c r="F225" s="1019"/>
      <c r="G225" s="1019"/>
      <c r="H225" s="1019"/>
      <c r="I225" s="1140"/>
    </row>
    <row r="226" spans="1:9" x14ac:dyDescent="0.35">
      <c r="A226" s="1019"/>
      <c r="B226" s="1019"/>
      <c r="C226" s="1019"/>
      <c r="D226" s="3188"/>
      <c r="E226" s="1019"/>
      <c r="F226" s="1019"/>
      <c r="G226" s="1019"/>
      <c r="H226" s="1019"/>
      <c r="I226" s="1140"/>
    </row>
    <row r="227" spans="1:9" x14ac:dyDescent="0.35">
      <c r="A227" s="1019"/>
      <c r="B227" s="1019"/>
      <c r="C227" s="1019"/>
      <c r="D227" s="3188"/>
      <c r="E227" s="1019"/>
      <c r="F227" s="1019"/>
      <c r="G227" s="1019"/>
      <c r="H227" s="1019"/>
      <c r="I227" s="1140"/>
    </row>
    <row r="228" spans="1:9" x14ac:dyDescent="0.35">
      <c r="A228" s="1019"/>
      <c r="B228" s="1019"/>
      <c r="C228" s="1019"/>
      <c r="D228" s="3188"/>
      <c r="E228" s="1019"/>
      <c r="F228" s="1019"/>
      <c r="G228" s="1019"/>
      <c r="H228" s="1019"/>
      <c r="I228" s="1140"/>
    </row>
    <row r="229" spans="1:9" x14ac:dyDescent="0.35">
      <c r="A229" s="1019"/>
      <c r="B229" s="1019"/>
      <c r="C229" s="1019"/>
      <c r="D229" s="3188"/>
      <c r="E229" s="1019"/>
      <c r="F229" s="1019"/>
      <c r="G229" s="1019"/>
      <c r="H229" s="1019"/>
      <c r="I229" s="1140"/>
    </row>
    <row r="230" spans="1:9" x14ac:dyDescent="0.35">
      <c r="A230" s="1019"/>
      <c r="B230" s="1019"/>
      <c r="C230" s="1019"/>
      <c r="D230" s="3188"/>
      <c r="E230" s="1019"/>
      <c r="F230" s="1019"/>
      <c r="G230" s="1019"/>
      <c r="H230" s="1019"/>
      <c r="I230" s="1140"/>
    </row>
    <row r="231" spans="1:9" x14ac:dyDescent="0.35">
      <c r="A231" s="1019"/>
      <c r="B231" s="1019"/>
      <c r="C231" s="1019"/>
      <c r="D231" s="3188"/>
      <c r="E231" s="1019"/>
      <c r="F231" s="1019"/>
      <c r="G231" s="1019"/>
      <c r="H231" s="1019"/>
      <c r="I231" s="1140"/>
    </row>
    <row r="232" spans="1:9" x14ac:dyDescent="0.35">
      <c r="A232" s="1019"/>
      <c r="B232" s="1019"/>
      <c r="C232" s="1019"/>
      <c r="D232" s="3188"/>
      <c r="E232" s="1019"/>
      <c r="F232" s="1019"/>
      <c r="G232" s="1019"/>
      <c r="H232" s="1019"/>
      <c r="I232" s="1140"/>
    </row>
    <row r="233" spans="1:9" x14ac:dyDescent="0.35">
      <c r="A233" s="1019"/>
      <c r="B233" s="1019"/>
      <c r="C233" s="1019"/>
      <c r="D233" s="3188"/>
      <c r="E233" s="1019"/>
      <c r="F233" s="1019"/>
      <c r="G233" s="1019"/>
      <c r="H233" s="1019"/>
      <c r="I233" s="1140"/>
    </row>
    <row r="234" spans="1:9" x14ac:dyDescent="0.35">
      <c r="A234" s="1019"/>
      <c r="B234" s="1019"/>
      <c r="C234" s="1019"/>
      <c r="D234" s="3188"/>
      <c r="E234" s="1019"/>
      <c r="F234" s="1019"/>
      <c r="G234" s="1019"/>
      <c r="H234" s="1019"/>
      <c r="I234" s="1140"/>
    </row>
    <row r="235" spans="1:9" x14ac:dyDescent="0.35">
      <c r="A235" s="1019"/>
      <c r="B235" s="1019"/>
      <c r="C235" s="1019"/>
      <c r="D235" s="3188"/>
      <c r="E235" s="1019"/>
      <c r="F235" s="1019"/>
      <c r="G235" s="1019"/>
      <c r="H235" s="1019"/>
      <c r="I235" s="1140"/>
    </row>
    <row r="236" spans="1:9" x14ac:dyDescent="0.35">
      <c r="A236" s="1019"/>
      <c r="B236" s="1019"/>
      <c r="C236" s="1019"/>
      <c r="D236" s="3188"/>
      <c r="E236" s="1019"/>
      <c r="F236" s="1019"/>
      <c r="G236" s="1019"/>
      <c r="H236" s="1019"/>
      <c r="I236" s="1140"/>
    </row>
    <row r="237" spans="1:9" x14ac:dyDescent="0.35">
      <c r="A237" s="1019"/>
      <c r="B237" s="1019"/>
      <c r="C237" s="1019"/>
      <c r="D237" s="3188"/>
      <c r="E237" s="1019"/>
      <c r="F237" s="1019"/>
      <c r="G237" s="1019"/>
      <c r="H237" s="1019"/>
      <c r="I237" s="1140"/>
    </row>
    <row r="238" spans="1:9" x14ac:dyDescent="0.35">
      <c r="A238" s="1019"/>
      <c r="B238" s="1019"/>
      <c r="C238" s="1019"/>
      <c r="D238" s="3188"/>
      <c r="E238" s="1019"/>
      <c r="F238" s="1019"/>
      <c r="G238" s="1019"/>
      <c r="H238" s="1019"/>
      <c r="I238" s="1140"/>
    </row>
    <row r="239" spans="1:9" x14ac:dyDescent="0.35">
      <c r="A239" s="1019"/>
      <c r="B239" s="1019"/>
      <c r="C239" s="1019"/>
      <c r="D239" s="3188"/>
      <c r="E239" s="1019"/>
      <c r="F239" s="1019"/>
      <c r="G239" s="1019"/>
      <c r="H239" s="1019"/>
      <c r="I239" s="1140"/>
    </row>
    <row r="240" spans="1:9" x14ac:dyDescent="0.35">
      <c r="A240" s="1019"/>
      <c r="B240" s="1019"/>
      <c r="C240" s="1019"/>
      <c r="D240" s="3188"/>
      <c r="E240" s="1019"/>
      <c r="F240" s="1019"/>
      <c r="G240" s="1019"/>
      <c r="H240" s="1019"/>
      <c r="I240" s="1140"/>
    </row>
    <row r="241" spans="1:9" x14ac:dyDescent="0.35">
      <c r="A241" s="1019"/>
      <c r="B241" s="1019"/>
      <c r="C241" s="1019"/>
      <c r="D241" s="3188"/>
      <c r="E241" s="1019"/>
      <c r="F241" s="1019"/>
      <c r="G241" s="1019"/>
      <c r="H241" s="1019"/>
      <c r="I241" s="1140"/>
    </row>
    <row r="242" spans="1:9" x14ac:dyDescent="0.35">
      <c r="A242" s="1019"/>
      <c r="B242" s="1019"/>
      <c r="C242" s="1019"/>
      <c r="D242" s="3188"/>
      <c r="E242" s="1019"/>
      <c r="F242" s="1019"/>
      <c r="G242" s="1019"/>
      <c r="H242" s="1019"/>
      <c r="I242" s="1140"/>
    </row>
    <row r="243" spans="1:9" x14ac:dyDescent="0.35">
      <c r="A243" s="1019"/>
      <c r="B243" s="1019"/>
      <c r="C243" s="1019"/>
      <c r="D243" s="3188"/>
      <c r="E243" s="1019"/>
      <c r="F243" s="1019"/>
      <c r="G243" s="1019"/>
      <c r="H243" s="1019"/>
      <c r="I243" s="1140"/>
    </row>
    <row r="244" spans="1:9" x14ac:dyDescent="0.35">
      <c r="A244" s="1019"/>
      <c r="B244" s="1019"/>
      <c r="C244" s="1019"/>
      <c r="D244" s="3188"/>
      <c r="E244" s="1019"/>
      <c r="F244" s="1019"/>
      <c r="G244" s="1019"/>
      <c r="H244" s="1019"/>
      <c r="I244" s="1140"/>
    </row>
    <row r="245" spans="1:9" x14ac:dyDescent="0.35">
      <c r="A245" s="1019"/>
      <c r="B245" s="1019"/>
      <c r="C245" s="1019"/>
      <c r="D245" s="3188"/>
      <c r="E245" s="1019"/>
      <c r="F245" s="1019"/>
      <c r="G245" s="1019"/>
      <c r="H245" s="1019"/>
      <c r="I245" s="1140"/>
    </row>
    <row r="246" spans="1:9" x14ac:dyDescent="0.35">
      <c r="A246" s="1019"/>
      <c r="B246" s="1019"/>
      <c r="C246" s="1019"/>
      <c r="D246" s="3188"/>
      <c r="E246" s="1019"/>
      <c r="F246" s="1019"/>
      <c r="G246" s="1019"/>
      <c r="H246" s="1019"/>
      <c r="I246" s="1140"/>
    </row>
    <row r="247" spans="1:9" x14ac:dyDescent="0.35">
      <c r="A247" s="1019"/>
      <c r="B247" s="1019"/>
      <c r="C247" s="1019"/>
      <c r="D247" s="3188"/>
      <c r="E247" s="1019"/>
      <c r="F247" s="1019"/>
      <c r="G247" s="1019"/>
      <c r="H247" s="1019"/>
      <c r="I247" s="1140"/>
    </row>
    <row r="248" spans="1:9" x14ac:dyDescent="0.35">
      <c r="A248" s="1019"/>
      <c r="B248" s="1019"/>
      <c r="C248" s="1019"/>
      <c r="D248" s="3188"/>
      <c r="E248" s="1019"/>
      <c r="F248" s="1019"/>
      <c r="G248" s="1019"/>
      <c r="H248" s="1019"/>
      <c r="I248" s="1140"/>
    </row>
    <row r="249" spans="1:9" x14ac:dyDescent="0.35">
      <c r="A249" s="1019"/>
      <c r="B249" s="1019"/>
      <c r="C249" s="1019"/>
      <c r="D249" s="3188"/>
      <c r="E249" s="1019"/>
      <c r="F249" s="1019"/>
      <c r="G249" s="1019"/>
      <c r="H249" s="1019"/>
      <c r="I249" s="1140"/>
    </row>
    <row r="250" spans="1:9" x14ac:dyDescent="0.35">
      <c r="A250" s="1019"/>
      <c r="B250" s="1019"/>
      <c r="C250" s="1019"/>
      <c r="D250" s="3188"/>
      <c r="E250" s="1019"/>
      <c r="F250" s="1019"/>
      <c r="G250" s="1019"/>
      <c r="H250" s="1019"/>
      <c r="I250" s="1140"/>
    </row>
    <row r="251" spans="1:9" x14ac:dyDescent="0.35">
      <c r="A251" s="1019"/>
      <c r="B251" s="1019"/>
      <c r="C251" s="1019"/>
      <c r="D251" s="3188"/>
      <c r="E251" s="1019"/>
      <c r="F251" s="1019"/>
      <c r="G251" s="1019"/>
      <c r="H251" s="1019"/>
      <c r="I251" s="1140"/>
    </row>
    <row r="252" spans="1:9" x14ac:dyDescent="0.35">
      <c r="A252" s="1019"/>
      <c r="B252" s="1019"/>
      <c r="C252" s="1019"/>
      <c r="D252" s="3188"/>
      <c r="E252" s="1019"/>
      <c r="F252" s="1019"/>
      <c r="G252" s="1019"/>
      <c r="H252" s="1019"/>
      <c r="I252" s="1140"/>
    </row>
    <row r="253" spans="1:9" x14ac:dyDescent="0.35">
      <c r="A253" s="1019"/>
      <c r="B253" s="1019"/>
      <c r="C253" s="1019"/>
      <c r="D253" s="3188"/>
      <c r="E253" s="1019"/>
      <c r="F253" s="1019"/>
      <c r="G253" s="1019"/>
      <c r="H253" s="1019"/>
      <c r="I253" s="1140"/>
    </row>
    <row r="254" spans="1:9" x14ac:dyDescent="0.35">
      <c r="A254" s="1019"/>
      <c r="B254" s="1019"/>
      <c r="C254" s="1019"/>
      <c r="D254" s="3188"/>
      <c r="E254" s="1019"/>
      <c r="F254" s="1019"/>
      <c r="G254" s="1019"/>
      <c r="H254" s="1019"/>
      <c r="I254" s="1140"/>
    </row>
    <row r="255" spans="1:9" x14ac:dyDescent="0.35">
      <c r="A255" s="1019"/>
      <c r="B255" s="1019"/>
      <c r="C255" s="1019"/>
      <c r="D255" s="3188"/>
      <c r="E255" s="1019"/>
      <c r="F255" s="1019"/>
      <c r="G255" s="1019"/>
      <c r="H255" s="1019"/>
      <c r="I255" s="1140"/>
    </row>
    <row r="256" spans="1:9" x14ac:dyDescent="0.35">
      <c r="A256" s="1019"/>
      <c r="B256" s="1019"/>
      <c r="C256" s="1019"/>
      <c r="D256" s="3188"/>
      <c r="E256" s="1019"/>
      <c r="F256" s="1019"/>
      <c r="G256" s="1019"/>
      <c r="H256" s="1019"/>
      <c r="I256" s="1140"/>
    </row>
    <row r="257" spans="1:9" x14ac:dyDescent="0.35">
      <c r="A257" s="1019"/>
      <c r="B257" s="1019"/>
      <c r="C257" s="1019"/>
      <c r="D257" s="3188"/>
      <c r="E257" s="1019"/>
      <c r="F257" s="1019"/>
      <c r="G257" s="1019"/>
      <c r="H257" s="1019"/>
      <c r="I257" s="1140"/>
    </row>
    <row r="258" spans="1:9" x14ac:dyDescent="0.35">
      <c r="A258" s="1019"/>
      <c r="B258" s="1019"/>
      <c r="C258" s="1019"/>
      <c r="D258" s="3188"/>
      <c r="E258" s="1019"/>
      <c r="F258" s="1019"/>
      <c r="G258" s="1019"/>
      <c r="H258" s="1019"/>
      <c r="I258" s="1140"/>
    </row>
    <row r="259" spans="1:9" x14ac:dyDescent="0.35">
      <c r="A259" s="1019"/>
      <c r="B259" s="1019"/>
      <c r="C259" s="1019"/>
      <c r="D259" s="3188"/>
      <c r="E259" s="1019"/>
      <c r="F259" s="1019"/>
      <c r="G259" s="1019"/>
      <c r="H259" s="1019"/>
      <c r="I259" s="1140"/>
    </row>
    <row r="260" spans="1:9" x14ac:dyDescent="0.35">
      <c r="A260" s="1019"/>
      <c r="B260" s="1019"/>
      <c r="C260" s="1019"/>
      <c r="D260" s="3188"/>
      <c r="E260" s="1019"/>
      <c r="F260" s="1019"/>
      <c r="G260" s="1019"/>
      <c r="H260" s="1019"/>
      <c r="I260" s="1140"/>
    </row>
    <row r="261" spans="1:9" x14ac:dyDescent="0.35">
      <c r="A261" s="1019"/>
      <c r="B261" s="1019"/>
      <c r="C261" s="1019"/>
      <c r="D261" s="3188"/>
      <c r="E261" s="1019"/>
      <c r="F261" s="1019"/>
      <c r="G261" s="1019"/>
      <c r="H261" s="1019"/>
      <c r="I261" s="1140"/>
    </row>
    <row r="262" spans="1:9" x14ac:dyDescent="0.35">
      <c r="A262" s="1019"/>
      <c r="B262" s="1019"/>
      <c r="C262" s="1019"/>
      <c r="D262" s="3188"/>
      <c r="E262" s="1019"/>
      <c r="F262" s="1019"/>
      <c r="G262" s="1019"/>
      <c r="H262" s="1019"/>
      <c r="I262" s="1140"/>
    </row>
    <row r="263" spans="1:9" x14ac:dyDescent="0.35">
      <c r="A263" s="1019"/>
      <c r="B263" s="1019"/>
      <c r="C263" s="1019"/>
      <c r="D263" s="3188"/>
      <c r="E263" s="1019"/>
      <c r="F263" s="1019"/>
      <c r="G263" s="1019"/>
      <c r="H263" s="1019"/>
      <c r="I263" s="1140"/>
    </row>
    <row r="264" spans="1:9" x14ac:dyDescent="0.35">
      <c r="A264" s="1019"/>
      <c r="B264" s="1019"/>
      <c r="C264" s="1019"/>
      <c r="D264" s="3188"/>
      <c r="E264" s="1019"/>
      <c r="F264" s="1019"/>
      <c r="G264" s="1019"/>
      <c r="H264" s="1019"/>
      <c r="I264" s="1140"/>
    </row>
    <row r="265" spans="1:9" x14ac:dyDescent="0.35">
      <c r="A265" s="1019"/>
      <c r="B265" s="1019"/>
      <c r="C265" s="1019"/>
      <c r="D265" s="3188"/>
      <c r="E265" s="1019"/>
      <c r="F265" s="1019"/>
      <c r="G265" s="1019"/>
      <c r="H265" s="1019"/>
      <c r="I265" s="1140"/>
    </row>
    <row r="266" spans="1:9" x14ac:dyDescent="0.35">
      <c r="A266" s="1019"/>
      <c r="B266" s="1019"/>
      <c r="C266" s="1019"/>
      <c r="D266" s="3188"/>
      <c r="E266" s="1019"/>
      <c r="F266" s="1019"/>
      <c r="G266" s="1019"/>
      <c r="H266" s="1019"/>
      <c r="I266" s="1140"/>
    </row>
    <row r="267" spans="1:9" x14ac:dyDescent="0.35">
      <c r="A267" s="1019"/>
      <c r="B267" s="1019"/>
      <c r="C267" s="1019"/>
      <c r="D267" s="3188"/>
      <c r="E267" s="1019"/>
      <c r="F267" s="1019"/>
      <c r="G267" s="1019"/>
      <c r="H267" s="1019"/>
      <c r="I267" s="1140"/>
    </row>
    <row r="268" spans="1:9" x14ac:dyDescent="0.35">
      <c r="A268" s="1019"/>
      <c r="B268" s="1019"/>
      <c r="C268" s="1019"/>
      <c r="D268" s="3188"/>
      <c r="E268" s="1019"/>
      <c r="F268" s="1019"/>
      <c r="G268" s="1019"/>
      <c r="H268" s="1019"/>
      <c r="I268" s="1140"/>
    </row>
    <row r="269" spans="1:9" x14ac:dyDescent="0.35">
      <c r="A269" s="1019"/>
      <c r="B269" s="1019"/>
      <c r="C269" s="1019"/>
      <c r="D269" s="3188"/>
      <c r="E269" s="1019"/>
      <c r="F269" s="1019"/>
      <c r="G269" s="1019"/>
      <c r="H269" s="1019"/>
      <c r="I269" s="1140"/>
    </row>
    <row r="270" spans="1:9" x14ac:dyDescent="0.35">
      <c r="A270" s="1019"/>
      <c r="B270" s="1019"/>
      <c r="C270" s="1019"/>
      <c r="D270" s="3188"/>
      <c r="E270" s="1019"/>
      <c r="F270" s="1019"/>
      <c r="G270" s="1019"/>
      <c r="H270" s="1019"/>
      <c r="I270" s="1140"/>
    </row>
    <row r="271" spans="1:9" x14ac:dyDescent="0.35">
      <c r="A271" s="1019"/>
      <c r="B271" s="1019"/>
      <c r="C271" s="1019"/>
      <c r="D271" s="3188"/>
      <c r="E271" s="1019"/>
      <c r="F271" s="1019"/>
      <c r="G271" s="1019"/>
      <c r="H271" s="1019"/>
      <c r="I271" s="1140"/>
    </row>
    <row r="272" spans="1:9" x14ac:dyDescent="0.35">
      <c r="A272" s="1019"/>
      <c r="B272" s="1019"/>
      <c r="C272" s="1019"/>
      <c r="D272" s="3188"/>
      <c r="E272" s="1019"/>
      <c r="F272" s="1019"/>
      <c r="G272" s="1019"/>
      <c r="H272" s="1019"/>
      <c r="I272" s="1140"/>
    </row>
    <row r="273" spans="1:9" x14ac:dyDescent="0.35">
      <c r="A273" s="1019"/>
      <c r="B273" s="1019"/>
      <c r="C273" s="1019"/>
      <c r="D273" s="3188"/>
      <c r="E273" s="1019"/>
      <c r="F273" s="1019"/>
      <c r="G273" s="1019"/>
      <c r="H273" s="1019"/>
      <c r="I273" s="1140"/>
    </row>
    <row r="274" spans="1:9" x14ac:dyDescent="0.35">
      <c r="A274" s="1019"/>
      <c r="B274" s="1019"/>
      <c r="C274" s="1019"/>
      <c r="D274" s="3188"/>
      <c r="E274" s="1019"/>
      <c r="F274" s="1019"/>
      <c r="G274" s="1019"/>
      <c r="H274" s="1019"/>
      <c r="I274" s="1140"/>
    </row>
    <row r="275" spans="1:9" x14ac:dyDescent="0.35">
      <c r="A275" s="1019"/>
      <c r="B275" s="1019"/>
      <c r="C275" s="1019"/>
      <c r="D275" s="3188"/>
      <c r="E275" s="1019"/>
      <c r="F275" s="1019"/>
      <c r="G275" s="1019"/>
      <c r="H275" s="1019"/>
      <c r="I275" s="1140"/>
    </row>
    <row r="276" spans="1:9" x14ac:dyDescent="0.35">
      <c r="A276" s="1019"/>
      <c r="B276" s="1019"/>
      <c r="C276" s="1019"/>
      <c r="D276" s="3188"/>
      <c r="E276" s="1019"/>
      <c r="F276" s="1019"/>
      <c r="G276" s="1019"/>
      <c r="H276" s="1019"/>
      <c r="I276" s="1140"/>
    </row>
    <row r="277" spans="1:9" x14ac:dyDescent="0.35">
      <c r="A277" s="1019"/>
      <c r="B277" s="1019"/>
      <c r="C277" s="1019"/>
      <c r="D277" s="3188"/>
      <c r="E277" s="1019"/>
      <c r="F277" s="1019"/>
      <c r="G277" s="1019"/>
      <c r="H277" s="1019"/>
      <c r="I277" s="1140"/>
    </row>
    <row r="278" spans="1:9" x14ac:dyDescent="0.35">
      <c r="A278" s="1019"/>
      <c r="B278" s="1019"/>
      <c r="C278" s="1019"/>
      <c r="D278" s="3188"/>
      <c r="E278" s="1019"/>
      <c r="F278" s="1019"/>
      <c r="G278" s="1019"/>
      <c r="H278" s="1019"/>
      <c r="I278" s="1140"/>
    </row>
    <row r="279" spans="1:9" x14ac:dyDescent="0.35">
      <c r="A279" s="1019"/>
      <c r="B279" s="1019"/>
      <c r="C279" s="1019"/>
      <c r="D279" s="3188"/>
      <c r="E279" s="1019"/>
      <c r="F279" s="1019"/>
      <c r="G279" s="1019"/>
      <c r="H279" s="1019"/>
      <c r="I279" s="1140"/>
    </row>
    <row r="280" spans="1:9" x14ac:dyDescent="0.35">
      <c r="A280" s="1019"/>
      <c r="B280" s="1019"/>
      <c r="C280" s="1019"/>
      <c r="D280" s="3188"/>
      <c r="E280" s="1019"/>
      <c r="F280" s="1019"/>
      <c r="G280" s="1019"/>
      <c r="H280" s="1019"/>
      <c r="I280" s="1140"/>
    </row>
    <row r="281" spans="1:9" x14ac:dyDescent="0.35">
      <c r="A281" s="1019"/>
      <c r="B281" s="1019"/>
      <c r="C281" s="1019"/>
      <c r="D281" s="3188"/>
      <c r="E281" s="1019"/>
      <c r="F281" s="1019"/>
      <c r="G281" s="1019"/>
      <c r="H281" s="1019"/>
      <c r="I281" s="1140"/>
    </row>
    <row r="282" spans="1:9" x14ac:dyDescent="0.35">
      <c r="A282" s="1019"/>
      <c r="B282" s="1019"/>
      <c r="C282" s="1019"/>
      <c r="D282" s="3188"/>
      <c r="E282" s="1019"/>
      <c r="F282" s="1019"/>
      <c r="G282" s="1019"/>
      <c r="H282" s="1019"/>
      <c r="I282" s="1140"/>
    </row>
    <row r="283" spans="1:9" x14ac:dyDescent="0.35">
      <c r="A283" s="1019"/>
      <c r="B283" s="1019"/>
      <c r="C283" s="1019"/>
      <c r="D283" s="3188"/>
      <c r="E283" s="1019"/>
      <c r="F283" s="1019"/>
      <c r="G283" s="1019"/>
      <c r="H283" s="1019"/>
      <c r="I283" s="1140"/>
    </row>
    <row r="284" spans="1:9" x14ac:dyDescent="0.35">
      <c r="A284" s="1019"/>
      <c r="B284" s="1019"/>
      <c r="C284" s="1019"/>
      <c r="D284" s="3188"/>
      <c r="E284" s="1019"/>
      <c r="F284" s="1019"/>
      <c r="G284" s="1019"/>
      <c r="H284" s="1019"/>
      <c r="I284" s="1140"/>
    </row>
    <row r="285" spans="1:9" x14ac:dyDescent="0.35">
      <c r="A285" s="1019"/>
      <c r="B285" s="1019"/>
      <c r="C285" s="1019"/>
      <c r="D285" s="3188"/>
      <c r="E285" s="1019"/>
      <c r="F285" s="1019"/>
      <c r="G285" s="1019"/>
      <c r="H285" s="1019"/>
      <c r="I285" s="1140"/>
    </row>
    <row r="286" spans="1:9" x14ac:dyDescent="0.35">
      <c r="A286" s="1019"/>
      <c r="B286" s="1019"/>
      <c r="C286" s="1019"/>
      <c r="D286" s="3188"/>
      <c r="E286" s="1019"/>
      <c r="F286" s="1019"/>
      <c r="G286" s="1019"/>
      <c r="H286" s="1019"/>
      <c r="I286" s="1140"/>
    </row>
    <row r="287" spans="1:9" x14ac:dyDescent="0.35">
      <c r="A287" s="1019"/>
      <c r="B287" s="1019"/>
      <c r="C287" s="1019"/>
      <c r="D287" s="3188"/>
      <c r="E287" s="1019"/>
      <c r="F287" s="1019"/>
      <c r="G287" s="1019"/>
      <c r="H287" s="1019"/>
      <c r="I287" s="1140"/>
    </row>
    <row r="288" spans="1:9" x14ac:dyDescent="0.35">
      <c r="A288" s="1019"/>
      <c r="B288" s="1019"/>
      <c r="C288" s="1019"/>
      <c r="D288" s="3188"/>
      <c r="E288" s="1019"/>
      <c r="F288" s="1019"/>
      <c r="G288" s="1019"/>
      <c r="H288" s="1019"/>
      <c r="I288" s="1140"/>
    </row>
    <row r="289" spans="1:9" x14ac:dyDescent="0.35">
      <c r="A289" s="1019"/>
      <c r="B289" s="1019"/>
      <c r="C289" s="1019"/>
      <c r="D289" s="3188"/>
      <c r="E289" s="1019"/>
      <c r="F289" s="1019"/>
      <c r="G289" s="1019"/>
      <c r="H289" s="1019"/>
      <c r="I289" s="1140"/>
    </row>
    <row r="290" spans="1:9" x14ac:dyDescent="0.35">
      <c r="A290" s="1019"/>
      <c r="B290" s="1019"/>
      <c r="C290" s="1019"/>
      <c r="D290" s="3188"/>
      <c r="E290" s="1019"/>
      <c r="F290" s="1019"/>
      <c r="G290" s="1019"/>
      <c r="H290" s="1019"/>
      <c r="I290" s="1140"/>
    </row>
    <row r="291" spans="1:9" x14ac:dyDescent="0.35">
      <c r="A291" s="1019"/>
      <c r="B291" s="1019"/>
      <c r="C291" s="1019"/>
      <c r="D291" s="3188"/>
      <c r="E291" s="1019"/>
      <c r="F291" s="1019"/>
      <c r="G291" s="1019"/>
      <c r="H291" s="1019"/>
      <c r="I291" s="1140"/>
    </row>
    <row r="292" spans="1:9" x14ac:dyDescent="0.35">
      <c r="A292" s="1019"/>
      <c r="B292" s="1019"/>
      <c r="C292" s="1019"/>
      <c r="D292" s="3188"/>
      <c r="E292" s="1019"/>
      <c r="F292" s="1019"/>
      <c r="G292" s="1019"/>
      <c r="H292" s="1019"/>
      <c r="I292" s="1140"/>
    </row>
    <row r="293" spans="1:9" x14ac:dyDescent="0.35">
      <c r="A293" s="1019"/>
      <c r="B293" s="1019"/>
      <c r="C293" s="1019"/>
      <c r="D293" s="3188"/>
      <c r="E293" s="1019"/>
      <c r="F293" s="1019"/>
      <c r="G293" s="1019"/>
      <c r="H293" s="1019"/>
      <c r="I293" s="1140"/>
    </row>
    <row r="294" spans="1:9" x14ac:dyDescent="0.35">
      <c r="A294" s="1019"/>
      <c r="B294" s="1019"/>
      <c r="C294" s="1019"/>
      <c r="D294" s="3188"/>
      <c r="E294" s="1019"/>
      <c r="F294" s="1019"/>
      <c r="G294" s="1019"/>
      <c r="H294" s="1019"/>
      <c r="I294" s="1140"/>
    </row>
    <row r="295" spans="1:9" x14ac:dyDescent="0.35">
      <c r="A295" s="1019"/>
      <c r="B295" s="1019"/>
      <c r="C295" s="1019"/>
      <c r="D295" s="3188"/>
      <c r="E295" s="1019"/>
      <c r="F295" s="1019"/>
      <c r="G295" s="1019"/>
      <c r="H295" s="1019"/>
      <c r="I295" s="1140"/>
    </row>
    <row r="296" spans="1:9" x14ac:dyDescent="0.35">
      <c r="A296" s="1019"/>
      <c r="B296" s="1019"/>
      <c r="C296" s="1019"/>
      <c r="D296" s="3188"/>
      <c r="E296" s="1019"/>
      <c r="F296" s="1019"/>
      <c r="G296" s="1019"/>
      <c r="H296" s="1019"/>
      <c r="I296" s="1140"/>
    </row>
    <row r="297" spans="1:9" x14ac:dyDescent="0.35">
      <c r="A297" s="1019"/>
      <c r="B297" s="1019"/>
      <c r="C297" s="1019"/>
      <c r="D297" s="3188"/>
      <c r="E297" s="1019"/>
      <c r="F297" s="1019"/>
      <c r="G297" s="1019"/>
      <c r="H297" s="1019"/>
      <c r="I297" s="1140"/>
    </row>
    <row r="298" spans="1:9" x14ac:dyDescent="0.35">
      <c r="A298" s="1019"/>
      <c r="B298" s="1019"/>
      <c r="C298" s="1019"/>
      <c r="D298" s="3188"/>
      <c r="E298" s="1019"/>
      <c r="F298" s="1019"/>
      <c r="G298" s="1019"/>
      <c r="H298" s="1019"/>
      <c r="I298" s="1140"/>
    </row>
    <row r="299" spans="1:9" x14ac:dyDescent="0.35">
      <c r="A299" s="1019"/>
      <c r="B299" s="1019"/>
      <c r="C299" s="1019"/>
      <c r="D299" s="3188"/>
      <c r="E299" s="1019"/>
      <c r="F299" s="1019"/>
      <c r="G299" s="1019"/>
      <c r="H299" s="1019"/>
      <c r="I299" s="1140"/>
    </row>
    <row r="300" spans="1:9" x14ac:dyDescent="0.35">
      <c r="A300" s="1019"/>
      <c r="B300" s="1019"/>
      <c r="C300" s="1019"/>
      <c r="D300" s="3188"/>
      <c r="E300" s="1019"/>
      <c r="F300" s="1019"/>
      <c r="G300" s="1019"/>
      <c r="H300" s="1019"/>
      <c r="I300" s="1140"/>
    </row>
    <row r="301" spans="1:9" x14ac:dyDescent="0.35">
      <c r="A301" s="1019"/>
      <c r="B301" s="1019"/>
      <c r="C301" s="1019"/>
      <c r="D301" s="3188"/>
      <c r="E301" s="1019"/>
      <c r="F301" s="1019"/>
      <c r="G301" s="1019"/>
      <c r="H301" s="1019"/>
      <c r="I301" s="1140"/>
    </row>
    <row r="302" spans="1:9" x14ac:dyDescent="0.35">
      <c r="A302" s="1019"/>
      <c r="B302" s="1019"/>
      <c r="C302" s="1019"/>
      <c r="D302" s="3188"/>
      <c r="E302" s="1019"/>
      <c r="F302" s="1019"/>
      <c r="G302" s="1019"/>
      <c r="H302" s="1019"/>
      <c r="I302" s="1140"/>
    </row>
    <row r="303" spans="1:9" x14ac:dyDescent="0.35">
      <c r="A303" s="1019"/>
      <c r="B303" s="1019"/>
      <c r="C303" s="1019"/>
      <c r="D303" s="3188"/>
      <c r="E303" s="1019"/>
      <c r="F303" s="1019"/>
      <c r="G303" s="1019"/>
      <c r="H303" s="1019"/>
      <c r="I303" s="1140"/>
    </row>
    <row r="304" spans="1:9" x14ac:dyDescent="0.35">
      <c r="A304" s="1019"/>
      <c r="B304" s="1019"/>
      <c r="C304" s="1019"/>
      <c r="D304" s="3188"/>
      <c r="E304" s="1019"/>
      <c r="F304" s="1019"/>
      <c r="G304" s="1019"/>
      <c r="H304" s="1019"/>
      <c r="I304" s="1140"/>
    </row>
    <row r="305" spans="1:9" x14ac:dyDescent="0.35">
      <c r="A305" s="1019"/>
      <c r="B305" s="1019"/>
      <c r="C305" s="1019"/>
      <c r="D305" s="3188"/>
      <c r="E305" s="1019"/>
      <c r="F305" s="1019"/>
      <c r="G305" s="1019"/>
      <c r="H305" s="1019"/>
      <c r="I305" s="1140"/>
    </row>
    <row r="306" spans="1:9" x14ac:dyDescent="0.35">
      <c r="A306" s="1019"/>
      <c r="B306" s="1019"/>
      <c r="C306" s="1019"/>
      <c r="D306" s="3188"/>
      <c r="E306" s="1019"/>
      <c r="F306" s="1019"/>
      <c r="G306" s="1019"/>
      <c r="H306" s="1019"/>
      <c r="I306" s="1140"/>
    </row>
    <row r="307" spans="1:9" x14ac:dyDescent="0.35">
      <c r="A307" s="1019"/>
      <c r="B307" s="1019"/>
      <c r="C307" s="1019"/>
      <c r="D307" s="3188"/>
      <c r="E307" s="1019"/>
      <c r="F307" s="1019"/>
      <c r="G307" s="1019"/>
      <c r="H307" s="1019"/>
      <c r="I307" s="1140"/>
    </row>
    <row r="308" spans="1:9" x14ac:dyDescent="0.35">
      <c r="A308" s="1019"/>
      <c r="B308" s="1019"/>
      <c r="C308" s="1019"/>
      <c r="D308" s="3188"/>
      <c r="E308" s="1019"/>
      <c r="F308" s="1019"/>
      <c r="G308" s="1019"/>
      <c r="H308" s="1019"/>
      <c r="I308" s="1140"/>
    </row>
    <row r="309" spans="1:9" x14ac:dyDescent="0.35">
      <c r="A309" s="1019"/>
      <c r="B309" s="1019"/>
      <c r="C309" s="1019"/>
      <c r="D309" s="3188"/>
      <c r="E309" s="1019"/>
      <c r="F309" s="1019"/>
      <c r="G309" s="1019"/>
      <c r="H309" s="1019"/>
      <c r="I309" s="1140"/>
    </row>
    <row r="310" spans="1:9" x14ac:dyDescent="0.35">
      <c r="A310" s="1019"/>
      <c r="B310" s="1019"/>
      <c r="C310" s="1019"/>
      <c r="D310" s="3188"/>
      <c r="E310" s="1019"/>
      <c r="F310" s="1019"/>
      <c r="G310" s="1019"/>
      <c r="H310" s="1019"/>
      <c r="I310" s="1140"/>
    </row>
    <row r="311" spans="1:9" x14ac:dyDescent="0.35">
      <c r="A311" s="1019"/>
      <c r="B311" s="1019"/>
      <c r="C311" s="1019"/>
      <c r="D311" s="3188"/>
      <c r="E311" s="1019"/>
      <c r="F311" s="1019"/>
      <c r="G311" s="1019"/>
      <c r="H311" s="1019"/>
      <c r="I311" s="1140"/>
    </row>
    <row r="312" spans="1:9" x14ac:dyDescent="0.35">
      <c r="A312" s="1019"/>
      <c r="B312" s="1019"/>
      <c r="C312" s="1019"/>
      <c r="D312" s="3188"/>
      <c r="E312" s="1019"/>
      <c r="F312" s="1019"/>
      <c r="G312" s="1019"/>
      <c r="H312" s="1019"/>
      <c r="I312" s="1140"/>
    </row>
    <row r="313" spans="1:9" x14ac:dyDescent="0.35">
      <c r="A313" s="1019"/>
      <c r="B313" s="1019"/>
      <c r="C313" s="1019"/>
      <c r="D313" s="3188"/>
      <c r="E313" s="1019"/>
      <c r="F313" s="1019"/>
      <c r="G313" s="1019"/>
      <c r="H313" s="1019"/>
      <c r="I313" s="1140"/>
    </row>
    <row r="314" spans="1:9" x14ac:dyDescent="0.35">
      <c r="A314" s="1019"/>
      <c r="B314" s="1019"/>
      <c r="C314" s="1019"/>
      <c r="D314" s="3188"/>
      <c r="E314" s="1019"/>
      <c r="F314" s="1019"/>
      <c r="G314" s="1019"/>
      <c r="H314" s="1019"/>
      <c r="I314" s="1140"/>
    </row>
    <row r="315" spans="1:9" x14ac:dyDescent="0.35">
      <c r="A315" s="1019"/>
      <c r="B315" s="1019"/>
      <c r="C315" s="1019"/>
      <c r="D315" s="3188"/>
      <c r="E315" s="1019"/>
      <c r="F315" s="1019"/>
      <c r="G315" s="1019"/>
      <c r="H315" s="1019"/>
      <c r="I315" s="1140"/>
    </row>
    <row r="316" spans="1:9" x14ac:dyDescent="0.35">
      <c r="A316" s="1019"/>
      <c r="B316" s="1019"/>
      <c r="C316" s="1019"/>
      <c r="D316" s="3188"/>
      <c r="E316" s="1019"/>
      <c r="F316" s="1019"/>
      <c r="G316" s="1019"/>
      <c r="H316" s="1019"/>
      <c r="I316" s="1140"/>
    </row>
    <row r="317" spans="1:9" x14ac:dyDescent="0.35">
      <c r="A317" s="1019"/>
      <c r="B317" s="1019"/>
      <c r="C317" s="1019"/>
      <c r="D317" s="3188"/>
      <c r="E317" s="1019"/>
      <c r="F317" s="1019"/>
      <c r="G317" s="1019"/>
      <c r="H317" s="1019"/>
      <c r="I317" s="1140"/>
    </row>
    <row r="318" spans="1:9" x14ac:dyDescent="0.35">
      <c r="A318" s="1019"/>
      <c r="B318" s="1019"/>
      <c r="C318" s="1019"/>
      <c r="D318" s="3188"/>
      <c r="E318" s="1019"/>
      <c r="F318" s="1019"/>
      <c r="G318" s="1019"/>
      <c r="H318" s="1019"/>
      <c r="I318" s="1140"/>
    </row>
    <row r="319" spans="1:9" x14ac:dyDescent="0.35">
      <c r="A319" s="1019"/>
      <c r="B319" s="1019"/>
      <c r="C319" s="1019"/>
      <c r="D319" s="3188"/>
      <c r="E319" s="1019"/>
      <c r="F319" s="1019"/>
      <c r="G319" s="1019"/>
      <c r="H319" s="1019"/>
      <c r="I319" s="1140"/>
    </row>
    <row r="320" spans="1:9" x14ac:dyDescent="0.35">
      <c r="A320" s="1019"/>
      <c r="B320" s="1019"/>
      <c r="C320" s="1019"/>
      <c r="D320" s="3188"/>
      <c r="E320" s="1019"/>
      <c r="F320" s="1019"/>
      <c r="G320" s="1019"/>
      <c r="H320" s="1019"/>
      <c r="I320" s="1140"/>
    </row>
    <row r="321" spans="1:9" x14ac:dyDescent="0.35">
      <c r="A321" s="1019"/>
      <c r="B321" s="1019"/>
      <c r="C321" s="1019"/>
      <c r="D321" s="3188"/>
      <c r="E321" s="1019"/>
      <c r="F321" s="1019"/>
      <c r="G321" s="1019"/>
      <c r="H321" s="1019"/>
      <c r="I321" s="1140"/>
    </row>
    <row r="322" spans="1:9" x14ac:dyDescent="0.35">
      <c r="A322" s="1019"/>
      <c r="B322" s="1019"/>
      <c r="C322" s="1019"/>
      <c r="D322" s="3188"/>
      <c r="E322" s="1019"/>
      <c r="F322" s="1019"/>
      <c r="G322" s="1019"/>
      <c r="H322" s="1019"/>
      <c r="I322" s="1140"/>
    </row>
    <row r="323" spans="1:9" x14ac:dyDescent="0.35">
      <c r="A323" s="1019"/>
      <c r="B323" s="1019"/>
      <c r="C323" s="1019"/>
      <c r="D323" s="3188"/>
      <c r="E323" s="1019"/>
      <c r="F323" s="1019"/>
      <c r="G323" s="1019"/>
      <c r="H323" s="1019"/>
      <c r="I323" s="1140"/>
    </row>
    <row r="324" spans="1:9" x14ac:dyDescent="0.35">
      <c r="A324" s="1019"/>
      <c r="B324" s="1019"/>
      <c r="C324" s="1019"/>
      <c r="D324" s="3188"/>
      <c r="E324" s="1019"/>
      <c r="F324" s="1019"/>
      <c r="G324" s="1019"/>
      <c r="H324" s="1019"/>
      <c r="I324" s="1140"/>
    </row>
    <row r="325" spans="1:9" x14ac:dyDescent="0.35">
      <c r="A325" s="1019"/>
      <c r="B325" s="1019"/>
      <c r="C325" s="1019"/>
      <c r="D325" s="3188"/>
      <c r="E325" s="1019"/>
      <c r="F325" s="1019"/>
      <c r="G325" s="1019"/>
      <c r="H325" s="1019"/>
      <c r="I325" s="1140"/>
    </row>
    <row r="326" spans="1:9" x14ac:dyDescent="0.35">
      <c r="A326" s="1019"/>
      <c r="B326" s="1019"/>
      <c r="C326" s="1019"/>
      <c r="D326" s="3188"/>
      <c r="E326" s="1019"/>
      <c r="F326" s="1019"/>
      <c r="G326" s="1019"/>
      <c r="H326" s="1019"/>
      <c r="I326" s="1140"/>
    </row>
    <row r="327" spans="1:9" x14ac:dyDescent="0.35">
      <c r="A327" s="1019"/>
      <c r="B327" s="1019"/>
      <c r="C327" s="1019"/>
      <c r="D327" s="3188"/>
      <c r="E327" s="1019"/>
      <c r="F327" s="1019"/>
      <c r="G327" s="1019"/>
      <c r="H327" s="1019"/>
      <c r="I327" s="1140"/>
    </row>
    <row r="328" spans="1:9" x14ac:dyDescent="0.35">
      <c r="A328" s="1019"/>
      <c r="B328" s="1019"/>
      <c r="C328" s="1019"/>
      <c r="D328" s="3188"/>
      <c r="E328" s="1019"/>
      <c r="F328" s="1019"/>
      <c r="G328" s="1019"/>
      <c r="H328" s="1019"/>
      <c r="I328" s="1140"/>
    </row>
    <row r="329" spans="1:9" x14ac:dyDescent="0.35">
      <c r="A329" s="1019"/>
      <c r="B329" s="1019"/>
      <c r="C329" s="1019"/>
      <c r="D329" s="3188"/>
      <c r="E329" s="1019"/>
      <c r="F329" s="1019"/>
      <c r="G329" s="1019"/>
      <c r="H329" s="1019"/>
      <c r="I329" s="1140"/>
    </row>
    <row r="330" spans="1:9" x14ac:dyDescent="0.35">
      <c r="A330" s="1019"/>
      <c r="B330" s="1019"/>
      <c r="C330" s="1019"/>
      <c r="D330" s="3188"/>
      <c r="E330" s="1019"/>
      <c r="F330" s="1019"/>
      <c r="G330" s="1019"/>
      <c r="H330" s="1019"/>
      <c r="I330" s="1140"/>
    </row>
    <row r="331" spans="1:9" x14ac:dyDescent="0.35">
      <c r="A331" s="1019"/>
      <c r="B331" s="1019"/>
      <c r="C331" s="1019"/>
      <c r="D331" s="3188"/>
      <c r="E331" s="1019"/>
      <c r="F331" s="1019"/>
      <c r="G331" s="1019"/>
      <c r="H331" s="1019"/>
      <c r="I331" s="1140"/>
    </row>
    <row r="332" spans="1:9" x14ac:dyDescent="0.35">
      <c r="A332" s="1019"/>
      <c r="B332" s="1019"/>
      <c r="C332" s="1019"/>
      <c r="D332" s="3188"/>
      <c r="E332" s="1019"/>
      <c r="F332" s="1019"/>
      <c r="G332" s="1019"/>
      <c r="H332" s="1019"/>
      <c r="I332" s="1140"/>
    </row>
    <row r="333" spans="1:9" x14ac:dyDescent="0.35">
      <c r="A333" s="1019"/>
      <c r="B333" s="1019"/>
      <c r="C333" s="1019"/>
      <c r="D333" s="3188"/>
      <c r="E333" s="1019"/>
      <c r="F333" s="1019"/>
      <c r="G333" s="1019"/>
      <c r="H333" s="1019"/>
      <c r="I333" s="1140"/>
    </row>
    <row r="334" spans="1:9" x14ac:dyDescent="0.35">
      <c r="A334" s="1019"/>
      <c r="B334" s="1019"/>
      <c r="C334" s="1019"/>
      <c r="D334" s="3188"/>
      <c r="E334" s="1019"/>
      <c r="F334" s="1019"/>
      <c r="G334" s="1019"/>
      <c r="H334" s="1019"/>
      <c r="I334" s="1140"/>
    </row>
    <row r="335" spans="1:9" x14ac:dyDescent="0.35">
      <c r="A335" s="1019"/>
      <c r="B335" s="1019"/>
      <c r="C335" s="1019"/>
      <c r="D335" s="3188"/>
      <c r="E335" s="1019"/>
      <c r="F335" s="1019"/>
      <c r="G335" s="1019"/>
      <c r="H335" s="1019"/>
      <c r="I335" s="1140"/>
    </row>
    <row r="336" spans="1:9" x14ac:dyDescent="0.35">
      <c r="A336" s="1019"/>
      <c r="B336" s="1019"/>
      <c r="C336" s="1019"/>
      <c r="D336" s="3188"/>
      <c r="E336" s="1019"/>
      <c r="F336" s="1019"/>
      <c r="G336" s="1019"/>
      <c r="H336" s="1019"/>
      <c r="I336" s="1140"/>
    </row>
    <row r="337" spans="1:9" x14ac:dyDescent="0.35">
      <c r="A337" s="1019"/>
      <c r="B337" s="1019"/>
      <c r="C337" s="1019"/>
      <c r="D337" s="3188"/>
      <c r="E337" s="1019"/>
      <c r="F337" s="1019"/>
      <c r="G337" s="1019"/>
      <c r="H337" s="1019"/>
      <c r="I337" s="1140"/>
    </row>
    <row r="338" spans="1:9" x14ac:dyDescent="0.35">
      <c r="A338" s="1019"/>
      <c r="B338" s="1019"/>
      <c r="C338" s="1019"/>
      <c r="D338" s="3188"/>
      <c r="E338" s="1019"/>
      <c r="F338" s="1019"/>
      <c r="G338" s="1019"/>
      <c r="H338" s="1019"/>
      <c r="I338" s="1140"/>
    </row>
    <row r="339" spans="1:9" x14ac:dyDescent="0.35">
      <c r="A339" s="1019"/>
      <c r="B339" s="1019"/>
      <c r="C339" s="1019"/>
      <c r="D339" s="3188"/>
      <c r="E339" s="1019"/>
      <c r="F339" s="1019"/>
      <c r="G339" s="1019"/>
      <c r="H339" s="1019"/>
      <c r="I339" s="1140"/>
    </row>
    <row r="340" spans="1:9" x14ac:dyDescent="0.35">
      <c r="A340" s="1019"/>
      <c r="B340" s="1019"/>
      <c r="C340" s="1019"/>
      <c r="D340" s="3188"/>
      <c r="E340" s="1019"/>
      <c r="F340" s="1019"/>
      <c r="G340" s="1019"/>
      <c r="H340" s="1019"/>
      <c r="I340" s="1140"/>
    </row>
    <row r="341" spans="1:9" x14ac:dyDescent="0.35">
      <c r="A341" s="1019"/>
      <c r="B341" s="1019"/>
      <c r="C341" s="1019"/>
      <c r="D341" s="3188"/>
      <c r="E341" s="1019"/>
      <c r="F341" s="1019"/>
      <c r="G341" s="1019"/>
      <c r="H341" s="1019"/>
      <c r="I341" s="1140"/>
    </row>
    <row r="342" spans="1:9" x14ac:dyDescent="0.35">
      <c r="A342" s="1019"/>
      <c r="B342" s="1019"/>
      <c r="C342" s="1019"/>
      <c r="D342" s="3188"/>
      <c r="E342" s="1019"/>
      <c r="F342" s="1019"/>
      <c r="G342" s="1019"/>
      <c r="H342" s="1019"/>
      <c r="I342" s="1140"/>
    </row>
    <row r="343" spans="1:9" x14ac:dyDescent="0.35">
      <c r="A343" s="1019"/>
      <c r="B343" s="1019"/>
      <c r="C343" s="1019"/>
      <c r="D343" s="3188"/>
      <c r="E343" s="1019"/>
      <c r="F343" s="1019"/>
      <c r="G343" s="1019"/>
      <c r="H343" s="1019"/>
      <c r="I343" s="1140"/>
    </row>
    <row r="344" spans="1:9" x14ac:dyDescent="0.35">
      <c r="A344" s="1019"/>
      <c r="B344" s="1019"/>
      <c r="C344" s="1019"/>
      <c r="D344" s="3188"/>
      <c r="E344" s="1019"/>
      <c r="F344" s="1019"/>
      <c r="G344" s="1019"/>
      <c r="H344" s="1019"/>
      <c r="I344" s="1140"/>
    </row>
    <row r="345" spans="1:9" x14ac:dyDescent="0.35">
      <c r="A345" s="1019"/>
      <c r="B345" s="1019"/>
      <c r="C345" s="1019"/>
      <c r="D345" s="3188"/>
      <c r="E345" s="1019"/>
      <c r="F345" s="1019"/>
      <c r="G345" s="1019"/>
      <c r="H345" s="1019"/>
      <c r="I345" s="1140"/>
    </row>
    <row r="346" spans="1:9" x14ac:dyDescent="0.35">
      <c r="A346" s="1019"/>
      <c r="B346" s="1019"/>
      <c r="C346" s="1019"/>
      <c r="D346" s="3188"/>
      <c r="E346" s="1019"/>
      <c r="F346" s="1019"/>
      <c r="G346" s="1019"/>
      <c r="H346" s="1019"/>
      <c r="I346" s="1140"/>
    </row>
    <row r="347" spans="1:9" x14ac:dyDescent="0.35">
      <c r="A347" s="1019"/>
      <c r="B347" s="1019"/>
      <c r="C347" s="1019"/>
      <c r="D347" s="3188"/>
      <c r="E347" s="1019"/>
      <c r="F347" s="1019"/>
      <c r="G347" s="1019"/>
      <c r="H347" s="1019"/>
      <c r="I347" s="1140"/>
    </row>
    <row r="348" spans="1:9" x14ac:dyDescent="0.35">
      <c r="A348" s="1019"/>
      <c r="B348" s="1019"/>
      <c r="C348" s="1019"/>
      <c r="D348" s="3188"/>
      <c r="E348" s="1019"/>
      <c r="F348" s="1019"/>
      <c r="G348" s="1019"/>
      <c r="H348" s="1019"/>
      <c r="I348" s="1140"/>
    </row>
    <row r="349" spans="1:9" x14ac:dyDescent="0.35">
      <c r="A349" s="1019"/>
      <c r="B349" s="1019"/>
      <c r="C349" s="1019"/>
      <c r="D349" s="3188"/>
      <c r="E349" s="1019"/>
      <c r="F349" s="1019"/>
      <c r="G349" s="1019"/>
      <c r="H349" s="1019"/>
      <c r="I349" s="1140"/>
    </row>
    <row r="350" spans="1:9" x14ac:dyDescent="0.35">
      <c r="A350" s="1019"/>
      <c r="B350" s="1019"/>
      <c r="C350" s="1019"/>
      <c r="D350" s="3188"/>
      <c r="E350" s="1019"/>
      <c r="F350" s="1019"/>
      <c r="G350" s="1019"/>
      <c r="H350" s="1019"/>
      <c r="I350" s="1140"/>
    </row>
    <row r="351" spans="1:9" x14ac:dyDescent="0.35">
      <c r="A351" s="1019"/>
      <c r="B351" s="1019"/>
      <c r="C351" s="1019"/>
      <c r="D351" s="3188"/>
      <c r="E351" s="1019"/>
      <c r="F351" s="1019"/>
      <c r="G351" s="1019"/>
      <c r="H351" s="1019"/>
      <c r="I351" s="1140"/>
    </row>
    <row r="352" spans="1:9" x14ac:dyDescent="0.35">
      <c r="A352" s="1019"/>
      <c r="B352" s="1019"/>
      <c r="C352" s="1019"/>
      <c r="D352" s="3188"/>
      <c r="E352" s="1019"/>
      <c r="F352" s="1019"/>
      <c r="G352" s="1019"/>
      <c r="H352" s="1019"/>
      <c r="I352" s="1140"/>
    </row>
    <row r="353" spans="1:9" x14ac:dyDescent="0.35">
      <c r="A353" s="1019"/>
      <c r="B353" s="1019"/>
      <c r="C353" s="1019"/>
      <c r="D353" s="3188"/>
      <c r="E353" s="1019"/>
      <c r="F353" s="1019"/>
      <c r="G353" s="1019"/>
      <c r="H353" s="1019"/>
      <c r="I353" s="1140"/>
    </row>
    <row r="354" spans="1:9" x14ac:dyDescent="0.35">
      <c r="A354" s="1019"/>
      <c r="B354" s="1019"/>
      <c r="C354" s="1019"/>
      <c r="D354" s="3188"/>
      <c r="E354" s="1019"/>
      <c r="F354" s="1019"/>
      <c r="G354" s="1019"/>
      <c r="H354" s="1019"/>
      <c r="I354" s="1140"/>
    </row>
    <row r="355" spans="1:9" x14ac:dyDescent="0.35">
      <c r="A355" s="1019"/>
      <c r="B355" s="1019"/>
      <c r="C355" s="1019"/>
      <c r="D355" s="3188"/>
      <c r="E355" s="1019"/>
      <c r="F355" s="1019"/>
      <c r="G355" s="1019"/>
      <c r="H355" s="1019"/>
      <c r="I355" s="1140"/>
    </row>
    <row r="356" spans="1:9" x14ac:dyDescent="0.35">
      <c r="A356" s="1019"/>
      <c r="B356" s="1019"/>
      <c r="C356" s="1019"/>
      <c r="D356" s="3188"/>
      <c r="E356" s="1019"/>
      <c r="F356" s="1019"/>
      <c r="G356" s="1019"/>
      <c r="H356" s="1019"/>
      <c r="I356" s="1140"/>
    </row>
    <row r="357" spans="1:9" x14ac:dyDescent="0.35">
      <c r="A357" s="1019"/>
      <c r="B357" s="1019"/>
      <c r="C357" s="1019"/>
      <c r="D357" s="3188"/>
      <c r="E357" s="1019"/>
      <c r="F357" s="1019"/>
      <c r="G357" s="1019"/>
      <c r="H357" s="1019"/>
      <c r="I357" s="1140"/>
    </row>
    <row r="358" spans="1:9" x14ac:dyDescent="0.35">
      <c r="A358" s="1019"/>
      <c r="B358" s="1019"/>
      <c r="C358" s="1019"/>
      <c r="D358" s="3188"/>
      <c r="E358" s="1019"/>
      <c r="F358" s="1019"/>
      <c r="G358" s="1019"/>
      <c r="H358" s="1019"/>
      <c r="I358" s="1140"/>
    </row>
    <row r="359" spans="1:9" x14ac:dyDescent="0.35">
      <c r="A359" s="1019"/>
      <c r="B359" s="1019"/>
      <c r="C359" s="1019"/>
      <c r="D359" s="3188"/>
      <c r="E359" s="1019"/>
      <c r="F359" s="1019"/>
      <c r="G359" s="1019"/>
      <c r="H359" s="1019"/>
      <c r="I359" s="1140"/>
    </row>
    <row r="360" spans="1:9" x14ac:dyDescent="0.35">
      <c r="A360" s="1019"/>
      <c r="B360" s="1019"/>
      <c r="C360" s="1019"/>
      <c r="D360" s="3188"/>
      <c r="E360" s="1019"/>
      <c r="F360" s="1019"/>
      <c r="G360" s="1019"/>
      <c r="H360" s="1019"/>
      <c r="I360" s="1140"/>
    </row>
    <row r="361" spans="1:9" x14ac:dyDescent="0.35">
      <c r="A361" s="1019"/>
      <c r="B361" s="1019"/>
      <c r="C361" s="1019"/>
      <c r="D361" s="3188"/>
      <c r="E361" s="1019"/>
      <c r="F361" s="1019"/>
      <c r="G361" s="1019"/>
      <c r="H361" s="1019"/>
      <c r="I361" s="1140"/>
    </row>
    <row r="362" spans="1:9" x14ac:dyDescent="0.35">
      <c r="A362" s="1019"/>
      <c r="B362" s="1019"/>
      <c r="C362" s="1019"/>
      <c r="D362" s="3188"/>
      <c r="E362" s="1019"/>
      <c r="F362" s="1019"/>
      <c r="G362" s="1019"/>
      <c r="H362" s="1019"/>
      <c r="I362" s="1140"/>
    </row>
    <row r="363" spans="1:9" x14ac:dyDescent="0.35">
      <c r="A363" s="1019"/>
      <c r="B363" s="1019"/>
      <c r="C363" s="1019"/>
      <c r="D363" s="3188"/>
      <c r="E363" s="1019"/>
      <c r="F363" s="1019"/>
      <c r="G363" s="1019"/>
      <c r="H363" s="1019"/>
      <c r="I363" s="1140"/>
    </row>
    <row r="364" spans="1:9" x14ac:dyDescent="0.35">
      <c r="A364" s="1019"/>
      <c r="B364" s="1019"/>
      <c r="C364" s="1019"/>
      <c r="D364" s="3188"/>
      <c r="E364" s="1019"/>
      <c r="F364" s="1019"/>
      <c r="G364" s="1019"/>
      <c r="H364" s="1019"/>
      <c r="I364" s="1140"/>
    </row>
    <row r="365" spans="1:9" x14ac:dyDescent="0.35">
      <c r="A365" s="1019"/>
      <c r="B365" s="1019"/>
      <c r="C365" s="1019"/>
      <c r="D365" s="3188"/>
      <c r="E365" s="1019"/>
      <c r="F365" s="1019"/>
      <c r="G365" s="1019"/>
      <c r="H365" s="1019"/>
      <c r="I365" s="1140"/>
    </row>
    <row r="366" spans="1:9" x14ac:dyDescent="0.35">
      <c r="A366" s="1019"/>
      <c r="B366" s="1019"/>
      <c r="C366" s="1019"/>
      <c r="D366" s="3188"/>
      <c r="E366" s="1019"/>
      <c r="F366" s="1019"/>
      <c r="G366" s="1019"/>
      <c r="H366" s="1019"/>
      <c r="I366" s="1140"/>
    </row>
    <row r="367" spans="1:9" x14ac:dyDescent="0.35">
      <c r="A367" s="1019"/>
      <c r="B367" s="1019"/>
      <c r="C367" s="1019"/>
      <c r="D367" s="3188"/>
      <c r="E367" s="1019"/>
      <c r="F367" s="1019"/>
      <c r="G367" s="1019"/>
      <c r="H367" s="1019"/>
      <c r="I367" s="1140"/>
    </row>
    <row r="368" spans="1:9" x14ac:dyDescent="0.35">
      <c r="A368" s="1019"/>
      <c r="B368" s="1019"/>
      <c r="C368" s="1019"/>
      <c r="D368" s="3188"/>
      <c r="E368" s="1019"/>
      <c r="F368" s="1019"/>
      <c r="G368" s="1019"/>
      <c r="H368" s="1019"/>
      <c r="I368" s="1140"/>
    </row>
    <row r="369" spans="1:9" x14ac:dyDescent="0.35">
      <c r="A369" s="1019"/>
      <c r="B369" s="1019"/>
      <c r="C369" s="1019"/>
      <c r="D369" s="3188"/>
      <c r="E369" s="1019"/>
      <c r="F369" s="1019"/>
      <c r="G369" s="1019"/>
      <c r="H369" s="1019"/>
      <c r="I369" s="1140"/>
    </row>
    <row r="370" spans="1:9" x14ac:dyDescent="0.35">
      <c r="A370" s="1019"/>
      <c r="B370" s="1019"/>
      <c r="C370" s="1019"/>
      <c r="D370" s="3188"/>
      <c r="E370" s="1019"/>
      <c r="F370" s="1019"/>
      <c r="G370" s="1019"/>
      <c r="H370" s="1019"/>
      <c r="I370" s="1140"/>
    </row>
    <row r="371" spans="1:9" x14ac:dyDescent="0.35">
      <c r="A371" s="1019"/>
      <c r="B371" s="1019"/>
      <c r="C371" s="1019"/>
      <c r="D371" s="3188"/>
      <c r="E371" s="1019"/>
      <c r="F371" s="1019"/>
      <c r="G371" s="1019"/>
      <c r="H371" s="1019"/>
      <c r="I371" s="1140"/>
    </row>
    <row r="372" spans="1:9" x14ac:dyDescent="0.35">
      <c r="A372" s="1019"/>
      <c r="B372" s="1019"/>
      <c r="C372" s="1019"/>
      <c r="D372" s="3188"/>
      <c r="E372" s="1019"/>
      <c r="F372" s="1019"/>
      <c r="G372" s="1019"/>
      <c r="H372" s="1019"/>
      <c r="I372" s="1140"/>
    </row>
    <row r="373" spans="1:9" x14ac:dyDescent="0.35">
      <c r="A373" s="1019"/>
      <c r="B373" s="1019"/>
      <c r="C373" s="1019"/>
      <c r="D373" s="3188"/>
      <c r="E373" s="1019"/>
      <c r="F373" s="1019"/>
      <c r="G373" s="1019"/>
      <c r="H373" s="1019"/>
      <c r="I373" s="1140"/>
    </row>
    <row r="374" spans="1:9" x14ac:dyDescent="0.35">
      <c r="A374" s="1019"/>
      <c r="B374" s="1019"/>
      <c r="C374" s="1019"/>
      <c r="D374" s="3188"/>
      <c r="E374" s="1019"/>
      <c r="F374" s="1019"/>
      <c r="G374" s="1019"/>
      <c r="H374" s="1019"/>
      <c r="I374" s="1140"/>
    </row>
    <row r="375" spans="1:9" x14ac:dyDescent="0.35">
      <c r="A375" s="1019"/>
      <c r="B375" s="1019"/>
      <c r="C375" s="1019"/>
      <c r="D375" s="3188"/>
      <c r="E375" s="1019"/>
      <c r="F375" s="1019"/>
      <c r="G375" s="1019"/>
      <c r="H375" s="1019"/>
      <c r="I375" s="1140"/>
    </row>
    <row r="376" spans="1:9" x14ac:dyDescent="0.35">
      <c r="A376" s="1019"/>
      <c r="B376" s="1019"/>
      <c r="C376" s="1019"/>
      <c r="D376" s="3188"/>
      <c r="E376" s="1019"/>
      <c r="F376" s="1019"/>
      <c r="G376" s="1019"/>
      <c r="H376" s="1019"/>
      <c r="I376" s="1140"/>
    </row>
    <row r="377" spans="1:9" x14ac:dyDescent="0.35">
      <c r="A377" s="1019"/>
      <c r="B377" s="1019"/>
      <c r="C377" s="1019"/>
      <c r="D377" s="3188"/>
      <c r="E377" s="1019"/>
      <c r="F377" s="1019"/>
      <c r="G377" s="1019"/>
      <c r="H377" s="1019"/>
      <c r="I377" s="1140"/>
    </row>
    <row r="378" spans="1:9" x14ac:dyDescent="0.35">
      <c r="A378" s="1019"/>
      <c r="B378" s="1019"/>
      <c r="C378" s="1019"/>
      <c r="D378" s="3188"/>
      <c r="E378" s="1019"/>
      <c r="F378" s="1019"/>
      <c r="G378" s="1019"/>
      <c r="H378" s="1019"/>
      <c r="I378" s="1140"/>
    </row>
    <row r="379" spans="1:9" x14ac:dyDescent="0.35">
      <c r="A379" s="1019"/>
      <c r="B379" s="1019"/>
      <c r="C379" s="1019"/>
      <c r="D379" s="3188"/>
      <c r="E379" s="1019"/>
      <c r="F379" s="1019"/>
      <c r="G379" s="1019"/>
      <c r="H379" s="1019"/>
      <c r="I379" s="1140"/>
    </row>
    <row r="380" spans="1:9" x14ac:dyDescent="0.35">
      <c r="A380" s="1019"/>
      <c r="B380" s="1019"/>
      <c r="C380" s="1019"/>
      <c r="D380" s="3188"/>
      <c r="E380" s="1019"/>
      <c r="F380" s="1019"/>
      <c r="G380" s="1019"/>
      <c r="H380" s="1019"/>
      <c r="I380" s="1140"/>
    </row>
    <row r="381" spans="1:9" x14ac:dyDescent="0.35">
      <c r="A381" s="1019"/>
      <c r="B381" s="1019"/>
      <c r="C381" s="1019"/>
      <c r="D381" s="3188"/>
      <c r="E381" s="1019"/>
      <c r="F381" s="1019"/>
      <c r="G381" s="1019"/>
      <c r="H381" s="1019"/>
      <c r="I381" s="1140"/>
    </row>
    <row r="382" spans="1:9" x14ac:dyDescent="0.35">
      <c r="A382" s="1019"/>
      <c r="B382" s="1019"/>
      <c r="C382" s="1019"/>
      <c r="D382" s="3188"/>
      <c r="E382" s="1019"/>
      <c r="F382" s="1019"/>
      <c r="G382" s="1019"/>
      <c r="H382" s="1019"/>
      <c r="I382" s="1140"/>
    </row>
    <row r="383" spans="1:9" x14ac:dyDescent="0.35">
      <c r="A383" s="1019"/>
      <c r="B383" s="1019"/>
      <c r="C383" s="1019"/>
      <c r="D383" s="3188"/>
      <c r="E383" s="1019"/>
      <c r="F383" s="1019"/>
      <c r="G383" s="1019"/>
      <c r="H383" s="1019"/>
      <c r="I383" s="1140"/>
    </row>
    <row r="384" spans="1:9" x14ac:dyDescent="0.35">
      <c r="A384" s="1019"/>
      <c r="B384" s="1019"/>
      <c r="C384" s="1019"/>
      <c r="D384" s="3188"/>
      <c r="E384" s="1019"/>
      <c r="F384" s="1019"/>
      <c r="G384" s="1019"/>
      <c r="H384" s="1019"/>
      <c r="I384" s="1140"/>
    </row>
    <row r="385" spans="1:9" x14ac:dyDescent="0.35">
      <c r="A385" s="1019"/>
      <c r="B385" s="1019"/>
      <c r="C385" s="1019"/>
      <c r="D385" s="3188"/>
      <c r="E385" s="1019"/>
      <c r="F385" s="1019"/>
      <c r="G385" s="1019"/>
      <c r="H385" s="1019"/>
      <c r="I385" s="1140"/>
    </row>
    <row r="386" spans="1:9" x14ac:dyDescent="0.35">
      <c r="A386" s="1019"/>
      <c r="B386" s="1019"/>
      <c r="C386" s="1019"/>
      <c r="D386" s="3188"/>
      <c r="E386" s="1019"/>
      <c r="F386" s="1019"/>
      <c r="G386" s="1019"/>
      <c r="H386" s="1019"/>
      <c r="I386" s="1140"/>
    </row>
    <row r="387" spans="1:9" x14ac:dyDescent="0.35">
      <c r="A387" s="1019"/>
      <c r="B387" s="1019"/>
      <c r="C387" s="1019"/>
      <c r="D387" s="3188"/>
      <c r="E387" s="1019"/>
      <c r="F387" s="1019"/>
      <c r="G387" s="1019"/>
      <c r="H387" s="1019"/>
      <c r="I387" s="1140"/>
    </row>
    <row r="388" spans="1:9" x14ac:dyDescent="0.35">
      <c r="A388" s="1019"/>
      <c r="B388" s="1019"/>
      <c r="C388" s="1019"/>
      <c r="D388" s="3188"/>
      <c r="E388" s="1019"/>
      <c r="F388" s="1019"/>
      <c r="G388" s="1019"/>
      <c r="H388" s="1019"/>
      <c r="I388" s="1140"/>
    </row>
    <row r="389" spans="1:9" x14ac:dyDescent="0.35">
      <c r="A389" s="1019"/>
      <c r="B389" s="1019"/>
      <c r="C389" s="1019"/>
      <c r="D389" s="3188"/>
      <c r="E389" s="1019"/>
      <c r="F389" s="1019"/>
      <c r="G389" s="1019"/>
      <c r="H389" s="1019"/>
      <c r="I389" s="1140"/>
    </row>
    <row r="390" spans="1:9" x14ac:dyDescent="0.35">
      <c r="A390" s="1019"/>
      <c r="B390" s="1019"/>
      <c r="C390" s="1019"/>
      <c r="D390" s="3188"/>
      <c r="E390" s="1019"/>
      <c r="F390" s="1019"/>
      <c r="G390" s="1019"/>
      <c r="H390" s="1019"/>
      <c r="I390" s="1140"/>
    </row>
    <row r="391" spans="1:9" x14ac:dyDescent="0.35">
      <c r="A391" s="1019"/>
      <c r="B391" s="1019"/>
      <c r="C391" s="1019"/>
      <c r="D391" s="3188"/>
      <c r="E391" s="1019"/>
      <c r="F391" s="1019"/>
      <c r="G391" s="1019"/>
      <c r="H391" s="1019"/>
      <c r="I391" s="1140"/>
    </row>
    <row r="392" spans="1:9" x14ac:dyDescent="0.35">
      <c r="A392" s="1019"/>
      <c r="B392" s="1019"/>
      <c r="C392" s="1019"/>
      <c r="D392" s="3188"/>
      <c r="E392" s="1019"/>
      <c r="F392" s="1019"/>
      <c r="G392" s="1019"/>
      <c r="H392" s="1019"/>
      <c r="I392" s="1140"/>
    </row>
    <row r="393" spans="1:9" x14ac:dyDescent="0.35">
      <c r="A393" s="1019"/>
      <c r="B393" s="1019"/>
      <c r="C393" s="1019"/>
      <c r="D393" s="3188"/>
      <c r="E393" s="1019"/>
      <c r="F393" s="1019"/>
      <c r="G393" s="1019"/>
      <c r="H393" s="1019"/>
      <c r="I393" s="1140"/>
    </row>
    <row r="394" spans="1:9" x14ac:dyDescent="0.35">
      <c r="A394" s="1019"/>
      <c r="B394" s="1019"/>
      <c r="C394" s="1019"/>
      <c r="D394" s="3188"/>
      <c r="E394" s="1019"/>
      <c r="F394" s="1019"/>
      <c r="G394" s="1019"/>
      <c r="H394" s="1019"/>
      <c r="I394" s="1140"/>
    </row>
    <row r="395" spans="1:9" x14ac:dyDescent="0.35">
      <c r="A395" s="1019"/>
      <c r="B395" s="1019"/>
      <c r="C395" s="1019"/>
      <c r="D395" s="3188"/>
      <c r="E395" s="1019"/>
      <c r="F395" s="1019"/>
      <c r="G395" s="1019"/>
      <c r="H395" s="1019"/>
      <c r="I395" s="1140"/>
    </row>
    <row r="396" spans="1:9" x14ac:dyDescent="0.35">
      <c r="A396" s="1019"/>
      <c r="B396" s="1019"/>
      <c r="C396" s="1019"/>
      <c r="D396" s="3188"/>
      <c r="E396" s="1019"/>
      <c r="F396" s="1019"/>
      <c r="G396" s="1019"/>
      <c r="H396" s="1019"/>
      <c r="I396" s="1140"/>
    </row>
    <row r="397" spans="1:9" x14ac:dyDescent="0.35">
      <c r="A397" s="1019"/>
      <c r="B397" s="1019"/>
      <c r="C397" s="1019"/>
      <c r="D397" s="3188"/>
      <c r="E397" s="1019"/>
      <c r="F397" s="1019"/>
      <c r="G397" s="1019"/>
      <c r="H397" s="1019"/>
      <c r="I397" s="1140"/>
    </row>
    <row r="398" spans="1:9" x14ac:dyDescent="0.35">
      <c r="A398" s="1019"/>
      <c r="B398" s="1019"/>
      <c r="C398" s="1019"/>
      <c r="D398" s="3188"/>
      <c r="E398" s="1019"/>
      <c r="F398" s="1019"/>
      <c r="G398" s="1019"/>
      <c r="H398" s="1019"/>
      <c r="I398" s="1140"/>
    </row>
    <row r="399" spans="1:9" x14ac:dyDescent="0.35">
      <c r="A399" s="1019"/>
      <c r="B399" s="1019"/>
      <c r="C399" s="1019"/>
      <c r="D399" s="3188"/>
      <c r="E399" s="1019"/>
      <c r="F399" s="1019"/>
      <c r="G399" s="1019"/>
      <c r="H399" s="1019"/>
      <c r="I399" s="1140"/>
    </row>
    <row r="400" spans="1:9" x14ac:dyDescent="0.35">
      <c r="A400" s="1019"/>
      <c r="B400" s="1019"/>
      <c r="C400" s="1019"/>
      <c r="D400" s="3188"/>
      <c r="E400" s="1019"/>
      <c r="F400" s="1019"/>
      <c r="G400" s="1019"/>
      <c r="H400" s="1019"/>
      <c r="I400" s="1140"/>
    </row>
    <row r="401" spans="1:9" x14ac:dyDescent="0.35">
      <c r="A401" s="1019"/>
      <c r="B401" s="1019"/>
      <c r="C401" s="1019"/>
      <c r="D401" s="3188"/>
      <c r="E401" s="1019"/>
      <c r="F401" s="1019"/>
      <c r="G401" s="1019"/>
      <c r="H401" s="1019"/>
      <c r="I401" s="1140"/>
    </row>
    <row r="402" spans="1:9" x14ac:dyDescent="0.35">
      <c r="A402" s="1019"/>
      <c r="B402" s="1019"/>
      <c r="C402" s="1019"/>
      <c r="D402" s="3188"/>
      <c r="E402" s="1019"/>
      <c r="F402" s="1019"/>
      <c r="G402" s="1019"/>
      <c r="H402" s="1019"/>
      <c r="I402" s="1140"/>
    </row>
    <row r="403" spans="1:9" x14ac:dyDescent="0.35">
      <c r="A403" s="1019"/>
      <c r="B403" s="1019"/>
      <c r="C403" s="1019"/>
      <c r="D403" s="3188"/>
      <c r="E403" s="1019"/>
      <c r="F403" s="1019"/>
      <c r="G403" s="1019"/>
      <c r="H403" s="1019"/>
      <c r="I403" s="1140"/>
    </row>
    <row r="404" spans="1:9" x14ac:dyDescent="0.35">
      <c r="A404" s="1019"/>
      <c r="B404" s="1019"/>
      <c r="C404" s="1019"/>
      <c r="D404" s="3188"/>
      <c r="E404" s="1019"/>
      <c r="F404" s="1019"/>
      <c r="G404" s="1019"/>
      <c r="H404" s="1019"/>
      <c r="I404" s="1140"/>
    </row>
    <row r="405" spans="1:9" x14ac:dyDescent="0.35">
      <c r="A405" s="1019"/>
      <c r="B405" s="1019"/>
      <c r="C405" s="1019"/>
      <c r="D405" s="3188"/>
      <c r="E405" s="1019"/>
      <c r="F405" s="1019"/>
      <c r="G405" s="1019"/>
      <c r="H405" s="1019"/>
      <c r="I405" s="1140"/>
    </row>
    <row r="406" spans="1:9" x14ac:dyDescent="0.35">
      <c r="A406" s="1019"/>
      <c r="B406" s="1019"/>
      <c r="C406" s="1019"/>
      <c r="D406" s="3188"/>
      <c r="E406" s="1019"/>
      <c r="F406" s="1019"/>
      <c r="G406" s="1019"/>
      <c r="H406" s="1019"/>
      <c r="I406" s="1140"/>
    </row>
    <row r="407" spans="1:9" x14ac:dyDescent="0.35">
      <c r="A407" s="1019"/>
      <c r="B407" s="1019"/>
      <c r="C407" s="1019"/>
      <c r="D407" s="3188"/>
      <c r="E407" s="1019"/>
      <c r="F407" s="1019"/>
      <c r="G407" s="1019"/>
      <c r="H407" s="1019"/>
      <c r="I407" s="1140"/>
    </row>
    <row r="408" spans="1:9" x14ac:dyDescent="0.35">
      <c r="A408" s="1019"/>
      <c r="B408" s="1019"/>
      <c r="C408" s="1019"/>
      <c r="D408" s="3188"/>
      <c r="E408" s="1019"/>
      <c r="F408" s="1019"/>
      <c r="G408" s="1019"/>
      <c r="H408" s="1019"/>
      <c r="I408" s="1140"/>
    </row>
    <row r="409" spans="1:9" x14ac:dyDescent="0.35">
      <c r="A409" s="1019"/>
      <c r="B409" s="1019"/>
      <c r="C409" s="1019"/>
      <c r="D409" s="3188"/>
      <c r="E409" s="1019"/>
      <c r="F409" s="1019"/>
      <c r="G409" s="1019"/>
      <c r="H409" s="1019"/>
      <c r="I409" s="1140"/>
    </row>
    <row r="410" spans="1:9" x14ac:dyDescent="0.35">
      <c r="A410" s="1019"/>
      <c r="B410" s="1019"/>
      <c r="C410" s="1019"/>
      <c r="D410" s="3188"/>
      <c r="E410" s="1019"/>
      <c r="F410" s="1019"/>
      <c r="G410" s="1019"/>
      <c r="H410" s="1019"/>
      <c r="I410" s="1140"/>
    </row>
    <row r="411" spans="1:9" x14ac:dyDescent="0.35">
      <c r="A411" s="1019"/>
      <c r="B411" s="1019"/>
      <c r="C411" s="1019"/>
      <c r="D411" s="3188"/>
      <c r="E411" s="1019"/>
      <c r="F411" s="1019"/>
      <c r="G411" s="1019"/>
      <c r="H411" s="1019"/>
      <c r="I411" s="1140"/>
    </row>
    <row r="412" spans="1:9" x14ac:dyDescent="0.35">
      <c r="A412" s="1019"/>
      <c r="B412" s="1019"/>
      <c r="C412" s="1019"/>
      <c r="D412" s="3188"/>
      <c r="E412" s="1019"/>
      <c r="F412" s="1019"/>
      <c r="G412" s="1019"/>
      <c r="H412" s="1019"/>
      <c r="I412" s="1140"/>
    </row>
    <row r="413" spans="1:9" x14ac:dyDescent="0.35">
      <c r="A413" s="1019"/>
      <c r="B413" s="1019"/>
      <c r="C413" s="1019"/>
      <c r="D413" s="3188"/>
      <c r="E413" s="1019"/>
      <c r="F413" s="1019"/>
      <c r="G413" s="1019"/>
      <c r="H413" s="1019"/>
      <c r="I413" s="1140"/>
    </row>
    <row r="414" spans="1:9" x14ac:dyDescent="0.35">
      <c r="A414" s="1019"/>
      <c r="B414" s="1019"/>
      <c r="C414" s="1019"/>
      <c r="D414" s="3188"/>
      <c r="E414" s="1019"/>
      <c r="F414" s="1019"/>
      <c r="G414" s="1019"/>
      <c r="H414" s="1019"/>
      <c r="I414" s="1140"/>
    </row>
    <row r="415" spans="1:9" x14ac:dyDescent="0.35">
      <c r="A415" s="1019"/>
      <c r="B415" s="1019"/>
      <c r="C415" s="1019"/>
      <c r="D415" s="3188"/>
      <c r="E415" s="1019"/>
      <c r="F415" s="1019"/>
      <c r="G415" s="1019"/>
      <c r="H415" s="1019"/>
      <c r="I415" s="1140"/>
    </row>
    <row r="416" spans="1:9" x14ac:dyDescent="0.35">
      <c r="A416" s="1019"/>
      <c r="B416" s="1019"/>
      <c r="C416" s="1019"/>
      <c r="D416" s="3188"/>
      <c r="E416" s="1019"/>
      <c r="F416" s="1019"/>
      <c r="G416" s="1019"/>
      <c r="H416" s="1019"/>
      <c r="I416" s="1140"/>
    </row>
    <row r="417" spans="1:9" x14ac:dyDescent="0.35">
      <c r="A417" s="1019"/>
      <c r="B417" s="1019"/>
      <c r="C417" s="1019"/>
      <c r="D417" s="3188"/>
      <c r="E417" s="1019"/>
      <c r="F417" s="1019"/>
      <c r="G417" s="1019"/>
      <c r="H417" s="1019"/>
      <c r="I417" s="1140"/>
    </row>
    <row r="418" spans="1:9" x14ac:dyDescent="0.35">
      <c r="A418" s="1019"/>
      <c r="B418" s="1019"/>
      <c r="C418" s="1019"/>
      <c r="D418" s="3188"/>
      <c r="E418" s="1019"/>
      <c r="F418" s="1019"/>
      <c r="G418" s="1019"/>
      <c r="H418" s="1019"/>
      <c r="I418" s="1140"/>
    </row>
    <row r="419" spans="1:9" x14ac:dyDescent="0.35">
      <c r="A419" s="1019"/>
      <c r="B419" s="1019"/>
      <c r="C419" s="1019"/>
      <c r="D419" s="3188"/>
      <c r="E419" s="1019"/>
      <c r="F419" s="1019"/>
      <c r="G419" s="1019"/>
      <c r="H419" s="1019"/>
      <c r="I419" s="1140"/>
    </row>
    <row r="420" spans="1:9" x14ac:dyDescent="0.35">
      <c r="A420" s="1019"/>
      <c r="B420" s="1019"/>
      <c r="C420" s="1019"/>
      <c r="D420" s="3188"/>
      <c r="E420" s="1019"/>
      <c r="F420" s="1019"/>
      <c r="G420" s="1019"/>
      <c r="H420" s="1019"/>
      <c r="I420" s="1140"/>
    </row>
    <row r="421" spans="1:9" x14ac:dyDescent="0.35">
      <c r="A421" s="1019"/>
      <c r="B421" s="1019"/>
      <c r="C421" s="1019"/>
      <c r="D421" s="3188"/>
      <c r="E421" s="1019"/>
      <c r="F421" s="1019"/>
      <c r="G421" s="1019"/>
      <c r="H421" s="1019"/>
      <c r="I421" s="1140"/>
    </row>
    <row r="422" spans="1:9" x14ac:dyDescent="0.35">
      <c r="A422" s="1019"/>
      <c r="B422" s="1019"/>
      <c r="C422" s="1019"/>
      <c r="D422" s="3188"/>
      <c r="E422" s="1019"/>
      <c r="F422" s="1019"/>
      <c r="G422" s="1019"/>
      <c r="H422" s="1019"/>
      <c r="I422" s="1140"/>
    </row>
    <row r="423" spans="1:9" x14ac:dyDescent="0.35">
      <c r="A423" s="1019"/>
      <c r="B423" s="1019"/>
      <c r="C423" s="1019"/>
      <c r="D423" s="3188"/>
      <c r="E423" s="1019"/>
      <c r="F423" s="1019"/>
      <c r="G423" s="1019"/>
      <c r="H423" s="1019"/>
      <c r="I423" s="1140"/>
    </row>
    <row r="424" spans="1:9" x14ac:dyDescent="0.35">
      <c r="A424" s="1019"/>
      <c r="B424" s="1019"/>
      <c r="C424" s="1019"/>
      <c r="D424" s="3188"/>
      <c r="E424" s="1019"/>
      <c r="F424" s="1019"/>
      <c r="G424" s="1019"/>
      <c r="H424" s="1019"/>
      <c r="I424" s="1140"/>
    </row>
    <row r="425" spans="1:9" x14ac:dyDescent="0.35">
      <c r="A425" s="1019"/>
      <c r="B425" s="1019"/>
      <c r="C425" s="1019"/>
      <c r="D425" s="3188"/>
      <c r="E425" s="1019"/>
      <c r="F425" s="1019"/>
      <c r="G425" s="1019"/>
      <c r="H425" s="1019"/>
      <c r="I425" s="1140"/>
    </row>
    <row r="426" spans="1:9" x14ac:dyDescent="0.35">
      <c r="A426" s="1019"/>
      <c r="B426" s="1019"/>
      <c r="C426" s="1019"/>
      <c r="D426" s="3188"/>
      <c r="E426" s="1019"/>
      <c r="F426" s="1019"/>
      <c r="G426" s="1019"/>
      <c r="H426" s="1019"/>
      <c r="I426" s="1140"/>
    </row>
    <row r="427" spans="1:9" x14ac:dyDescent="0.35">
      <c r="A427" s="1019"/>
      <c r="B427" s="1019"/>
      <c r="C427" s="1019"/>
      <c r="D427" s="3188"/>
      <c r="E427" s="1019"/>
      <c r="F427" s="1019"/>
      <c r="G427" s="1019"/>
      <c r="H427" s="1019"/>
      <c r="I427" s="1140"/>
    </row>
    <row r="428" spans="1:9" x14ac:dyDescent="0.35">
      <c r="A428" s="1019"/>
      <c r="B428" s="1019"/>
      <c r="C428" s="1019"/>
      <c r="D428" s="3188"/>
      <c r="E428" s="1019"/>
      <c r="F428" s="1019"/>
      <c r="G428" s="1019"/>
      <c r="H428" s="1019"/>
      <c r="I428" s="1140"/>
    </row>
    <row r="429" spans="1:9" x14ac:dyDescent="0.35">
      <c r="A429" s="1019"/>
      <c r="B429" s="1019"/>
      <c r="C429" s="1019"/>
      <c r="D429" s="3188"/>
      <c r="E429" s="1019"/>
      <c r="F429" s="1019"/>
      <c r="G429" s="1019"/>
      <c r="H429" s="1019"/>
      <c r="I429" s="1140"/>
    </row>
    <row r="430" spans="1:9" x14ac:dyDescent="0.35">
      <c r="A430" s="1019"/>
      <c r="B430" s="1019"/>
      <c r="C430" s="1019"/>
      <c r="D430" s="3188"/>
      <c r="E430" s="1019"/>
      <c r="F430" s="1019"/>
      <c r="G430" s="1019"/>
      <c r="H430" s="1019"/>
      <c r="I430" s="1140"/>
    </row>
    <row r="431" spans="1:9" x14ac:dyDescent="0.35">
      <c r="A431" s="1019"/>
      <c r="B431" s="1019"/>
      <c r="C431" s="1019"/>
      <c r="D431" s="3188"/>
      <c r="E431" s="1019"/>
      <c r="F431" s="1019"/>
      <c r="G431" s="1019"/>
      <c r="H431" s="1019"/>
      <c r="I431" s="1140"/>
    </row>
    <row r="432" spans="1:9" x14ac:dyDescent="0.35">
      <c r="A432" s="1019"/>
      <c r="B432" s="1019"/>
      <c r="C432" s="1019"/>
      <c r="D432" s="3188"/>
      <c r="E432" s="1019"/>
      <c r="F432" s="1019"/>
      <c r="G432" s="1019"/>
      <c r="H432" s="1019"/>
      <c r="I432" s="1140"/>
    </row>
    <row r="433" spans="1:9" x14ac:dyDescent="0.35">
      <c r="A433" s="1019"/>
      <c r="B433" s="1019"/>
      <c r="C433" s="1019"/>
      <c r="D433" s="3188"/>
      <c r="E433" s="1019"/>
      <c r="F433" s="1019"/>
      <c r="G433" s="1019"/>
      <c r="H433" s="1019"/>
      <c r="I433" s="1140"/>
    </row>
    <row r="434" spans="1:9" x14ac:dyDescent="0.35">
      <c r="A434" s="1019"/>
      <c r="B434" s="1019"/>
      <c r="C434" s="1019"/>
      <c r="D434" s="3188"/>
      <c r="E434" s="1019"/>
      <c r="F434" s="1019"/>
      <c r="G434" s="1019"/>
      <c r="H434" s="1019"/>
      <c r="I434" s="1140"/>
    </row>
    <row r="435" spans="1:9" x14ac:dyDescent="0.35">
      <c r="A435" s="1019"/>
      <c r="B435" s="1019"/>
      <c r="C435" s="1019"/>
      <c r="D435" s="3188"/>
      <c r="E435" s="1019"/>
      <c r="F435" s="1019"/>
      <c r="G435" s="1019"/>
      <c r="H435" s="1019"/>
      <c r="I435" s="1140"/>
    </row>
    <row r="436" spans="1:9" x14ac:dyDescent="0.35">
      <c r="A436" s="1019"/>
      <c r="B436" s="1019"/>
      <c r="C436" s="1019"/>
      <c r="D436" s="3188"/>
      <c r="E436" s="1019"/>
      <c r="F436" s="1019"/>
      <c r="G436" s="1019"/>
      <c r="H436" s="1019"/>
      <c r="I436" s="1140"/>
    </row>
    <row r="437" spans="1:9" x14ac:dyDescent="0.35">
      <c r="A437" s="1019"/>
      <c r="B437" s="1019"/>
      <c r="C437" s="1019"/>
      <c r="D437" s="3188"/>
      <c r="E437" s="1019"/>
      <c r="F437" s="1019"/>
      <c r="G437" s="1019"/>
      <c r="H437" s="1019"/>
      <c r="I437" s="1140"/>
    </row>
    <row r="438" spans="1:9" x14ac:dyDescent="0.35">
      <c r="A438" s="1019"/>
      <c r="B438" s="1019"/>
      <c r="C438" s="1019"/>
      <c r="D438" s="3188"/>
      <c r="E438" s="1019"/>
      <c r="F438" s="1019"/>
      <c r="G438" s="1019"/>
      <c r="H438" s="1019"/>
      <c r="I438" s="1140"/>
    </row>
    <row r="439" spans="1:9" x14ac:dyDescent="0.35">
      <c r="A439" s="1019"/>
      <c r="B439" s="1019"/>
      <c r="C439" s="1019"/>
      <c r="D439" s="3188"/>
      <c r="E439" s="1019"/>
      <c r="F439" s="1019"/>
      <c r="G439" s="1019"/>
      <c r="H439" s="1019"/>
      <c r="I439" s="1140"/>
    </row>
    <row r="440" spans="1:9" x14ac:dyDescent="0.35">
      <c r="A440" s="1019"/>
      <c r="B440" s="1019"/>
      <c r="C440" s="1019"/>
      <c r="D440" s="3188"/>
      <c r="E440" s="1019"/>
      <c r="F440" s="1019"/>
      <c r="G440" s="1019"/>
      <c r="H440" s="1019"/>
      <c r="I440" s="1140"/>
    </row>
    <row r="441" spans="1:9" x14ac:dyDescent="0.35">
      <c r="A441" s="1019"/>
      <c r="B441" s="1019"/>
      <c r="C441" s="1019"/>
      <c r="D441" s="3188"/>
      <c r="E441" s="1019"/>
      <c r="F441" s="1019"/>
      <c r="G441" s="1019"/>
      <c r="H441" s="1019"/>
      <c r="I441" s="1140"/>
    </row>
    <row r="442" spans="1:9" x14ac:dyDescent="0.35">
      <c r="A442" s="1019"/>
      <c r="B442" s="1019"/>
      <c r="C442" s="1019"/>
      <c r="D442" s="3188"/>
      <c r="E442" s="1019"/>
      <c r="F442" s="1019"/>
      <c r="G442" s="1019"/>
      <c r="H442" s="1019"/>
      <c r="I442" s="1140"/>
    </row>
    <row r="443" spans="1:9" x14ac:dyDescent="0.35">
      <c r="A443" s="1019"/>
      <c r="B443" s="1019"/>
      <c r="C443" s="1019"/>
      <c r="D443" s="3188"/>
      <c r="E443" s="1019"/>
      <c r="F443" s="1019"/>
      <c r="G443" s="1019"/>
      <c r="H443" s="1019"/>
      <c r="I443" s="1140"/>
    </row>
    <row r="444" spans="1:9" x14ac:dyDescent="0.35">
      <c r="A444" s="1019"/>
      <c r="B444" s="1019"/>
      <c r="C444" s="1019"/>
      <c r="D444" s="3188"/>
      <c r="E444" s="1019"/>
      <c r="F444" s="1019"/>
      <c r="G444" s="1019"/>
      <c r="H444" s="1019"/>
      <c r="I444" s="1140"/>
    </row>
    <row r="445" spans="1:9" x14ac:dyDescent="0.35">
      <c r="A445" s="1019"/>
      <c r="B445" s="1019"/>
      <c r="C445" s="1019"/>
      <c r="D445" s="3188"/>
      <c r="E445" s="1019"/>
      <c r="F445" s="1019"/>
      <c r="G445" s="1019"/>
      <c r="H445" s="1019"/>
      <c r="I445" s="1140"/>
    </row>
    <row r="446" spans="1:9" x14ac:dyDescent="0.35">
      <c r="A446" s="1019"/>
      <c r="B446" s="1019"/>
      <c r="C446" s="1019"/>
      <c r="D446" s="3188"/>
      <c r="E446" s="1019"/>
      <c r="F446" s="1019"/>
      <c r="G446" s="1019"/>
      <c r="H446" s="1019"/>
      <c r="I446" s="1140"/>
    </row>
    <row r="447" spans="1:9" x14ac:dyDescent="0.35">
      <c r="A447" s="1019"/>
      <c r="B447" s="1019"/>
      <c r="C447" s="1019"/>
      <c r="D447" s="3188"/>
      <c r="E447" s="1019"/>
      <c r="F447" s="1019"/>
      <c r="G447" s="1019"/>
      <c r="H447" s="1019"/>
      <c r="I447" s="1140"/>
    </row>
    <row r="448" spans="1:9" x14ac:dyDescent="0.35">
      <c r="A448" s="1019"/>
      <c r="B448" s="1019"/>
      <c r="C448" s="1019"/>
      <c r="D448" s="3188"/>
      <c r="E448" s="1019"/>
      <c r="F448" s="1019"/>
      <c r="G448" s="1019"/>
      <c r="H448" s="1019"/>
      <c r="I448" s="1140"/>
    </row>
    <row r="449" spans="1:9" x14ac:dyDescent="0.35">
      <c r="A449" s="1019"/>
      <c r="B449" s="1019"/>
      <c r="C449" s="1019"/>
      <c r="D449" s="3188"/>
      <c r="E449" s="1019"/>
      <c r="F449" s="1019"/>
      <c r="G449" s="1019"/>
      <c r="H449" s="1019"/>
      <c r="I449" s="1140"/>
    </row>
    <row r="450" spans="1:9" x14ac:dyDescent="0.35">
      <c r="A450" s="1019"/>
      <c r="B450" s="1019"/>
      <c r="C450" s="1019"/>
      <c r="D450" s="3188"/>
      <c r="E450" s="1019"/>
      <c r="F450" s="1019"/>
      <c r="G450" s="1019"/>
      <c r="H450" s="1019"/>
      <c r="I450" s="1140"/>
    </row>
    <row r="451" spans="1:9" x14ac:dyDescent="0.35">
      <c r="A451" s="1019"/>
      <c r="B451" s="1019"/>
      <c r="C451" s="1019"/>
      <c r="D451" s="3188"/>
      <c r="E451" s="1019"/>
      <c r="F451" s="1019"/>
      <c r="G451" s="1019"/>
      <c r="H451" s="1019"/>
      <c r="I451" s="1140"/>
    </row>
    <row r="452" spans="1:9" x14ac:dyDescent="0.35">
      <c r="A452" s="1019"/>
      <c r="B452" s="1019"/>
      <c r="C452" s="1019"/>
      <c r="D452" s="3188"/>
      <c r="E452" s="1019"/>
      <c r="F452" s="1019"/>
      <c r="G452" s="1019"/>
      <c r="H452" s="1019"/>
      <c r="I452" s="1140"/>
    </row>
    <row r="453" spans="1:9" x14ac:dyDescent="0.35">
      <c r="A453" s="1019"/>
      <c r="B453" s="1019"/>
      <c r="C453" s="1019"/>
      <c r="D453" s="3188"/>
      <c r="E453" s="1019"/>
      <c r="F453" s="1019"/>
      <c r="G453" s="1019"/>
      <c r="H453" s="1019"/>
      <c r="I453" s="1140"/>
    </row>
    <row r="454" spans="1:9" x14ac:dyDescent="0.35">
      <c r="A454" s="1019"/>
      <c r="B454" s="1019"/>
      <c r="C454" s="1019"/>
      <c r="D454" s="3188"/>
      <c r="E454" s="1019"/>
      <c r="F454" s="1019"/>
      <c r="G454" s="1019"/>
      <c r="H454" s="1019"/>
      <c r="I454" s="1140"/>
    </row>
    <row r="455" spans="1:9" x14ac:dyDescent="0.35">
      <c r="A455" s="1019"/>
      <c r="B455" s="1019"/>
      <c r="C455" s="1019"/>
      <c r="D455" s="3188"/>
      <c r="E455" s="1019"/>
      <c r="F455" s="1019"/>
      <c r="G455" s="1019"/>
      <c r="H455" s="1019"/>
      <c r="I455" s="1140"/>
    </row>
    <row r="456" spans="1:9" x14ac:dyDescent="0.35">
      <c r="A456" s="1019"/>
      <c r="B456" s="1019"/>
      <c r="C456" s="1019"/>
      <c r="D456" s="3188"/>
      <c r="E456" s="1019"/>
      <c r="F456" s="1019"/>
      <c r="G456" s="1019"/>
      <c r="H456" s="1019"/>
      <c r="I456" s="1140"/>
    </row>
    <row r="457" spans="1:9" x14ac:dyDescent="0.35">
      <c r="A457" s="1019"/>
      <c r="B457" s="1019"/>
      <c r="C457" s="1019"/>
      <c r="D457" s="3188"/>
      <c r="E457" s="1019"/>
      <c r="F457" s="1019"/>
      <c r="G457" s="1019"/>
      <c r="H457" s="1019"/>
      <c r="I457" s="1140"/>
    </row>
    <row r="458" spans="1:9" x14ac:dyDescent="0.35">
      <c r="A458" s="1019"/>
      <c r="B458" s="1019"/>
      <c r="C458" s="1019"/>
      <c r="D458" s="3188"/>
      <c r="E458" s="1019"/>
      <c r="F458" s="1019"/>
      <c r="G458" s="1019"/>
      <c r="H458" s="1019"/>
      <c r="I458" s="1140"/>
    </row>
    <row r="459" spans="1:9" x14ac:dyDescent="0.35">
      <c r="A459" s="1019"/>
      <c r="B459" s="1019"/>
      <c r="C459" s="1019"/>
      <c r="D459" s="3188"/>
      <c r="E459" s="1019"/>
      <c r="F459" s="1019"/>
      <c r="G459" s="1019"/>
      <c r="H459" s="1019"/>
      <c r="I459" s="1140"/>
    </row>
    <row r="460" spans="1:9" x14ac:dyDescent="0.35">
      <c r="A460" s="1019"/>
      <c r="B460" s="1019"/>
      <c r="C460" s="1019"/>
      <c r="D460" s="3188"/>
      <c r="E460" s="1019"/>
      <c r="F460" s="1019"/>
      <c r="G460" s="1019"/>
      <c r="H460" s="1019"/>
      <c r="I460" s="1140"/>
    </row>
    <row r="461" spans="1:9" x14ac:dyDescent="0.35">
      <c r="A461" s="1019"/>
      <c r="B461" s="1019"/>
      <c r="C461" s="1019"/>
      <c r="D461" s="3188"/>
      <c r="E461" s="1019"/>
      <c r="F461" s="1019"/>
      <c r="G461" s="1019"/>
      <c r="H461" s="1019"/>
      <c r="I461" s="1140"/>
    </row>
    <row r="462" spans="1:9" x14ac:dyDescent="0.35">
      <c r="A462" s="1019"/>
      <c r="B462" s="1019"/>
      <c r="C462" s="1019"/>
      <c r="D462" s="3188"/>
      <c r="E462" s="1019"/>
      <c r="F462" s="1019"/>
      <c r="G462" s="1019"/>
      <c r="H462" s="1019"/>
      <c r="I462" s="1140"/>
    </row>
    <row r="463" spans="1:9" x14ac:dyDescent="0.35">
      <c r="A463" s="1019"/>
      <c r="B463" s="1019"/>
      <c r="C463" s="1019"/>
      <c r="D463" s="3188"/>
      <c r="E463" s="1019"/>
      <c r="F463" s="1019"/>
      <c r="G463" s="1019"/>
      <c r="H463" s="1019"/>
      <c r="I463" s="1140"/>
    </row>
    <row r="464" spans="1:9" x14ac:dyDescent="0.35">
      <c r="A464" s="1019"/>
      <c r="B464" s="1019"/>
      <c r="C464" s="1019"/>
      <c r="D464" s="3188"/>
      <c r="E464" s="1019"/>
      <c r="F464" s="1019"/>
      <c r="G464" s="1019"/>
      <c r="H464" s="1019"/>
      <c r="I464" s="1140"/>
    </row>
    <row r="465" spans="1:9" x14ac:dyDescent="0.35">
      <c r="A465" s="1019"/>
      <c r="B465" s="1019"/>
      <c r="C465" s="1019"/>
      <c r="D465" s="3188"/>
      <c r="E465" s="1019"/>
      <c r="F465" s="1019"/>
      <c r="G465" s="1019"/>
      <c r="H465" s="1019"/>
      <c r="I465" s="1140"/>
    </row>
    <row r="466" spans="1:9" x14ac:dyDescent="0.35">
      <c r="A466" s="1019"/>
      <c r="B466" s="1019"/>
      <c r="C466" s="1019"/>
      <c r="D466" s="3188"/>
      <c r="E466" s="1019"/>
      <c r="F466" s="1019"/>
      <c r="G466" s="1019"/>
      <c r="H466" s="1019"/>
      <c r="I466" s="1140"/>
    </row>
    <row r="467" spans="1:9" x14ac:dyDescent="0.35">
      <c r="A467" s="1019"/>
      <c r="B467" s="1019"/>
      <c r="C467" s="1019"/>
      <c r="D467" s="3188"/>
      <c r="E467" s="1019"/>
      <c r="F467" s="1019"/>
      <c r="G467" s="1019"/>
      <c r="H467" s="1019"/>
      <c r="I467" s="1140"/>
    </row>
    <row r="468" spans="1:9" x14ac:dyDescent="0.35">
      <c r="A468" s="1019"/>
      <c r="B468" s="1019"/>
      <c r="C468" s="1019"/>
      <c r="D468" s="3188"/>
      <c r="E468" s="1019"/>
      <c r="F468" s="1019"/>
      <c r="G468" s="1019"/>
      <c r="H468" s="1019"/>
      <c r="I468" s="1140"/>
    </row>
    <row r="469" spans="1:9" x14ac:dyDescent="0.35">
      <c r="A469" s="1019"/>
      <c r="B469" s="1019"/>
      <c r="C469" s="1019"/>
      <c r="D469" s="3188"/>
      <c r="E469" s="1019"/>
      <c r="F469" s="1019"/>
      <c r="G469" s="1019"/>
      <c r="H469" s="1019"/>
      <c r="I469" s="1140"/>
    </row>
    <row r="470" spans="1:9" x14ac:dyDescent="0.35">
      <c r="A470" s="1019"/>
      <c r="B470" s="1019"/>
      <c r="C470" s="1019"/>
      <c r="D470" s="3188"/>
      <c r="E470" s="1019"/>
      <c r="F470" s="1019"/>
      <c r="G470" s="1019"/>
      <c r="H470" s="1019"/>
      <c r="I470" s="1140"/>
    </row>
    <row r="471" spans="1:9" x14ac:dyDescent="0.35">
      <c r="A471" s="1019"/>
      <c r="B471" s="1019"/>
      <c r="C471" s="1019"/>
      <c r="D471" s="3188"/>
      <c r="E471" s="1019"/>
      <c r="F471" s="1019"/>
      <c r="G471" s="1019"/>
      <c r="H471" s="1019"/>
      <c r="I471" s="1140"/>
    </row>
    <row r="472" spans="1:9" x14ac:dyDescent="0.35">
      <c r="A472" s="1019"/>
      <c r="B472" s="1019"/>
      <c r="C472" s="1019"/>
      <c r="D472" s="3188"/>
      <c r="E472" s="1019"/>
      <c r="F472" s="1019"/>
      <c r="G472" s="1019"/>
      <c r="H472" s="1019"/>
      <c r="I472" s="1140"/>
    </row>
    <row r="473" spans="1:9" x14ac:dyDescent="0.35">
      <c r="A473" s="1019"/>
      <c r="B473" s="1019"/>
      <c r="C473" s="1019"/>
      <c r="D473" s="3188"/>
      <c r="E473" s="1019"/>
      <c r="F473" s="1019"/>
      <c r="G473" s="1019"/>
      <c r="H473" s="1019"/>
      <c r="I473" s="1140"/>
    </row>
    <row r="474" spans="1:9" x14ac:dyDescent="0.35">
      <c r="A474" s="1019"/>
      <c r="B474" s="1019"/>
      <c r="C474" s="1019"/>
      <c r="D474" s="3188"/>
      <c r="E474" s="1019"/>
      <c r="F474" s="1019"/>
      <c r="G474" s="1019"/>
      <c r="H474" s="1019"/>
      <c r="I474" s="1140"/>
    </row>
    <row r="475" spans="1:9" x14ac:dyDescent="0.35">
      <c r="A475" s="1019"/>
      <c r="B475" s="1019"/>
      <c r="C475" s="1019"/>
      <c r="D475" s="3188"/>
      <c r="E475" s="1019"/>
      <c r="F475" s="1019"/>
      <c r="G475" s="1019"/>
      <c r="H475" s="1019"/>
      <c r="I475" s="1140"/>
    </row>
    <row r="476" spans="1:9" x14ac:dyDescent="0.35">
      <c r="A476" s="1019"/>
      <c r="B476" s="1019"/>
      <c r="C476" s="1019"/>
      <c r="D476" s="3188"/>
      <c r="E476" s="1019"/>
      <c r="F476" s="1019"/>
      <c r="G476" s="1019"/>
      <c r="H476" s="1019"/>
      <c r="I476" s="1140"/>
    </row>
    <row r="477" spans="1:9" x14ac:dyDescent="0.35">
      <c r="A477" s="1019"/>
      <c r="B477" s="1019"/>
      <c r="C477" s="1019"/>
      <c r="D477" s="3188"/>
      <c r="E477" s="1019"/>
      <c r="F477" s="1019"/>
      <c r="G477" s="1019"/>
      <c r="H477" s="1019"/>
      <c r="I477" s="1140"/>
    </row>
    <row r="478" spans="1:9" x14ac:dyDescent="0.35">
      <c r="A478" s="1019"/>
      <c r="B478" s="1019"/>
      <c r="C478" s="1019"/>
      <c r="D478" s="3188"/>
      <c r="E478" s="1019"/>
      <c r="F478" s="1019"/>
      <c r="G478" s="1019"/>
      <c r="H478" s="1019"/>
      <c r="I478" s="1140"/>
    </row>
    <row r="479" spans="1:9" x14ac:dyDescent="0.35">
      <c r="A479" s="1019"/>
      <c r="B479" s="1019"/>
      <c r="C479" s="1019"/>
      <c r="D479" s="3188"/>
      <c r="E479" s="1019"/>
      <c r="F479" s="1019"/>
      <c r="G479" s="1019"/>
      <c r="H479" s="1019"/>
      <c r="I479" s="1140"/>
    </row>
    <row r="480" spans="1:9" x14ac:dyDescent="0.35">
      <c r="A480" s="1019"/>
      <c r="B480" s="1019"/>
      <c r="C480" s="1019"/>
      <c r="D480" s="3188"/>
      <c r="E480" s="1019"/>
      <c r="F480" s="1019"/>
      <c r="G480" s="1019"/>
      <c r="H480" s="1019"/>
      <c r="I480" s="1140"/>
    </row>
    <row r="481" spans="1:9" x14ac:dyDescent="0.35">
      <c r="A481" s="1019"/>
      <c r="B481" s="1019"/>
      <c r="C481" s="1019"/>
      <c r="D481" s="3188"/>
      <c r="E481" s="1019"/>
      <c r="F481" s="1019"/>
      <c r="G481" s="1019"/>
      <c r="H481" s="1019"/>
      <c r="I481" s="1140"/>
    </row>
    <row r="482" spans="1:9" x14ac:dyDescent="0.35">
      <c r="A482" s="1019"/>
      <c r="B482" s="1019"/>
      <c r="C482" s="1019"/>
      <c r="D482" s="3188"/>
      <c r="E482" s="1019"/>
      <c r="F482" s="1019"/>
      <c r="G482" s="1019"/>
      <c r="H482" s="1019"/>
      <c r="I482" s="1140"/>
    </row>
    <row r="483" spans="1:9" x14ac:dyDescent="0.35">
      <c r="A483" s="1019"/>
      <c r="B483" s="1019"/>
      <c r="C483" s="1019"/>
      <c r="D483" s="3188"/>
      <c r="E483" s="1019"/>
      <c r="F483" s="1019"/>
      <c r="G483" s="1019"/>
      <c r="H483" s="1019"/>
      <c r="I483" s="1140"/>
    </row>
    <row r="484" spans="1:9" x14ac:dyDescent="0.35">
      <c r="A484" s="1019"/>
      <c r="B484" s="1019"/>
      <c r="C484" s="1019"/>
      <c r="D484" s="3188"/>
      <c r="E484" s="1019"/>
      <c r="F484" s="1019"/>
      <c r="G484" s="1019"/>
      <c r="H484" s="1019"/>
      <c r="I484" s="1140"/>
    </row>
    <row r="485" spans="1:9" x14ac:dyDescent="0.35">
      <c r="A485" s="1019"/>
      <c r="B485" s="1019"/>
      <c r="C485" s="1019"/>
      <c r="D485" s="3188"/>
      <c r="E485" s="1019"/>
      <c r="F485" s="1019"/>
      <c r="G485" s="1019"/>
      <c r="H485" s="1019"/>
      <c r="I485" s="1140"/>
    </row>
    <row r="486" spans="1:9" x14ac:dyDescent="0.35">
      <c r="A486" s="1019"/>
      <c r="B486" s="1019"/>
      <c r="C486" s="1019"/>
      <c r="D486" s="3188"/>
      <c r="E486" s="1019"/>
      <c r="F486" s="1019"/>
      <c r="G486" s="1019"/>
      <c r="H486" s="1019"/>
      <c r="I486" s="1140"/>
    </row>
    <row r="487" spans="1:9" x14ac:dyDescent="0.35">
      <c r="A487" s="1019"/>
      <c r="B487" s="1019"/>
      <c r="C487" s="1019"/>
      <c r="D487" s="3188"/>
      <c r="E487" s="1019"/>
      <c r="F487" s="1019"/>
      <c r="G487" s="1019"/>
      <c r="H487" s="1019"/>
      <c r="I487" s="1140"/>
    </row>
    <row r="488" spans="1:9" x14ac:dyDescent="0.35">
      <c r="A488" s="1019"/>
      <c r="B488" s="1019"/>
      <c r="C488" s="1019"/>
      <c r="D488" s="3188"/>
      <c r="E488" s="1019"/>
      <c r="F488" s="1019"/>
      <c r="G488" s="1019"/>
      <c r="H488" s="1019"/>
      <c r="I488" s="1140"/>
    </row>
    <row r="489" spans="1:9" x14ac:dyDescent="0.35">
      <c r="A489" s="1019"/>
      <c r="B489" s="1019"/>
      <c r="C489" s="1019"/>
      <c r="D489" s="3188"/>
      <c r="E489" s="1019"/>
      <c r="F489" s="1019"/>
      <c r="G489" s="1019"/>
      <c r="H489" s="1019"/>
      <c r="I489" s="1140"/>
    </row>
    <row r="490" spans="1:9" x14ac:dyDescent="0.35">
      <c r="A490" s="1019"/>
      <c r="B490" s="1019"/>
      <c r="C490" s="1019"/>
      <c r="D490" s="3188"/>
      <c r="E490" s="1019"/>
      <c r="F490" s="1019"/>
      <c r="G490" s="1019"/>
      <c r="H490" s="1019"/>
      <c r="I490" s="1140"/>
    </row>
    <row r="491" spans="1:9" x14ac:dyDescent="0.35">
      <c r="A491" s="1019"/>
      <c r="B491" s="1019"/>
      <c r="C491" s="1019"/>
      <c r="D491" s="3188"/>
      <c r="E491" s="1019"/>
      <c r="F491" s="1019"/>
      <c r="G491" s="1019"/>
      <c r="H491" s="1019"/>
      <c r="I491" s="1140"/>
    </row>
    <row r="492" spans="1:9" x14ac:dyDescent="0.35">
      <c r="A492" s="1019"/>
      <c r="B492" s="1019"/>
      <c r="C492" s="1019"/>
      <c r="D492" s="3188"/>
      <c r="E492" s="1019"/>
      <c r="F492" s="1019"/>
      <c r="G492" s="1019"/>
      <c r="H492" s="1019"/>
      <c r="I492" s="1140"/>
    </row>
    <row r="493" spans="1:9" x14ac:dyDescent="0.35">
      <c r="A493" s="1019"/>
      <c r="B493" s="1019"/>
      <c r="C493" s="1019"/>
      <c r="D493" s="3188"/>
      <c r="E493" s="1019"/>
      <c r="F493" s="1019"/>
      <c r="G493" s="1019"/>
      <c r="H493" s="1019"/>
      <c r="I493" s="1140"/>
    </row>
    <row r="494" spans="1:9" x14ac:dyDescent="0.35">
      <c r="A494" s="1019"/>
      <c r="B494" s="1019"/>
      <c r="C494" s="1019"/>
      <c r="D494" s="3188"/>
      <c r="E494" s="1019"/>
      <c r="F494" s="1019"/>
      <c r="G494" s="1019"/>
      <c r="H494" s="1019"/>
      <c r="I494" s="1140"/>
    </row>
    <row r="495" spans="1:9" x14ac:dyDescent="0.35">
      <c r="A495" s="1019"/>
      <c r="B495" s="1019"/>
      <c r="C495" s="1019"/>
      <c r="D495" s="3188"/>
      <c r="E495" s="1019"/>
      <c r="F495" s="1019"/>
      <c r="G495" s="1019"/>
      <c r="H495" s="1019"/>
      <c r="I495" s="1140"/>
    </row>
    <row r="496" spans="1:9" x14ac:dyDescent="0.35">
      <c r="A496" s="1019"/>
      <c r="B496" s="1019"/>
      <c r="C496" s="1019"/>
      <c r="D496" s="3188"/>
      <c r="E496" s="1019"/>
      <c r="F496" s="1019"/>
      <c r="G496" s="1019"/>
      <c r="H496" s="1019"/>
      <c r="I496" s="1140"/>
    </row>
    <row r="497" spans="1:9" x14ac:dyDescent="0.35">
      <c r="A497" s="1019"/>
      <c r="B497" s="1019"/>
      <c r="C497" s="1019"/>
      <c r="D497" s="3188"/>
      <c r="E497" s="1019"/>
      <c r="F497" s="1019"/>
      <c r="G497" s="1019"/>
      <c r="H497" s="1019"/>
      <c r="I497" s="1140"/>
    </row>
    <row r="498" spans="1:9" x14ac:dyDescent="0.35">
      <c r="A498" s="1019"/>
      <c r="B498" s="1019"/>
      <c r="C498" s="1019"/>
      <c r="D498" s="3188"/>
      <c r="E498" s="1019"/>
      <c r="F498" s="1019"/>
      <c r="G498" s="1019"/>
      <c r="H498" s="1019"/>
      <c r="I498" s="1140"/>
    </row>
    <row r="499" spans="1:9" x14ac:dyDescent="0.35">
      <c r="A499" s="1019"/>
      <c r="B499" s="1019"/>
      <c r="C499" s="1019"/>
      <c r="D499" s="3188"/>
      <c r="E499" s="1019"/>
      <c r="F499" s="1019"/>
      <c r="G499" s="1019"/>
      <c r="H499" s="1019"/>
      <c r="I499" s="1140"/>
    </row>
    <row r="500" spans="1:9" x14ac:dyDescent="0.35">
      <c r="A500" s="1019"/>
      <c r="B500" s="1019"/>
      <c r="C500" s="1019"/>
      <c r="D500" s="3188"/>
      <c r="E500" s="1019"/>
      <c r="F500" s="1019"/>
      <c r="G500" s="1019"/>
      <c r="H500" s="1019"/>
      <c r="I500" s="1140"/>
    </row>
    <row r="501" spans="1:9" x14ac:dyDescent="0.35">
      <c r="A501" s="1019"/>
      <c r="B501" s="1019"/>
      <c r="C501" s="1019"/>
      <c r="D501" s="3188"/>
      <c r="E501" s="1019"/>
      <c r="F501" s="1019"/>
      <c r="G501" s="1019"/>
      <c r="H501" s="1019"/>
      <c r="I501" s="1140"/>
    </row>
    <row r="502" spans="1:9" x14ac:dyDescent="0.35">
      <c r="A502" s="1019"/>
      <c r="B502" s="1019"/>
      <c r="C502" s="1019"/>
      <c r="D502" s="3188"/>
      <c r="E502" s="1019"/>
      <c r="F502" s="1019"/>
      <c r="G502" s="1019"/>
      <c r="H502" s="1019"/>
      <c r="I502" s="1140"/>
    </row>
    <row r="503" spans="1:9" x14ac:dyDescent="0.35">
      <c r="A503" s="1019"/>
      <c r="B503" s="1019"/>
      <c r="C503" s="1019"/>
      <c r="D503" s="3188"/>
      <c r="E503" s="1019"/>
      <c r="F503" s="1019"/>
      <c r="G503" s="1019"/>
      <c r="H503" s="1019"/>
      <c r="I503" s="1140"/>
    </row>
    <row r="504" spans="1:9" x14ac:dyDescent="0.35">
      <c r="A504" s="1019"/>
      <c r="B504" s="1019"/>
      <c r="C504" s="1019"/>
      <c r="D504" s="3188"/>
      <c r="E504" s="1019"/>
      <c r="F504" s="1019"/>
      <c r="G504" s="1019"/>
      <c r="H504" s="1019"/>
      <c r="I504" s="1140"/>
    </row>
    <row r="505" spans="1:9" x14ac:dyDescent="0.35">
      <c r="A505" s="1019"/>
      <c r="B505" s="1019"/>
      <c r="C505" s="1019"/>
      <c r="D505" s="3188"/>
      <c r="E505" s="1019"/>
      <c r="F505" s="1019"/>
      <c r="G505" s="1019"/>
      <c r="H505" s="1019"/>
      <c r="I505" s="1140"/>
    </row>
    <row r="506" spans="1:9" x14ac:dyDescent="0.35">
      <c r="A506" s="1019"/>
      <c r="B506" s="1019"/>
      <c r="C506" s="1019"/>
      <c r="D506" s="3188"/>
      <c r="E506" s="1019"/>
      <c r="F506" s="1019"/>
      <c r="G506" s="1019"/>
      <c r="H506" s="1019"/>
      <c r="I506" s="1140"/>
    </row>
    <row r="507" spans="1:9" x14ac:dyDescent="0.35">
      <c r="A507" s="1019"/>
      <c r="B507" s="1019"/>
      <c r="C507" s="1019"/>
      <c r="D507" s="3188"/>
      <c r="E507" s="1019"/>
      <c r="F507" s="1019"/>
      <c r="G507" s="1019"/>
      <c r="H507" s="1019"/>
      <c r="I507" s="1140"/>
    </row>
    <row r="508" spans="1:9" x14ac:dyDescent="0.35">
      <c r="A508" s="1019"/>
      <c r="B508" s="1019"/>
      <c r="C508" s="1019"/>
      <c r="D508" s="3188"/>
      <c r="E508" s="1019"/>
      <c r="F508" s="1019"/>
      <c r="G508" s="1019"/>
      <c r="H508" s="1019"/>
      <c r="I508" s="1140"/>
    </row>
    <row r="509" spans="1:9" x14ac:dyDescent="0.35">
      <c r="A509" s="1019"/>
      <c r="B509" s="1019"/>
      <c r="C509" s="1019"/>
      <c r="D509" s="3188"/>
      <c r="E509" s="1019"/>
      <c r="F509" s="1019"/>
      <c r="G509" s="1019"/>
      <c r="H509" s="1019"/>
      <c r="I509" s="1140"/>
    </row>
    <row r="510" spans="1:9" x14ac:dyDescent="0.35">
      <c r="A510" s="1019"/>
      <c r="B510" s="1019"/>
      <c r="C510" s="1019"/>
      <c r="D510" s="3188"/>
      <c r="E510" s="1019"/>
      <c r="F510" s="1019"/>
      <c r="G510" s="1019"/>
      <c r="H510" s="1019"/>
      <c r="I510" s="1140"/>
    </row>
    <row r="511" spans="1:9" x14ac:dyDescent="0.35">
      <c r="A511" s="1019"/>
      <c r="B511" s="1019"/>
      <c r="C511" s="1019"/>
      <c r="D511" s="3188"/>
      <c r="E511" s="1019"/>
      <c r="F511" s="1019"/>
      <c r="G511" s="1019"/>
      <c r="H511" s="1019"/>
      <c r="I511" s="1140"/>
    </row>
    <row r="512" spans="1:9" x14ac:dyDescent="0.35">
      <c r="A512" s="1019"/>
      <c r="B512" s="1019"/>
      <c r="C512" s="1019"/>
      <c r="D512" s="3188"/>
      <c r="E512" s="1019"/>
      <c r="F512" s="1019"/>
      <c r="G512" s="1019"/>
      <c r="H512" s="1019"/>
      <c r="I512" s="1140"/>
    </row>
    <row r="513" spans="1:9" x14ac:dyDescent="0.35">
      <c r="A513" s="1019"/>
      <c r="B513" s="1019"/>
      <c r="C513" s="1019"/>
      <c r="D513" s="3188"/>
      <c r="E513" s="1019"/>
      <c r="F513" s="1019"/>
      <c r="G513" s="1019"/>
      <c r="H513" s="1019"/>
      <c r="I513" s="1140"/>
    </row>
    <row r="514" spans="1:9" x14ac:dyDescent="0.35">
      <c r="A514" s="1019"/>
      <c r="B514" s="1019"/>
      <c r="C514" s="1019"/>
      <c r="D514" s="3188"/>
      <c r="E514" s="1019"/>
      <c r="F514" s="1019"/>
      <c r="G514" s="1019"/>
      <c r="H514" s="1019"/>
      <c r="I514" s="1140"/>
    </row>
    <row r="515" spans="1:9" x14ac:dyDescent="0.35">
      <c r="A515" s="1019"/>
      <c r="B515" s="1019"/>
      <c r="C515" s="1019"/>
      <c r="D515" s="3188"/>
      <c r="E515" s="1019"/>
      <c r="F515" s="1019"/>
      <c r="G515" s="1019"/>
      <c r="H515" s="1019"/>
      <c r="I515" s="1140"/>
    </row>
    <row r="516" spans="1:9" x14ac:dyDescent="0.35">
      <c r="A516" s="1019"/>
      <c r="B516" s="1019"/>
      <c r="C516" s="1019"/>
      <c r="D516" s="3188"/>
      <c r="E516" s="1019"/>
      <c r="F516" s="1019"/>
      <c r="G516" s="1019"/>
      <c r="H516" s="1019"/>
      <c r="I516" s="1140"/>
    </row>
    <row r="517" spans="1:9" x14ac:dyDescent="0.35">
      <c r="A517" s="1019"/>
      <c r="B517" s="1019"/>
      <c r="C517" s="1019"/>
      <c r="D517" s="3188"/>
      <c r="E517" s="1019"/>
      <c r="F517" s="1019"/>
      <c r="G517" s="1019"/>
      <c r="H517" s="1019"/>
      <c r="I517" s="1140"/>
    </row>
    <row r="518" spans="1:9" x14ac:dyDescent="0.35">
      <c r="A518" s="1019"/>
      <c r="B518" s="1019"/>
      <c r="C518" s="1019"/>
      <c r="D518" s="3188"/>
      <c r="E518" s="1019"/>
      <c r="F518" s="1019"/>
      <c r="G518" s="1019"/>
      <c r="H518" s="1019"/>
      <c r="I518" s="1140"/>
    </row>
    <row r="519" spans="1:9" x14ac:dyDescent="0.35">
      <c r="A519" s="1019"/>
      <c r="B519" s="1019"/>
      <c r="C519" s="1019"/>
      <c r="D519" s="3188"/>
      <c r="E519" s="1019"/>
      <c r="F519" s="1019"/>
      <c r="G519" s="1019"/>
      <c r="H519" s="1019"/>
      <c r="I519" s="1140"/>
    </row>
    <row r="520" spans="1:9" x14ac:dyDescent="0.35">
      <c r="A520" s="1019"/>
      <c r="B520" s="1019"/>
      <c r="C520" s="1019"/>
      <c r="D520" s="3188"/>
      <c r="E520" s="1019"/>
      <c r="F520" s="1019"/>
      <c r="G520" s="1019"/>
      <c r="H520" s="1019"/>
      <c r="I520" s="1140"/>
    </row>
    <row r="521" spans="1:9" x14ac:dyDescent="0.35">
      <c r="A521" s="1019"/>
      <c r="B521" s="1019"/>
      <c r="C521" s="1019"/>
      <c r="D521" s="3188"/>
      <c r="E521" s="1019"/>
      <c r="F521" s="1019"/>
      <c r="G521" s="1019"/>
      <c r="H521" s="1019"/>
      <c r="I521" s="1140"/>
    </row>
    <row r="522" spans="1:9" x14ac:dyDescent="0.35">
      <c r="A522" s="1019"/>
      <c r="B522" s="1019"/>
      <c r="C522" s="1019"/>
      <c r="D522" s="3188"/>
      <c r="E522" s="1019"/>
      <c r="F522" s="1019"/>
      <c r="G522" s="1019"/>
      <c r="H522" s="1019"/>
      <c r="I522" s="1140"/>
    </row>
    <row r="523" spans="1:9" x14ac:dyDescent="0.35">
      <c r="A523" s="1019"/>
      <c r="B523" s="1019"/>
      <c r="C523" s="1019"/>
      <c r="D523" s="3188"/>
      <c r="E523" s="1019"/>
      <c r="F523" s="1019"/>
      <c r="G523" s="1019"/>
      <c r="H523" s="1019"/>
      <c r="I523" s="1140"/>
    </row>
    <row r="524" spans="1:9" x14ac:dyDescent="0.35">
      <c r="A524" s="1019"/>
      <c r="B524" s="1019"/>
      <c r="C524" s="1019"/>
      <c r="D524" s="3188"/>
      <c r="E524" s="1019"/>
      <c r="F524" s="1019"/>
      <c r="G524" s="1019"/>
      <c r="H524" s="1019"/>
      <c r="I524" s="1140"/>
    </row>
    <row r="525" spans="1:9" x14ac:dyDescent="0.35">
      <c r="A525" s="1019"/>
      <c r="B525" s="1019"/>
      <c r="C525" s="1019"/>
      <c r="D525" s="3188"/>
      <c r="E525" s="1019"/>
      <c r="F525" s="1019"/>
      <c r="G525" s="1019"/>
      <c r="H525" s="1019"/>
      <c r="I525" s="1140"/>
    </row>
    <row r="526" spans="1:9" x14ac:dyDescent="0.35">
      <c r="A526" s="1019"/>
      <c r="B526" s="1019"/>
      <c r="C526" s="1019"/>
      <c r="D526" s="3188"/>
      <c r="E526" s="1019"/>
      <c r="F526" s="1019"/>
      <c r="G526" s="1019"/>
      <c r="H526" s="1019"/>
      <c r="I526" s="1140"/>
    </row>
    <row r="527" spans="1:9" x14ac:dyDescent="0.35">
      <c r="A527" s="1019"/>
      <c r="B527" s="1019"/>
      <c r="C527" s="1019"/>
      <c r="D527" s="3188"/>
      <c r="E527" s="1019"/>
      <c r="F527" s="1019"/>
      <c r="G527" s="1019"/>
      <c r="H527" s="1019"/>
      <c r="I527" s="1140"/>
    </row>
    <row r="528" spans="1:9" x14ac:dyDescent="0.35">
      <c r="A528" s="1019"/>
      <c r="B528" s="1019"/>
      <c r="C528" s="1019"/>
      <c r="D528" s="3188"/>
      <c r="E528" s="1019"/>
      <c r="F528" s="1019"/>
      <c r="G528" s="1019"/>
      <c r="H528" s="1019"/>
      <c r="I528" s="1140"/>
    </row>
    <row r="529" spans="1:9" x14ac:dyDescent="0.35">
      <c r="A529" s="1019"/>
      <c r="B529" s="1019"/>
      <c r="C529" s="1019"/>
      <c r="D529" s="3188"/>
      <c r="E529" s="1019"/>
      <c r="F529" s="1019"/>
      <c r="G529" s="1019"/>
      <c r="H529" s="1019"/>
      <c r="I529" s="1140"/>
    </row>
    <row r="530" spans="1:9" x14ac:dyDescent="0.35">
      <c r="A530" s="1019"/>
      <c r="B530" s="1019"/>
      <c r="C530" s="1019"/>
      <c r="D530" s="3188"/>
      <c r="E530" s="1019"/>
      <c r="F530" s="1019"/>
      <c r="G530" s="1019"/>
      <c r="H530" s="1019"/>
      <c r="I530" s="1140"/>
    </row>
    <row r="531" spans="1:9" x14ac:dyDescent="0.35">
      <c r="A531" s="1019"/>
      <c r="B531" s="1019"/>
      <c r="C531" s="1019"/>
      <c r="D531" s="3188"/>
      <c r="E531" s="1019"/>
      <c r="F531" s="1019"/>
      <c r="G531" s="1019"/>
      <c r="H531" s="1019"/>
      <c r="I531" s="1140"/>
    </row>
    <row r="532" spans="1:9" x14ac:dyDescent="0.35">
      <c r="A532" s="1019"/>
      <c r="B532" s="1019"/>
      <c r="C532" s="1019"/>
      <c r="D532" s="3188"/>
      <c r="E532" s="1019"/>
      <c r="F532" s="1019"/>
      <c r="G532" s="1019"/>
      <c r="H532" s="1019"/>
      <c r="I532" s="1140"/>
    </row>
    <row r="533" spans="1:9" x14ac:dyDescent="0.35">
      <c r="A533" s="1019"/>
      <c r="B533" s="1019"/>
      <c r="C533" s="1019"/>
      <c r="D533" s="3188"/>
      <c r="E533" s="1019"/>
      <c r="F533" s="1019"/>
      <c r="G533" s="1019"/>
      <c r="H533" s="1019"/>
      <c r="I533" s="1140"/>
    </row>
    <row r="534" spans="1:9" x14ac:dyDescent="0.35">
      <c r="A534" s="1019"/>
      <c r="B534" s="1019"/>
      <c r="C534" s="1019"/>
      <c r="D534" s="3188"/>
      <c r="E534" s="1019"/>
      <c r="F534" s="1019"/>
      <c r="G534" s="1019"/>
      <c r="H534" s="1019"/>
      <c r="I534" s="1140"/>
    </row>
    <row r="535" spans="1:9" x14ac:dyDescent="0.35">
      <c r="A535" s="1019"/>
      <c r="B535" s="1019"/>
      <c r="C535" s="1019"/>
      <c r="D535" s="3188"/>
      <c r="E535" s="1019"/>
      <c r="F535" s="1019"/>
      <c r="G535" s="1019"/>
      <c r="H535" s="1019"/>
      <c r="I535" s="1140"/>
    </row>
    <row r="536" spans="1:9" x14ac:dyDescent="0.35">
      <c r="A536" s="1019"/>
      <c r="B536" s="1019"/>
      <c r="C536" s="1019"/>
      <c r="D536" s="3188"/>
      <c r="E536" s="1019"/>
      <c r="F536" s="1019"/>
      <c r="G536" s="1019"/>
      <c r="H536" s="1019"/>
      <c r="I536" s="1140"/>
    </row>
    <row r="537" spans="1:9" x14ac:dyDescent="0.35">
      <c r="A537" s="1019"/>
      <c r="B537" s="1019"/>
      <c r="C537" s="1019"/>
      <c r="D537" s="3188"/>
      <c r="E537" s="1019"/>
      <c r="F537" s="1019"/>
      <c r="G537" s="1019"/>
      <c r="H537" s="1019"/>
      <c r="I537" s="1140"/>
    </row>
    <row r="538" spans="1:9" x14ac:dyDescent="0.35">
      <c r="A538" s="1019"/>
      <c r="B538" s="1019"/>
      <c r="C538" s="1019"/>
      <c r="D538" s="3188"/>
      <c r="E538" s="1019"/>
      <c r="F538" s="1019"/>
      <c r="G538" s="1019"/>
      <c r="H538" s="1019"/>
      <c r="I538" s="1140"/>
    </row>
    <row r="539" spans="1:9" x14ac:dyDescent="0.35">
      <c r="A539" s="1019"/>
      <c r="B539" s="1019"/>
      <c r="C539" s="1019"/>
      <c r="D539" s="3188"/>
      <c r="E539" s="1019"/>
      <c r="F539" s="1019"/>
      <c r="G539" s="1019"/>
      <c r="H539" s="1019"/>
      <c r="I539" s="1140"/>
    </row>
    <row r="540" spans="1:9" x14ac:dyDescent="0.35">
      <c r="A540" s="1019"/>
      <c r="B540" s="1019"/>
      <c r="C540" s="1019"/>
      <c r="D540" s="3188"/>
      <c r="E540" s="1019"/>
      <c r="F540" s="1019"/>
      <c r="G540" s="1019"/>
      <c r="H540" s="1019"/>
      <c r="I540" s="1140"/>
    </row>
    <row r="541" spans="1:9" x14ac:dyDescent="0.35">
      <c r="A541" s="1019"/>
      <c r="B541" s="1019"/>
      <c r="C541" s="1019"/>
      <c r="D541" s="3188"/>
      <c r="E541" s="1019"/>
      <c r="F541" s="1019"/>
      <c r="G541" s="1019"/>
      <c r="H541" s="1019"/>
      <c r="I541" s="1140"/>
    </row>
    <row r="542" spans="1:9" x14ac:dyDescent="0.35">
      <c r="A542" s="1019"/>
      <c r="B542" s="1019"/>
      <c r="C542" s="1019"/>
      <c r="D542" s="3188"/>
      <c r="E542" s="1019"/>
      <c r="F542" s="1019"/>
      <c r="G542" s="1019"/>
      <c r="H542" s="1019"/>
      <c r="I542" s="1140"/>
    </row>
    <row r="543" spans="1:9" x14ac:dyDescent="0.35">
      <c r="A543" s="1019"/>
      <c r="B543" s="1019"/>
      <c r="C543" s="1019"/>
      <c r="D543" s="3188"/>
      <c r="E543" s="1019"/>
      <c r="F543" s="1019"/>
      <c r="G543" s="1019"/>
      <c r="H543" s="1019"/>
      <c r="I543" s="1140"/>
    </row>
    <row r="544" spans="1:9" x14ac:dyDescent="0.35">
      <c r="A544" s="1019"/>
      <c r="B544" s="1019"/>
      <c r="C544" s="1019"/>
      <c r="D544" s="3188"/>
      <c r="E544" s="1019"/>
      <c r="F544" s="1019"/>
      <c r="G544" s="1019"/>
      <c r="H544" s="1019"/>
      <c r="I544" s="1140"/>
    </row>
    <row r="545" spans="1:9" x14ac:dyDescent="0.35">
      <c r="A545" s="1019"/>
      <c r="B545" s="1019"/>
      <c r="C545" s="1019"/>
      <c r="D545" s="3188"/>
      <c r="E545" s="1019"/>
      <c r="F545" s="1019"/>
      <c r="G545" s="1019"/>
      <c r="H545" s="1019"/>
      <c r="I545" s="1140"/>
    </row>
    <row r="546" spans="1:9" x14ac:dyDescent="0.35">
      <c r="A546" s="1019"/>
      <c r="B546" s="1019"/>
      <c r="C546" s="1019"/>
      <c r="D546" s="3188"/>
      <c r="E546" s="1019"/>
      <c r="F546" s="1019"/>
      <c r="G546" s="1019"/>
      <c r="H546" s="1019"/>
      <c r="I546" s="1140"/>
    </row>
    <row r="547" spans="1:9" x14ac:dyDescent="0.35">
      <c r="A547" s="1019"/>
      <c r="B547" s="1019"/>
      <c r="C547" s="1019"/>
      <c r="D547" s="3188"/>
      <c r="E547" s="1019"/>
      <c r="F547" s="1019"/>
      <c r="G547" s="1019"/>
      <c r="H547" s="1019"/>
      <c r="I547" s="1140"/>
    </row>
    <row r="548" spans="1:9" x14ac:dyDescent="0.35">
      <c r="A548" s="1019"/>
      <c r="B548" s="1019"/>
      <c r="C548" s="1019"/>
      <c r="D548" s="3188"/>
      <c r="E548" s="1019"/>
      <c r="F548" s="1019"/>
      <c r="G548" s="1019"/>
      <c r="H548" s="1019"/>
      <c r="I548" s="1140"/>
    </row>
    <row r="549" spans="1:9" x14ac:dyDescent="0.35">
      <c r="A549" s="1019"/>
      <c r="B549" s="1019"/>
      <c r="C549" s="1019"/>
      <c r="D549" s="3188"/>
      <c r="E549" s="1019"/>
      <c r="F549" s="1019"/>
      <c r="G549" s="1019"/>
      <c r="H549" s="1019"/>
      <c r="I549" s="1140"/>
    </row>
    <row r="550" spans="1:9" x14ac:dyDescent="0.35">
      <c r="A550" s="1019"/>
      <c r="B550" s="1019"/>
      <c r="C550" s="1019"/>
      <c r="D550" s="3188"/>
      <c r="E550" s="1019"/>
      <c r="F550" s="1019"/>
      <c r="G550" s="1019"/>
      <c r="H550" s="1019"/>
      <c r="I550" s="1140"/>
    </row>
    <row r="551" spans="1:9" x14ac:dyDescent="0.35">
      <c r="A551" s="1019"/>
      <c r="B551" s="1019"/>
      <c r="C551" s="1019"/>
      <c r="D551" s="3188"/>
      <c r="E551" s="1019"/>
      <c r="F551" s="1019"/>
      <c r="G551" s="1019"/>
      <c r="H551" s="1019"/>
      <c r="I551" s="1140"/>
    </row>
    <row r="552" spans="1:9" x14ac:dyDescent="0.35">
      <c r="A552" s="1019"/>
      <c r="B552" s="1019"/>
      <c r="C552" s="1019"/>
      <c r="D552" s="3188"/>
      <c r="E552" s="1019"/>
      <c r="F552" s="1019"/>
      <c r="G552" s="1019"/>
      <c r="H552" s="1019"/>
      <c r="I552" s="1140"/>
    </row>
    <row r="553" spans="1:9" x14ac:dyDescent="0.35">
      <c r="A553" s="1019"/>
      <c r="B553" s="1019"/>
      <c r="C553" s="1019"/>
      <c r="D553" s="3188"/>
      <c r="E553" s="1019"/>
      <c r="F553" s="1019"/>
      <c r="G553" s="1019"/>
      <c r="H553" s="1019"/>
      <c r="I553" s="1140"/>
    </row>
    <row r="554" spans="1:9" x14ac:dyDescent="0.35">
      <c r="A554" s="1019"/>
      <c r="B554" s="1019"/>
      <c r="C554" s="1019"/>
      <c r="D554" s="3188"/>
      <c r="E554" s="1019"/>
      <c r="F554" s="1019"/>
      <c r="G554" s="1019"/>
      <c r="H554" s="1019"/>
      <c r="I554" s="1140"/>
    </row>
    <row r="555" spans="1:9" x14ac:dyDescent="0.35">
      <c r="A555" s="1019"/>
      <c r="B555" s="1019"/>
      <c r="C555" s="1019"/>
      <c r="D555" s="3188"/>
      <c r="E555" s="1019"/>
      <c r="F555" s="1019"/>
      <c r="G555" s="1019"/>
      <c r="H555" s="1019"/>
      <c r="I555" s="1140"/>
    </row>
    <row r="556" spans="1:9" x14ac:dyDescent="0.35">
      <c r="A556" s="1019"/>
      <c r="B556" s="1019"/>
      <c r="C556" s="1019"/>
      <c r="D556" s="3188"/>
      <c r="E556" s="1019"/>
      <c r="F556" s="1019"/>
      <c r="G556" s="1019"/>
      <c r="H556" s="1019"/>
      <c r="I556" s="1140"/>
    </row>
    <row r="557" spans="1:9" x14ac:dyDescent="0.35">
      <c r="A557" s="1019"/>
      <c r="B557" s="1019"/>
      <c r="C557" s="1019"/>
      <c r="D557" s="3188"/>
      <c r="E557" s="1019"/>
      <c r="F557" s="1019"/>
      <c r="G557" s="1019"/>
      <c r="H557" s="1019"/>
      <c r="I557" s="1140"/>
    </row>
    <row r="558" spans="1:9" x14ac:dyDescent="0.35">
      <c r="A558" s="1019"/>
      <c r="B558" s="1019"/>
      <c r="C558" s="1019"/>
      <c r="D558" s="3188"/>
      <c r="E558" s="1019"/>
      <c r="F558" s="1019"/>
      <c r="G558" s="1019"/>
      <c r="H558" s="1019"/>
      <c r="I558" s="1140"/>
    </row>
    <row r="559" spans="1:9" x14ac:dyDescent="0.35">
      <c r="A559" s="1019"/>
      <c r="B559" s="1019"/>
      <c r="C559" s="1019"/>
      <c r="D559" s="3188"/>
      <c r="E559" s="1019"/>
      <c r="F559" s="1019"/>
      <c r="G559" s="1019"/>
      <c r="H559" s="1019"/>
      <c r="I559" s="1140"/>
    </row>
    <row r="560" spans="1:9" x14ac:dyDescent="0.35">
      <c r="A560" s="1019"/>
      <c r="B560" s="1019"/>
      <c r="C560" s="1019"/>
      <c r="D560" s="3188"/>
      <c r="E560" s="1019"/>
      <c r="F560" s="1019"/>
      <c r="G560" s="1019"/>
      <c r="H560" s="1019"/>
      <c r="I560" s="1140"/>
    </row>
    <row r="561" spans="1:9" x14ac:dyDescent="0.35">
      <c r="A561" s="1019"/>
      <c r="B561" s="1019"/>
      <c r="C561" s="1019"/>
      <c r="D561" s="3188"/>
      <c r="E561" s="1019"/>
      <c r="F561" s="1019"/>
      <c r="G561" s="1019"/>
      <c r="H561" s="1019"/>
      <c r="I561" s="1140"/>
    </row>
    <row r="562" spans="1:9" x14ac:dyDescent="0.35">
      <c r="A562" s="1019"/>
      <c r="B562" s="1019"/>
      <c r="C562" s="1019"/>
      <c r="D562" s="3188"/>
      <c r="E562" s="1019"/>
      <c r="F562" s="1019"/>
      <c r="G562" s="1019"/>
      <c r="H562" s="1019"/>
      <c r="I562" s="1140"/>
    </row>
    <row r="563" spans="1:9" x14ac:dyDescent="0.35">
      <c r="A563" s="1019"/>
      <c r="B563" s="1019"/>
      <c r="C563" s="1019"/>
      <c r="D563" s="3188"/>
      <c r="E563" s="1019"/>
      <c r="F563" s="1019"/>
      <c r="G563" s="1019"/>
      <c r="H563" s="1019"/>
      <c r="I563" s="1140"/>
    </row>
    <row r="564" spans="1:9" x14ac:dyDescent="0.35">
      <c r="A564" s="1019"/>
      <c r="B564" s="1019"/>
      <c r="C564" s="1019"/>
      <c r="D564" s="3188"/>
      <c r="E564" s="1019"/>
      <c r="F564" s="1019"/>
      <c r="G564" s="1019"/>
      <c r="H564" s="1019"/>
      <c r="I564" s="1140"/>
    </row>
    <row r="565" spans="1:9" x14ac:dyDescent="0.35">
      <c r="A565" s="1019"/>
      <c r="B565" s="1019"/>
      <c r="C565" s="1019"/>
      <c r="D565" s="3188"/>
      <c r="E565" s="1019"/>
      <c r="F565" s="1019"/>
      <c r="G565" s="1019"/>
      <c r="H565" s="1019"/>
      <c r="I565" s="1140"/>
    </row>
    <row r="566" spans="1:9" x14ac:dyDescent="0.35">
      <c r="A566" s="1019"/>
      <c r="B566" s="1019"/>
      <c r="C566" s="1019"/>
      <c r="D566" s="3188"/>
      <c r="E566" s="1019"/>
      <c r="F566" s="1019"/>
      <c r="G566" s="1019"/>
      <c r="H566" s="1019"/>
      <c r="I566" s="1140"/>
    </row>
    <row r="567" spans="1:9" x14ac:dyDescent="0.35">
      <c r="A567" s="1019"/>
      <c r="B567" s="1019"/>
      <c r="C567" s="1019"/>
      <c r="D567" s="3188"/>
      <c r="E567" s="1019"/>
      <c r="F567" s="1019"/>
      <c r="G567" s="1019"/>
      <c r="H567" s="1019"/>
      <c r="I567" s="1140"/>
    </row>
    <row r="568" spans="1:9" x14ac:dyDescent="0.35">
      <c r="A568" s="1019"/>
      <c r="B568" s="1019"/>
      <c r="C568" s="1019"/>
      <c r="D568" s="3188"/>
      <c r="E568" s="1019"/>
      <c r="F568" s="1019"/>
      <c r="G568" s="1019"/>
      <c r="H568" s="1019"/>
      <c r="I568" s="1140"/>
    </row>
    <row r="569" spans="1:9" x14ac:dyDescent="0.35">
      <c r="A569" s="1019"/>
      <c r="B569" s="1019"/>
      <c r="C569" s="1019"/>
      <c r="D569" s="3188"/>
      <c r="E569" s="1019"/>
      <c r="F569" s="1019"/>
      <c r="G569" s="1019"/>
      <c r="H569" s="1019"/>
      <c r="I569" s="1140"/>
    </row>
    <row r="570" spans="1:9" x14ac:dyDescent="0.35">
      <c r="A570" s="1019"/>
      <c r="B570" s="1019"/>
      <c r="C570" s="1019"/>
      <c r="D570" s="3188"/>
      <c r="E570" s="1019"/>
      <c r="F570" s="1019"/>
      <c r="G570" s="1019"/>
      <c r="H570" s="1019"/>
      <c r="I570" s="1140"/>
    </row>
    <row r="571" spans="1:9" x14ac:dyDescent="0.35">
      <c r="A571" s="1019"/>
      <c r="B571" s="1019"/>
      <c r="C571" s="1019"/>
      <c r="D571" s="3188"/>
      <c r="E571" s="1019"/>
      <c r="F571" s="1019"/>
      <c r="G571" s="1019"/>
      <c r="H571" s="1019"/>
      <c r="I571" s="1140"/>
    </row>
    <row r="572" spans="1:9" x14ac:dyDescent="0.35">
      <c r="A572" s="1019"/>
      <c r="B572" s="1019"/>
      <c r="C572" s="1019"/>
      <c r="D572" s="3188"/>
      <c r="E572" s="1019"/>
      <c r="F572" s="1019"/>
      <c r="G572" s="1019"/>
      <c r="H572" s="1019"/>
      <c r="I572" s="1140"/>
    </row>
    <row r="573" spans="1:9" x14ac:dyDescent="0.35">
      <c r="A573" s="1019"/>
      <c r="B573" s="1019"/>
      <c r="C573" s="1019"/>
      <c r="D573" s="3188"/>
      <c r="E573" s="1019"/>
      <c r="F573" s="1019"/>
      <c r="G573" s="1019"/>
      <c r="H573" s="1019"/>
      <c r="I573" s="1140"/>
    </row>
    <row r="574" spans="1:9" x14ac:dyDescent="0.35">
      <c r="A574" s="1019"/>
      <c r="B574" s="1019"/>
      <c r="C574" s="1019"/>
      <c r="D574" s="3188"/>
      <c r="E574" s="1019"/>
      <c r="F574" s="1019"/>
      <c r="G574" s="1019"/>
      <c r="H574" s="1019"/>
      <c r="I574" s="1140"/>
    </row>
    <row r="575" spans="1:9" x14ac:dyDescent="0.35">
      <c r="A575" s="1019"/>
      <c r="B575" s="1019"/>
      <c r="C575" s="1019"/>
      <c r="D575" s="3188"/>
      <c r="E575" s="1019"/>
      <c r="F575" s="1019"/>
      <c r="G575" s="1019"/>
      <c r="H575" s="1019"/>
      <c r="I575" s="1140"/>
    </row>
    <row r="576" spans="1:9" x14ac:dyDescent="0.35">
      <c r="A576" s="1019"/>
      <c r="B576" s="1019"/>
      <c r="C576" s="1019"/>
      <c r="D576" s="3188"/>
      <c r="E576" s="1019"/>
      <c r="F576" s="1019"/>
      <c r="G576" s="1019"/>
      <c r="H576" s="1019"/>
      <c r="I576" s="1140"/>
    </row>
    <row r="577" spans="1:9" x14ac:dyDescent="0.35">
      <c r="A577" s="1019"/>
      <c r="B577" s="1019"/>
      <c r="C577" s="1019"/>
      <c r="D577" s="3188"/>
      <c r="E577" s="1019"/>
      <c r="F577" s="1019"/>
      <c r="G577" s="1019"/>
      <c r="H577" s="1019"/>
      <c r="I577" s="1140"/>
    </row>
    <row r="578" spans="1:9" x14ac:dyDescent="0.35">
      <c r="A578" s="1019"/>
      <c r="B578" s="1019"/>
      <c r="C578" s="1019"/>
      <c r="D578" s="3188"/>
      <c r="E578" s="1019"/>
      <c r="F578" s="1019"/>
      <c r="G578" s="1019"/>
      <c r="H578" s="1019"/>
      <c r="I578" s="1140"/>
    </row>
    <row r="579" spans="1:9" x14ac:dyDescent="0.35">
      <c r="A579" s="1019"/>
      <c r="B579" s="1019"/>
      <c r="C579" s="1019"/>
      <c r="D579" s="3188"/>
      <c r="E579" s="1019"/>
      <c r="F579" s="1019"/>
      <c r="G579" s="1019"/>
      <c r="H579" s="1019"/>
      <c r="I579" s="1140"/>
    </row>
    <row r="580" spans="1:9" x14ac:dyDescent="0.35">
      <c r="A580" s="1019"/>
      <c r="B580" s="1019"/>
      <c r="C580" s="1019"/>
      <c r="D580" s="3188"/>
      <c r="E580" s="1019"/>
      <c r="F580" s="1019"/>
      <c r="G580" s="1019"/>
      <c r="H580" s="1019"/>
      <c r="I580" s="1140"/>
    </row>
    <row r="581" spans="1:9" x14ac:dyDescent="0.35">
      <c r="A581" s="1019"/>
      <c r="B581" s="1019"/>
      <c r="C581" s="1019"/>
      <c r="D581" s="3188"/>
      <c r="E581" s="1019"/>
      <c r="F581" s="1019"/>
      <c r="G581" s="1019"/>
      <c r="H581" s="1019"/>
      <c r="I581" s="1140"/>
    </row>
    <row r="582" spans="1:9" x14ac:dyDescent="0.35">
      <c r="A582" s="1019"/>
      <c r="B582" s="1019"/>
      <c r="C582" s="1019"/>
      <c r="D582" s="3188"/>
      <c r="E582" s="1019"/>
      <c r="F582" s="1019"/>
      <c r="G582" s="1019"/>
      <c r="H582" s="1019"/>
      <c r="I582" s="1140"/>
    </row>
    <row r="583" spans="1:9" x14ac:dyDescent="0.35">
      <c r="A583" s="1019"/>
      <c r="B583" s="1019"/>
      <c r="C583" s="1019"/>
      <c r="D583" s="3188"/>
      <c r="E583" s="1019"/>
      <c r="F583" s="1019"/>
      <c r="G583" s="1019"/>
      <c r="H583" s="1019"/>
      <c r="I583" s="1140"/>
    </row>
    <row r="584" spans="1:9" x14ac:dyDescent="0.35">
      <c r="A584" s="1019"/>
      <c r="B584" s="1019"/>
      <c r="C584" s="1019"/>
      <c r="D584" s="3188"/>
      <c r="E584" s="1019"/>
      <c r="F584" s="1019"/>
      <c r="G584" s="1019"/>
      <c r="H584" s="1019"/>
      <c r="I584" s="1140"/>
    </row>
    <row r="585" spans="1:9" x14ac:dyDescent="0.35">
      <c r="A585" s="1019"/>
      <c r="B585" s="1019"/>
      <c r="C585" s="1019"/>
      <c r="D585" s="3188"/>
      <c r="E585" s="1019"/>
      <c r="F585" s="1019"/>
      <c r="G585" s="1019"/>
      <c r="H585" s="1019"/>
      <c r="I585" s="1140"/>
    </row>
    <row r="586" spans="1:9" x14ac:dyDescent="0.35">
      <c r="A586" s="1019"/>
      <c r="B586" s="1019"/>
      <c r="C586" s="1019"/>
      <c r="D586" s="3188"/>
      <c r="E586" s="1019"/>
      <c r="F586" s="1019"/>
      <c r="G586" s="1019"/>
      <c r="H586" s="1019"/>
      <c r="I586" s="1140"/>
    </row>
    <row r="587" spans="1:9" x14ac:dyDescent="0.35">
      <c r="A587" s="1019"/>
      <c r="B587" s="1019"/>
      <c r="C587" s="1019"/>
      <c r="D587" s="3188"/>
      <c r="E587" s="1019"/>
      <c r="F587" s="1019"/>
      <c r="G587" s="1019"/>
      <c r="H587" s="1019"/>
      <c r="I587" s="1140"/>
    </row>
    <row r="588" spans="1:9" x14ac:dyDescent="0.35">
      <c r="A588" s="1019"/>
      <c r="B588" s="1019"/>
      <c r="C588" s="1019"/>
      <c r="D588" s="3188"/>
      <c r="E588" s="1019"/>
      <c r="F588" s="1019"/>
      <c r="G588" s="1019"/>
      <c r="H588" s="1019"/>
      <c r="I588" s="1140"/>
    </row>
    <row r="589" spans="1:9" x14ac:dyDescent="0.35">
      <c r="A589" s="1019"/>
      <c r="B589" s="1019"/>
      <c r="C589" s="1019"/>
      <c r="D589" s="3188"/>
      <c r="E589" s="1019"/>
      <c r="F589" s="1019"/>
      <c r="G589" s="1019"/>
      <c r="H589" s="1019"/>
      <c r="I589" s="1140"/>
    </row>
    <row r="590" spans="1:9" x14ac:dyDescent="0.35">
      <c r="A590" s="1019"/>
      <c r="B590" s="1019"/>
      <c r="C590" s="1019"/>
      <c r="D590" s="3188"/>
      <c r="E590" s="1019"/>
      <c r="F590" s="1019"/>
      <c r="G590" s="1019"/>
      <c r="H590" s="1019"/>
      <c r="I590" s="1140"/>
    </row>
    <row r="591" spans="1:9" x14ac:dyDescent="0.35">
      <c r="A591" s="1019"/>
      <c r="B591" s="1019"/>
      <c r="C591" s="1019"/>
      <c r="D591" s="3188"/>
      <c r="E591" s="1019"/>
      <c r="F591" s="1019"/>
      <c r="G591" s="1019"/>
      <c r="H591" s="1019"/>
      <c r="I591" s="1140"/>
    </row>
    <row r="592" spans="1:9" x14ac:dyDescent="0.35">
      <c r="A592" s="1019"/>
      <c r="B592" s="1019"/>
      <c r="C592" s="1019"/>
      <c r="D592" s="3188"/>
      <c r="E592" s="1019"/>
      <c r="F592" s="1019"/>
      <c r="G592" s="1019"/>
      <c r="H592" s="1019"/>
      <c r="I592" s="1140"/>
    </row>
    <row r="593" spans="1:9" x14ac:dyDescent="0.35">
      <c r="A593" s="1019"/>
      <c r="B593" s="1019"/>
      <c r="C593" s="1019"/>
      <c r="D593" s="3188"/>
      <c r="E593" s="1019"/>
      <c r="F593" s="1019"/>
      <c r="G593" s="1019"/>
      <c r="H593" s="1019"/>
      <c r="I593" s="1140"/>
    </row>
    <row r="594" spans="1:9" x14ac:dyDescent="0.35">
      <c r="A594" s="1019"/>
      <c r="B594" s="1019"/>
      <c r="C594" s="1019"/>
      <c r="D594" s="3188"/>
      <c r="E594" s="1019"/>
      <c r="F594" s="1019"/>
      <c r="G594" s="1019"/>
      <c r="H594" s="1019"/>
      <c r="I594" s="1140"/>
    </row>
    <row r="595" spans="1:9" x14ac:dyDescent="0.35">
      <c r="A595" s="1019"/>
      <c r="B595" s="1019"/>
      <c r="C595" s="1019"/>
      <c r="D595" s="3188"/>
      <c r="E595" s="1019"/>
      <c r="F595" s="1019"/>
      <c r="G595" s="1019"/>
      <c r="H595" s="1019"/>
      <c r="I595" s="1140"/>
    </row>
    <row r="596" spans="1:9" x14ac:dyDescent="0.35">
      <c r="A596" s="1019"/>
      <c r="B596" s="1019"/>
      <c r="C596" s="1019"/>
      <c r="D596" s="3188"/>
      <c r="E596" s="1019"/>
      <c r="F596" s="1019"/>
      <c r="G596" s="1019"/>
      <c r="H596" s="1019"/>
      <c r="I596" s="1140"/>
    </row>
    <row r="597" spans="1:9" x14ac:dyDescent="0.35">
      <c r="A597" s="1019"/>
      <c r="B597" s="1019"/>
      <c r="C597" s="1019"/>
      <c r="D597" s="3188"/>
      <c r="E597" s="1019"/>
      <c r="F597" s="1019"/>
      <c r="G597" s="1019"/>
      <c r="H597" s="1019"/>
      <c r="I597" s="1140"/>
    </row>
    <row r="598" spans="1:9" x14ac:dyDescent="0.35">
      <c r="A598" s="1019"/>
      <c r="B598" s="1019"/>
      <c r="C598" s="1019"/>
      <c r="D598" s="3188"/>
      <c r="E598" s="1019"/>
      <c r="F598" s="1019"/>
      <c r="G598" s="1019"/>
      <c r="H598" s="1019"/>
      <c r="I598" s="1140"/>
    </row>
    <row r="599" spans="1:9" x14ac:dyDescent="0.35">
      <c r="A599" s="1019"/>
      <c r="B599" s="1019"/>
      <c r="C599" s="1019"/>
      <c r="D599" s="3188"/>
      <c r="E599" s="1019"/>
      <c r="F599" s="1019"/>
      <c r="G599" s="1019"/>
      <c r="H599" s="1019"/>
      <c r="I599" s="1140"/>
    </row>
    <row r="600" spans="1:9" x14ac:dyDescent="0.35">
      <c r="A600" s="1019"/>
      <c r="B600" s="1019"/>
      <c r="C600" s="1019"/>
      <c r="D600" s="3188"/>
      <c r="E600" s="1019"/>
      <c r="F600" s="1019"/>
      <c r="G600" s="1019"/>
      <c r="H600" s="1019"/>
      <c r="I600" s="1140"/>
    </row>
    <row r="601" spans="1:9" x14ac:dyDescent="0.35">
      <c r="A601" s="1019"/>
      <c r="B601" s="1019"/>
      <c r="C601" s="1019"/>
      <c r="D601" s="3188"/>
      <c r="E601" s="1019"/>
      <c r="F601" s="1019"/>
      <c r="G601" s="1019"/>
      <c r="H601" s="1019"/>
      <c r="I601" s="1140"/>
    </row>
    <row r="602" spans="1:9" x14ac:dyDescent="0.35">
      <c r="A602" s="1019"/>
      <c r="B602" s="1019"/>
      <c r="C602" s="1019"/>
      <c r="D602" s="3188"/>
      <c r="E602" s="1019"/>
      <c r="F602" s="1019"/>
      <c r="G602" s="1019"/>
      <c r="H602" s="1019"/>
      <c r="I602" s="1140"/>
    </row>
    <row r="603" spans="1:9" x14ac:dyDescent="0.35">
      <c r="A603" s="1019"/>
      <c r="B603" s="1019"/>
      <c r="C603" s="1019"/>
      <c r="D603" s="3188"/>
      <c r="E603" s="1019"/>
      <c r="F603" s="1019"/>
      <c r="G603" s="1019"/>
      <c r="H603" s="1019"/>
      <c r="I603" s="1140"/>
    </row>
    <row r="604" spans="1:9" x14ac:dyDescent="0.35">
      <c r="A604" s="1019"/>
      <c r="B604" s="1019"/>
      <c r="C604" s="1019"/>
      <c r="D604" s="3188"/>
      <c r="E604" s="1019"/>
      <c r="F604" s="1019"/>
      <c r="G604" s="1019"/>
      <c r="H604" s="1019"/>
      <c r="I604" s="1140"/>
    </row>
    <row r="605" spans="1:9" x14ac:dyDescent="0.35">
      <c r="A605" s="1019"/>
      <c r="B605" s="1019"/>
      <c r="C605" s="1019"/>
      <c r="D605" s="3188"/>
      <c r="E605" s="1019"/>
      <c r="F605" s="1019"/>
      <c r="G605" s="1019"/>
      <c r="H605" s="1019"/>
      <c r="I605" s="1140"/>
    </row>
    <row r="606" spans="1:9" x14ac:dyDescent="0.35">
      <c r="A606" s="1019"/>
      <c r="B606" s="1019"/>
      <c r="C606" s="1019"/>
      <c r="D606" s="3188"/>
      <c r="E606" s="1019"/>
      <c r="F606" s="1019"/>
      <c r="G606" s="1019"/>
      <c r="H606" s="1019"/>
      <c r="I606" s="1140"/>
    </row>
    <row r="607" spans="1:9" x14ac:dyDescent="0.35">
      <c r="A607" s="1019"/>
      <c r="B607" s="1019"/>
      <c r="C607" s="1019"/>
      <c r="D607" s="3188"/>
      <c r="E607" s="1019"/>
      <c r="F607" s="1019"/>
      <c r="G607" s="1019"/>
      <c r="H607" s="1019"/>
      <c r="I607" s="1140"/>
    </row>
    <row r="608" spans="1:9" x14ac:dyDescent="0.35">
      <c r="A608" s="1019"/>
      <c r="B608" s="1019"/>
      <c r="C608" s="1019"/>
      <c r="D608" s="3188"/>
      <c r="E608" s="1019"/>
      <c r="F608" s="1019"/>
      <c r="G608" s="1019"/>
      <c r="H608" s="1019"/>
      <c r="I608" s="1140"/>
    </row>
    <row r="609" spans="1:9" x14ac:dyDescent="0.35">
      <c r="A609" s="1019"/>
      <c r="B609" s="1019"/>
      <c r="C609" s="1019"/>
      <c r="D609" s="3188"/>
      <c r="E609" s="1019"/>
      <c r="F609" s="1019"/>
      <c r="G609" s="1019"/>
      <c r="H609" s="1019"/>
      <c r="I609" s="1140"/>
    </row>
    <row r="610" spans="1:9" x14ac:dyDescent="0.35">
      <c r="A610" s="1019"/>
      <c r="B610" s="1019"/>
      <c r="C610" s="1019"/>
      <c r="D610" s="3188"/>
      <c r="E610" s="1019"/>
      <c r="F610" s="1019"/>
      <c r="G610" s="1019"/>
      <c r="H610" s="1019"/>
      <c r="I610" s="1140"/>
    </row>
    <row r="611" spans="1:9" x14ac:dyDescent="0.35">
      <c r="A611" s="1019"/>
      <c r="B611" s="1019"/>
      <c r="C611" s="1019"/>
      <c r="D611" s="3188"/>
      <c r="E611" s="1019"/>
      <c r="F611" s="1019"/>
      <c r="G611" s="1019"/>
      <c r="H611" s="1019"/>
      <c r="I611" s="1140"/>
    </row>
    <row r="612" spans="1:9" x14ac:dyDescent="0.35">
      <c r="A612" s="1019"/>
      <c r="B612" s="1019"/>
      <c r="C612" s="1019"/>
      <c r="D612" s="3188"/>
      <c r="E612" s="1019"/>
      <c r="F612" s="1019"/>
      <c r="G612" s="1019"/>
      <c r="H612" s="1019"/>
      <c r="I612" s="1140"/>
    </row>
    <row r="613" spans="1:9" x14ac:dyDescent="0.35">
      <c r="A613" s="1019"/>
      <c r="B613" s="1019"/>
      <c r="C613" s="1019"/>
      <c r="D613" s="3188"/>
      <c r="E613" s="1019"/>
      <c r="F613" s="1019"/>
      <c r="G613" s="1019"/>
      <c r="H613" s="1019"/>
      <c r="I613" s="1140"/>
    </row>
    <row r="614" spans="1:9" x14ac:dyDescent="0.35">
      <c r="A614" s="1019"/>
      <c r="B614" s="1019"/>
      <c r="C614" s="1019"/>
      <c r="D614" s="3188"/>
      <c r="E614" s="1019"/>
      <c r="F614" s="1019"/>
      <c r="G614" s="1019"/>
      <c r="H614" s="1019"/>
      <c r="I614" s="1140"/>
    </row>
    <row r="615" spans="1:9" x14ac:dyDescent="0.35">
      <c r="A615" s="1019"/>
      <c r="B615" s="1019"/>
      <c r="C615" s="1019"/>
      <c r="D615" s="3188"/>
      <c r="E615" s="1019"/>
      <c r="F615" s="1019"/>
      <c r="G615" s="1019"/>
      <c r="H615" s="1019"/>
      <c r="I615" s="1140"/>
    </row>
    <row r="616" spans="1:9" x14ac:dyDescent="0.35">
      <c r="A616" s="1019"/>
      <c r="B616" s="1019"/>
      <c r="C616" s="1019"/>
      <c r="D616" s="3188"/>
      <c r="E616" s="1019"/>
      <c r="F616" s="1019"/>
      <c r="G616" s="1019"/>
      <c r="H616" s="1019"/>
      <c r="I616" s="1140"/>
    </row>
    <row r="617" spans="1:9" x14ac:dyDescent="0.35">
      <c r="A617" s="1019"/>
      <c r="B617" s="1019"/>
      <c r="C617" s="1019"/>
      <c r="D617" s="3188"/>
      <c r="E617" s="1019"/>
      <c r="F617" s="1019"/>
      <c r="G617" s="1019"/>
      <c r="H617" s="1019"/>
      <c r="I617" s="1140"/>
    </row>
    <row r="618" spans="1:9" x14ac:dyDescent="0.35">
      <c r="A618" s="1019"/>
      <c r="B618" s="1019"/>
      <c r="C618" s="1019"/>
      <c r="D618" s="3188"/>
      <c r="E618" s="1019"/>
      <c r="F618" s="1019"/>
      <c r="G618" s="1019"/>
      <c r="H618" s="1019"/>
      <c r="I618" s="1140"/>
    </row>
    <row r="619" spans="1:9" x14ac:dyDescent="0.35">
      <c r="A619" s="1019"/>
      <c r="B619" s="1019"/>
      <c r="C619" s="1019"/>
      <c r="D619" s="3188"/>
      <c r="E619" s="1019"/>
      <c r="F619" s="1019"/>
      <c r="G619" s="1019"/>
      <c r="H619" s="1019"/>
      <c r="I619" s="1140"/>
    </row>
    <row r="620" spans="1:9" x14ac:dyDescent="0.35">
      <c r="A620" s="1019"/>
      <c r="B620" s="1019"/>
      <c r="C620" s="1019"/>
      <c r="D620" s="3188"/>
      <c r="E620" s="1019"/>
      <c r="F620" s="1019"/>
      <c r="G620" s="1019"/>
      <c r="H620" s="1019"/>
      <c r="I620" s="1140"/>
    </row>
    <row r="621" spans="1:9" x14ac:dyDescent="0.35">
      <c r="A621" s="1019"/>
      <c r="B621" s="1019"/>
      <c r="C621" s="1019"/>
      <c r="D621" s="3188"/>
      <c r="E621" s="1019"/>
      <c r="F621" s="1019"/>
      <c r="G621" s="1019"/>
      <c r="H621" s="1019"/>
      <c r="I621" s="1140"/>
    </row>
    <row r="622" spans="1:9" x14ac:dyDescent="0.35">
      <c r="A622" s="1019"/>
      <c r="B622" s="1019"/>
      <c r="C622" s="1019"/>
      <c r="D622" s="3188"/>
      <c r="E622" s="1019"/>
      <c r="F622" s="1019"/>
      <c r="G622" s="1019"/>
      <c r="H622" s="1019"/>
      <c r="I622" s="1140"/>
    </row>
    <row r="623" spans="1:9" x14ac:dyDescent="0.35">
      <c r="A623" s="1019"/>
      <c r="B623" s="1019"/>
      <c r="C623" s="1019"/>
      <c r="D623" s="3188"/>
      <c r="E623" s="1019"/>
      <c r="F623" s="1019"/>
      <c r="G623" s="1019"/>
      <c r="H623" s="1019"/>
      <c r="I623" s="1140"/>
    </row>
    <row r="624" spans="1:9" x14ac:dyDescent="0.35">
      <c r="A624" s="1019"/>
      <c r="B624" s="1019"/>
      <c r="C624" s="1019"/>
      <c r="D624" s="3188"/>
      <c r="E624" s="1019"/>
      <c r="F624" s="1019"/>
      <c r="G624" s="1019"/>
      <c r="H624" s="1019"/>
      <c r="I624" s="1140"/>
    </row>
    <row r="625" spans="1:9" x14ac:dyDescent="0.35">
      <c r="A625" s="1019"/>
      <c r="B625" s="1019"/>
      <c r="C625" s="1019"/>
      <c r="D625" s="3188"/>
      <c r="E625" s="1019"/>
      <c r="F625" s="1019"/>
      <c r="G625" s="1019"/>
      <c r="H625" s="1019"/>
      <c r="I625" s="1140"/>
    </row>
    <row r="626" spans="1:9" x14ac:dyDescent="0.35">
      <c r="A626" s="1019"/>
      <c r="B626" s="1019"/>
      <c r="C626" s="1019"/>
      <c r="D626" s="3188"/>
      <c r="E626" s="1019"/>
      <c r="F626" s="1019"/>
      <c r="G626" s="1019"/>
      <c r="H626" s="1019"/>
      <c r="I626" s="1140"/>
    </row>
    <row r="627" spans="1:9" x14ac:dyDescent="0.35">
      <c r="A627" s="1019"/>
      <c r="B627" s="1019"/>
      <c r="C627" s="1019"/>
      <c r="D627" s="3188"/>
      <c r="E627" s="1019"/>
      <c r="F627" s="1019"/>
      <c r="G627" s="1019"/>
      <c r="H627" s="1019"/>
      <c r="I627" s="1140"/>
    </row>
    <row r="628" spans="1:9" x14ac:dyDescent="0.35">
      <c r="A628" s="1019"/>
      <c r="B628" s="1019"/>
      <c r="C628" s="1019"/>
      <c r="D628" s="3188"/>
      <c r="E628" s="1019"/>
      <c r="F628" s="1019"/>
      <c r="G628" s="1019"/>
      <c r="H628" s="1019"/>
      <c r="I628" s="1140"/>
    </row>
    <row r="629" spans="1:9" x14ac:dyDescent="0.35">
      <c r="A629" s="1019"/>
      <c r="B629" s="1019"/>
      <c r="C629" s="1019"/>
      <c r="D629" s="3188"/>
      <c r="E629" s="1019"/>
      <c r="F629" s="1019"/>
      <c r="G629" s="1019"/>
      <c r="H629" s="1019"/>
      <c r="I629" s="1140"/>
    </row>
    <row r="630" spans="1:9" x14ac:dyDescent="0.35">
      <c r="A630" s="1019"/>
      <c r="B630" s="1019"/>
      <c r="C630" s="1019"/>
      <c r="D630" s="3188"/>
      <c r="E630" s="1019"/>
      <c r="F630" s="1019"/>
      <c r="G630" s="1019"/>
      <c r="H630" s="1019"/>
      <c r="I630" s="1140"/>
    </row>
    <row r="631" spans="1:9" x14ac:dyDescent="0.35">
      <c r="A631" s="1019"/>
      <c r="B631" s="1019"/>
      <c r="C631" s="1019"/>
      <c r="D631" s="3188"/>
      <c r="E631" s="1019"/>
      <c r="F631" s="1019"/>
      <c r="G631" s="1019"/>
      <c r="H631" s="1019"/>
      <c r="I631" s="1140"/>
    </row>
    <row r="632" spans="1:9" x14ac:dyDescent="0.35">
      <c r="A632" s="1019"/>
      <c r="B632" s="1019"/>
      <c r="C632" s="1019"/>
      <c r="D632" s="3188"/>
      <c r="E632" s="1019"/>
      <c r="F632" s="1019"/>
      <c r="G632" s="1019"/>
      <c r="H632" s="1019"/>
      <c r="I632" s="1140"/>
    </row>
    <row r="633" spans="1:9" x14ac:dyDescent="0.35">
      <c r="A633" s="1019"/>
      <c r="B633" s="1019"/>
      <c r="C633" s="1019"/>
      <c r="D633" s="3188"/>
      <c r="E633" s="1019"/>
      <c r="F633" s="1019"/>
      <c r="G633" s="1019"/>
      <c r="H633" s="1019"/>
      <c r="I633" s="1140"/>
    </row>
    <row r="634" spans="1:9" x14ac:dyDescent="0.35">
      <c r="A634" s="1019"/>
      <c r="B634" s="1019"/>
      <c r="C634" s="1019"/>
      <c r="D634" s="3188"/>
      <c r="E634" s="1019"/>
      <c r="F634" s="1019"/>
      <c r="G634" s="1019"/>
      <c r="H634" s="1019"/>
      <c r="I634" s="1140"/>
    </row>
    <row r="635" spans="1:9" x14ac:dyDescent="0.35">
      <c r="A635" s="1019"/>
      <c r="B635" s="1019"/>
      <c r="C635" s="1019"/>
      <c r="D635" s="3188"/>
      <c r="E635" s="1019"/>
      <c r="F635" s="1019"/>
      <c r="G635" s="1019"/>
      <c r="H635" s="1019"/>
      <c r="I635" s="1140"/>
    </row>
    <row r="636" spans="1:9" x14ac:dyDescent="0.35">
      <c r="A636" s="1019"/>
      <c r="B636" s="1019"/>
      <c r="C636" s="1019"/>
      <c r="D636" s="3188"/>
      <c r="E636" s="1019"/>
      <c r="F636" s="1019"/>
      <c r="G636" s="1019"/>
      <c r="H636" s="1019"/>
      <c r="I636" s="1140"/>
    </row>
    <row r="637" spans="1:9" x14ac:dyDescent="0.35">
      <c r="A637" s="1019"/>
      <c r="B637" s="1019"/>
      <c r="C637" s="1019"/>
      <c r="D637" s="3188"/>
      <c r="E637" s="1019"/>
      <c r="F637" s="1019"/>
      <c r="G637" s="1019"/>
      <c r="H637" s="1019"/>
      <c r="I637" s="1140"/>
    </row>
    <row r="638" spans="1:9" x14ac:dyDescent="0.35">
      <c r="A638" s="1019"/>
      <c r="B638" s="1019"/>
      <c r="C638" s="1019"/>
      <c r="D638" s="3188"/>
      <c r="E638" s="1019"/>
      <c r="F638" s="1019"/>
      <c r="G638" s="1019"/>
      <c r="H638" s="1019"/>
      <c r="I638" s="1140"/>
    </row>
    <row r="639" spans="1:9" x14ac:dyDescent="0.35">
      <c r="A639" s="1019"/>
      <c r="B639" s="1019"/>
      <c r="C639" s="1019"/>
      <c r="D639" s="3188"/>
      <c r="E639" s="1019"/>
      <c r="F639" s="1019"/>
      <c r="G639" s="1019"/>
      <c r="H639" s="1019"/>
      <c r="I639" s="1140"/>
    </row>
    <row r="640" spans="1:9" x14ac:dyDescent="0.35">
      <c r="A640" s="1019"/>
      <c r="B640" s="1019"/>
      <c r="C640" s="1019"/>
      <c r="D640" s="3188"/>
      <c r="E640" s="1019"/>
      <c r="F640" s="1019"/>
      <c r="G640" s="1019"/>
      <c r="H640" s="1019"/>
      <c r="I640" s="1140"/>
    </row>
    <row r="641" spans="1:9" x14ac:dyDescent="0.35">
      <c r="A641" s="1019"/>
      <c r="B641" s="1019"/>
      <c r="C641" s="1019"/>
      <c r="D641" s="3188"/>
      <c r="E641" s="1019"/>
      <c r="F641" s="1019"/>
      <c r="G641" s="1019"/>
      <c r="H641" s="1019"/>
      <c r="I641" s="1140"/>
    </row>
    <row r="642" spans="1:9" x14ac:dyDescent="0.35">
      <c r="A642" s="1019"/>
      <c r="B642" s="1019"/>
      <c r="C642" s="1019"/>
      <c r="D642" s="3188"/>
      <c r="E642" s="1019"/>
      <c r="F642" s="1019"/>
      <c r="G642" s="1019"/>
      <c r="H642" s="1019"/>
      <c r="I642" s="1140"/>
    </row>
    <row r="643" spans="1:9" x14ac:dyDescent="0.35">
      <c r="A643" s="1019"/>
      <c r="B643" s="1019"/>
      <c r="C643" s="1019"/>
      <c r="D643" s="3188"/>
      <c r="E643" s="1019"/>
      <c r="F643" s="1019"/>
      <c r="G643" s="1019"/>
      <c r="H643" s="1019"/>
      <c r="I643" s="1140"/>
    </row>
    <row r="644" spans="1:9" x14ac:dyDescent="0.35">
      <c r="A644" s="1019"/>
      <c r="B644" s="1019"/>
      <c r="C644" s="1019"/>
      <c r="D644" s="3188"/>
      <c r="E644" s="1019"/>
      <c r="F644" s="1019"/>
      <c r="G644" s="1019"/>
      <c r="H644" s="1019"/>
      <c r="I644" s="1140"/>
    </row>
    <row r="645" spans="1:9" x14ac:dyDescent="0.35">
      <c r="A645" s="1019"/>
      <c r="B645" s="1019"/>
      <c r="C645" s="1019"/>
      <c r="D645" s="3188"/>
      <c r="E645" s="1019"/>
      <c r="F645" s="1019"/>
      <c r="G645" s="1019"/>
      <c r="H645" s="1019"/>
      <c r="I645" s="1140"/>
    </row>
    <row r="646" spans="1:9" x14ac:dyDescent="0.35">
      <c r="A646" s="1019"/>
      <c r="B646" s="1019"/>
      <c r="C646" s="1019"/>
      <c r="D646" s="3188"/>
      <c r="E646" s="1019"/>
      <c r="F646" s="1019"/>
      <c r="G646" s="1019"/>
      <c r="H646" s="1019"/>
      <c r="I646" s="1140"/>
    </row>
    <row r="647" spans="1:9" x14ac:dyDescent="0.35">
      <c r="A647" s="1019"/>
      <c r="B647" s="1019"/>
      <c r="C647" s="1019"/>
      <c r="D647" s="3188"/>
      <c r="E647" s="1019"/>
      <c r="F647" s="1019"/>
      <c r="G647" s="1019"/>
      <c r="H647" s="1019"/>
      <c r="I647" s="1140"/>
    </row>
    <row r="648" spans="1:9" x14ac:dyDescent="0.35">
      <c r="A648" s="1019"/>
      <c r="B648" s="1019"/>
      <c r="C648" s="1019"/>
      <c r="D648" s="3188"/>
      <c r="E648" s="1019"/>
      <c r="F648" s="1019"/>
      <c r="G648" s="1019"/>
      <c r="H648" s="1019"/>
      <c r="I648" s="1140"/>
    </row>
    <row r="649" spans="1:9" x14ac:dyDescent="0.35">
      <c r="A649" s="1019"/>
      <c r="B649" s="1019"/>
      <c r="C649" s="1019"/>
      <c r="D649" s="3188"/>
      <c r="E649" s="1019"/>
      <c r="F649" s="1019"/>
      <c r="G649" s="1019"/>
      <c r="H649" s="1019"/>
      <c r="I649" s="1140"/>
    </row>
    <row r="650" spans="1:9" x14ac:dyDescent="0.35">
      <c r="A650" s="1019"/>
      <c r="B650" s="1019"/>
      <c r="C650" s="1019"/>
      <c r="D650" s="3188"/>
      <c r="E650" s="1019"/>
      <c r="F650" s="1019"/>
      <c r="G650" s="1019"/>
      <c r="H650" s="1019"/>
      <c r="I650" s="1140"/>
    </row>
    <row r="651" spans="1:9" x14ac:dyDescent="0.35">
      <c r="A651" s="1019"/>
      <c r="B651" s="1019"/>
      <c r="C651" s="1019"/>
      <c r="D651" s="3188"/>
      <c r="E651" s="1019"/>
      <c r="F651" s="1019"/>
      <c r="G651" s="1019"/>
      <c r="H651" s="1019"/>
      <c r="I651" s="1140"/>
    </row>
    <row r="652" spans="1:9" x14ac:dyDescent="0.35">
      <c r="A652" s="1019"/>
      <c r="B652" s="1019"/>
      <c r="C652" s="1019"/>
      <c r="D652" s="3188"/>
      <c r="E652" s="1019"/>
      <c r="F652" s="1019"/>
      <c r="G652" s="1019"/>
      <c r="H652" s="1019"/>
      <c r="I652" s="1140"/>
    </row>
    <row r="653" spans="1:9" x14ac:dyDescent="0.35">
      <c r="A653" s="1019"/>
      <c r="B653" s="1019"/>
      <c r="C653" s="1019"/>
      <c r="D653" s="3188"/>
      <c r="E653" s="1019"/>
      <c r="F653" s="1019"/>
      <c r="G653" s="1019"/>
      <c r="H653" s="1019"/>
      <c r="I653" s="1140"/>
    </row>
    <row r="654" spans="1:9" x14ac:dyDescent="0.35">
      <c r="A654" s="1019"/>
      <c r="B654" s="1019"/>
      <c r="C654" s="1019"/>
      <c r="D654" s="3188"/>
      <c r="E654" s="1019"/>
      <c r="F654" s="1019"/>
      <c r="G654" s="1019"/>
      <c r="H654" s="1019"/>
      <c r="I654" s="1140"/>
    </row>
    <row r="655" spans="1:9" x14ac:dyDescent="0.35">
      <c r="A655" s="1019"/>
      <c r="B655" s="1019"/>
      <c r="C655" s="1019"/>
      <c r="D655" s="3188"/>
      <c r="E655" s="1019"/>
      <c r="F655" s="1019"/>
      <c r="G655" s="1019"/>
      <c r="H655" s="1019"/>
      <c r="I655" s="1140"/>
    </row>
    <row r="656" spans="1:9" x14ac:dyDescent="0.35">
      <c r="A656" s="1019"/>
      <c r="B656" s="1019"/>
      <c r="C656" s="1019"/>
      <c r="D656" s="3188"/>
      <c r="E656" s="1019"/>
      <c r="F656" s="1019"/>
      <c r="G656" s="1019"/>
      <c r="H656" s="1019"/>
      <c r="I656" s="1140"/>
    </row>
    <row r="657" spans="1:9" x14ac:dyDescent="0.35">
      <c r="A657" s="1019"/>
      <c r="B657" s="1019"/>
      <c r="C657" s="1019"/>
      <c r="D657" s="3188"/>
      <c r="E657" s="1019"/>
      <c r="F657" s="1019"/>
      <c r="G657" s="1019"/>
      <c r="H657" s="1019"/>
      <c r="I657" s="1140"/>
    </row>
    <row r="658" spans="1:9" x14ac:dyDescent="0.35">
      <c r="A658" s="1019"/>
      <c r="B658" s="1019"/>
      <c r="C658" s="1019"/>
      <c r="D658" s="3188"/>
      <c r="E658" s="1019"/>
      <c r="F658" s="1019"/>
      <c r="G658" s="1019"/>
      <c r="H658" s="1019"/>
      <c r="I658" s="1140"/>
    </row>
    <row r="659" spans="1:9" x14ac:dyDescent="0.35">
      <c r="A659" s="1019"/>
      <c r="B659" s="1019"/>
      <c r="C659" s="1019"/>
      <c r="D659" s="3188"/>
      <c r="E659" s="1019"/>
      <c r="F659" s="1019"/>
      <c r="G659" s="1019"/>
      <c r="H659" s="1019"/>
      <c r="I659" s="1140"/>
    </row>
    <row r="660" spans="1:9" x14ac:dyDescent="0.35">
      <c r="A660" s="1019"/>
      <c r="B660" s="1019"/>
      <c r="C660" s="1019"/>
      <c r="D660" s="3188"/>
      <c r="E660" s="1019"/>
      <c r="F660" s="1019"/>
      <c r="G660" s="1019"/>
      <c r="H660" s="1019"/>
      <c r="I660" s="1140"/>
    </row>
    <row r="661" spans="1:9" x14ac:dyDescent="0.35">
      <c r="A661" s="1019"/>
      <c r="B661" s="1019"/>
      <c r="C661" s="1019"/>
      <c r="D661" s="3188"/>
      <c r="E661" s="1019"/>
      <c r="F661" s="1019"/>
      <c r="G661" s="1019"/>
      <c r="H661" s="1019"/>
      <c r="I661" s="1140"/>
    </row>
    <row r="662" spans="1:9" x14ac:dyDescent="0.35">
      <c r="A662" s="1019"/>
      <c r="B662" s="1019"/>
      <c r="C662" s="1019"/>
      <c r="D662" s="3188"/>
      <c r="E662" s="1019"/>
      <c r="F662" s="1019"/>
      <c r="G662" s="1019"/>
      <c r="H662" s="1019"/>
      <c r="I662" s="1140"/>
    </row>
    <row r="663" spans="1:9" x14ac:dyDescent="0.35">
      <c r="A663" s="1019"/>
      <c r="B663" s="1019"/>
      <c r="C663" s="1019"/>
      <c r="D663" s="3188"/>
      <c r="E663" s="1019"/>
      <c r="F663" s="1019"/>
      <c r="G663" s="1019"/>
      <c r="H663" s="1019"/>
      <c r="I663" s="1140"/>
    </row>
    <row r="664" spans="1:9" x14ac:dyDescent="0.35">
      <c r="A664" s="1019"/>
      <c r="B664" s="1019"/>
      <c r="C664" s="1019"/>
      <c r="D664" s="3188"/>
      <c r="E664" s="1019"/>
      <c r="F664" s="1019"/>
      <c r="G664" s="1019"/>
      <c r="H664" s="1019"/>
      <c r="I664" s="1140"/>
    </row>
    <row r="665" spans="1:9" x14ac:dyDescent="0.35">
      <c r="A665" s="1019"/>
      <c r="B665" s="1019"/>
      <c r="C665" s="1019"/>
      <c r="D665" s="3188"/>
      <c r="E665" s="1019"/>
      <c r="F665" s="1019"/>
      <c r="G665" s="1019"/>
      <c r="H665" s="1019"/>
      <c r="I665" s="1140"/>
    </row>
    <row r="666" spans="1:9" x14ac:dyDescent="0.35">
      <c r="A666" s="1019"/>
      <c r="B666" s="1019"/>
      <c r="C666" s="1019"/>
      <c r="D666" s="3188"/>
      <c r="E666" s="1019"/>
      <c r="F666" s="1019"/>
      <c r="G666" s="1019"/>
      <c r="H666" s="1019"/>
      <c r="I666" s="1140"/>
    </row>
    <row r="667" spans="1:9" x14ac:dyDescent="0.35">
      <c r="A667" s="1019"/>
      <c r="B667" s="1019"/>
      <c r="C667" s="1019"/>
      <c r="D667" s="3188"/>
      <c r="E667" s="1019"/>
      <c r="F667" s="1019"/>
      <c r="G667" s="1019"/>
      <c r="H667" s="1019"/>
      <c r="I667" s="1140"/>
    </row>
    <row r="668" spans="1:9" x14ac:dyDescent="0.35">
      <c r="A668" s="1019"/>
      <c r="B668" s="1019"/>
      <c r="C668" s="1019"/>
      <c r="D668" s="3188"/>
      <c r="E668" s="1019"/>
      <c r="F668" s="1019"/>
      <c r="G668" s="1019"/>
      <c r="H668" s="1019"/>
      <c r="I668" s="1140"/>
    </row>
    <row r="669" spans="1:9" x14ac:dyDescent="0.35">
      <c r="A669" s="1019"/>
      <c r="B669" s="1019"/>
      <c r="C669" s="1019"/>
      <c r="D669" s="3188"/>
      <c r="E669" s="1019"/>
      <c r="F669" s="1019"/>
      <c r="G669" s="1019"/>
      <c r="H669" s="1019"/>
      <c r="I669" s="1140"/>
    </row>
    <row r="670" spans="1:9" x14ac:dyDescent="0.35">
      <c r="A670" s="1019"/>
      <c r="B670" s="1019"/>
      <c r="C670" s="1019"/>
      <c r="D670" s="3188"/>
      <c r="E670" s="1019"/>
      <c r="F670" s="1019"/>
      <c r="G670" s="1019"/>
      <c r="H670" s="1019"/>
      <c r="I670" s="1140"/>
    </row>
    <row r="671" spans="1:9" x14ac:dyDescent="0.35">
      <c r="A671" s="1019"/>
      <c r="B671" s="1019"/>
      <c r="C671" s="1019"/>
      <c r="D671" s="3188"/>
      <c r="E671" s="1019"/>
      <c r="F671" s="1019"/>
      <c r="G671" s="1019"/>
      <c r="H671" s="1019"/>
      <c r="I671" s="1140"/>
    </row>
    <row r="672" spans="1:9" x14ac:dyDescent="0.35">
      <c r="A672" s="1019"/>
      <c r="B672" s="1019"/>
      <c r="C672" s="1019"/>
      <c r="D672" s="3188"/>
      <c r="E672" s="1019"/>
      <c r="F672" s="1019"/>
      <c r="G672" s="1019"/>
      <c r="H672" s="1019"/>
      <c r="I672" s="1140"/>
    </row>
    <row r="673" spans="1:9" x14ac:dyDescent="0.35">
      <c r="A673" s="1019"/>
      <c r="B673" s="1019"/>
      <c r="C673" s="1019"/>
      <c r="D673" s="3188"/>
      <c r="E673" s="1019"/>
      <c r="F673" s="1019"/>
      <c r="G673" s="1019"/>
      <c r="H673" s="1019"/>
      <c r="I673" s="1140"/>
    </row>
    <row r="674" spans="1:9" x14ac:dyDescent="0.35">
      <c r="A674" s="1019"/>
      <c r="B674" s="1019"/>
      <c r="C674" s="1019"/>
      <c r="D674" s="3188"/>
      <c r="E674" s="1019"/>
      <c r="F674" s="1019"/>
      <c r="G674" s="1019"/>
      <c r="H674" s="1019"/>
      <c r="I674" s="1140"/>
    </row>
    <row r="675" spans="1:9" x14ac:dyDescent="0.35">
      <c r="A675" s="1019"/>
      <c r="B675" s="1019"/>
      <c r="C675" s="1019"/>
      <c r="D675" s="3188"/>
      <c r="E675" s="1019"/>
      <c r="F675" s="1019"/>
      <c r="G675" s="1019"/>
      <c r="H675" s="1019"/>
      <c r="I675" s="1140"/>
    </row>
    <row r="676" spans="1:9" x14ac:dyDescent="0.35">
      <c r="A676" s="1019"/>
      <c r="B676" s="1019"/>
      <c r="C676" s="1019"/>
      <c r="D676" s="3188"/>
      <c r="E676" s="1019"/>
      <c r="F676" s="1019"/>
      <c r="G676" s="1019"/>
      <c r="H676" s="1019"/>
      <c r="I676" s="1140"/>
    </row>
    <row r="677" spans="1:9" x14ac:dyDescent="0.35">
      <c r="A677" s="1019"/>
      <c r="B677" s="1019"/>
      <c r="C677" s="1019"/>
      <c r="D677" s="3188"/>
      <c r="E677" s="1019"/>
      <c r="F677" s="1019"/>
      <c r="G677" s="1019"/>
      <c r="H677" s="1019"/>
      <c r="I677" s="1140"/>
    </row>
    <row r="678" spans="1:9" x14ac:dyDescent="0.35">
      <c r="A678" s="1019"/>
      <c r="B678" s="1019"/>
      <c r="C678" s="1019"/>
      <c r="D678" s="3188"/>
      <c r="E678" s="1019"/>
      <c r="F678" s="1019"/>
      <c r="G678" s="1019"/>
      <c r="H678" s="1019"/>
      <c r="I678" s="1140"/>
    </row>
    <row r="679" spans="1:9" x14ac:dyDescent="0.35">
      <c r="A679" s="1019"/>
      <c r="B679" s="1019"/>
      <c r="C679" s="1019"/>
      <c r="D679" s="3188"/>
      <c r="E679" s="1019"/>
      <c r="F679" s="1019"/>
      <c r="G679" s="1019"/>
      <c r="H679" s="1019"/>
      <c r="I679" s="1140"/>
    </row>
    <row r="680" spans="1:9" x14ac:dyDescent="0.35">
      <c r="A680" s="1019"/>
      <c r="B680" s="1019"/>
      <c r="C680" s="1019"/>
      <c r="D680" s="3188"/>
      <c r="E680" s="1019"/>
      <c r="F680" s="1019"/>
      <c r="G680" s="1019"/>
      <c r="H680" s="1019"/>
      <c r="I680" s="1140"/>
    </row>
    <row r="681" spans="1:9" x14ac:dyDescent="0.35">
      <c r="A681" s="1019"/>
      <c r="B681" s="1019"/>
      <c r="C681" s="1019"/>
      <c r="D681" s="3188"/>
      <c r="E681" s="1019"/>
      <c r="F681" s="1019"/>
      <c r="G681" s="1019"/>
      <c r="H681" s="1019"/>
      <c r="I681" s="1140"/>
    </row>
    <row r="682" spans="1:9" x14ac:dyDescent="0.35">
      <c r="A682" s="1019"/>
      <c r="B682" s="1019"/>
      <c r="C682" s="1019"/>
      <c r="D682" s="3188"/>
      <c r="E682" s="1019"/>
      <c r="F682" s="1019"/>
      <c r="G682" s="1019"/>
      <c r="H682" s="1019"/>
      <c r="I682" s="1140"/>
    </row>
    <row r="683" spans="1:9" x14ac:dyDescent="0.35">
      <c r="A683" s="1019"/>
      <c r="B683" s="1019"/>
      <c r="C683" s="1019"/>
      <c r="D683" s="3188"/>
      <c r="E683" s="1019"/>
      <c r="F683" s="1019"/>
      <c r="G683" s="1019"/>
      <c r="H683" s="1019"/>
      <c r="I683" s="1140"/>
    </row>
    <row r="684" spans="1:9" x14ac:dyDescent="0.35">
      <c r="A684" s="1019"/>
      <c r="B684" s="1019"/>
      <c r="C684" s="1019"/>
      <c r="D684" s="3188"/>
      <c r="E684" s="1019"/>
      <c r="F684" s="1019"/>
      <c r="G684" s="1019"/>
      <c r="H684" s="1019"/>
      <c r="I684" s="1140"/>
    </row>
    <row r="685" spans="1:9" x14ac:dyDescent="0.35">
      <c r="A685" s="1019"/>
      <c r="B685" s="1019"/>
      <c r="C685" s="1019"/>
      <c r="D685" s="3188"/>
      <c r="E685" s="1019"/>
      <c r="F685" s="1019"/>
      <c r="G685" s="1019"/>
      <c r="H685" s="1019"/>
      <c r="I685" s="1140"/>
    </row>
    <row r="686" spans="1:9" x14ac:dyDescent="0.35">
      <c r="A686" s="1019"/>
      <c r="B686" s="1019"/>
      <c r="C686" s="1019"/>
      <c r="D686" s="3188"/>
      <c r="E686" s="1019"/>
      <c r="F686" s="1019"/>
      <c r="G686" s="1019"/>
      <c r="H686" s="1019"/>
      <c r="I686" s="1140"/>
    </row>
    <row r="687" spans="1:9" x14ac:dyDescent="0.35">
      <c r="A687" s="1019"/>
      <c r="B687" s="1019"/>
      <c r="C687" s="1019"/>
      <c r="D687" s="3188"/>
      <c r="E687" s="1019"/>
      <c r="F687" s="1019"/>
      <c r="G687" s="1019"/>
      <c r="H687" s="1019"/>
      <c r="I687" s="1140"/>
    </row>
    <row r="688" spans="1:9" x14ac:dyDescent="0.35">
      <c r="A688" s="1019"/>
      <c r="B688" s="1019"/>
      <c r="C688" s="1019"/>
      <c r="D688" s="3188"/>
      <c r="E688" s="1019"/>
      <c r="F688" s="1019"/>
      <c r="G688" s="1019"/>
      <c r="H688" s="1019"/>
      <c r="I688" s="1140"/>
    </row>
    <row r="689" spans="1:9" x14ac:dyDescent="0.35">
      <c r="A689" s="1019"/>
      <c r="B689" s="1019"/>
      <c r="C689" s="1019"/>
      <c r="D689" s="3188"/>
      <c r="E689" s="1019"/>
      <c r="F689" s="1019"/>
      <c r="G689" s="1019"/>
      <c r="H689" s="1019"/>
      <c r="I689" s="1140"/>
    </row>
    <row r="690" spans="1:9" x14ac:dyDescent="0.35">
      <c r="A690" s="1019"/>
      <c r="B690" s="1019"/>
      <c r="C690" s="1019"/>
      <c r="D690" s="3188"/>
      <c r="E690" s="1019"/>
      <c r="F690" s="1019"/>
      <c r="G690" s="1019"/>
      <c r="H690" s="1019"/>
      <c r="I690" s="1140"/>
    </row>
    <row r="691" spans="1:9" x14ac:dyDescent="0.35">
      <c r="A691" s="1019"/>
      <c r="B691" s="1019"/>
      <c r="C691" s="1019"/>
      <c r="D691" s="3188"/>
      <c r="E691" s="1019"/>
      <c r="F691" s="1019"/>
      <c r="G691" s="1019"/>
      <c r="H691" s="1019"/>
      <c r="I691" s="1140"/>
    </row>
    <row r="692" spans="1:9" x14ac:dyDescent="0.35">
      <c r="A692" s="1019"/>
      <c r="B692" s="1019"/>
      <c r="C692" s="1019"/>
      <c r="D692" s="3188"/>
      <c r="E692" s="1019"/>
      <c r="F692" s="1019"/>
      <c r="G692" s="1019"/>
      <c r="H692" s="1019"/>
      <c r="I692" s="1140"/>
    </row>
    <row r="693" spans="1:9" x14ac:dyDescent="0.35">
      <c r="A693" s="1019"/>
      <c r="B693" s="1019"/>
      <c r="C693" s="1019"/>
      <c r="D693" s="3188"/>
      <c r="E693" s="1019"/>
      <c r="F693" s="1019"/>
      <c r="G693" s="1019"/>
      <c r="H693" s="1019"/>
      <c r="I693" s="1140"/>
    </row>
    <row r="694" spans="1:9" x14ac:dyDescent="0.35">
      <c r="A694" s="1019"/>
      <c r="B694" s="1019"/>
      <c r="C694" s="1019"/>
      <c r="D694" s="3188"/>
      <c r="E694" s="1019"/>
      <c r="F694" s="1019"/>
      <c r="G694" s="1019"/>
      <c r="H694" s="1019"/>
      <c r="I694" s="1140"/>
    </row>
    <row r="695" spans="1:9" x14ac:dyDescent="0.35">
      <c r="A695" s="1019"/>
      <c r="B695" s="1019"/>
      <c r="C695" s="1019"/>
      <c r="D695" s="3188"/>
      <c r="E695" s="1019"/>
      <c r="F695" s="1019"/>
      <c r="G695" s="1019"/>
      <c r="H695" s="1019"/>
      <c r="I695" s="1140"/>
    </row>
    <row r="696" spans="1:9" x14ac:dyDescent="0.35">
      <c r="A696" s="1019"/>
      <c r="B696" s="1019"/>
      <c r="C696" s="1019"/>
      <c r="D696" s="3188"/>
      <c r="E696" s="1019"/>
      <c r="F696" s="1019"/>
      <c r="G696" s="1019"/>
      <c r="H696" s="1019"/>
      <c r="I696" s="1140"/>
    </row>
    <row r="697" spans="1:9" x14ac:dyDescent="0.35">
      <c r="A697" s="1019"/>
      <c r="B697" s="1019"/>
      <c r="C697" s="1019"/>
      <c r="D697" s="3188"/>
      <c r="E697" s="1019"/>
      <c r="F697" s="1019"/>
      <c r="G697" s="1019"/>
      <c r="H697" s="1019"/>
      <c r="I697" s="1140"/>
    </row>
    <row r="698" spans="1:9" x14ac:dyDescent="0.35">
      <c r="A698" s="1019"/>
      <c r="B698" s="1019"/>
      <c r="C698" s="1019"/>
      <c r="D698" s="3188"/>
      <c r="E698" s="1019"/>
      <c r="F698" s="1019"/>
      <c r="G698" s="1019"/>
      <c r="H698" s="1019"/>
      <c r="I698" s="1140"/>
    </row>
    <row r="699" spans="1:9" x14ac:dyDescent="0.35">
      <c r="A699" s="1019"/>
      <c r="B699" s="1019"/>
      <c r="C699" s="1019"/>
      <c r="D699" s="3188"/>
      <c r="E699" s="1019"/>
      <c r="F699" s="1019"/>
      <c r="G699" s="1019"/>
      <c r="H699" s="1019"/>
      <c r="I699" s="1140"/>
    </row>
    <row r="700" spans="1:9" x14ac:dyDescent="0.35">
      <c r="A700" s="1019"/>
      <c r="B700" s="1019"/>
      <c r="C700" s="1019"/>
      <c r="D700" s="3188"/>
      <c r="E700" s="1019"/>
      <c r="F700" s="1019"/>
      <c r="G700" s="1019"/>
      <c r="H700" s="1019"/>
      <c r="I700" s="1140"/>
    </row>
    <row r="701" spans="1:9" x14ac:dyDescent="0.35">
      <c r="A701" s="1019"/>
      <c r="B701" s="1019"/>
      <c r="C701" s="1019"/>
      <c r="D701" s="3188"/>
      <c r="E701" s="1019"/>
      <c r="F701" s="1019"/>
      <c r="G701" s="1019"/>
      <c r="H701" s="1019"/>
      <c r="I701" s="1140"/>
    </row>
    <row r="702" spans="1:9" x14ac:dyDescent="0.35">
      <c r="A702" s="1019"/>
      <c r="B702" s="1019"/>
      <c r="C702" s="1019"/>
      <c r="D702" s="3188"/>
      <c r="E702" s="1019"/>
      <c r="F702" s="1019"/>
      <c r="G702" s="1019"/>
      <c r="H702" s="1019"/>
      <c r="I702" s="1140"/>
    </row>
    <row r="703" spans="1:9" x14ac:dyDescent="0.35">
      <c r="A703" s="1019"/>
      <c r="B703" s="1019"/>
      <c r="C703" s="1019"/>
      <c r="D703" s="3188"/>
      <c r="E703" s="1019"/>
      <c r="F703" s="1019"/>
      <c r="G703" s="1019"/>
      <c r="H703" s="1019"/>
      <c r="I703" s="1140"/>
    </row>
    <row r="704" spans="1:9" x14ac:dyDescent="0.35">
      <c r="A704" s="1019"/>
      <c r="B704" s="1019"/>
      <c r="C704" s="1019"/>
      <c r="D704" s="3188"/>
      <c r="E704" s="1019"/>
      <c r="F704" s="1019"/>
      <c r="G704" s="1019"/>
      <c r="H704" s="1019"/>
      <c r="I704" s="1140"/>
    </row>
    <row r="705" spans="1:9" x14ac:dyDescent="0.35">
      <c r="A705" s="1019"/>
      <c r="B705" s="1019"/>
      <c r="C705" s="1019"/>
      <c r="D705" s="3188"/>
      <c r="E705" s="1019"/>
      <c r="F705" s="1019"/>
      <c r="G705" s="1019"/>
      <c r="H705" s="1019"/>
      <c r="I705" s="1140"/>
    </row>
    <row r="706" spans="1:9" x14ac:dyDescent="0.35">
      <c r="A706" s="1019"/>
      <c r="B706" s="1019"/>
      <c r="C706" s="1019"/>
      <c r="D706" s="3188"/>
      <c r="E706" s="1019"/>
      <c r="F706" s="1019"/>
      <c r="G706" s="1019"/>
      <c r="H706" s="1019"/>
      <c r="I706" s="1140"/>
    </row>
    <row r="707" spans="1:9" x14ac:dyDescent="0.35">
      <c r="A707" s="1019"/>
      <c r="B707" s="1019"/>
      <c r="C707" s="1019"/>
      <c r="D707" s="3188"/>
      <c r="E707" s="1019"/>
      <c r="F707" s="1019"/>
      <c r="G707" s="1019"/>
      <c r="H707" s="1019"/>
      <c r="I707" s="1140"/>
    </row>
    <row r="708" spans="1:9" x14ac:dyDescent="0.35">
      <c r="A708" s="1019"/>
      <c r="B708" s="1019"/>
      <c r="C708" s="1019"/>
      <c r="D708" s="3188"/>
      <c r="E708" s="1019"/>
      <c r="F708" s="1019"/>
      <c r="G708" s="1019"/>
      <c r="H708" s="1019"/>
      <c r="I708" s="1140"/>
    </row>
    <row r="709" spans="1:9" x14ac:dyDescent="0.35">
      <c r="A709" s="1019"/>
      <c r="B709" s="1019"/>
      <c r="C709" s="1019"/>
      <c r="D709" s="3188"/>
      <c r="E709" s="1019"/>
      <c r="F709" s="1019"/>
      <c r="G709" s="1019"/>
      <c r="H709" s="1019"/>
      <c r="I709" s="1140"/>
    </row>
    <row r="710" spans="1:9" x14ac:dyDescent="0.35">
      <c r="A710" s="1019"/>
      <c r="B710" s="1019"/>
      <c r="C710" s="1019"/>
      <c r="D710" s="3188"/>
      <c r="E710" s="1019"/>
      <c r="F710" s="1019"/>
      <c r="G710" s="1019"/>
      <c r="H710" s="1019"/>
      <c r="I710" s="1140"/>
    </row>
    <row r="711" spans="1:9" x14ac:dyDescent="0.35">
      <c r="A711" s="1019"/>
      <c r="B711" s="1019"/>
      <c r="C711" s="1019"/>
      <c r="D711" s="3188"/>
      <c r="E711" s="1019"/>
      <c r="F711" s="1019"/>
      <c r="G711" s="1019"/>
      <c r="H711" s="1019"/>
      <c r="I711" s="1140"/>
    </row>
    <row r="712" spans="1:9" x14ac:dyDescent="0.35">
      <c r="A712" s="1019"/>
      <c r="B712" s="1019"/>
      <c r="C712" s="1019"/>
      <c r="D712" s="3188"/>
      <c r="E712" s="1019"/>
      <c r="F712" s="1019"/>
      <c r="G712" s="1019"/>
      <c r="H712" s="1019"/>
      <c r="I712" s="1140"/>
    </row>
    <row r="713" spans="1:9" x14ac:dyDescent="0.35">
      <c r="A713" s="1019"/>
      <c r="B713" s="1019"/>
      <c r="C713" s="1019"/>
      <c r="D713" s="3188"/>
      <c r="E713" s="1019"/>
      <c r="F713" s="1019"/>
      <c r="G713" s="1019"/>
      <c r="H713" s="1019"/>
      <c r="I713" s="1140"/>
    </row>
    <row r="714" spans="1:9" x14ac:dyDescent="0.35">
      <c r="A714" s="1019"/>
      <c r="B714" s="1019"/>
      <c r="C714" s="1019"/>
      <c r="D714" s="3188"/>
      <c r="E714" s="1019"/>
      <c r="F714" s="1019"/>
      <c r="G714" s="1019"/>
      <c r="H714" s="1019"/>
      <c r="I714" s="1140"/>
    </row>
    <row r="715" spans="1:9" x14ac:dyDescent="0.35">
      <c r="A715" s="1019"/>
      <c r="B715" s="1019"/>
      <c r="C715" s="1019"/>
      <c r="D715" s="3188"/>
      <c r="E715" s="1019"/>
      <c r="F715" s="1019"/>
      <c r="G715" s="1019"/>
      <c r="H715" s="1019"/>
      <c r="I715" s="1140"/>
    </row>
    <row r="716" spans="1:9" x14ac:dyDescent="0.35">
      <c r="A716" s="1019"/>
      <c r="B716" s="1019"/>
      <c r="C716" s="1019"/>
      <c r="D716" s="3188"/>
      <c r="E716" s="1019"/>
      <c r="F716" s="1019"/>
      <c r="G716" s="1019"/>
      <c r="H716" s="1019"/>
      <c r="I716" s="1140"/>
    </row>
    <row r="717" spans="1:9" x14ac:dyDescent="0.35">
      <c r="A717" s="1019"/>
      <c r="B717" s="1019"/>
      <c r="C717" s="1019"/>
      <c r="D717" s="3188"/>
      <c r="E717" s="1019"/>
      <c r="F717" s="1019"/>
      <c r="G717" s="1019"/>
      <c r="H717" s="1019"/>
      <c r="I717" s="1140"/>
    </row>
    <row r="718" spans="1:9" x14ac:dyDescent="0.35">
      <c r="A718" s="1019"/>
      <c r="B718" s="1019"/>
      <c r="C718" s="1019"/>
      <c r="D718" s="3188"/>
      <c r="E718" s="1019"/>
      <c r="F718" s="1019"/>
      <c r="G718" s="1019"/>
      <c r="H718" s="1019"/>
      <c r="I718" s="1140"/>
    </row>
    <row r="719" spans="1:9" x14ac:dyDescent="0.35">
      <c r="A719" s="1019"/>
      <c r="B719" s="1019"/>
      <c r="C719" s="1019"/>
      <c r="D719" s="3188"/>
      <c r="E719" s="1019"/>
      <c r="F719" s="1019"/>
      <c r="G719" s="1019"/>
      <c r="H719" s="1019"/>
      <c r="I719" s="1140"/>
    </row>
    <row r="720" spans="1:9" x14ac:dyDescent="0.35">
      <c r="A720" s="1019"/>
      <c r="B720" s="1019"/>
      <c r="C720" s="1019"/>
      <c r="D720" s="3188"/>
      <c r="E720" s="1019"/>
      <c r="F720" s="1019"/>
      <c r="G720" s="1019"/>
      <c r="H720" s="1019"/>
      <c r="I720" s="1140"/>
    </row>
    <row r="721" spans="1:9" x14ac:dyDescent="0.35">
      <c r="A721" s="1019"/>
      <c r="B721" s="1019"/>
      <c r="C721" s="1019"/>
      <c r="D721" s="3188"/>
      <c r="E721" s="1019"/>
      <c r="F721" s="1019"/>
      <c r="G721" s="1019"/>
      <c r="H721" s="1019"/>
      <c r="I721" s="1140"/>
    </row>
    <row r="722" spans="1:9" x14ac:dyDescent="0.35">
      <c r="A722" s="1019"/>
      <c r="B722" s="1019"/>
      <c r="C722" s="1019"/>
      <c r="D722" s="3188"/>
      <c r="E722" s="1019"/>
      <c r="F722" s="1019"/>
      <c r="G722" s="1019"/>
      <c r="H722" s="1019"/>
      <c r="I722" s="1140"/>
    </row>
    <row r="723" spans="1:9" x14ac:dyDescent="0.35">
      <c r="A723" s="1019"/>
      <c r="B723" s="1019"/>
      <c r="C723" s="1019"/>
      <c r="D723" s="3188"/>
      <c r="E723" s="1019"/>
      <c r="F723" s="1019"/>
      <c r="G723" s="1019"/>
      <c r="H723" s="1019"/>
      <c r="I723" s="1140"/>
    </row>
    <row r="724" spans="1:9" x14ac:dyDescent="0.35">
      <c r="A724" s="1019"/>
      <c r="B724" s="1019"/>
      <c r="C724" s="1019"/>
      <c r="D724" s="3188"/>
      <c r="E724" s="1019"/>
      <c r="F724" s="1019"/>
      <c r="G724" s="1019"/>
      <c r="H724" s="1019"/>
      <c r="I724" s="1140"/>
    </row>
    <row r="725" spans="1:9" x14ac:dyDescent="0.35">
      <c r="A725" s="1019"/>
      <c r="B725" s="1019"/>
      <c r="C725" s="1019"/>
      <c r="D725" s="3188"/>
      <c r="E725" s="1019"/>
      <c r="F725" s="1019"/>
      <c r="G725" s="1019"/>
      <c r="H725" s="1019"/>
      <c r="I725" s="1140"/>
    </row>
    <row r="726" spans="1:9" x14ac:dyDescent="0.35">
      <c r="A726" s="1019"/>
      <c r="B726" s="1019"/>
      <c r="C726" s="1019"/>
      <c r="D726" s="3188"/>
      <c r="E726" s="1019"/>
      <c r="F726" s="1019"/>
      <c r="G726" s="1019"/>
      <c r="H726" s="1019"/>
      <c r="I726" s="1140"/>
    </row>
    <row r="727" spans="1:9" x14ac:dyDescent="0.35">
      <c r="A727" s="1019"/>
      <c r="B727" s="1019"/>
      <c r="C727" s="1019"/>
      <c r="D727" s="3188"/>
      <c r="E727" s="1019"/>
      <c r="F727" s="1019"/>
      <c r="G727" s="1019"/>
      <c r="H727" s="1019"/>
      <c r="I727" s="1140"/>
    </row>
    <row r="728" spans="1:9" x14ac:dyDescent="0.35">
      <c r="A728" s="1019"/>
      <c r="B728" s="1019"/>
      <c r="C728" s="1019"/>
      <c r="D728" s="3188"/>
      <c r="E728" s="1019"/>
      <c r="F728" s="1019"/>
      <c r="G728" s="1019"/>
      <c r="H728" s="1019"/>
      <c r="I728" s="1140"/>
    </row>
    <row r="729" spans="1:9" x14ac:dyDescent="0.35">
      <c r="A729" s="1019"/>
      <c r="B729" s="1019"/>
      <c r="C729" s="1019"/>
      <c r="D729" s="3188"/>
      <c r="E729" s="1019"/>
      <c r="F729" s="1019"/>
      <c r="G729" s="1019"/>
      <c r="H729" s="1019"/>
      <c r="I729" s="1140"/>
    </row>
    <row r="730" spans="1:9" x14ac:dyDescent="0.35">
      <c r="A730" s="1019"/>
      <c r="B730" s="1019"/>
      <c r="C730" s="1019"/>
      <c r="D730" s="3188"/>
      <c r="E730" s="1019"/>
      <c r="F730" s="1019"/>
      <c r="G730" s="1019"/>
      <c r="H730" s="1019"/>
      <c r="I730" s="1140"/>
    </row>
    <row r="731" spans="1:9" x14ac:dyDescent="0.35">
      <c r="A731" s="1019"/>
      <c r="B731" s="1019"/>
      <c r="C731" s="1019"/>
      <c r="D731" s="3188"/>
      <c r="E731" s="1019"/>
      <c r="F731" s="1019"/>
      <c r="G731" s="1019"/>
      <c r="H731" s="1019"/>
      <c r="I731" s="1140"/>
    </row>
    <row r="732" spans="1:9" x14ac:dyDescent="0.35">
      <c r="A732" s="1019"/>
      <c r="B732" s="1019"/>
      <c r="C732" s="1019"/>
      <c r="D732" s="3188"/>
      <c r="E732" s="1019"/>
      <c r="F732" s="1019"/>
      <c r="G732" s="1019"/>
      <c r="H732" s="1019"/>
      <c r="I732" s="1140"/>
    </row>
    <row r="733" spans="1:9" x14ac:dyDescent="0.35">
      <c r="A733" s="1019"/>
      <c r="B733" s="1019"/>
      <c r="C733" s="1019"/>
      <c r="D733" s="3188"/>
      <c r="E733" s="1019"/>
      <c r="F733" s="1019"/>
      <c r="G733" s="1019"/>
      <c r="H733" s="1019"/>
      <c r="I733" s="1140"/>
    </row>
    <row r="734" spans="1:9" x14ac:dyDescent="0.35">
      <c r="A734" s="1019"/>
      <c r="B734" s="1019"/>
      <c r="C734" s="1019"/>
      <c r="D734" s="3188"/>
      <c r="E734" s="1019"/>
      <c r="F734" s="1019"/>
      <c r="G734" s="1019"/>
      <c r="H734" s="1019"/>
      <c r="I734" s="1140"/>
    </row>
    <row r="735" spans="1:9" x14ac:dyDescent="0.35">
      <c r="A735" s="1019"/>
      <c r="B735" s="1019"/>
      <c r="C735" s="1019"/>
      <c r="D735" s="3188"/>
      <c r="E735" s="1019"/>
      <c r="F735" s="1019"/>
      <c r="G735" s="1019"/>
      <c r="H735" s="1019"/>
      <c r="I735" s="1140"/>
    </row>
    <row r="736" spans="1:9" x14ac:dyDescent="0.35">
      <c r="A736" s="1019"/>
      <c r="B736" s="1019"/>
      <c r="C736" s="1019"/>
      <c r="D736" s="3188"/>
      <c r="E736" s="1019"/>
      <c r="F736" s="1019"/>
      <c r="G736" s="1019"/>
      <c r="H736" s="1019"/>
      <c r="I736" s="1140"/>
    </row>
    <row r="737" spans="1:9" x14ac:dyDescent="0.35">
      <c r="A737" s="1019"/>
      <c r="B737" s="1019"/>
      <c r="C737" s="1019"/>
      <c r="D737" s="3188"/>
      <c r="E737" s="1019"/>
      <c r="F737" s="1019"/>
      <c r="G737" s="1019"/>
      <c r="H737" s="1019"/>
      <c r="I737" s="1140"/>
    </row>
    <row r="738" spans="1:9" x14ac:dyDescent="0.35">
      <c r="A738" s="1019"/>
      <c r="B738" s="1019"/>
      <c r="C738" s="1019"/>
      <c r="D738" s="3188"/>
      <c r="E738" s="1019"/>
      <c r="F738" s="1019"/>
      <c r="G738" s="1019"/>
      <c r="H738" s="1019"/>
      <c r="I738" s="1140"/>
    </row>
    <row r="739" spans="1:9" x14ac:dyDescent="0.35">
      <c r="A739" s="1019"/>
      <c r="B739" s="1019"/>
      <c r="C739" s="1019"/>
      <c r="D739" s="3188"/>
      <c r="E739" s="1019"/>
      <c r="F739" s="1019"/>
      <c r="G739" s="1019"/>
      <c r="H739" s="1019"/>
      <c r="I739" s="1140"/>
    </row>
    <row r="740" spans="1:9" x14ac:dyDescent="0.35">
      <c r="A740" s="1019"/>
      <c r="B740" s="1019"/>
      <c r="C740" s="1019"/>
      <c r="D740" s="3188"/>
      <c r="E740" s="1019"/>
      <c r="F740" s="1019"/>
      <c r="G740" s="1019"/>
      <c r="H740" s="1019"/>
      <c r="I740" s="1140"/>
    </row>
    <row r="741" spans="1:9" x14ac:dyDescent="0.35">
      <c r="A741" s="1019"/>
      <c r="B741" s="1019"/>
      <c r="C741" s="1019"/>
      <c r="D741" s="3188"/>
      <c r="E741" s="1019"/>
      <c r="F741" s="1019"/>
      <c r="G741" s="1019"/>
      <c r="H741" s="1019"/>
      <c r="I741" s="1140"/>
    </row>
    <row r="742" spans="1:9" x14ac:dyDescent="0.35">
      <c r="A742" s="1019"/>
      <c r="B742" s="1019"/>
      <c r="C742" s="1019"/>
      <c r="D742" s="3188"/>
      <c r="E742" s="1019"/>
      <c r="F742" s="1019"/>
      <c r="G742" s="1019"/>
      <c r="H742" s="1019"/>
      <c r="I742" s="1140"/>
    </row>
    <row r="743" spans="1:9" x14ac:dyDescent="0.35">
      <c r="A743" s="1019"/>
      <c r="B743" s="1019"/>
      <c r="C743" s="1019"/>
      <c r="D743" s="3188"/>
      <c r="E743" s="1019"/>
      <c r="F743" s="1019"/>
      <c r="G743" s="1019"/>
      <c r="H743" s="1019"/>
      <c r="I743" s="1140"/>
    </row>
    <row r="744" spans="1:9" x14ac:dyDescent="0.35">
      <c r="A744" s="1019"/>
      <c r="B744" s="1019"/>
      <c r="C744" s="1019"/>
      <c r="D744" s="3188"/>
      <c r="E744" s="1019"/>
      <c r="F744" s="1019"/>
      <c r="G744" s="1019"/>
      <c r="H744" s="1019"/>
      <c r="I744" s="1140"/>
    </row>
    <row r="745" spans="1:9" x14ac:dyDescent="0.35">
      <c r="A745" s="1019"/>
      <c r="B745" s="1019"/>
      <c r="C745" s="1019"/>
      <c r="D745" s="3188"/>
      <c r="E745" s="1019"/>
      <c r="F745" s="1019"/>
      <c r="G745" s="1019"/>
      <c r="H745" s="1019"/>
      <c r="I745" s="1140"/>
    </row>
    <row r="746" spans="1:9" x14ac:dyDescent="0.35">
      <c r="A746" s="1019"/>
      <c r="B746" s="1019"/>
      <c r="C746" s="1019"/>
      <c r="D746" s="3188"/>
      <c r="E746" s="1019"/>
      <c r="F746" s="1019"/>
      <c r="G746" s="1019"/>
      <c r="H746" s="1019"/>
      <c r="I746" s="1140"/>
    </row>
    <row r="747" spans="1:9" x14ac:dyDescent="0.35">
      <c r="A747" s="1019"/>
      <c r="B747" s="1019"/>
      <c r="C747" s="1019"/>
      <c r="D747" s="3188"/>
      <c r="E747" s="1019"/>
      <c r="F747" s="1019"/>
      <c r="G747" s="1019"/>
      <c r="H747" s="1019"/>
      <c r="I747" s="1140"/>
    </row>
    <row r="748" spans="1:9" x14ac:dyDescent="0.35">
      <c r="A748" s="1019"/>
      <c r="B748" s="1019"/>
      <c r="C748" s="1019"/>
      <c r="D748" s="3188"/>
      <c r="E748" s="1019"/>
      <c r="F748" s="1019"/>
      <c r="G748" s="1019"/>
      <c r="H748" s="1019"/>
      <c r="I748" s="1140"/>
    </row>
    <row r="749" spans="1:9" x14ac:dyDescent="0.35">
      <c r="A749" s="1019"/>
      <c r="B749" s="1019"/>
      <c r="C749" s="1019"/>
      <c r="D749" s="3188"/>
      <c r="E749" s="1019"/>
      <c r="F749" s="1019"/>
      <c r="G749" s="1019"/>
      <c r="H749" s="1019"/>
      <c r="I749" s="1140"/>
    </row>
    <row r="750" spans="1:9" x14ac:dyDescent="0.35">
      <c r="A750" s="1019"/>
      <c r="B750" s="1019"/>
      <c r="C750" s="1019"/>
      <c r="D750" s="3188"/>
      <c r="E750" s="1019"/>
      <c r="F750" s="1019"/>
      <c r="G750" s="1019"/>
      <c r="H750" s="1019"/>
      <c r="I750" s="1140"/>
    </row>
    <row r="751" spans="1:9" x14ac:dyDescent="0.35">
      <c r="A751" s="1019"/>
      <c r="B751" s="1019"/>
      <c r="C751" s="1019"/>
      <c r="D751" s="3188"/>
      <c r="E751" s="1019"/>
      <c r="F751" s="1019"/>
      <c r="G751" s="1019"/>
      <c r="H751" s="1019"/>
      <c r="I751" s="1140"/>
    </row>
    <row r="752" spans="1:9" x14ac:dyDescent="0.35">
      <c r="A752" s="1019"/>
      <c r="B752" s="1019"/>
      <c r="C752" s="1019"/>
      <c r="D752" s="3188"/>
      <c r="E752" s="1019"/>
      <c r="F752" s="1019"/>
      <c r="G752" s="1019"/>
      <c r="H752" s="1019"/>
      <c r="I752" s="1140"/>
    </row>
    <row r="753" spans="1:9" x14ac:dyDescent="0.35">
      <c r="A753" s="1019"/>
      <c r="B753" s="1019"/>
      <c r="C753" s="1019"/>
      <c r="D753" s="3188"/>
      <c r="E753" s="1019"/>
      <c r="F753" s="1019"/>
      <c r="G753" s="1019"/>
      <c r="H753" s="1019"/>
      <c r="I753" s="1140"/>
    </row>
    <row r="754" spans="1:9" x14ac:dyDescent="0.35">
      <c r="A754" s="1019"/>
      <c r="B754" s="1019"/>
      <c r="C754" s="1019"/>
      <c r="D754" s="3188"/>
      <c r="E754" s="1019"/>
      <c r="F754" s="1019"/>
      <c r="G754" s="1019"/>
      <c r="H754" s="1019"/>
      <c r="I754" s="1140"/>
    </row>
    <row r="755" spans="1:9" x14ac:dyDescent="0.35">
      <c r="A755" s="1019"/>
      <c r="B755" s="1019"/>
      <c r="C755" s="1019"/>
      <c r="D755" s="3188"/>
      <c r="E755" s="1019"/>
      <c r="F755" s="1019"/>
      <c r="G755" s="1019"/>
      <c r="H755" s="1019"/>
      <c r="I755" s="1140"/>
    </row>
    <row r="756" spans="1:9" x14ac:dyDescent="0.35">
      <c r="A756" s="1019"/>
      <c r="B756" s="1019"/>
      <c r="C756" s="1019"/>
      <c r="D756" s="3188"/>
      <c r="E756" s="1019"/>
      <c r="F756" s="1019"/>
      <c r="G756" s="1019"/>
      <c r="H756" s="1019"/>
      <c r="I756" s="1140"/>
    </row>
    <row r="757" spans="1:9" x14ac:dyDescent="0.35">
      <c r="A757" s="1019"/>
      <c r="B757" s="1019"/>
      <c r="C757" s="1019"/>
      <c r="D757" s="3188"/>
      <c r="E757" s="1019"/>
      <c r="F757" s="1019"/>
      <c r="G757" s="1019"/>
      <c r="H757" s="1019"/>
      <c r="I757" s="1140"/>
    </row>
    <row r="758" spans="1:9" x14ac:dyDescent="0.35">
      <c r="A758" s="1019"/>
      <c r="B758" s="1019"/>
      <c r="C758" s="1019"/>
      <c r="D758" s="3188"/>
      <c r="E758" s="1019"/>
      <c r="F758" s="1019"/>
      <c r="G758" s="1019"/>
      <c r="H758" s="1019"/>
      <c r="I758" s="1140"/>
    </row>
    <row r="759" spans="1:9" x14ac:dyDescent="0.35">
      <c r="A759" s="1019"/>
      <c r="B759" s="1019"/>
      <c r="C759" s="1019"/>
      <c r="D759" s="3188"/>
      <c r="E759" s="1019"/>
      <c r="F759" s="1019"/>
      <c r="G759" s="1019"/>
      <c r="H759" s="1019"/>
      <c r="I759" s="1140"/>
    </row>
    <row r="760" spans="1:9" x14ac:dyDescent="0.35">
      <c r="A760" s="1019"/>
      <c r="B760" s="1019"/>
      <c r="C760" s="1019"/>
      <c r="D760" s="3188"/>
      <c r="E760" s="1019"/>
      <c r="F760" s="1019"/>
      <c r="G760" s="1019"/>
      <c r="H760" s="1019"/>
      <c r="I760" s="1140"/>
    </row>
    <row r="761" spans="1:9" x14ac:dyDescent="0.35">
      <c r="A761" s="1019"/>
      <c r="B761" s="1019"/>
      <c r="C761" s="1019"/>
      <c r="D761" s="3188"/>
      <c r="E761" s="1019"/>
      <c r="F761" s="1019"/>
      <c r="G761" s="1019"/>
      <c r="H761" s="1019"/>
      <c r="I761" s="1140"/>
    </row>
    <row r="762" spans="1:9" x14ac:dyDescent="0.35">
      <c r="A762" s="1019"/>
      <c r="B762" s="1019"/>
      <c r="C762" s="1019"/>
      <c r="D762" s="3188"/>
      <c r="E762" s="1019"/>
      <c r="F762" s="1019"/>
      <c r="G762" s="1019"/>
      <c r="H762" s="1019"/>
      <c r="I762" s="1140"/>
    </row>
    <row r="763" spans="1:9" x14ac:dyDescent="0.35">
      <c r="A763" s="1019"/>
      <c r="B763" s="1019"/>
      <c r="C763" s="1019"/>
      <c r="D763" s="3188"/>
      <c r="E763" s="1019"/>
      <c r="F763" s="1019"/>
      <c r="G763" s="1019"/>
      <c r="H763" s="1019"/>
      <c r="I763" s="1140"/>
    </row>
    <row r="764" spans="1:9" x14ac:dyDescent="0.35">
      <c r="A764" s="1019"/>
      <c r="B764" s="1019"/>
      <c r="C764" s="1019"/>
      <c r="D764" s="3188"/>
      <c r="E764" s="1019"/>
      <c r="F764" s="1019"/>
      <c r="G764" s="1019"/>
      <c r="H764" s="1019"/>
      <c r="I764" s="1140"/>
    </row>
    <row r="765" spans="1:9" x14ac:dyDescent="0.35">
      <c r="A765" s="1019"/>
      <c r="B765" s="1019"/>
      <c r="C765" s="1019"/>
      <c r="D765" s="3188"/>
      <c r="E765" s="1019"/>
      <c r="F765" s="1019"/>
      <c r="G765" s="1019"/>
      <c r="H765" s="1019"/>
      <c r="I765" s="1140"/>
    </row>
    <row r="766" spans="1:9" x14ac:dyDescent="0.35">
      <c r="A766" s="1019"/>
      <c r="B766" s="1019"/>
      <c r="C766" s="1019"/>
      <c r="D766" s="3188"/>
      <c r="E766" s="1019"/>
      <c r="F766" s="1019"/>
      <c r="G766" s="1019"/>
      <c r="H766" s="1019"/>
      <c r="I766" s="1140"/>
    </row>
    <row r="767" spans="1:9" x14ac:dyDescent="0.35">
      <c r="A767" s="1019"/>
      <c r="B767" s="1019"/>
      <c r="C767" s="1019"/>
      <c r="D767" s="3188"/>
      <c r="E767" s="1019"/>
      <c r="F767" s="1019"/>
      <c r="G767" s="1019"/>
      <c r="H767" s="1019"/>
      <c r="I767" s="1140"/>
    </row>
    <row r="768" spans="1:9" x14ac:dyDescent="0.35">
      <c r="A768" s="1019"/>
      <c r="B768" s="1019"/>
      <c r="C768" s="1019"/>
      <c r="D768" s="3188"/>
      <c r="E768" s="1019"/>
      <c r="F768" s="1019"/>
      <c r="G768" s="1019"/>
      <c r="H768" s="1019"/>
      <c r="I768" s="1140"/>
    </row>
    <row r="769" spans="1:9" x14ac:dyDescent="0.35">
      <c r="A769" s="1019"/>
      <c r="B769" s="1019"/>
      <c r="C769" s="1019"/>
      <c r="D769" s="3188"/>
      <c r="E769" s="1019"/>
      <c r="F769" s="1019"/>
      <c r="G769" s="1019"/>
      <c r="H769" s="1019"/>
      <c r="I769" s="1140"/>
    </row>
    <row r="770" spans="1:9" x14ac:dyDescent="0.35">
      <c r="A770" s="1019"/>
      <c r="B770" s="1019"/>
      <c r="C770" s="1019"/>
      <c r="D770" s="3188"/>
      <c r="E770" s="1019"/>
      <c r="F770" s="1019"/>
      <c r="G770" s="1019"/>
      <c r="H770" s="1019"/>
      <c r="I770" s="1140"/>
    </row>
    <row r="771" spans="1:9" x14ac:dyDescent="0.35">
      <c r="A771" s="1019"/>
      <c r="B771" s="1019"/>
      <c r="C771" s="1019"/>
      <c r="D771" s="3188"/>
      <c r="E771" s="1019"/>
      <c r="F771" s="1019"/>
      <c r="G771" s="1019"/>
      <c r="H771" s="1019"/>
      <c r="I771" s="1140"/>
    </row>
    <row r="772" spans="1:9" x14ac:dyDescent="0.35">
      <c r="A772" s="1019"/>
      <c r="B772" s="1019"/>
      <c r="C772" s="1019"/>
      <c r="D772" s="3188"/>
      <c r="E772" s="1019"/>
      <c r="F772" s="1019"/>
      <c r="G772" s="1019"/>
      <c r="H772" s="1019"/>
      <c r="I772" s="1140"/>
    </row>
    <row r="773" spans="1:9" x14ac:dyDescent="0.35">
      <c r="A773" s="1019"/>
      <c r="B773" s="1019"/>
      <c r="C773" s="1019"/>
      <c r="D773" s="3188"/>
      <c r="E773" s="1019"/>
      <c r="F773" s="1019"/>
      <c r="G773" s="1019"/>
      <c r="H773" s="1019"/>
      <c r="I773" s="1140"/>
    </row>
    <row r="774" spans="1:9" x14ac:dyDescent="0.35">
      <c r="A774" s="1019"/>
      <c r="B774" s="1019"/>
      <c r="C774" s="1019"/>
      <c r="D774" s="3188"/>
      <c r="E774" s="1019"/>
      <c r="F774" s="1019"/>
      <c r="G774" s="1019"/>
      <c r="H774" s="1019"/>
      <c r="I774" s="1140"/>
    </row>
    <row r="775" spans="1:9" x14ac:dyDescent="0.35">
      <c r="A775" s="1019"/>
      <c r="B775" s="1019"/>
      <c r="C775" s="1019"/>
      <c r="D775" s="3188"/>
      <c r="E775" s="1019"/>
      <c r="F775" s="1019"/>
      <c r="G775" s="1019"/>
      <c r="H775" s="1019"/>
      <c r="I775" s="1140"/>
    </row>
    <row r="776" spans="1:9" x14ac:dyDescent="0.35">
      <c r="A776" s="1019"/>
      <c r="B776" s="1019"/>
      <c r="C776" s="1019"/>
      <c r="D776" s="3188"/>
      <c r="E776" s="1019"/>
      <c r="F776" s="1019"/>
      <c r="G776" s="1019"/>
      <c r="H776" s="1019"/>
      <c r="I776" s="1140"/>
    </row>
    <row r="777" spans="1:9" x14ac:dyDescent="0.35">
      <c r="A777" s="1019"/>
      <c r="B777" s="1019"/>
      <c r="C777" s="1019"/>
      <c r="D777" s="3188"/>
      <c r="E777" s="1019"/>
      <c r="F777" s="1019"/>
      <c r="G777" s="1019"/>
      <c r="H777" s="1019"/>
      <c r="I777" s="1140"/>
    </row>
    <row r="778" spans="1:9" x14ac:dyDescent="0.35">
      <c r="A778" s="1019"/>
      <c r="B778" s="1019"/>
      <c r="C778" s="1019"/>
      <c r="D778" s="3188"/>
      <c r="E778" s="1019"/>
      <c r="F778" s="1019"/>
      <c r="G778" s="1019"/>
      <c r="H778" s="1019"/>
      <c r="I778" s="1140"/>
    </row>
    <row r="779" spans="1:9" x14ac:dyDescent="0.35">
      <c r="A779" s="1019"/>
      <c r="B779" s="1019"/>
      <c r="C779" s="1019"/>
      <c r="D779" s="3188"/>
      <c r="E779" s="1019"/>
      <c r="F779" s="1019"/>
      <c r="G779" s="1019"/>
      <c r="H779" s="1019"/>
      <c r="I779" s="1140"/>
    </row>
    <row r="780" spans="1:9" x14ac:dyDescent="0.35">
      <c r="A780" s="1019"/>
      <c r="B780" s="1019"/>
      <c r="C780" s="1019"/>
      <c r="D780" s="3188"/>
      <c r="E780" s="1019"/>
      <c r="F780" s="1019"/>
      <c r="G780" s="1019"/>
      <c r="H780" s="1019"/>
      <c r="I780" s="1140"/>
    </row>
    <row r="781" spans="1:9" x14ac:dyDescent="0.35">
      <c r="A781" s="1019"/>
      <c r="B781" s="1019"/>
      <c r="C781" s="1019"/>
      <c r="D781" s="3188"/>
      <c r="E781" s="1019"/>
      <c r="F781" s="1019"/>
      <c r="G781" s="1019"/>
      <c r="H781" s="1019"/>
      <c r="I781" s="1140"/>
    </row>
    <row r="782" spans="1:9" x14ac:dyDescent="0.35">
      <c r="A782" s="1019"/>
      <c r="B782" s="1019"/>
      <c r="C782" s="1019"/>
      <c r="D782" s="3188"/>
      <c r="E782" s="1019"/>
      <c r="F782" s="1019"/>
      <c r="G782" s="1019"/>
      <c r="H782" s="1019"/>
      <c r="I782" s="1140"/>
    </row>
    <row r="783" spans="1:9" x14ac:dyDescent="0.35">
      <c r="A783" s="1019"/>
      <c r="B783" s="1019"/>
      <c r="C783" s="1019"/>
      <c r="D783" s="3188"/>
      <c r="E783" s="1019"/>
      <c r="F783" s="1019"/>
      <c r="G783" s="1019"/>
      <c r="H783" s="1019"/>
      <c r="I783" s="1140"/>
    </row>
    <row r="784" spans="1:9" x14ac:dyDescent="0.35">
      <c r="A784" s="1019"/>
      <c r="B784" s="1019"/>
      <c r="C784" s="1019"/>
      <c r="D784" s="3188"/>
      <c r="E784" s="1019"/>
      <c r="F784" s="1019"/>
      <c r="G784" s="1019"/>
      <c r="H784" s="1019"/>
      <c r="I784" s="1140"/>
    </row>
    <row r="785" spans="1:11" x14ac:dyDescent="0.35">
      <c r="A785" s="1019"/>
      <c r="B785" s="1019"/>
      <c r="C785" s="1019"/>
      <c r="D785" s="3188"/>
      <c r="E785" s="1019"/>
      <c r="F785" s="1019"/>
      <c r="G785" s="1019"/>
      <c r="H785" s="1019"/>
      <c r="I785" s="1140"/>
    </row>
    <row r="786" spans="1:11" x14ac:dyDescent="0.35">
      <c r="A786" s="1019"/>
      <c r="B786" s="1019"/>
      <c r="C786" s="1019"/>
      <c r="D786" s="3188"/>
      <c r="E786" s="1019"/>
      <c r="F786" s="1019"/>
      <c r="G786" s="1019"/>
      <c r="H786" s="1019"/>
      <c r="I786" s="1140"/>
    </row>
    <row r="787" spans="1:11" x14ac:dyDescent="0.35">
      <c r="A787" s="1019"/>
      <c r="B787" s="1019"/>
      <c r="C787" s="1019"/>
      <c r="D787" s="3188"/>
      <c r="E787" s="1019"/>
      <c r="F787" s="1019"/>
      <c r="G787" s="1019"/>
      <c r="H787" s="1019"/>
      <c r="I787" s="1140"/>
    </row>
    <row r="788" spans="1:11" x14ac:dyDescent="0.35">
      <c r="A788" s="1019"/>
      <c r="B788" s="1019"/>
      <c r="C788" s="1019"/>
      <c r="D788" s="3188"/>
      <c r="E788" s="1019"/>
      <c r="F788" s="1019"/>
      <c r="G788" s="1019"/>
      <c r="H788" s="1019"/>
      <c r="I788" s="1140"/>
    </row>
    <row r="789" spans="1:11" x14ac:dyDescent="0.35">
      <c r="A789" s="1019"/>
      <c r="B789" s="1019"/>
      <c r="C789" s="1019"/>
      <c r="D789" s="3188"/>
      <c r="E789" s="1019"/>
      <c r="F789" s="1019"/>
      <c r="G789" s="1019"/>
      <c r="H789" s="1019"/>
      <c r="I789" s="1140"/>
    </row>
    <row r="790" spans="1:11" x14ac:dyDescent="0.35">
      <c r="A790" s="1019"/>
      <c r="B790" s="1019"/>
      <c r="C790" s="1019"/>
      <c r="D790" s="3188"/>
      <c r="E790" s="1019"/>
      <c r="F790" s="1019"/>
      <c r="G790" s="1019"/>
      <c r="H790" s="1019"/>
      <c r="I790" s="1140"/>
    </row>
    <row r="791" spans="1:11" x14ac:dyDescent="0.35">
      <c r="A791" s="1019"/>
      <c r="B791" s="1019"/>
      <c r="C791" s="1019"/>
      <c r="D791" s="3188"/>
      <c r="E791" s="1019"/>
      <c r="F791" s="1019"/>
      <c r="G791" s="1019"/>
      <c r="H791" s="1019"/>
      <c r="I791" s="1140"/>
    </row>
    <row r="792" spans="1:11" x14ac:dyDescent="0.35">
      <c r="A792" s="1019"/>
      <c r="B792" s="1019"/>
      <c r="C792" s="1019"/>
      <c r="D792" s="3188"/>
      <c r="E792" s="1019"/>
      <c r="F792" s="1019"/>
      <c r="G792" s="1019"/>
      <c r="H792" s="1019"/>
      <c r="I792" s="1140"/>
    </row>
    <row r="793" spans="1:11" x14ac:dyDescent="0.35">
      <c r="A793" s="1019"/>
      <c r="B793" s="1019"/>
      <c r="C793" s="1019"/>
      <c r="D793" s="3188"/>
      <c r="E793" s="1019"/>
      <c r="F793" s="1019"/>
      <c r="G793" s="1019"/>
      <c r="H793" s="1019"/>
      <c r="I793" s="1140"/>
      <c r="J793" s="1827" t="s">
        <v>3180</v>
      </c>
      <c r="K793" s="1828"/>
    </row>
    <row r="794" spans="1:11" x14ac:dyDescent="0.35">
      <c r="A794" s="1019"/>
      <c r="B794" s="1019"/>
      <c r="C794" s="1019"/>
      <c r="D794" s="3188"/>
      <c r="E794" s="1019"/>
      <c r="F794" s="1019"/>
      <c r="G794" s="1019"/>
      <c r="H794" s="1019"/>
      <c r="I794" s="1140"/>
      <c r="K794" s="1828"/>
    </row>
    <row r="795" spans="1:11" x14ac:dyDescent="0.35">
      <c r="A795" s="1019"/>
      <c r="B795" s="1019"/>
      <c r="C795" s="1019"/>
      <c r="D795" s="3188"/>
      <c r="E795" s="1019"/>
      <c r="F795" s="1019"/>
      <c r="G795" s="1019"/>
      <c r="H795" s="1019"/>
      <c r="I795" s="1140"/>
      <c r="K795" s="1828"/>
    </row>
    <row r="796" spans="1:11" x14ac:dyDescent="0.35">
      <c r="A796" s="1019"/>
      <c r="B796" s="1019"/>
      <c r="C796" s="1019"/>
      <c r="D796" s="3188"/>
      <c r="E796" s="1019"/>
      <c r="F796" s="1019"/>
      <c r="G796" s="1019"/>
      <c r="H796" s="1019"/>
      <c r="I796" s="1140"/>
      <c r="K796" s="1828"/>
    </row>
    <row r="797" spans="1:11" x14ac:dyDescent="0.35">
      <c r="A797" s="1019"/>
      <c r="B797" s="1019"/>
      <c r="C797" s="1019"/>
      <c r="D797" s="3188"/>
      <c r="E797" s="1019"/>
      <c r="F797" s="1019"/>
      <c r="G797" s="1019"/>
      <c r="H797" s="1019"/>
      <c r="I797" s="1140"/>
      <c r="K797" s="1828"/>
    </row>
    <row r="798" spans="1:11" x14ac:dyDescent="0.35">
      <c r="A798" s="1019"/>
      <c r="B798" s="1019"/>
      <c r="C798" s="1019"/>
      <c r="D798" s="3188"/>
      <c r="E798" s="1019"/>
      <c r="F798" s="1019"/>
      <c r="G798" s="1019"/>
      <c r="H798" s="1019"/>
      <c r="I798" s="1140"/>
    </row>
    <row r="799" spans="1:11" x14ac:dyDescent="0.35">
      <c r="A799" s="1019"/>
      <c r="B799" s="1019"/>
      <c r="C799" s="1019"/>
      <c r="D799" s="3188"/>
      <c r="E799" s="1019"/>
      <c r="F799" s="1019"/>
      <c r="G799" s="1019"/>
      <c r="H799" s="1019"/>
      <c r="I799" s="1140"/>
    </row>
    <row r="800" spans="1:11" x14ac:dyDescent="0.35">
      <c r="A800" s="1019"/>
      <c r="B800" s="1019"/>
      <c r="C800" s="1019"/>
      <c r="D800" s="3188"/>
      <c r="E800" s="1019"/>
      <c r="F800" s="1019"/>
      <c r="G800" s="1019"/>
      <c r="H800" s="1019"/>
      <c r="I800" s="1140"/>
    </row>
    <row r="801" spans="1:9" x14ac:dyDescent="0.35">
      <c r="A801" s="1019"/>
      <c r="B801" s="1019"/>
      <c r="C801" s="1019"/>
      <c r="D801" s="3188"/>
      <c r="E801" s="1019"/>
      <c r="F801" s="1019"/>
      <c r="G801" s="1019"/>
      <c r="H801" s="1019"/>
      <c r="I801" s="1140"/>
    </row>
    <row r="802" spans="1:9" x14ac:dyDescent="0.35">
      <c r="A802" s="1019"/>
      <c r="B802" s="1019"/>
      <c r="C802" s="1019"/>
      <c r="D802" s="3188"/>
      <c r="E802" s="1019"/>
      <c r="F802" s="1019"/>
      <c r="G802" s="1019"/>
      <c r="H802" s="1019"/>
      <c r="I802" s="1140"/>
    </row>
    <row r="803" spans="1:9" x14ac:dyDescent="0.35">
      <c r="A803" s="1019"/>
      <c r="B803" s="1019"/>
      <c r="C803" s="1019"/>
      <c r="D803" s="3188"/>
      <c r="E803" s="1019"/>
      <c r="F803" s="1019"/>
      <c r="G803" s="1019"/>
      <c r="H803" s="1019"/>
      <c r="I803" s="1140"/>
    </row>
    <row r="804" spans="1:9" x14ac:dyDescent="0.35">
      <c r="A804" s="1019"/>
      <c r="B804" s="1019"/>
      <c r="C804" s="1019"/>
      <c r="D804" s="3188"/>
      <c r="E804" s="1019"/>
      <c r="F804" s="1019"/>
      <c r="G804" s="1019"/>
      <c r="H804" s="1019"/>
      <c r="I804" s="1140"/>
    </row>
    <row r="805" spans="1:9" x14ac:dyDescent="0.35">
      <c r="A805" s="1019"/>
      <c r="B805" s="1019"/>
      <c r="C805" s="1019"/>
      <c r="D805" s="3188"/>
      <c r="E805" s="1019"/>
      <c r="F805" s="1019"/>
      <c r="G805" s="1019"/>
      <c r="H805" s="1019"/>
      <c r="I805" s="1140"/>
    </row>
    <row r="806" spans="1:9" x14ac:dyDescent="0.35">
      <c r="A806" s="1019"/>
      <c r="B806" s="1019"/>
      <c r="C806" s="1019"/>
      <c r="D806" s="3188"/>
      <c r="E806" s="1019"/>
      <c r="F806" s="1019"/>
      <c r="G806" s="1019"/>
      <c r="H806" s="1019"/>
      <c r="I806" s="1140"/>
    </row>
    <row r="807" spans="1:9" x14ac:dyDescent="0.35">
      <c r="A807" s="1019"/>
      <c r="B807" s="1019"/>
      <c r="C807" s="1019"/>
      <c r="D807" s="3188"/>
      <c r="E807" s="1019"/>
      <c r="F807" s="1019"/>
      <c r="G807" s="1019"/>
      <c r="H807" s="1019"/>
      <c r="I807" s="1140"/>
    </row>
    <row r="808" spans="1:9" x14ac:dyDescent="0.35">
      <c r="A808" s="1019"/>
      <c r="B808" s="1019"/>
      <c r="C808" s="1019"/>
      <c r="D808" s="3188"/>
      <c r="E808" s="1019"/>
      <c r="F808" s="1019"/>
      <c r="G808" s="1019"/>
      <c r="H808" s="1019"/>
      <c r="I808" s="1140"/>
    </row>
    <row r="809" spans="1:9" x14ac:dyDescent="0.35">
      <c r="A809" s="1019"/>
      <c r="B809" s="1019"/>
      <c r="C809" s="1019"/>
      <c r="D809" s="3188"/>
      <c r="E809" s="1019"/>
      <c r="F809" s="1019"/>
      <c r="G809" s="1019"/>
      <c r="H809" s="1019"/>
      <c r="I809" s="1140"/>
    </row>
    <row r="810" spans="1:9" x14ac:dyDescent="0.35">
      <c r="A810" s="1019"/>
      <c r="B810" s="1019"/>
      <c r="C810" s="1019"/>
      <c r="D810" s="3188"/>
      <c r="E810" s="1019"/>
      <c r="F810" s="1019"/>
      <c r="G810" s="1019"/>
      <c r="H810" s="1019"/>
      <c r="I810" s="1140"/>
    </row>
    <row r="811" spans="1:9" x14ac:dyDescent="0.35">
      <c r="A811" s="1019"/>
      <c r="B811" s="1019"/>
      <c r="C811" s="1019"/>
      <c r="D811" s="3188"/>
      <c r="E811" s="1019"/>
      <c r="F811" s="1019"/>
      <c r="G811" s="1019"/>
      <c r="H811" s="1019"/>
      <c r="I811" s="1140"/>
    </row>
    <row r="812" spans="1:9" x14ac:dyDescent="0.35">
      <c r="A812" s="1019"/>
      <c r="B812" s="1019"/>
      <c r="C812" s="1019"/>
      <c r="D812" s="3188"/>
      <c r="E812" s="1019"/>
      <c r="F812" s="1019"/>
      <c r="G812" s="1019"/>
      <c r="H812" s="1019"/>
      <c r="I812" s="1140"/>
    </row>
    <row r="813" spans="1:9" x14ac:dyDescent="0.35">
      <c r="A813" s="1019"/>
      <c r="B813" s="1019"/>
      <c r="C813" s="1019"/>
      <c r="D813" s="3188"/>
      <c r="E813" s="1019"/>
      <c r="F813" s="1019"/>
      <c r="G813" s="1019"/>
      <c r="H813" s="1019"/>
      <c r="I813" s="1140"/>
    </row>
    <row r="814" spans="1:9" x14ac:dyDescent="0.35">
      <c r="A814" s="1019"/>
      <c r="B814" s="1019"/>
      <c r="C814" s="1019"/>
      <c r="D814" s="3188"/>
      <c r="E814" s="1019"/>
      <c r="F814" s="1019"/>
      <c r="G814" s="1019"/>
      <c r="H814" s="1019"/>
      <c r="I814" s="1140"/>
    </row>
    <row r="815" spans="1:9" x14ac:dyDescent="0.35">
      <c r="A815" s="1019"/>
      <c r="B815" s="1019"/>
      <c r="C815" s="1019"/>
      <c r="D815" s="3188"/>
      <c r="E815" s="1019"/>
      <c r="F815" s="1019"/>
      <c r="G815" s="1019"/>
      <c r="H815" s="1019"/>
      <c r="I815" s="1140"/>
    </row>
    <row r="816" spans="1:9" x14ac:dyDescent="0.35">
      <c r="A816" s="1019"/>
      <c r="B816" s="1019"/>
      <c r="C816" s="1019"/>
      <c r="D816" s="3188"/>
      <c r="E816" s="1019"/>
      <c r="F816" s="1019"/>
      <c r="G816" s="1019"/>
      <c r="H816" s="1019"/>
      <c r="I816" s="1140"/>
    </row>
    <row r="817" spans="1:9" x14ac:dyDescent="0.35">
      <c r="A817" s="1019"/>
      <c r="B817" s="1019"/>
      <c r="C817" s="1019"/>
      <c r="D817" s="3188"/>
      <c r="E817" s="1019"/>
      <c r="F817" s="1019"/>
      <c r="G817" s="1019"/>
      <c r="H817" s="1019"/>
      <c r="I817" s="1140"/>
    </row>
    <row r="818" spans="1:9" x14ac:dyDescent="0.35">
      <c r="A818" s="1019"/>
      <c r="B818" s="1019"/>
      <c r="C818" s="1019"/>
      <c r="D818" s="3188"/>
      <c r="E818" s="1019"/>
      <c r="F818" s="1019"/>
      <c r="G818" s="1019"/>
      <c r="H818" s="1019"/>
      <c r="I818" s="1140"/>
    </row>
    <row r="819" spans="1:9" x14ac:dyDescent="0.35">
      <c r="A819" s="1019"/>
      <c r="B819" s="1019"/>
      <c r="C819" s="1019"/>
      <c r="D819" s="3188"/>
      <c r="E819" s="1019"/>
      <c r="F819" s="1019"/>
      <c r="G819" s="1019"/>
      <c r="H819" s="1019"/>
      <c r="I819" s="1140"/>
    </row>
    <row r="820" spans="1:9" x14ac:dyDescent="0.35">
      <c r="A820" s="1019"/>
      <c r="B820" s="1019"/>
      <c r="C820" s="1019"/>
      <c r="D820" s="3188"/>
      <c r="E820" s="1019"/>
      <c r="F820" s="1019"/>
      <c r="G820" s="1019"/>
      <c r="H820" s="1019"/>
      <c r="I820" s="1140"/>
    </row>
    <row r="821" spans="1:9" x14ac:dyDescent="0.35">
      <c r="A821" s="1019"/>
      <c r="B821" s="1019"/>
      <c r="C821" s="1019"/>
      <c r="D821" s="3188"/>
      <c r="E821" s="1019"/>
      <c r="F821" s="1019"/>
      <c r="G821" s="1019"/>
      <c r="H821" s="1019"/>
      <c r="I821" s="1140"/>
    </row>
    <row r="822" spans="1:9" x14ac:dyDescent="0.35">
      <c r="A822" s="1019"/>
      <c r="B822" s="1019"/>
      <c r="C822" s="1019"/>
      <c r="D822" s="3188"/>
      <c r="E822" s="1019"/>
      <c r="F822" s="1019"/>
      <c r="G822" s="1019"/>
      <c r="H822" s="1019"/>
      <c r="I822" s="1140"/>
    </row>
    <row r="823" spans="1:9" x14ac:dyDescent="0.35">
      <c r="A823" s="1019"/>
      <c r="B823" s="1019"/>
      <c r="C823" s="1019"/>
      <c r="D823" s="3188"/>
      <c r="E823" s="1019"/>
      <c r="F823" s="1019"/>
      <c r="G823" s="1019"/>
      <c r="H823" s="1019"/>
      <c r="I823" s="1140"/>
    </row>
    <row r="824" spans="1:9" x14ac:dyDescent="0.35">
      <c r="A824" s="1019"/>
      <c r="B824" s="1019"/>
      <c r="C824" s="1019"/>
      <c r="D824" s="3188"/>
      <c r="E824" s="1019"/>
      <c r="F824" s="1019"/>
      <c r="G824" s="1019"/>
      <c r="H824" s="1019"/>
      <c r="I824" s="1140"/>
    </row>
    <row r="825" spans="1:9" x14ac:dyDescent="0.35">
      <c r="A825" s="1019"/>
      <c r="B825" s="1019"/>
      <c r="C825" s="1019"/>
      <c r="D825" s="3188"/>
      <c r="E825" s="1019"/>
      <c r="F825" s="1019"/>
      <c r="G825" s="1019"/>
      <c r="H825" s="1019"/>
      <c r="I825" s="1140"/>
    </row>
    <row r="826" spans="1:9" x14ac:dyDescent="0.35">
      <c r="A826" s="1019"/>
      <c r="B826" s="1019"/>
      <c r="C826" s="1019"/>
      <c r="D826" s="3188"/>
      <c r="E826" s="1019"/>
      <c r="F826" s="1019"/>
      <c r="G826" s="1019"/>
      <c r="H826" s="1019"/>
      <c r="I826" s="1140"/>
    </row>
    <row r="827" spans="1:9" x14ac:dyDescent="0.35">
      <c r="A827" s="1019"/>
      <c r="B827" s="1019"/>
      <c r="C827" s="1019"/>
      <c r="D827" s="3188"/>
      <c r="E827" s="1019"/>
      <c r="F827" s="1019"/>
      <c r="G827" s="1019"/>
      <c r="H827" s="1019"/>
      <c r="I827" s="1140"/>
    </row>
    <row r="828" spans="1:9" x14ac:dyDescent="0.35">
      <c r="A828" s="1019"/>
      <c r="B828" s="1019"/>
      <c r="C828" s="1019"/>
      <c r="D828" s="3188"/>
      <c r="E828" s="1019"/>
      <c r="F828" s="1019"/>
      <c r="G828" s="1019"/>
      <c r="H828" s="1019"/>
      <c r="I828" s="1140"/>
    </row>
    <row r="829" spans="1:9" x14ac:dyDescent="0.35">
      <c r="A829" s="1019"/>
      <c r="B829" s="1019"/>
      <c r="C829" s="1019"/>
      <c r="D829" s="3188"/>
      <c r="E829" s="1019"/>
      <c r="F829" s="1019"/>
      <c r="G829" s="1019"/>
      <c r="H829" s="1019"/>
      <c r="I829" s="1140"/>
    </row>
    <row r="830" spans="1:9" x14ac:dyDescent="0.35">
      <c r="A830" s="1019"/>
      <c r="B830" s="1019"/>
      <c r="C830" s="1019"/>
      <c r="D830" s="3188"/>
      <c r="E830" s="1019"/>
      <c r="F830" s="1019"/>
      <c r="G830" s="1019"/>
      <c r="H830" s="1019"/>
      <c r="I830" s="1140"/>
    </row>
    <row r="831" spans="1:9" x14ac:dyDescent="0.35">
      <c r="A831" s="1019"/>
      <c r="B831" s="1019"/>
      <c r="C831" s="1019"/>
      <c r="D831" s="3188"/>
      <c r="E831" s="1019"/>
      <c r="F831" s="1019"/>
      <c r="G831" s="1019"/>
      <c r="H831" s="1019"/>
      <c r="I831" s="1140"/>
    </row>
    <row r="832" spans="1:9" x14ac:dyDescent="0.35">
      <c r="A832" s="1019"/>
      <c r="B832" s="1019"/>
      <c r="C832" s="1019"/>
      <c r="D832" s="3188"/>
      <c r="E832" s="1019"/>
      <c r="F832" s="1019"/>
      <c r="G832" s="1019"/>
      <c r="H832" s="1019"/>
      <c r="I832" s="1140"/>
    </row>
    <row r="833" spans="1:9" x14ac:dyDescent="0.35">
      <c r="A833" s="1019"/>
      <c r="B833" s="1019"/>
      <c r="C833" s="1019"/>
      <c r="D833" s="3188"/>
      <c r="E833" s="1019"/>
      <c r="F833" s="1019"/>
      <c r="G833" s="1019"/>
      <c r="H833" s="1019"/>
      <c r="I833" s="1140"/>
    </row>
    <row r="834" spans="1:9" x14ac:dyDescent="0.35">
      <c r="A834" s="1019"/>
      <c r="B834" s="1019"/>
      <c r="C834" s="1019"/>
      <c r="D834" s="3188"/>
      <c r="E834" s="1019"/>
      <c r="F834" s="1019"/>
      <c r="G834" s="1019"/>
      <c r="H834" s="1019"/>
      <c r="I834" s="1140"/>
    </row>
    <row r="835" spans="1:9" x14ac:dyDescent="0.35">
      <c r="A835" s="1019"/>
      <c r="B835" s="1019"/>
      <c r="C835" s="1019"/>
      <c r="D835" s="3188"/>
      <c r="E835" s="1019"/>
      <c r="F835" s="1019"/>
      <c r="G835" s="1019"/>
      <c r="H835" s="1019"/>
      <c r="I835" s="1140"/>
    </row>
    <row r="836" spans="1:9" x14ac:dyDescent="0.35">
      <c r="A836" s="1019"/>
      <c r="B836" s="1019"/>
      <c r="C836" s="1019"/>
      <c r="D836" s="3188"/>
      <c r="E836" s="1019"/>
      <c r="F836" s="1019"/>
      <c r="G836" s="1019"/>
      <c r="H836" s="1019"/>
      <c r="I836" s="1140"/>
    </row>
    <row r="837" spans="1:9" x14ac:dyDescent="0.35">
      <c r="A837" s="1019"/>
      <c r="B837" s="1019"/>
      <c r="C837" s="1019"/>
      <c r="D837" s="3188"/>
      <c r="E837" s="1019"/>
      <c r="F837" s="1019"/>
      <c r="G837" s="1019"/>
      <c r="H837" s="1019"/>
      <c r="I837" s="1140"/>
    </row>
    <row r="838" spans="1:9" x14ac:dyDescent="0.35">
      <c r="A838" s="1019"/>
      <c r="B838" s="1019"/>
      <c r="C838" s="1019"/>
      <c r="D838" s="3188"/>
      <c r="E838" s="1019"/>
      <c r="F838" s="1019"/>
      <c r="G838" s="1019"/>
      <c r="H838" s="1019"/>
      <c r="I838" s="1140"/>
    </row>
    <row r="839" spans="1:9" x14ac:dyDescent="0.35">
      <c r="A839" s="1019"/>
      <c r="B839" s="1019"/>
      <c r="C839" s="1019"/>
      <c r="D839" s="3188"/>
      <c r="E839" s="1019"/>
      <c r="F839" s="1019"/>
      <c r="G839" s="1019"/>
      <c r="H839" s="1019"/>
      <c r="I839" s="1140"/>
    </row>
    <row r="840" spans="1:9" x14ac:dyDescent="0.35">
      <c r="A840" s="1019"/>
      <c r="B840" s="1019"/>
      <c r="C840" s="1019"/>
      <c r="D840" s="3188"/>
      <c r="E840" s="1019"/>
      <c r="F840" s="1019"/>
      <c r="G840" s="1019"/>
      <c r="H840" s="1019"/>
      <c r="I840" s="1140"/>
    </row>
    <row r="841" spans="1:9" x14ac:dyDescent="0.35">
      <c r="A841" s="1019"/>
      <c r="B841" s="1019"/>
      <c r="C841" s="1019"/>
      <c r="D841" s="3188"/>
      <c r="E841" s="1019"/>
      <c r="F841" s="1019"/>
      <c r="G841" s="1019"/>
      <c r="H841" s="1019"/>
      <c r="I841" s="1140"/>
    </row>
    <row r="842" spans="1:9" x14ac:dyDescent="0.35">
      <c r="A842" s="1019"/>
      <c r="B842" s="1019"/>
      <c r="C842" s="1019"/>
      <c r="D842" s="3188"/>
      <c r="E842" s="1019"/>
      <c r="F842" s="1019"/>
      <c r="G842" s="1019"/>
      <c r="H842" s="1019"/>
      <c r="I842" s="1140"/>
    </row>
    <row r="843" spans="1:9" x14ac:dyDescent="0.35">
      <c r="A843" s="1019"/>
      <c r="B843" s="1019"/>
      <c r="C843" s="1019"/>
      <c r="D843" s="3188"/>
      <c r="E843" s="1019"/>
      <c r="F843" s="1019"/>
      <c r="G843" s="1019"/>
      <c r="H843" s="1019"/>
      <c r="I843" s="1140"/>
    </row>
    <row r="844" spans="1:9" x14ac:dyDescent="0.35">
      <c r="A844" s="1019"/>
      <c r="B844" s="1019"/>
      <c r="C844" s="1019"/>
      <c r="D844" s="3188"/>
      <c r="E844" s="1019"/>
      <c r="F844" s="1019"/>
      <c r="G844" s="1019"/>
      <c r="H844" s="1019"/>
      <c r="I844" s="1140"/>
    </row>
    <row r="845" spans="1:9" x14ac:dyDescent="0.35">
      <c r="A845" s="1019"/>
      <c r="B845" s="1019"/>
      <c r="C845" s="1019"/>
      <c r="D845" s="3188"/>
      <c r="E845" s="1019"/>
      <c r="F845" s="1019"/>
      <c r="G845" s="1019"/>
      <c r="H845" s="1019"/>
      <c r="I845" s="1140"/>
    </row>
    <row r="846" spans="1:9" x14ac:dyDescent="0.35">
      <c r="A846" s="1019"/>
      <c r="B846" s="1019"/>
      <c r="C846" s="1019"/>
      <c r="D846" s="3188"/>
      <c r="E846" s="1019"/>
      <c r="F846" s="1019"/>
      <c r="G846" s="1019"/>
      <c r="H846" s="1019"/>
      <c r="I846" s="1140"/>
    </row>
    <row r="847" spans="1:9" x14ac:dyDescent="0.35">
      <c r="A847" s="1019"/>
      <c r="B847" s="1019"/>
      <c r="C847" s="1019"/>
      <c r="D847" s="3188"/>
      <c r="E847" s="1019"/>
      <c r="F847" s="1019"/>
      <c r="G847" s="1019"/>
      <c r="H847" s="1019"/>
      <c r="I847" s="1140"/>
    </row>
    <row r="848" spans="1:9" x14ac:dyDescent="0.35">
      <c r="A848" s="1019"/>
      <c r="B848" s="1019"/>
      <c r="C848" s="1019"/>
      <c r="D848" s="3188"/>
      <c r="E848" s="1019"/>
      <c r="F848" s="1019"/>
      <c r="G848" s="1019"/>
      <c r="H848" s="1019"/>
      <c r="I848" s="1140"/>
    </row>
    <row r="849" spans="1:9" x14ac:dyDescent="0.35">
      <c r="A849" s="1019"/>
      <c r="B849" s="1019"/>
      <c r="C849" s="1019"/>
      <c r="D849" s="3188"/>
      <c r="E849" s="1019"/>
      <c r="F849" s="1019"/>
      <c r="G849" s="1019"/>
      <c r="H849" s="1019"/>
      <c r="I849" s="1140"/>
    </row>
    <row r="850" spans="1:9" x14ac:dyDescent="0.35">
      <c r="A850" s="1019"/>
      <c r="B850" s="1019"/>
      <c r="C850" s="1019"/>
      <c r="D850" s="3188"/>
      <c r="E850" s="1019"/>
      <c r="F850" s="1019"/>
      <c r="G850" s="1019"/>
      <c r="H850" s="1019"/>
      <c r="I850" s="1140"/>
    </row>
    <row r="851" spans="1:9" x14ac:dyDescent="0.35">
      <c r="A851" s="1019"/>
      <c r="B851" s="1019"/>
      <c r="C851" s="1019"/>
      <c r="D851" s="3188"/>
      <c r="E851" s="1019"/>
      <c r="F851" s="1019"/>
      <c r="G851" s="1019"/>
      <c r="H851" s="1019"/>
      <c r="I851" s="1140"/>
    </row>
    <row r="852" spans="1:9" x14ac:dyDescent="0.35">
      <c r="A852" s="1019"/>
      <c r="B852" s="1019"/>
      <c r="C852" s="1019"/>
      <c r="D852" s="3188"/>
      <c r="E852" s="1019"/>
      <c r="F852" s="1019"/>
      <c r="G852" s="1019"/>
      <c r="H852" s="1019"/>
      <c r="I852" s="1140"/>
    </row>
    <row r="853" spans="1:9" x14ac:dyDescent="0.35">
      <c r="A853" s="1019"/>
      <c r="B853" s="1019"/>
      <c r="C853" s="1019"/>
      <c r="D853" s="3188"/>
      <c r="E853" s="1019"/>
      <c r="F853" s="1019"/>
      <c r="G853" s="1019"/>
      <c r="H853" s="1019"/>
      <c r="I853" s="1140"/>
    </row>
    <row r="854" spans="1:9" x14ac:dyDescent="0.35">
      <c r="A854" s="1019"/>
      <c r="B854" s="1019"/>
      <c r="C854" s="1019"/>
      <c r="D854" s="3188"/>
      <c r="E854" s="1019"/>
      <c r="F854" s="1019"/>
      <c r="G854" s="1019"/>
      <c r="H854" s="1019"/>
      <c r="I854" s="1140"/>
    </row>
    <row r="855" spans="1:9" x14ac:dyDescent="0.35">
      <c r="A855" s="1019"/>
      <c r="B855" s="1019"/>
      <c r="C855" s="1019"/>
      <c r="D855" s="3188"/>
      <c r="E855" s="1019"/>
      <c r="F855" s="1019"/>
      <c r="G855" s="1019"/>
      <c r="H855" s="1019"/>
      <c r="I855" s="1140"/>
    </row>
    <row r="856" spans="1:9" x14ac:dyDescent="0.35">
      <c r="A856" s="1019"/>
      <c r="B856" s="1019"/>
      <c r="C856" s="1019"/>
      <c r="D856" s="3188"/>
      <c r="E856" s="1019"/>
      <c r="F856" s="1019"/>
      <c r="G856" s="1019"/>
      <c r="H856" s="1019"/>
      <c r="I856" s="1140"/>
    </row>
    <row r="857" spans="1:9" x14ac:dyDescent="0.35">
      <c r="A857" s="1019"/>
      <c r="B857" s="1019"/>
      <c r="C857" s="1019"/>
      <c r="D857" s="3188"/>
      <c r="E857" s="1019"/>
      <c r="F857" s="1019"/>
      <c r="G857" s="1019"/>
      <c r="H857" s="1019"/>
      <c r="I857" s="1140"/>
    </row>
    <row r="858" spans="1:9" x14ac:dyDescent="0.35">
      <c r="A858" s="1019"/>
      <c r="B858" s="1019"/>
      <c r="C858" s="1019"/>
      <c r="D858" s="3188"/>
      <c r="E858" s="1019"/>
      <c r="F858" s="1019"/>
      <c r="G858" s="1019"/>
      <c r="H858" s="1019"/>
      <c r="I858" s="1140"/>
    </row>
    <row r="859" spans="1:9" x14ac:dyDescent="0.35">
      <c r="A859" s="1019"/>
      <c r="B859" s="1019"/>
      <c r="C859" s="1019"/>
      <c r="D859" s="3188"/>
      <c r="E859" s="1019"/>
      <c r="F859" s="1019"/>
      <c r="G859" s="1019"/>
      <c r="H859" s="1019"/>
      <c r="I859" s="1140"/>
    </row>
    <row r="860" spans="1:9" x14ac:dyDescent="0.35">
      <c r="A860" s="1019"/>
      <c r="B860" s="1019"/>
      <c r="C860" s="1019"/>
      <c r="D860" s="3188"/>
      <c r="E860" s="1019"/>
      <c r="F860" s="1019"/>
      <c r="G860" s="1019"/>
      <c r="H860" s="1019"/>
      <c r="I860" s="1140"/>
    </row>
    <row r="861" spans="1:9" x14ac:dyDescent="0.35">
      <c r="A861" s="1019"/>
      <c r="B861" s="1019"/>
      <c r="C861" s="1019"/>
      <c r="D861" s="3188"/>
      <c r="E861" s="1019"/>
      <c r="F861" s="1019"/>
      <c r="G861" s="1019"/>
      <c r="H861" s="1019"/>
      <c r="I861" s="1140"/>
    </row>
    <row r="862" spans="1:9" x14ac:dyDescent="0.35">
      <c r="A862" s="1019"/>
      <c r="B862" s="1019"/>
      <c r="C862" s="1019"/>
      <c r="D862" s="3188"/>
      <c r="E862" s="1019"/>
      <c r="F862" s="1019"/>
      <c r="G862" s="1019"/>
      <c r="H862" s="1019"/>
      <c r="I862" s="1140"/>
    </row>
    <row r="863" spans="1:9" x14ac:dyDescent="0.35">
      <c r="A863" s="1019"/>
      <c r="B863" s="1019"/>
      <c r="C863" s="1019"/>
      <c r="D863" s="3188"/>
      <c r="E863" s="1019"/>
      <c r="F863" s="1019"/>
      <c r="G863" s="1019"/>
      <c r="H863" s="1019"/>
      <c r="I863" s="1140"/>
    </row>
    <row r="864" spans="1:9" x14ac:dyDescent="0.35">
      <c r="A864" s="1019"/>
      <c r="B864" s="1019"/>
      <c r="C864" s="1019"/>
      <c r="D864" s="3188"/>
      <c r="E864" s="1019"/>
      <c r="F864" s="1019"/>
      <c r="G864" s="1019"/>
      <c r="H864" s="1019"/>
      <c r="I864" s="1140"/>
    </row>
    <row r="865" spans="1:9" x14ac:dyDescent="0.35">
      <c r="A865" s="1019"/>
      <c r="B865" s="1019"/>
      <c r="C865" s="1019"/>
      <c r="D865" s="3188"/>
      <c r="E865" s="1019"/>
      <c r="F865" s="1019"/>
      <c r="G865" s="1019"/>
      <c r="H865" s="1019"/>
      <c r="I865" s="1140"/>
    </row>
    <row r="866" spans="1:9" x14ac:dyDescent="0.35">
      <c r="A866" s="1019"/>
      <c r="B866" s="1019"/>
      <c r="C866" s="1019"/>
      <c r="D866" s="3188"/>
      <c r="E866" s="1019"/>
      <c r="F866" s="1019"/>
      <c r="G866" s="1019"/>
      <c r="H866" s="1019"/>
      <c r="I866" s="1140"/>
    </row>
    <row r="867" spans="1:9" x14ac:dyDescent="0.35">
      <c r="A867" s="1019"/>
      <c r="B867" s="1019"/>
      <c r="C867" s="1019"/>
      <c r="D867" s="3188"/>
      <c r="E867" s="1019"/>
      <c r="F867" s="1019"/>
      <c r="G867" s="1019"/>
      <c r="H867" s="1019"/>
      <c r="I867" s="1140"/>
    </row>
    <row r="868" spans="1:9" x14ac:dyDescent="0.35">
      <c r="A868" s="1019"/>
      <c r="B868" s="1019"/>
      <c r="C868" s="1019"/>
      <c r="D868" s="3188"/>
      <c r="E868" s="1019"/>
      <c r="F868" s="1019"/>
      <c r="G868" s="1019"/>
      <c r="H868" s="1019"/>
      <c r="I868" s="1140"/>
    </row>
    <row r="869" spans="1:9" x14ac:dyDescent="0.35">
      <c r="A869" s="1019"/>
      <c r="B869" s="1019"/>
      <c r="C869" s="1019"/>
      <c r="D869" s="3188"/>
      <c r="E869" s="1019"/>
      <c r="F869" s="1019"/>
      <c r="G869" s="1019"/>
      <c r="H869" s="1019"/>
      <c r="I869" s="1140"/>
    </row>
    <row r="870" spans="1:9" x14ac:dyDescent="0.35">
      <c r="A870" s="1019"/>
      <c r="B870" s="1019"/>
      <c r="C870" s="1019"/>
      <c r="D870" s="3188"/>
      <c r="E870" s="1019"/>
      <c r="F870" s="1019"/>
      <c r="G870" s="1019"/>
      <c r="H870" s="1019"/>
      <c r="I870" s="1140"/>
    </row>
    <row r="871" spans="1:9" x14ac:dyDescent="0.35">
      <c r="A871" s="1019"/>
      <c r="B871" s="1019"/>
      <c r="C871" s="1019"/>
      <c r="D871" s="3188"/>
      <c r="E871" s="1019"/>
      <c r="F871" s="1019"/>
      <c r="G871" s="1019"/>
      <c r="H871" s="1019"/>
      <c r="I871" s="1140"/>
    </row>
    <row r="872" spans="1:9" x14ac:dyDescent="0.35">
      <c r="A872" s="1019"/>
      <c r="B872" s="1019"/>
      <c r="C872" s="1019"/>
      <c r="D872" s="3188"/>
      <c r="E872" s="1019"/>
      <c r="F872" s="1019"/>
      <c r="G872" s="1019"/>
      <c r="H872" s="1019"/>
      <c r="I872" s="1140"/>
    </row>
    <row r="873" spans="1:9" x14ac:dyDescent="0.35">
      <c r="A873" s="1019"/>
      <c r="B873" s="1019"/>
      <c r="C873" s="1019"/>
      <c r="D873" s="3188"/>
      <c r="E873" s="1019"/>
      <c r="F873" s="1019"/>
      <c r="G873" s="1019"/>
      <c r="H873" s="1019"/>
      <c r="I873" s="1140"/>
    </row>
    <row r="874" spans="1:9" x14ac:dyDescent="0.35">
      <c r="A874" s="1019"/>
      <c r="B874" s="1019"/>
      <c r="C874" s="1019"/>
      <c r="D874" s="3188"/>
      <c r="E874" s="1019"/>
      <c r="F874" s="1019"/>
      <c r="G874" s="1019"/>
      <c r="H874" s="1019"/>
      <c r="I874" s="1140"/>
    </row>
    <row r="875" spans="1:9" x14ac:dyDescent="0.35">
      <c r="A875" s="1019"/>
      <c r="B875" s="1019"/>
      <c r="C875" s="1019"/>
      <c r="D875" s="3188"/>
      <c r="E875" s="1019"/>
      <c r="F875" s="1019"/>
      <c r="G875" s="1019"/>
      <c r="H875" s="1019"/>
      <c r="I875" s="1140"/>
    </row>
    <row r="876" spans="1:9" x14ac:dyDescent="0.35">
      <c r="A876" s="1019"/>
      <c r="B876" s="1019"/>
      <c r="C876" s="1019"/>
      <c r="D876" s="3188"/>
      <c r="E876" s="1019"/>
      <c r="F876" s="1019"/>
      <c r="G876" s="1019"/>
      <c r="H876" s="1019"/>
      <c r="I876" s="1140"/>
    </row>
    <row r="877" spans="1:9" x14ac:dyDescent="0.35">
      <c r="A877" s="1019"/>
      <c r="B877" s="1019"/>
      <c r="C877" s="1019"/>
      <c r="D877" s="3188"/>
      <c r="E877" s="1019"/>
      <c r="F877" s="1019"/>
      <c r="G877" s="1019"/>
      <c r="H877" s="1019"/>
      <c r="I877" s="1140"/>
    </row>
    <row r="878" spans="1:9" x14ac:dyDescent="0.35">
      <c r="A878" s="1019"/>
      <c r="B878" s="1019"/>
      <c r="C878" s="1019"/>
      <c r="D878" s="3188"/>
      <c r="E878" s="1019"/>
      <c r="F878" s="1019"/>
      <c r="G878" s="1019"/>
      <c r="H878" s="1019"/>
      <c r="I878" s="1140"/>
    </row>
    <row r="879" spans="1:9" x14ac:dyDescent="0.35">
      <c r="A879" s="1019"/>
      <c r="B879" s="1019"/>
      <c r="C879" s="1019"/>
      <c r="D879" s="3188"/>
      <c r="E879" s="1019"/>
      <c r="F879" s="1019"/>
      <c r="G879" s="1019"/>
      <c r="H879" s="1019"/>
      <c r="I879" s="1140"/>
    </row>
    <row r="880" spans="1:9" x14ac:dyDescent="0.35">
      <c r="A880" s="1019"/>
      <c r="B880" s="1019"/>
      <c r="C880" s="1019"/>
      <c r="D880" s="3188"/>
      <c r="E880" s="1019"/>
      <c r="F880" s="1019"/>
      <c r="G880" s="1019"/>
      <c r="H880" s="1019"/>
      <c r="I880" s="1140"/>
    </row>
    <row r="881" spans="1:9" x14ac:dyDescent="0.35">
      <c r="A881" s="1019"/>
      <c r="B881" s="1019"/>
      <c r="C881" s="1019"/>
      <c r="D881" s="3188"/>
      <c r="E881" s="1019"/>
      <c r="F881" s="1019"/>
      <c r="G881" s="1019"/>
      <c r="H881" s="1019"/>
      <c r="I881" s="1140"/>
    </row>
    <row r="882" spans="1:9" x14ac:dyDescent="0.35">
      <c r="A882" s="1019"/>
      <c r="B882" s="1019"/>
      <c r="C882" s="1019"/>
      <c r="D882" s="3188"/>
      <c r="E882" s="1019"/>
      <c r="F882" s="1019"/>
      <c r="G882" s="1019"/>
      <c r="H882" s="1019"/>
      <c r="I882" s="1140"/>
    </row>
    <row r="883" spans="1:9" x14ac:dyDescent="0.35">
      <c r="A883" s="1019"/>
      <c r="B883" s="1019"/>
      <c r="C883" s="1019"/>
      <c r="D883" s="3188"/>
      <c r="E883" s="1019"/>
      <c r="F883" s="1019"/>
      <c r="G883" s="1019"/>
      <c r="H883" s="1019"/>
      <c r="I883" s="1140"/>
    </row>
    <row r="884" spans="1:9" x14ac:dyDescent="0.35">
      <c r="A884" s="1019"/>
      <c r="B884" s="1019"/>
      <c r="C884" s="1019"/>
      <c r="D884" s="3188"/>
      <c r="E884" s="1019"/>
      <c r="F884" s="1019"/>
      <c r="G884" s="1019"/>
      <c r="H884" s="1019"/>
      <c r="I884" s="1140"/>
    </row>
    <row r="885" spans="1:9" x14ac:dyDescent="0.35">
      <c r="A885" s="1019"/>
      <c r="B885" s="1019"/>
      <c r="C885" s="1019"/>
      <c r="D885" s="3188"/>
      <c r="E885" s="1019"/>
      <c r="F885" s="1019"/>
      <c r="G885" s="1019"/>
      <c r="H885" s="1019"/>
      <c r="I885" s="1140"/>
    </row>
    <row r="886" spans="1:9" x14ac:dyDescent="0.35">
      <c r="A886" s="1019"/>
      <c r="B886" s="1019"/>
      <c r="C886" s="1019"/>
      <c r="D886" s="3188"/>
      <c r="E886" s="1019"/>
      <c r="F886" s="1019"/>
      <c r="G886" s="1019"/>
      <c r="H886" s="1019"/>
      <c r="I886" s="1140"/>
    </row>
    <row r="887" spans="1:9" x14ac:dyDescent="0.35">
      <c r="A887" s="1019"/>
      <c r="B887" s="1019"/>
      <c r="C887" s="1019"/>
      <c r="D887" s="3188"/>
      <c r="E887" s="1019"/>
      <c r="F887" s="1019"/>
      <c r="G887" s="1019"/>
      <c r="H887" s="1019"/>
      <c r="I887" s="1140"/>
    </row>
    <row r="888" spans="1:9" x14ac:dyDescent="0.35">
      <c r="A888" s="1019"/>
      <c r="B888" s="1019"/>
      <c r="C888" s="1019"/>
      <c r="D888" s="3188"/>
      <c r="E888" s="1019"/>
      <c r="F888" s="1019"/>
      <c r="G888" s="1019"/>
      <c r="H888" s="1019"/>
      <c r="I888" s="1140"/>
    </row>
    <row r="889" spans="1:9" x14ac:dyDescent="0.35">
      <c r="A889" s="1019"/>
      <c r="B889" s="1019"/>
      <c r="C889" s="1019"/>
      <c r="D889" s="3188"/>
      <c r="E889" s="1019"/>
      <c r="F889" s="1019"/>
      <c r="G889" s="1019"/>
      <c r="H889" s="1019"/>
      <c r="I889" s="1140"/>
    </row>
    <row r="890" spans="1:9" x14ac:dyDescent="0.35">
      <c r="A890" s="1019"/>
      <c r="B890" s="1019"/>
      <c r="C890" s="1019"/>
      <c r="D890" s="3188"/>
      <c r="E890" s="1019"/>
      <c r="F890" s="1019"/>
      <c r="G890" s="1019"/>
      <c r="H890" s="1019"/>
      <c r="I890" s="1140"/>
    </row>
    <row r="891" spans="1:9" x14ac:dyDescent="0.35">
      <c r="A891" s="1019"/>
      <c r="B891" s="1019"/>
      <c r="C891" s="1019"/>
      <c r="D891" s="3188"/>
      <c r="E891" s="1019"/>
      <c r="F891" s="1019"/>
      <c r="G891" s="1019"/>
      <c r="H891" s="1019"/>
      <c r="I891" s="1140"/>
    </row>
    <row r="892" spans="1:9" x14ac:dyDescent="0.35">
      <c r="A892" s="1019"/>
      <c r="B892" s="1019"/>
      <c r="C892" s="1019"/>
      <c r="D892" s="3188"/>
      <c r="E892" s="1019"/>
      <c r="F892" s="1019"/>
      <c r="G892" s="1019"/>
      <c r="H892" s="1019"/>
      <c r="I892" s="1140"/>
    </row>
    <row r="893" spans="1:9" x14ac:dyDescent="0.35">
      <c r="A893" s="1019"/>
      <c r="B893" s="1019"/>
      <c r="C893" s="1019"/>
      <c r="D893" s="3188"/>
      <c r="E893" s="1019"/>
      <c r="F893" s="1019"/>
      <c r="G893" s="1019"/>
      <c r="H893" s="1019"/>
      <c r="I893" s="1140"/>
    </row>
    <row r="894" spans="1:9" x14ac:dyDescent="0.35">
      <c r="A894" s="1019"/>
      <c r="B894" s="1019"/>
      <c r="C894" s="1019"/>
      <c r="D894" s="3188"/>
      <c r="E894" s="1019"/>
      <c r="F894" s="1019"/>
      <c r="G894" s="1019"/>
      <c r="H894" s="1019"/>
      <c r="I894" s="1140"/>
    </row>
    <row r="895" spans="1:9" x14ac:dyDescent="0.35">
      <c r="A895" s="1019"/>
      <c r="B895" s="1019"/>
      <c r="C895" s="1019"/>
      <c r="D895" s="3188"/>
      <c r="E895" s="1019"/>
      <c r="F895" s="1019"/>
      <c r="G895" s="1019"/>
      <c r="H895" s="1019"/>
      <c r="I895" s="1140"/>
    </row>
    <row r="896" spans="1:9" x14ac:dyDescent="0.35">
      <c r="A896" s="1019"/>
      <c r="B896" s="1019"/>
      <c r="C896" s="1019"/>
      <c r="D896" s="3188"/>
      <c r="E896" s="1019"/>
      <c r="F896" s="1019"/>
      <c r="G896" s="1019"/>
      <c r="H896" s="1019"/>
      <c r="I896" s="1140"/>
    </row>
    <row r="897" spans="1:9" x14ac:dyDescent="0.35">
      <c r="A897" s="1019"/>
      <c r="B897" s="1019"/>
      <c r="C897" s="1019"/>
      <c r="D897" s="3188"/>
      <c r="E897" s="1019"/>
      <c r="F897" s="1019"/>
      <c r="G897" s="1019"/>
      <c r="H897" s="1019"/>
      <c r="I897" s="1140"/>
    </row>
    <row r="898" spans="1:9" x14ac:dyDescent="0.35">
      <c r="A898" s="1019"/>
      <c r="B898" s="1019"/>
      <c r="C898" s="1019"/>
      <c r="D898" s="3188"/>
      <c r="E898" s="1019"/>
      <c r="F898" s="1019"/>
      <c r="G898" s="1019"/>
      <c r="H898" s="1019"/>
      <c r="I898" s="1140"/>
    </row>
    <row r="899" spans="1:9" x14ac:dyDescent="0.35">
      <c r="A899" s="1019"/>
      <c r="B899" s="1019"/>
      <c r="C899" s="1019"/>
      <c r="D899" s="3188"/>
      <c r="E899" s="1019"/>
      <c r="F899" s="1019"/>
      <c r="G899" s="1019"/>
      <c r="H899" s="1019"/>
      <c r="I899" s="1140"/>
    </row>
    <row r="900" spans="1:9" x14ac:dyDescent="0.35">
      <c r="A900" s="1019"/>
      <c r="B900" s="1019"/>
      <c r="C900" s="1019"/>
      <c r="D900" s="3188"/>
      <c r="E900" s="1019"/>
      <c r="F900" s="1019"/>
      <c r="G900" s="1019"/>
      <c r="H900" s="1019"/>
      <c r="I900" s="1140"/>
    </row>
    <row r="901" spans="1:9" x14ac:dyDescent="0.35">
      <c r="A901" s="1019"/>
      <c r="B901" s="1019"/>
      <c r="C901" s="1019"/>
      <c r="D901" s="3188"/>
      <c r="E901" s="1019"/>
      <c r="F901" s="1019"/>
      <c r="G901" s="1019"/>
      <c r="H901" s="1019"/>
      <c r="I901" s="1140"/>
    </row>
    <row r="902" spans="1:9" x14ac:dyDescent="0.35">
      <c r="A902" s="1019"/>
      <c r="B902" s="1019"/>
      <c r="C902" s="1019"/>
      <c r="D902" s="3188"/>
      <c r="E902" s="1019"/>
      <c r="F902" s="1019"/>
      <c r="G902" s="1019"/>
      <c r="H902" s="1019"/>
      <c r="I902" s="1140"/>
    </row>
    <row r="903" spans="1:9" x14ac:dyDescent="0.35">
      <c r="A903" s="1019"/>
      <c r="B903" s="1019"/>
      <c r="C903" s="1019"/>
      <c r="D903" s="3188"/>
      <c r="E903" s="1019"/>
      <c r="F903" s="1019"/>
      <c r="G903" s="1019"/>
      <c r="H903" s="1019"/>
      <c r="I903" s="1140"/>
    </row>
    <row r="904" spans="1:9" x14ac:dyDescent="0.35">
      <c r="A904" s="1019"/>
      <c r="B904" s="1019"/>
      <c r="C904" s="1019"/>
      <c r="D904" s="3188"/>
      <c r="E904" s="1019"/>
      <c r="F904" s="1019"/>
      <c r="G904" s="1019"/>
      <c r="H904" s="1019"/>
      <c r="I904" s="1140"/>
    </row>
    <row r="905" spans="1:9" x14ac:dyDescent="0.35">
      <c r="A905" s="1019"/>
      <c r="B905" s="1019"/>
      <c r="C905" s="1019"/>
      <c r="D905" s="3188"/>
      <c r="E905" s="1019"/>
      <c r="F905" s="1019"/>
      <c r="G905" s="1019"/>
      <c r="H905" s="1019"/>
      <c r="I905" s="1140"/>
    </row>
    <row r="906" spans="1:9" x14ac:dyDescent="0.35">
      <c r="A906" s="1019"/>
      <c r="B906" s="1019"/>
      <c r="C906" s="1019"/>
      <c r="D906" s="3188"/>
      <c r="E906" s="1019"/>
      <c r="F906" s="1019"/>
      <c r="G906" s="1019"/>
      <c r="H906" s="1019"/>
      <c r="I906" s="1140"/>
    </row>
    <row r="907" spans="1:9" x14ac:dyDescent="0.35">
      <c r="A907" s="1019"/>
      <c r="B907" s="1019"/>
      <c r="C907" s="1019"/>
      <c r="D907" s="3188"/>
      <c r="E907" s="1019"/>
      <c r="F907" s="1019"/>
      <c r="G907" s="1019"/>
      <c r="H907" s="1019"/>
      <c r="I907" s="1140"/>
    </row>
    <row r="908" spans="1:9" x14ac:dyDescent="0.35">
      <c r="A908" s="1019"/>
      <c r="B908" s="1019"/>
      <c r="C908" s="1019"/>
      <c r="D908" s="3188"/>
      <c r="E908" s="1019"/>
      <c r="F908" s="1019"/>
      <c r="G908" s="1019"/>
      <c r="H908" s="1019"/>
      <c r="I908" s="1140"/>
    </row>
    <row r="909" spans="1:9" x14ac:dyDescent="0.35">
      <c r="A909" s="1019"/>
      <c r="B909" s="1019"/>
      <c r="C909" s="1019"/>
      <c r="D909" s="3188"/>
      <c r="E909" s="1019"/>
      <c r="F909" s="1019"/>
      <c r="G909" s="1019"/>
      <c r="H909" s="1019"/>
      <c r="I909" s="1140"/>
    </row>
    <row r="910" spans="1:9" x14ac:dyDescent="0.35">
      <c r="A910" s="1019"/>
      <c r="B910" s="1019"/>
      <c r="C910" s="1019"/>
      <c r="D910" s="3188"/>
      <c r="E910" s="1019"/>
      <c r="F910" s="1019"/>
      <c r="G910" s="1019"/>
      <c r="H910" s="1019"/>
      <c r="I910" s="1140"/>
    </row>
    <row r="911" spans="1:9" x14ac:dyDescent="0.35">
      <c r="A911" s="1019"/>
      <c r="B911" s="1019"/>
      <c r="C911" s="1019"/>
      <c r="D911" s="3188"/>
      <c r="E911" s="1019"/>
      <c r="F911" s="1019"/>
      <c r="G911" s="1019"/>
      <c r="H911" s="1019"/>
      <c r="I911" s="1140"/>
    </row>
    <row r="912" spans="1:9" x14ac:dyDescent="0.35">
      <c r="A912" s="1019"/>
      <c r="B912" s="1019"/>
      <c r="C912" s="1019"/>
      <c r="D912" s="3188"/>
      <c r="E912" s="1019"/>
      <c r="F912" s="1019"/>
      <c r="G912" s="1019"/>
      <c r="H912" s="1019"/>
      <c r="I912" s="1140"/>
    </row>
    <row r="913" spans="1:9" x14ac:dyDescent="0.35">
      <c r="A913" s="1019"/>
      <c r="B913" s="1019"/>
      <c r="C913" s="1019"/>
      <c r="D913" s="3188"/>
      <c r="E913" s="1019"/>
      <c r="F913" s="1019"/>
      <c r="G913" s="1019"/>
      <c r="H913" s="1019"/>
      <c r="I913" s="1140"/>
    </row>
    <row r="914" spans="1:9" x14ac:dyDescent="0.35">
      <c r="A914" s="1019"/>
      <c r="B914" s="1019"/>
      <c r="C914" s="1019"/>
      <c r="D914" s="3188"/>
      <c r="E914" s="1019"/>
      <c r="F914" s="1019"/>
      <c r="G914" s="1019"/>
      <c r="H914" s="1019"/>
      <c r="I914" s="1140"/>
    </row>
    <row r="915" spans="1:9" x14ac:dyDescent="0.35">
      <c r="A915" s="1019"/>
      <c r="B915" s="1019"/>
      <c r="C915" s="1019"/>
      <c r="D915" s="3188"/>
      <c r="E915" s="1019"/>
      <c r="F915" s="1019"/>
      <c r="G915" s="1019"/>
      <c r="H915" s="1019"/>
      <c r="I915" s="1140"/>
    </row>
    <row r="916" spans="1:9" x14ac:dyDescent="0.35">
      <c r="A916" s="1019"/>
      <c r="B916" s="1019"/>
      <c r="C916" s="1019"/>
      <c r="D916" s="3188"/>
      <c r="E916" s="1019"/>
      <c r="F916" s="1019"/>
      <c r="G916" s="1019"/>
      <c r="H916" s="1019"/>
      <c r="I916" s="1140"/>
    </row>
    <row r="917" spans="1:9" x14ac:dyDescent="0.35">
      <c r="A917" s="1019"/>
      <c r="B917" s="1019"/>
      <c r="C917" s="1019"/>
      <c r="D917" s="3188"/>
      <c r="E917" s="1019"/>
      <c r="F917" s="1019"/>
      <c r="G917" s="1019"/>
      <c r="H917" s="1019"/>
      <c r="I917" s="1140"/>
    </row>
    <row r="918" spans="1:9" x14ac:dyDescent="0.35">
      <c r="A918" s="1019"/>
      <c r="B918" s="1019"/>
      <c r="C918" s="1019"/>
      <c r="D918" s="3188"/>
      <c r="E918" s="1019"/>
      <c r="F918" s="1019"/>
      <c r="G918" s="1019"/>
      <c r="H918" s="1019"/>
      <c r="I918" s="1140"/>
    </row>
    <row r="919" spans="1:9" x14ac:dyDescent="0.35">
      <c r="A919" s="1019"/>
      <c r="B919" s="1019"/>
      <c r="C919" s="1019"/>
      <c r="D919" s="3188"/>
      <c r="E919" s="1019"/>
      <c r="F919" s="1019"/>
      <c r="G919" s="1019"/>
      <c r="H919" s="1019"/>
      <c r="I919" s="1140"/>
    </row>
    <row r="920" spans="1:9" x14ac:dyDescent="0.35">
      <c r="A920" s="1019"/>
      <c r="B920" s="1019"/>
      <c r="C920" s="1019"/>
      <c r="D920" s="3188"/>
      <c r="E920" s="1019"/>
      <c r="F920" s="1019"/>
      <c r="G920" s="1019"/>
      <c r="H920" s="1019"/>
      <c r="I920" s="1140"/>
    </row>
    <row r="921" spans="1:9" x14ac:dyDescent="0.35">
      <c r="A921" s="1019"/>
      <c r="B921" s="1019"/>
      <c r="C921" s="1019"/>
      <c r="D921" s="3188"/>
      <c r="E921" s="1019"/>
      <c r="F921" s="1019"/>
      <c r="G921" s="1019"/>
      <c r="H921" s="1019"/>
      <c r="I921" s="1140"/>
    </row>
    <row r="922" spans="1:9" x14ac:dyDescent="0.35">
      <c r="A922" s="1019"/>
      <c r="B922" s="1019"/>
      <c r="C922" s="1019"/>
      <c r="D922" s="3188"/>
      <c r="E922" s="1019"/>
      <c r="F922" s="1019"/>
      <c r="G922" s="1019"/>
      <c r="H922" s="1019"/>
      <c r="I922" s="1140"/>
    </row>
    <row r="923" spans="1:9" x14ac:dyDescent="0.35">
      <c r="A923" s="1019"/>
      <c r="B923" s="1019"/>
      <c r="C923" s="1019"/>
      <c r="D923" s="3188"/>
      <c r="E923" s="1019"/>
      <c r="F923" s="1019"/>
      <c r="G923" s="1019"/>
      <c r="H923" s="1019"/>
      <c r="I923" s="1140"/>
    </row>
    <row r="924" spans="1:9" x14ac:dyDescent="0.35">
      <c r="A924" s="1019"/>
      <c r="B924" s="1019"/>
      <c r="C924" s="1019"/>
      <c r="D924" s="3188"/>
      <c r="E924" s="1019"/>
      <c r="F924" s="1019"/>
      <c r="G924" s="1019"/>
      <c r="H924" s="1019"/>
      <c r="I924" s="1140"/>
    </row>
    <row r="925" spans="1:9" x14ac:dyDescent="0.35">
      <c r="A925" s="1019"/>
      <c r="B925" s="1019"/>
      <c r="C925" s="1019"/>
      <c r="D925" s="3188"/>
      <c r="E925" s="1019"/>
      <c r="F925" s="1019"/>
      <c r="G925" s="1019"/>
      <c r="H925" s="1019"/>
      <c r="I925" s="1140"/>
    </row>
    <row r="926" spans="1:9" x14ac:dyDescent="0.35">
      <c r="A926" s="1019"/>
      <c r="B926" s="1019"/>
      <c r="C926" s="1019"/>
      <c r="D926" s="3188"/>
      <c r="E926" s="1019"/>
      <c r="F926" s="1019"/>
      <c r="G926" s="1019"/>
      <c r="H926" s="1019"/>
      <c r="I926" s="1140"/>
    </row>
    <row r="927" spans="1:9" x14ac:dyDescent="0.35">
      <c r="A927" s="1019"/>
      <c r="B927" s="1019"/>
      <c r="C927" s="1019"/>
      <c r="D927" s="3188"/>
      <c r="E927" s="1019"/>
      <c r="F927" s="1019"/>
      <c r="G927" s="1019"/>
      <c r="H927" s="1019"/>
      <c r="I927" s="1140"/>
    </row>
    <row r="928" spans="1:9" x14ac:dyDescent="0.35">
      <c r="A928" s="1019"/>
      <c r="B928" s="1019"/>
      <c r="C928" s="1019"/>
      <c r="D928" s="3188"/>
      <c r="E928" s="1019"/>
      <c r="F928" s="1019"/>
      <c r="G928" s="1019"/>
      <c r="H928" s="1019"/>
      <c r="I928" s="1140"/>
    </row>
    <row r="929" spans="1:9" x14ac:dyDescent="0.35">
      <c r="A929" s="1019"/>
      <c r="B929" s="1019"/>
      <c r="C929" s="1019"/>
      <c r="D929" s="3188"/>
      <c r="E929" s="1019"/>
      <c r="F929" s="1019"/>
      <c r="G929" s="1019"/>
      <c r="H929" s="1019"/>
      <c r="I929" s="1140"/>
    </row>
    <row r="930" spans="1:9" x14ac:dyDescent="0.35">
      <c r="A930" s="1019"/>
      <c r="B930" s="1019"/>
      <c r="C930" s="1019"/>
      <c r="D930" s="3188"/>
      <c r="E930" s="1019"/>
      <c r="F930" s="1019"/>
      <c r="G930" s="1019"/>
      <c r="H930" s="1019"/>
      <c r="I930" s="1140"/>
    </row>
    <row r="931" spans="1:9" x14ac:dyDescent="0.35">
      <c r="A931" s="1019"/>
      <c r="B931" s="1019"/>
      <c r="C931" s="1019"/>
      <c r="D931" s="3188"/>
      <c r="E931" s="1019"/>
      <c r="F931" s="1019"/>
      <c r="G931" s="1019"/>
      <c r="H931" s="1019"/>
      <c r="I931" s="1140"/>
    </row>
    <row r="932" spans="1:9" x14ac:dyDescent="0.35">
      <c r="A932" s="1019"/>
      <c r="B932" s="1019"/>
      <c r="C932" s="1019"/>
      <c r="D932" s="3188"/>
      <c r="E932" s="1019"/>
      <c r="F932" s="1019"/>
      <c r="G932" s="1019"/>
      <c r="H932" s="1019"/>
      <c r="I932" s="1140"/>
    </row>
    <row r="933" spans="1:9" x14ac:dyDescent="0.35">
      <c r="A933" s="1019"/>
      <c r="B933" s="1019"/>
      <c r="C933" s="1019"/>
      <c r="D933" s="3188"/>
      <c r="E933" s="1019"/>
      <c r="F933" s="1019"/>
      <c r="G933" s="1019"/>
      <c r="H933" s="1019"/>
      <c r="I933" s="1140"/>
    </row>
    <row r="934" spans="1:9" x14ac:dyDescent="0.35">
      <c r="A934" s="1019"/>
      <c r="B934" s="1019"/>
      <c r="C934" s="1019"/>
      <c r="D934" s="3188"/>
      <c r="E934" s="1019"/>
      <c r="F934" s="1019"/>
      <c r="G934" s="1019"/>
      <c r="H934" s="1019"/>
      <c r="I934" s="1140"/>
    </row>
    <row r="935" spans="1:9" x14ac:dyDescent="0.35">
      <c r="A935" s="1019"/>
      <c r="B935" s="1019"/>
      <c r="C935" s="1019"/>
      <c r="D935" s="3188"/>
      <c r="E935" s="1019"/>
      <c r="F935" s="1019"/>
      <c r="G935" s="1019"/>
      <c r="H935" s="1019"/>
      <c r="I935" s="1140"/>
    </row>
    <row r="936" spans="1:9" x14ac:dyDescent="0.35">
      <c r="A936" s="1019"/>
      <c r="B936" s="1019"/>
      <c r="C936" s="1019"/>
      <c r="D936" s="3188"/>
      <c r="E936" s="1019"/>
      <c r="F936" s="1019"/>
      <c r="G936" s="1019"/>
      <c r="H936" s="1019"/>
      <c r="I936" s="1140"/>
    </row>
    <row r="937" spans="1:9" x14ac:dyDescent="0.35">
      <c r="A937" s="1019"/>
      <c r="B937" s="1019"/>
      <c r="C937" s="1019"/>
      <c r="D937" s="3188"/>
      <c r="E937" s="1019"/>
      <c r="F937" s="1019"/>
      <c r="G937" s="1019"/>
      <c r="H937" s="1019"/>
      <c r="I937" s="1140"/>
    </row>
    <row r="938" spans="1:9" x14ac:dyDescent="0.35">
      <c r="A938" s="1019"/>
      <c r="B938" s="1019"/>
      <c r="C938" s="1019"/>
      <c r="D938" s="3188"/>
      <c r="E938" s="1019"/>
      <c r="F938" s="1019"/>
      <c r="G938" s="1019"/>
      <c r="H938" s="1019"/>
      <c r="I938" s="1140"/>
    </row>
    <row r="939" spans="1:9" x14ac:dyDescent="0.35">
      <c r="A939" s="1019"/>
      <c r="B939" s="1019"/>
      <c r="C939" s="1019"/>
      <c r="D939" s="3188"/>
      <c r="E939" s="1019"/>
      <c r="F939" s="1019"/>
      <c r="G939" s="1019"/>
      <c r="H939" s="1019"/>
      <c r="I939" s="1140"/>
    </row>
    <row r="940" spans="1:9" x14ac:dyDescent="0.35">
      <c r="A940" s="1019"/>
      <c r="B940" s="1019"/>
      <c r="C940" s="1019"/>
      <c r="D940" s="3188"/>
      <c r="E940" s="1019"/>
      <c r="F940" s="1019"/>
      <c r="G940" s="1019"/>
      <c r="H940" s="1019"/>
      <c r="I940" s="1140"/>
    </row>
    <row r="941" spans="1:9" x14ac:dyDescent="0.35">
      <c r="A941" s="1019"/>
      <c r="B941" s="1019"/>
      <c r="C941" s="1019"/>
      <c r="D941" s="3188"/>
      <c r="E941" s="1019"/>
      <c r="F941" s="1019"/>
      <c r="G941" s="1019"/>
      <c r="H941" s="1019"/>
      <c r="I941" s="1140"/>
    </row>
    <row r="942" spans="1:9" x14ac:dyDescent="0.35">
      <c r="A942" s="1019"/>
      <c r="B942" s="1019"/>
      <c r="C942" s="1019"/>
      <c r="D942" s="3188"/>
      <c r="E942" s="1019"/>
      <c r="F942" s="1019"/>
      <c r="G942" s="1019"/>
      <c r="H942" s="1019"/>
      <c r="I942" s="1140"/>
    </row>
    <row r="943" spans="1:9" x14ac:dyDescent="0.35">
      <c r="A943" s="1019"/>
      <c r="B943" s="1019"/>
      <c r="C943" s="1019"/>
      <c r="D943" s="3188"/>
      <c r="E943" s="1019"/>
      <c r="F943" s="1019"/>
      <c r="G943" s="1019"/>
      <c r="H943" s="1019"/>
      <c r="I943" s="1140"/>
    </row>
    <row r="944" spans="1:9" x14ac:dyDescent="0.35">
      <c r="A944" s="1019"/>
      <c r="B944" s="1019"/>
      <c r="C944" s="1019"/>
      <c r="D944" s="3188"/>
      <c r="E944" s="1019"/>
      <c r="F944" s="1019"/>
      <c r="G944" s="1019"/>
      <c r="H944" s="1019"/>
      <c r="I944" s="1140"/>
    </row>
    <row r="945" spans="1:9" x14ac:dyDescent="0.35">
      <c r="A945" s="1019"/>
      <c r="B945" s="1019"/>
      <c r="C945" s="1019"/>
      <c r="D945" s="3188"/>
      <c r="E945" s="1019"/>
      <c r="F945" s="1019"/>
      <c r="G945" s="1019"/>
      <c r="H945" s="1019"/>
      <c r="I945" s="1140"/>
    </row>
    <row r="946" spans="1:9" x14ac:dyDescent="0.35">
      <c r="A946" s="1019"/>
      <c r="B946" s="1019"/>
      <c r="C946" s="1019"/>
      <c r="D946" s="3188"/>
      <c r="E946" s="1019"/>
      <c r="F946" s="1019"/>
      <c r="G946" s="1019"/>
      <c r="H946" s="1019"/>
      <c r="I946" s="1140"/>
    </row>
    <row r="947" spans="1:9" x14ac:dyDescent="0.35">
      <c r="A947" s="1019"/>
      <c r="B947" s="1019"/>
      <c r="C947" s="1019"/>
      <c r="D947" s="3188"/>
      <c r="E947" s="1019"/>
      <c r="F947" s="1019"/>
      <c r="G947" s="1019"/>
      <c r="H947" s="1019"/>
      <c r="I947" s="1140"/>
    </row>
    <row r="948" spans="1:9" x14ac:dyDescent="0.35">
      <c r="A948" s="1019"/>
      <c r="B948" s="1019"/>
      <c r="C948" s="1019"/>
      <c r="D948" s="3188"/>
      <c r="E948" s="1019"/>
      <c r="F948" s="1019"/>
      <c r="G948" s="1019"/>
      <c r="H948" s="1019"/>
      <c r="I948" s="1140"/>
    </row>
    <row r="949" spans="1:9" x14ac:dyDescent="0.35">
      <c r="A949" s="1019"/>
      <c r="B949" s="1019"/>
      <c r="C949" s="1019"/>
      <c r="D949" s="3188"/>
      <c r="E949" s="1019"/>
      <c r="F949" s="1019"/>
      <c r="G949" s="1019"/>
      <c r="H949" s="1019"/>
      <c r="I949" s="1140"/>
    </row>
    <row r="950" spans="1:9" x14ac:dyDescent="0.35">
      <c r="A950" s="1019"/>
      <c r="B950" s="1019"/>
      <c r="C950" s="1019"/>
      <c r="D950" s="3188"/>
      <c r="E950" s="1019"/>
      <c r="F950" s="1019"/>
      <c r="G950" s="1019"/>
      <c r="H950" s="1019"/>
      <c r="I950" s="1140"/>
    </row>
    <row r="951" spans="1:9" x14ac:dyDescent="0.35">
      <c r="A951" s="1019"/>
      <c r="B951" s="1019"/>
      <c r="C951" s="1019"/>
      <c r="D951" s="3188"/>
      <c r="E951" s="1019"/>
      <c r="F951" s="1019"/>
      <c r="G951" s="1019"/>
      <c r="H951" s="1019"/>
      <c r="I951" s="1140"/>
    </row>
    <row r="952" spans="1:9" x14ac:dyDescent="0.35">
      <c r="A952" s="1019"/>
      <c r="B952" s="1019"/>
      <c r="C952" s="1019"/>
      <c r="D952" s="3188"/>
      <c r="E952" s="1019"/>
      <c r="F952" s="1019"/>
      <c r="G952" s="1019"/>
      <c r="H952" s="1019"/>
      <c r="I952" s="1140"/>
    </row>
    <row r="953" spans="1:9" x14ac:dyDescent="0.35">
      <c r="A953" s="1019"/>
      <c r="B953" s="1019"/>
      <c r="C953" s="1019"/>
      <c r="D953" s="3188"/>
      <c r="E953" s="1019"/>
      <c r="F953" s="1019"/>
      <c r="G953" s="1019"/>
      <c r="H953" s="1019"/>
      <c r="I953" s="1140"/>
    </row>
    <row r="954" spans="1:9" x14ac:dyDescent="0.35">
      <c r="A954" s="1019"/>
      <c r="B954" s="1019"/>
      <c r="C954" s="1019"/>
      <c r="D954" s="3188"/>
      <c r="E954" s="1019"/>
      <c r="F954" s="1019"/>
      <c r="G954" s="1019"/>
      <c r="H954" s="1019"/>
      <c r="I954" s="1140"/>
    </row>
    <row r="955" spans="1:9" x14ac:dyDescent="0.35">
      <c r="A955" s="1019"/>
      <c r="B955" s="1019"/>
      <c r="C955" s="1019"/>
      <c r="D955" s="3188"/>
      <c r="E955" s="1019"/>
      <c r="F955" s="1019"/>
      <c r="G955" s="1019"/>
      <c r="H955" s="1019"/>
      <c r="I955" s="1140"/>
    </row>
    <row r="956" spans="1:9" x14ac:dyDescent="0.35">
      <c r="A956" s="1019"/>
      <c r="B956" s="1019"/>
      <c r="C956" s="1019"/>
      <c r="D956" s="3188"/>
      <c r="E956" s="1019"/>
      <c r="F956" s="1019"/>
      <c r="G956" s="1019"/>
      <c r="H956" s="1019"/>
      <c r="I956" s="1140"/>
    </row>
    <row r="957" spans="1:9" x14ac:dyDescent="0.35">
      <c r="A957" s="1019"/>
      <c r="B957" s="1019"/>
      <c r="C957" s="1019"/>
      <c r="D957" s="3188"/>
      <c r="E957" s="1019"/>
      <c r="F957" s="1019"/>
      <c r="G957" s="1019"/>
      <c r="H957" s="1019"/>
      <c r="I957" s="1140"/>
    </row>
    <row r="958" spans="1:9" x14ac:dyDescent="0.35">
      <c r="A958" s="1019"/>
      <c r="B958" s="1019"/>
      <c r="C958" s="1019"/>
      <c r="D958" s="3188"/>
      <c r="E958" s="1019"/>
      <c r="F958" s="1019"/>
      <c r="G958" s="1019"/>
      <c r="H958" s="1019"/>
      <c r="I958" s="1140"/>
    </row>
    <row r="959" spans="1:9" x14ac:dyDescent="0.35">
      <c r="A959" s="1019"/>
      <c r="B959" s="1019"/>
      <c r="C959" s="1019"/>
      <c r="D959" s="3188"/>
      <c r="E959" s="1019"/>
      <c r="F959" s="1019"/>
      <c r="G959" s="1019"/>
      <c r="H959" s="1019"/>
      <c r="I959" s="1140"/>
    </row>
    <row r="960" spans="1:9" x14ac:dyDescent="0.35">
      <c r="A960" s="1019"/>
      <c r="B960" s="1019"/>
      <c r="C960" s="1019"/>
      <c r="D960" s="3188"/>
      <c r="E960" s="1019"/>
      <c r="F960" s="1019"/>
      <c r="G960" s="1019"/>
      <c r="H960" s="1019"/>
      <c r="I960" s="1140"/>
    </row>
    <row r="961" spans="1:9" x14ac:dyDescent="0.35">
      <c r="A961" s="1019"/>
      <c r="B961" s="1019"/>
      <c r="C961" s="1019"/>
      <c r="D961" s="3188"/>
      <c r="E961" s="1019"/>
      <c r="F961" s="1019"/>
      <c r="G961" s="1019"/>
      <c r="H961" s="1019"/>
      <c r="I961" s="1140"/>
    </row>
    <row r="962" spans="1:9" x14ac:dyDescent="0.35">
      <c r="A962" s="1019"/>
      <c r="B962" s="1019"/>
      <c r="C962" s="1019"/>
      <c r="D962" s="3188"/>
      <c r="E962" s="1019"/>
      <c r="F962" s="1019"/>
      <c r="G962" s="1019"/>
      <c r="H962" s="1019"/>
      <c r="I962" s="1140"/>
    </row>
    <row r="963" spans="1:9" x14ac:dyDescent="0.35">
      <c r="A963" s="1019"/>
      <c r="B963" s="1019"/>
      <c r="C963" s="1019"/>
      <c r="D963" s="3188"/>
      <c r="E963" s="1019"/>
      <c r="F963" s="1019"/>
      <c r="G963" s="1019"/>
      <c r="H963" s="1019"/>
      <c r="I963" s="1140"/>
    </row>
    <row r="964" spans="1:9" x14ac:dyDescent="0.35">
      <c r="A964" s="1019"/>
      <c r="B964" s="1019"/>
      <c r="C964" s="1019"/>
      <c r="D964" s="3188"/>
      <c r="E964" s="1019"/>
      <c r="F964" s="1019"/>
      <c r="G964" s="1019"/>
      <c r="H964" s="1019"/>
      <c r="I964" s="1140"/>
    </row>
    <row r="965" spans="1:9" x14ac:dyDescent="0.35">
      <c r="A965" s="1019"/>
      <c r="B965" s="1019"/>
      <c r="C965" s="1019"/>
      <c r="D965" s="3188"/>
      <c r="E965" s="1019"/>
      <c r="F965" s="1019"/>
      <c r="G965" s="1019"/>
      <c r="H965" s="1019"/>
      <c r="I965" s="1140"/>
    </row>
    <row r="966" spans="1:9" x14ac:dyDescent="0.35">
      <c r="A966" s="1019"/>
      <c r="B966" s="1019"/>
      <c r="C966" s="1019"/>
      <c r="D966" s="3188"/>
      <c r="E966" s="1019"/>
      <c r="F966" s="1019"/>
      <c r="G966" s="1019"/>
      <c r="H966" s="1019"/>
      <c r="I966" s="1140"/>
    </row>
    <row r="967" spans="1:9" x14ac:dyDescent="0.35">
      <c r="A967" s="1019"/>
      <c r="B967" s="1019"/>
      <c r="C967" s="1019"/>
      <c r="D967" s="3188"/>
      <c r="E967" s="1019"/>
      <c r="F967" s="1019"/>
      <c r="G967" s="1019"/>
      <c r="H967" s="1019"/>
      <c r="I967" s="1140"/>
    </row>
    <row r="968" spans="1:9" x14ac:dyDescent="0.35">
      <c r="A968" s="1019"/>
      <c r="B968" s="1019"/>
      <c r="C968" s="1019"/>
      <c r="D968" s="3188"/>
      <c r="E968" s="1019"/>
      <c r="F968" s="1019"/>
      <c r="G968" s="1019"/>
      <c r="H968" s="1019"/>
      <c r="I968" s="1140"/>
    </row>
    <row r="969" spans="1:9" x14ac:dyDescent="0.35">
      <c r="A969" s="1019"/>
      <c r="B969" s="1019"/>
      <c r="C969" s="1019"/>
      <c r="D969" s="3188"/>
      <c r="E969" s="1019"/>
      <c r="F969" s="1019"/>
      <c r="G969" s="1019"/>
      <c r="H969" s="1019"/>
      <c r="I969" s="1140"/>
    </row>
    <row r="970" spans="1:9" x14ac:dyDescent="0.35">
      <c r="A970" s="1019"/>
      <c r="B970" s="1019"/>
      <c r="C970" s="1019"/>
      <c r="D970" s="3188"/>
      <c r="E970" s="1019"/>
      <c r="F970" s="1019"/>
      <c r="G970" s="1019"/>
      <c r="H970" s="1019"/>
      <c r="I970" s="1140"/>
    </row>
    <row r="971" spans="1:9" x14ac:dyDescent="0.35">
      <c r="A971" s="1019"/>
      <c r="B971" s="1019"/>
      <c r="C971" s="1019"/>
      <c r="D971" s="3188"/>
      <c r="E971" s="1019"/>
      <c r="F971" s="1019"/>
      <c r="G971" s="1019"/>
      <c r="H971" s="1019"/>
      <c r="I971" s="1140"/>
    </row>
    <row r="972" spans="1:9" x14ac:dyDescent="0.35">
      <c r="A972" s="1019"/>
      <c r="B972" s="1019"/>
      <c r="C972" s="1019"/>
      <c r="D972" s="3188"/>
      <c r="E972" s="1019"/>
      <c r="F972" s="1019"/>
      <c r="G972" s="1019"/>
      <c r="H972" s="1019"/>
      <c r="I972" s="1140"/>
    </row>
    <row r="973" spans="1:9" x14ac:dyDescent="0.35">
      <c r="A973" s="1019"/>
      <c r="B973" s="1019"/>
      <c r="C973" s="1019"/>
      <c r="D973" s="3188"/>
      <c r="E973" s="1019"/>
      <c r="F973" s="1019"/>
      <c r="G973" s="1019"/>
      <c r="H973" s="1019"/>
      <c r="I973" s="1140"/>
    </row>
    <row r="974" spans="1:9" x14ac:dyDescent="0.35">
      <c r="A974" s="1019"/>
      <c r="B974" s="1019"/>
      <c r="C974" s="1019"/>
      <c r="D974" s="3188"/>
      <c r="E974" s="1019"/>
      <c r="F974" s="1019"/>
      <c r="G974" s="1019"/>
      <c r="H974" s="1019"/>
      <c r="I974" s="1140"/>
    </row>
    <row r="975" spans="1:9" x14ac:dyDescent="0.35">
      <c r="A975" s="1019"/>
      <c r="B975" s="1019"/>
      <c r="C975" s="1019"/>
      <c r="D975" s="3188"/>
      <c r="E975" s="1019"/>
      <c r="F975" s="1019"/>
      <c r="G975" s="1019"/>
      <c r="H975" s="1019"/>
      <c r="I975" s="1140"/>
    </row>
    <row r="976" spans="1:9" x14ac:dyDescent="0.35">
      <c r="A976" s="1019"/>
      <c r="B976" s="1019"/>
      <c r="C976" s="1019"/>
      <c r="D976" s="3188"/>
      <c r="E976" s="1019"/>
      <c r="F976" s="1019"/>
      <c r="G976" s="1019"/>
      <c r="H976" s="1019"/>
      <c r="I976" s="1140"/>
    </row>
    <row r="977" spans="1:9" x14ac:dyDescent="0.35">
      <c r="A977" s="1019"/>
      <c r="B977" s="1019"/>
      <c r="C977" s="1019"/>
      <c r="D977" s="3188"/>
      <c r="E977" s="1019"/>
      <c r="F977" s="1019"/>
      <c r="G977" s="1019"/>
      <c r="H977" s="1019"/>
      <c r="I977" s="1140"/>
    </row>
    <row r="978" spans="1:9" x14ac:dyDescent="0.35">
      <c r="A978" s="1019"/>
      <c r="B978" s="1019"/>
      <c r="C978" s="1019"/>
      <c r="D978" s="3188"/>
      <c r="E978" s="1019"/>
      <c r="F978" s="1019"/>
      <c r="G978" s="1019"/>
      <c r="H978" s="1019"/>
      <c r="I978" s="1140"/>
    </row>
    <row r="979" spans="1:9" x14ac:dyDescent="0.35">
      <c r="A979" s="1019"/>
      <c r="B979" s="1019"/>
      <c r="C979" s="1019"/>
      <c r="D979" s="3188"/>
      <c r="E979" s="1019"/>
      <c r="F979" s="1019"/>
      <c r="G979" s="1019"/>
      <c r="H979" s="1019"/>
      <c r="I979" s="1140"/>
    </row>
    <row r="980" spans="1:9" x14ac:dyDescent="0.35">
      <c r="A980" s="1019"/>
      <c r="B980" s="1019"/>
      <c r="C980" s="1019"/>
      <c r="D980" s="3188"/>
      <c r="E980" s="1019"/>
      <c r="F980" s="1019"/>
      <c r="G980" s="1019"/>
      <c r="H980" s="1019"/>
      <c r="I980" s="1140"/>
    </row>
    <row r="981" spans="1:9" x14ac:dyDescent="0.35">
      <c r="A981" s="1019"/>
      <c r="B981" s="1019"/>
      <c r="C981" s="1019"/>
      <c r="D981" s="3188"/>
      <c r="E981" s="1019"/>
      <c r="F981" s="1019"/>
      <c r="G981" s="1019"/>
      <c r="H981" s="1019"/>
      <c r="I981" s="1140"/>
    </row>
    <row r="982" spans="1:9" x14ac:dyDescent="0.35">
      <c r="A982" s="1019"/>
      <c r="B982" s="1019"/>
      <c r="C982" s="1019"/>
      <c r="D982" s="3188"/>
      <c r="E982" s="1019"/>
      <c r="F982" s="1019"/>
      <c r="G982" s="1019"/>
      <c r="H982" s="1019"/>
      <c r="I982" s="1140"/>
    </row>
    <row r="983" spans="1:9" x14ac:dyDescent="0.35">
      <c r="A983" s="1019"/>
      <c r="B983" s="1019"/>
      <c r="C983" s="1019"/>
      <c r="D983" s="3188"/>
      <c r="E983" s="1019"/>
      <c r="F983" s="1019"/>
      <c r="G983" s="1019"/>
      <c r="H983" s="1019"/>
      <c r="I983" s="1140"/>
    </row>
    <row r="984" spans="1:9" x14ac:dyDescent="0.35">
      <c r="A984" s="1019"/>
      <c r="B984" s="1019"/>
      <c r="C984" s="1019"/>
      <c r="D984" s="3188"/>
      <c r="E984" s="1019"/>
      <c r="F984" s="1019"/>
      <c r="G984" s="1019"/>
      <c r="H984" s="1019"/>
      <c r="I984" s="1140"/>
    </row>
    <row r="985" spans="1:9" x14ac:dyDescent="0.35">
      <c r="A985" s="1019"/>
      <c r="B985" s="1019"/>
      <c r="C985" s="1019"/>
      <c r="D985" s="3188"/>
      <c r="E985" s="1019"/>
      <c r="F985" s="1019"/>
      <c r="G985" s="1019"/>
      <c r="H985" s="1019"/>
      <c r="I985" s="1140"/>
    </row>
    <row r="986" spans="1:9" x14ac:dyDescent="0.35">
      <c r="A986" s="1019"/>
      <c r="B986" s="1019"/>
      <c r="C986" s="1019"/>
      <c r="D986" s="3188"/>
      <c r="E986" s="1019"/>
      <c r="F986" s="1019"/>
      <c r="G986" s="1019"/>
      <c r="H986" s="1019"/>
      <c r="I986" s="1140"/>
    </row>
    <row r="987" spans="1:9" x14ac:dyDescent="0.35">
      <c r="A987" s="1019"/>
      <c r="B987" s="1019"/>
      <c r="C987" s="1019"/>
      <c r="D987" s="3188"/>
      <c r="E987" s="1019"/>
      <c r="F987" s="1019"/>
      <c r="G987" s="1019"/>
      <c r="H987" s="1019"/>
      <c r="I987" s="1140"/>
    </row>
    <row r="988" spans="1:9" x14ac:dyDescent="0.35">
      <c r="A988" s="1019"/>
      <c r="B988" s="1019"/>
      <c r="C988" s="1019"/>
      <c r="D988" s="3188"/>
      <c r="E988" s="1019"/>
      <c r="F988" s="1019"/>
      <c r="G988" s="1019"/>
      <c r="H988" s="1019"/>
      <c r="I988" s="1140"/>
    </row>
    <row r="989" spans="1:9" x14ac:dyDescent="0.35">
      <c r="A989" s="1019"/>
      <c r="B989" s="1019"/>
      <c r="C989" s="1019"/>
      <c r="D989" s="3188"/>
      <c r="E989" s="1019"/>
      <c r="F989" s="1019"/>
      <c r="G989" s="1019"/>
      <c r="H989" s="1019"/>
      <c r="I989" s="1140"/>
    </row>
    <row r="990" spans="1:9" x14ac:dyDescent="0.35">
      <c r="A990" s="1019"/>
      <c r="B990" s="1019"/>
      <c r="C990" s="1019"/>
      <c r="D990" s="3188"/>
      <c r="E990" s="1019"/>
      <c r="F990" s="1019"/>
      <c r="G990" s="1019"/>
      <c r="H990" s="1019"/>
      <c r="I990" s="1140"/>
    </row>
    <row r="991" spans="1:9" x14ac:dyDescent="0.35">
      <c r="A991" s="1019"/>
      <c r="B991" s="1019"/>
      <c r="C991" s="1019"/>
      <c r="D991" s="3188"/>
      <c r="E991" s="1019"/>
      <c r="F991" s="1019"/>
      <c r="G991" s="1019"/>
      <c r="H991" s="1019"/>
      <c r="I991" s="1140"/>
    </row>
    <row r="992" spans="1:9" x14ac:dyDescent="0.35">
      <c r="A992" s="1019"/>
      <c r="B992" s="1019"/>
      <c r="C992" s="1019"/>
      <c r="D992" s="3188"/>
      <c r="E992" s="1019"/>
      <c r="F992" s="1019"/>
      <c r="G992" s="1019"/>
      <c r="H992" s="1019"/>
      <c r="I992" s="1140"/>
    </row>
    <row r="993" spans="1:9" x14ac:dyDescent="0.35">
      <c r="A993" s="1019"/>
      <c r="B993" s="1019"/>
      <c r="C993" s="1019"/>
      <c r="D993" s="3188"/>
      <c r="E993" s="1019"/>
      <c r="F993" s="1019"/>
      <c r="G993" s="1019"/>
      <c r="H993" s="1019"/>
      <c r="I993" s="1140"/>
    </row>
    <row r="994" spans="1:9" x14ac:dyDescent="0.35">
      <c r="A994" s="1019"/>
      <c r="B994" s="1019"/>
      <c r="C994" s="1019"/>
      <c r="D994" s="3188"/>
      <c r="E994" s="1019"/>
      <c r="F994" s="1019"/>
      <c r="G994" s="1019"/>
      <c r="H994" s="1019"/>
      <c r="I994" s="1140"/>
    </row>
    <row r="995" spans="1:9" x14ac:dyDescent="0.35">
      <c r="A995" s="1019"/>
      <c r="B995" s="1019"/>
      <c r="C995" s="1019"/>
      <c r="D995" s="3188"/>
      <c r="E995" s="1019"/>
      <c r="F995" s="1019"/>
      <c r="G995" s="1019"/>
      <c r="H995" s="1019"/>
      <c r="I995" s="1140"/>
    </row>
    <row r="996" spans="1:9" x14ac:dyDescent="0.35">
      <c r="A996" s="1019"/>
      <c r="B996" s="1019"/>
      <c r="C996" s="1019"/>
      <c r="D996" s="3188"/>
      <c r="E996" s="1019"/>
      <c r="F996" s="1019"/>
      <c r="G996" s="1019"/>
      <c r="H996" s="1019"/>
      <c r="I996" s="1140"/>
    </row>
    <row r="997" spans="1:9" x14ac:dyDescent="0.35">
      <c r="A997" s="1019"/>
      <c r="B997" s="1019"/>
      <c r="C997" s="1019"/>
      <c r="D997" s="3188"/>
      <c r="E997" s="1019"/>
      <c r="F997" s="1019"/>
      <c r="G997" s="1019"/>
      <c r="H997" s="1019"/>
      <c r="I997" s="1140"/>
    </row>
    <row r="998" spans="1:9" x14ac:dyDescent="0.35">
      <c r="A998" s="1019"/>
      <c r="B998" s="1019"/>
      <c r="C998" s="1019"/>
      <c r="D998" s="3188"/>
      <c r="E998" s="1019"/>
      <c r="F998" s="1019"/>
      <c r="G998" s="1019"/>
      <c r="H998" s="1019"/>
      <c r="I998" s="1140"/>
    </row>
    <row r="999" spans="1:9" x14ac:dyDescent="0.35">
      <c r="A999" s="1019"/>
      <c r="B999" s="1019"/>
      <c r="C999" s="1019"/>
      <c r="D999" s="3188"/>
      <c r="E999" s="1019"/>
      <c r="F999" s="1019"/>
      <c r="G999" s="1019"/>
      <c r="H999" s="1019"/>
      <c r="I999" s="1140"/>
    </row>
    <row r="1000" spans="1:9" x14ac:dyDescent="0.35">
      <c r="A1000" s="1019"/>
      <c r="B1000" s="1019"/>
      <c r="C1000" s="1019"/>
      <c r="D1000" s="3188"/>
      <c r="E1000" s="1019"/>
      <c r="F1000" s="1019"/>
      <c r="G1000" s="1019"/>
      <c r="H1000" s="1019"/>
      <c r="I1000" s="1140"/>
    </row>
    <row r="1001" spans="1:9" x14ac:dyDescent="0.35">
      <c r="A1001" s="1019"/>
      <c r="B1001" s="1019"/>
      <c r="C1001" s="1019"/>
      <c r="D1001" s="3188"/>
      <c r="E1001" s="1019"/>
      <c r="F1001" s="1019"/>
      <c r="G1001" s="1019"/>
      <c r="H1001" s="1019"/>
      <c r="I1001" s="1140"/>
    </row>
    <row r="1002" spans="1:9" x14ac:dyDescent="0.35">
      <c r="A1002" s="1019"/>
      <c r="B1002" s="1019"/>
      <c r="C1002" s="1019"/>
      <c r="D1002" s="3188"/>
      <c r="E1002" s="1019"/>
      <c r="F1002" s="1019"/>
      <c r="G1002" s="1019"/>
      <c r="H1002" s="1019"/>
      <c r="I1002" s="1140"/>
    </row>
    <row r="1003" spans="1:9" x14ac:dyDescent="0.35">
      <c r="A1003" s="1019"/>
      <c r="B1003" s="1019"/>
      <c r="C1003" s="1019"/>
      <c r="D1003" s="3188"/>
      <c r="E1003" s="1019"/>
      <c r="F1003" s="1019"/>
      <c r="G1003" s="1019"/>
      <c r="H1003" s="1019"/>
      <c r="I1003" s="1140"/>
    </row>
    <row r="1004" spans="1:9" x14ac:dyDescent="0.35">
      <c r="A1004" s="1019"/>
      <c r="B1004" s="1019"/>
      <c r="C1004" s="1019"/>
      <c r="D1004" s="3188"/>
      <c r="E1004" s="1019"/>
      <c r="F1004" s="1019"/>
      <c r="G1004" s="1019"/>
      <c r="H1004" s="1019"/>
      <c r="I1004" s="1140"/>
    </row>
    <row r="1005" spans="1:9" x14ac:dyDescent="0.35">
      <c r="A1005" s="1019"/>
      <c r="B1005" s="1019"/>
      <c r="C1005" s="1019"/>
      <c r="D1005" s="3188"/>
      <c r="E1005" s="1019"/>
      <c r="F1005" s="1019"/>
      <c r="G1005" s="1019"/>
      <c r="H1005" s="1019"/>
      <c r="I1005" s="1140"/>
    </row>
    <row r="1006" spans="1:9" x14ac:dyDescent="0.35">
      <c r="A1006" s="1019"/>
      <c r="B1006" s="1019"/>
      <c r="C1006" s="1019"/>
      <c r="D1006" s="3188"/>
      <c r="E1006" s="1019"/>
      <c r="F1006" s="1019"/>
      <c r="G1006" s="1019"/>
      <c r="H1006" s="1019"/>
      <c r="I1006" s="1140"/>
    </row>
    <row r="1007" spans="1:9" x14ac:dyDescent="0.35">
      <c r="A1007" s="1019"/>
      <c r="B1007" s="1019"/>
      <c r="C1007" s="1019"/>
      <c r="D1007" s="3188"/>
      <c r="E1007" s="1019"/>
      <c r="F1007" s="1019"/>
      <c r="G1007" s="1019"/>
      <c r="H1007" s="1019"/>
      <c r="I1007" s="1140"/>
    </row>
    <row r="1008" spans="1:9" x14ac:dyDescent="0.35">
      <c r="A1008" s="1019"/>
      <c r="B1008" s="1019"/>
      <c r="C1008" s="1019"/>
      <c r="D1008" s="3188"/>
      <c r="E1008" s="1019"/>
      <c r="F1008" s="1019"/>
      <c r="G1008" s="1019"/>
      <c r="H1008" s="1019"/>
      <c r="I1008" s="1140"/>
    </row>
    <row r="1009" spans="1:9" x14ac:dyDescent="0.35">
      <c r="A1009" s="1019"/>
      <c r="B1009" s="1019"/>
      <c r="C1009" s="1019"/>
      <c r="D1009" s="3188"/>
      <c r="E1009" s="1019"/>
      <c r="F1009" s="1019"/>
      <c r="G1009" s="1019"/>
      <c r="H1009" s="1019"/>
      <c r="I1009" s="1140"/>
    </row>
    <row r="1010" spans="1:9" x14ac:dyDescent="0.35">
      <c r="A1010" s="1019"/>
      <c r="B1010" s="1019"/>
      <c r="C1010" s="1019"/>
      <c r="D1010" s="3188"/>
      <c r="E1010" s="1019"/>
      <c r="F1010" s="1019"/>
      <c r="G1010" s="1019"/>
      <c r="H1010" s="1019"/>
      <c r="I1010" s="1140"/>
    </row>
    <row r="1011" spans="1:9" x14ac:dyDescent="0.35">
      <c r="A1011" s="1019"/>
      <c r="B1011" s="1019"/>
      <c r="C1011" s="1019"/>
      <c r="D1011" s="3188"/>
      <c r="E1011" s="1019"/>
      <c r="F1011" s="1019"/>
      <c r="G1011" s="1019"/>
      <c r="H1011" s="1019"/>
      <c r="I1011" s="1140"/>
    </row>
    <row r="1012" spans="1:9" x14ac:dyDescent="0.35">
      <c r="A1012" s="1019"/>
      <c r="B1012" s="1019"/>
      <c r="C1012" s="1019"/>
      <c r="D1012" s="3188"/>
      <c r="E1012" s="1019"/>
      <c r="F1012" s="1019"/>
      <c r="G1012" s="1019"/>
      <c r="H1012" s="1019"/>
      <c r="I1012" s="1140"/>
    </row>
    <row r="1013" spans="1:9" x14ac:dyDescent="0.35">
      <c r="A1013" s="1019"/>
      <c r="B1013" s="1019"/>
      <c r="C1013" s="1019"/>
      <c r="D1013" s="3188"/>
      <c r="E1013" s="1019"/>
      <c r="F1013" s="1019"/>
      <c r="G1013" s="1019"/>
      <c r="H1013" s="1019"/>
      <c r="I1013" s="1140"/>
    </row>
    <row r="1014" spans="1:9" x14ac:dyDescent="0.35">
      <c r="A1014" s="1019"/>
      <c r="B1014" s="1019"/>
      <c r="C1014" s="1019"/>
      <c r="D1014" s="3188"/>
      <c r="E1014" s="1019"/>
      <c r="F1014" s="1019"/>
      <c r="G1014" s="1019"/>
      <c r="H1014" s="1019"/>
      <c r="I1014" s="1140"/>
    </row>
    <row r="1015" spans="1:9" x14ac:dyDescent="0.35">
      <c r="A1015" s="1019"/>
      <c r="B1015" s="1019"/>
      <c r="C1015" s="1019"/>
      <c r="D1015" s="3188"/>
      <c r="E1015" s="1019"/>
      <c r="F1015" s="1019"/>
      <c r="G1015" s="1019"/>
      <c r="H1015" s="1019"/>
      <c r="I1015" s="1140"/>
    </row>
    <row r="1016" spans="1:9" x14ac:dyDescent="0.35">
      <c r="A1016" s="1019"/>
      <c r="B1016" s="1019"/>
      <c r="C1016" s="1019"/>
      <c r="D1016" s="3188"/>
      <c r="E1016" s="1019"/>
      <c r="F1016" s="1019"/>
      <c r="G1016" s="1019"/>
      <c r="H1016" s="1019"/>
      <c r="I1016" s="1140"/>
    </row>
    <row r="1017" spans="1:9" x14ac:dyDescent="0.35">
      <c r="A1017" s="1019"/>
      <c r="B1017" s="1019"/>
      <c r="C1017" s="1019"/>
      <c r="D1017" s="3188"/>
      <c r="E1017" s="1019"/>
      <c r="F1017" s="1019"/>
      <c r="G1017" s="1019"/>
      <c r="H1017" s="1019"/>
      <c r="I1017" s="1140"/>
    </row>
    <row r="1018" spans="1:9" x14ac:dyDescent="0.35">
      <c r="A1018" s="1019"/>
      <c r="B1018" s="1019"/>
      <c r="C1018" s="1019"/>
      <c r="D1018" s="3188"/>
      <c r="E1018" s="1019"/>
      <c r="F1018" s="1019"/>
      <c r="G1018" s="1019"/>
      <c r="H1018" s="1019"/>
      <c r="I1018" s="1140"/>
    </row>
    <row r="1019" spans="1:9" x14ac:dyDescent="0.35">
      <c r="A1019" s="1019"/>
      <c r="B1019" s="1019"/>
      <c r="C1019" s="1019"/>
      <c r="D1019" s="3188"/>
      <c r="E1019" s="1019"/>
      <c r="F1019" s="1019"/>
      <c r="G1019" s="1019"/>
      <c r="H1019" s="1019"/>
      <c r="I1019" s="1140"/>
    </row>
    <row r="1020" spans="1:9" x14ac:dyDescent="0.35">
      <c r="A1020" s="1019"/>
      <c r="B1020" s="1019"/>
      <c r="C1020" s="1019"/>
      <c r="D1020" s="3188"/>
      <c r="E1020" s="1019"/>
      <c r="F1020" s="1019"/>
      <c r="G1020" s="1019"/>
      <c r="H1020" s="1019"/>
      <c r="I1020" s="1140"/>
    </row>
    <row r="1021" spans="1:9" x14ac:dyDescent="0.35">
      <c r="A1021" s="1019"/>
      <c r="B1021" s="1019"/>
      <c r="C1021" s="1019"/>
      <c r="D1021" s="3188"/>
      <c r="E1021" s="1019"/>
      <c r="F1021" s="1019"/>
      <c r="G1021" s="1019"/>
      <c r="H1021" s="1019"/>
      <c r="I1021" s="1140"/>
    </row>
    <row r="1022" spans="1:9" x14ac:dyDescent="0.35">
      <c r="A1022" s="1019"/>
      <c r="B1022" s="1019"/>
      <c r="C1022" s="1019"/>
      <c r="D1022" s="3188"/>
      <c r="E1022" s="1019"/>
      <c r="F1022" s="1019"/>
      <c r="G1022" s="1019"/>
      <c r="H1022" s="1019"/>
      <c r="I1022" s="1140"/>
    </row>
    <row r="1023" spans="1:9" x14ac:dyDescent="0.35">
      <c r="A1023" s="1019"/>
      <c r="B1023" s="1019"/>
      <c r="C1023" s="1019"/>
      <c r="D1023" s="3188"/>
      <c r="E1023" s="1019"/>
      <c r="F1023" s="1019"/>
      <c r="G1023" s="1019"/>
      <c r="H1023" s="1019"/>
      <c r="I1023" s="1140"/>
    </row>
    <row r="1024" spans="1:9" x14ac:dyDescent="0.35">
      <c r="A1024" s="1019"/>
      <c r="B1024" s="1019"/>
      <c r="C1024" s="1019"/>
      <c r="D1024" s="3188"/>
      <c r="E1024" s="1019"/>
      <c r="F1024" s="1019"/>
      <c r="G1024" s="1019"/>
      <c r="H1024" s="1019"/>
      <c r="I1024" s="1140"/>
    </row>
    <row r="1025" spans="1:9" x14ac:dyDescent="0.35">
      <c r="A1025" s="1019"/>
      <c r="B1025" s="1019"/>
      <c r="C1025" s="1019"/>
      <c r="D1025" s="3188"/>
      <c r="E1025" s="1019"/>
      <c r="F1025" s="1019"/>
      <c r="G1025" s="1019"/>
      <c r="H1025" s="1019"/>
      <c r="I1025" s="1140"/>
    </row>
    <row r="1026" spans="1:9" x14ac:dyDescent="0.35">
      <c r="A1026" s="1019"/>
      <c r="B1026" s="1019"/>
      <c r="C1026" s="1019"/>
      <c r="D1026" s="3188"/>
      <c r="E1026" s="1019"/>
      <c r="F1026" s="1019"/>
      <c r="G1026" s="1019"/>
      <c r="H1026" s="1019"/>
      <c r="I1026" s="1140"/>
    </row>
    <row r="1027" spans="1:9" x14ac:dyDescent="0.35">
      <c r="A1027" s="1019"/>
      <c r="B1027" s="1019"/>
      <c r="C1027" s="1019"/>
      <c r="D1027" s="3188"/>
      <c r="E1027" s="1019"/>
      <c r="F1027" s="1019"/>
      <c r="G1027" s="1019"/>
      <c r="H1027" s="1019"/>
      <c r="I1027" s="1140"/>
    </row>
    <row r="1028" spans="1:9" x14ac:dyDescent="0.35">
      <c r="A1028" s="1019"/>
      <c r="B1028" s="1019"/>
      <c r="C1028" s="1019"/>
      <c r="D1028" s="3188"/>
      <c r="E1028" s="1019"/>
      <c r="F1028" s="1019"/>
      <c r="G1028" s="1019"/>
      <c r="H1028" s="1019"/>
      <c r="I1028" s="1140"/>
    </row>
    <row r="1029" spans="1:9" x14ac:dyDescent="0.35">
      <c r="A1029" s="1019"/>
      <c r="B1029" s="1019"/>
      <c r="C1029" s="1019"/>
      <c r="D1029" s="3188"/>
      <c r="E1029" s="1019"/>
      <c r="F1029" s="1019"/>
      <c r="G1029" s="1019"/>
      <c r="H1029" s="1019"/>
      <c r="I1029" s="1140"/>
    </row>
    <row r="1030" spans="1:9" x14ac:dyDescent="0.35">
      <c r="A1030" s="1019"/>
      <c r="B1030" s="1019"/>
      <c r="C1030" s="1019"/>
      <c r="D1030" s="3188"/>
      <c r="E1030" s="1019"/>
      <c r="F1030" s="1019"/>
      <c r="G1030" s="1019"/>
      <c r="H1030" s="1019"/>
      <c r="I1030" s="1140"/>
    </row>
    <row r="1031" spans="1:9" x14ac:dyDescent="0.35">
      <c r="A1031" s="1019"/>
      <c r="B1031" s="1019"/>
      <c r="C1031" s="1019"/>
      <c r="D1031" s="3188"/>
      <c r="E1031" s="1019"/>
      <c r="F1031" s="1019"/>
      <c r="G1031" s="1019"/>
      <c r="H1031" s="1019"/>
      <c r="I1031" s="1140"/>
    </row>
    <row r="1032" spans="1:9" x14ac:dyDescent="0.35">
      <c r="A1032" s="1019"/>
      <c r="B1032" s="1019"/>
      <c r="C1032" s="1019"/>
      <c r="D1032" s="3188"/>
      <c r="E1032" s="1019"/>
      <c r="F1032" s="1019"/>
      <c r="G1032" s="1019"/>
      <c r="H1032" s="1019"/>
      <c r="I1032" s="1140"/>
    </row>
    <row r="1033" spans="1:9" x14ac:dyDescent="0.35">
      <c r="A1033" s="1019"/>
      <c r="B1033" s="1019"/>
      <c r="C1033" s="1019"/>
      <c r="D1033" s="3188"/>
      <c r="E1033" s="1019"/>
      <c r="F1033" s="1019"/>
      <c r="G1033" s="1019"/>
      <c r="H1033" s="1019"/>
      <c r="I1033" s="1140"/>
    </row>
    <row r="1034" spans="1:9" x14ac:dyDescent="0.35">
      <c r="A1034" s="1019"/>
      <c r="B1034" s="1019"/>
      <c r="C1034" s="1019"/>
      <c r="D1034" s="3188"/>
      <c r="E1034" s="1019"/>
      <c r="F1034" s="1019"/>
      <c r="G1034" s="1019"/>
      <c r="H1034" s="1019"/>
      <c r="I1034" s="1140"/>
    </row>
    <row r="1035" spans="1:9" x14ac:dyDescent="0.35">
      <c r="A1035" s="1019"/>
      <c r="B1035" s="1019"/>
      <c r="C1035" s="1019"/>
      <c r="D1035" s="3188"/>
      <c r="E1035" s="1019"/>
      <c r="F1035" s="1019"/>
      <c r="G1035" s="1019"/>
      <c r="H1035" s="1019"/>
      <c r="I1035" s="1140"/>
    </row>
    <row r="1036" spans="1:9" x14ac:dyDescent="0.35">
      <c r="A1036" s="1019"/>
      <c r="B1036" s="1019"/>
      <c r="C1036" s="1019"/>
      <c r="D1036" s="3188"/>
      <c r="E1036" s="1019"/>
      <c r="F1036" s="1019"/>
      <c r="G1036" s="1019"/>
      <c r="H1036" s="1019"/>
      <c r="I1036" s="1140"/>
    </row>
    <row r="1037" spans="1:9" x14ac:dyDescent="0.35">
      <c r="A1037" s="1019"/>
      <c r="B1037" s="1019"/>
      <c r="C1037" s="1019"/>
      <c r="D1037" s="3188"/>
      <c r="E1037" s="1019"/>
      <c r="F1037" s="1019"/>
      <c r="G1037" s="1019"/>
      <c r="H1037" s="1019"/>
      <c r="I1037" s="1140"/>
    </row>
    <row r="1038" spans="1:9" x14ac:dyDescent="0.35">
      <c r="A1038" s="1019"/>
      <c r="B1038" s="1019"/>
      <c r="C1038" s="1019"/>
      <c r="D1038" s="3188"/>
      <c r="E1038" s="1019"/>
      <c r="F1038" s="1019"/>
      <c r="G1038" s="1019"/>
      <c r="H1038" s="1019"/>
      <c r="I1038" s="1140"/>
    </row>
    <row r="1039" spans="1:9" x14ac:dyDescent="0.35">
      <c r="A1039" s="1019"/>
      <c r="B1039" s="1019"/>
      <c r="C1039" s="1019"/>
      <c r="D1039" s="3188"/>
      <c r="E1039" s="1019"/>
      <c r="F1039" s="1019"/>
      <c r="G1039" s="1019"/>
      <c r="H1039" s="1019"/>
      <c r="I1039" s="1140"/>
    </row>
    <row r="1040" spans="1:9" x14ac:dyDescent="0.35">
      <c r="A1040" s="1019"/>
      <c r="B1040" s="1019"/>
      <c r="C1040" s="1019"/>
      <c r="D1040" s="3188"/>
      <c r="E1040" s="1019"/>
      <c r="F1040" s="1019"/>
      <c r="G1040" s="1019"/>
      <c r="H1040" s="1019"/>
      <c r="I1040" s="1140"/>
    </row>
    <row r="1041" spans="1:9" x14ac:dyDescent="0.35">
      <c r="A1041" s="1019"/>
      <c r="B1041" s="1019"/>
      <c r="C1041" s="1019"/>
      <c r="D1041" s="3188"/>
      <c r="E1041" s="1019"/>
      <c r="F1041" s="1019"/>
      <c r="G1041" s="1019"/>
      <c r="H1041" s="1019"/>
      <c r="I1041" s="1140"/>
    </row>
    <row r="1042" spans="1:9" x14ac:dyDescent="0.35">
      <c r="A1042" s="1019"/>
      <c r="B1042" s="1019"/>
      <c r="C1042" s="1019"/>
      <c r="D1042" s="3188"/>
      <c r="E1042" s="1019"/>
      <c r="F1042" s="1019"/>
      <c r="G1042" s="1019"/>
      <c r="H1042" s="1019"/>
      <c r="I1042" s="1140"/>
    </row>
    <row r="1043" spans="1:9" x14ac:dyDescent="0.35">
      <c r="A1043" s="1019"/>
      <c r="B1043" s="1019"/>
      <c r="C1043" s="1019"/>
      <c r="D1043" s="3188"/>
      <c r="E1043" s="1019"/>
      <c r="F1043" s="1019"/>
      <c r="G1043" s="1019"/>
      <c r="H1043" s="1019"/>
      <c r="I1043" s="1140"/>
    </row>
    <row r="1044" spans="1:9" x14ac:dyDescent="0.35">
      <c r="A1044" s="1019"/>
      <c r="B1044" s="1019"/>
      <c r="C1044" s="1019"/>
      <c r="D1044" s="3188"/>
      <c r="E1044" s="1019"/>
      <c r="F1044" s="1019"/>
      <c r="G1044" s="1019"/>
      <c r="H1044" s="1019"/>
      <c r="I1044" s="1140"/>
    </row>
    <row r="1045" spans="1:9" x14ac:dyDescent="0.35">
      <c r="A1045" s="1019"/>
      <c r="B1045" s="1019"/>
      <c r="C1045" s="1019"/>
      <c r="D1045" s="3188"/>
      <c r="E1045" s="1019"/>
      <c r="F1045" s="1019"/>
      <c r="G1045" s="1019"/>
      <c r="H1045" s="1019"/>
      <c r="I1045" s="1140"/>
    </row>
    <row r="1046" spans="1:9" x14ac:dyDescent="0.35">
      <c r="A1046" s="1019"/>
      <c r="B1046" s="1019"/>
      <c r="C1046" s="1019"/>
      <c r="D1046" s="3188"/>
      <c r="E1046" s="1019"/>
      <c r="F1046" s="1019"/>
      <c r="G1046" s="1019"/>
      <c r="H1046" s="1019"/>
      <c r="I1046" s="1140"/>
    </row>
    <row r="1047" spans="1:9" x14ac:dyDescent="0.35">
      <c r="A1047" s="1019"/>
      <c r="B1047" s="1019"/>
      <c r="C1047" s="1019"/>
      <c r="D1047" s="3188"/>
      <c r="E1047" s="1019"/>
      <c r="F1047" s="1019"/>
      <c r="G1047" s="1019"/>
      <c r="H1047" s="1019"/>
      <c r="I1047" s="1140"/>
    </row>
    <row r="1048" spans="1:9" x14ac:dyDescent="0.35">
      <c r="A1048" s="1019"/>
      <c r="B1048" s="1019"/>
      <c r="C1048" s="1019"/>
      <c r="D1048" s="3188"/>
      <c r="E1048" s="1019"/>
      <c r="F1048" s="1019"/>
      <c r="G1048" s="1019"/>
      <c r="H1048" s="1019"/>
      <c r="I1048" s="1140"/>
    </row>
    <row r="1049" spans="1:9" x14ac:dyDescent="0.35">
      <c r="A1049" s="1019"/>
      <c r="B1049" s="1019"/>
      <c r="C1049" s="1019"/>
      <c r="D1049" s="3188"/>
      <c r="E1049" s="1019"/>
      <c r="F1049" s="1019"/>
      <c r="G1049" s="1019"/>
      <c r="H1049" s="1019"/>
      <c r="I1049" s="1140"/>
    </row>
    <row r="1050" spans="1:9" x14ac:dyDescent="0.35">
      <c r="A1050" s="1019"/>
      <c r="B1050" s="1019"/>
      <c r="C1050" s="1019"/>
      <c r="D1050" s="3188"/>
      <c r="E1050" s="1019"/>
      <c r="F1050" s="1019"/>
      <c r="G1050" s="1019"/>
      <c r="H1050" s="1019"/>
      <c r="I1050" s="1140"/>
    </row>
    <row r="1051" spans="1:9" x14ac:dyDescent="0.35">
      <c r="A1051" s="1019"/>
      <c r="B1051" s="1019"/>
      <c r="C1051" s="1019"/>
      <c r="D1051" s="3188"/>
      <c r="E1051" s="1019"/>
      <c r="F1051" s="1019"/>
      <c r="G1051" s="1019"/>
      <c r="H1051" s="1019"/>
      <c r="I1051" s="1140"/>
    </row>
    <row r="1052" spans="1:9" x14ac:dyDescent="0.35">
      <c r="A1052" s="1019"/>
      <c r="B1052" s="1019"/>
      <c r="C1052" s="1019"/>
      <c r="D1052" s="3188"/>
      <c r="E1052" s="1019"/>
      <c r="F1052" s="1019"/>
      <c r="G1052" s="1019"/>
      <c r="H1052" s="1019"/>
      <c r="I1052" s="1140"/>
    </row>
    <row r="1053" spans="1:9" x14ac:dyDescent="0.35">
      <c r="A1053" s="1019"/>
      <c r="B1053" s="1019"/>
      <c r="C1053" s="1019"/>
      <c r="D1053" s="3188"/>
      <c r="E1053" s="1019"/>
      <c r="F1053" s="1019"/>
      <c r="G1053" s="1019"/>
      <c r="H1053" s="1019"/>
      <c r="I1053" s="1140"/>
    </row>
    <row r="1054" spans="1:9" x14ac:dyDescent="0.35">
      <c r="A1054" s="1019"/>
      <c r="B1054" s="1019"/>
      <c r="C1054" s="1019"/>
      <c r="D1054" s="3188"/>
      <c r="E1054" s="1019"/>
      <c r="F1054" s="1019"/>
      <c r="G1054" s="1019"/>
      <c r="H1054" s="1019"/>
      <c r="I1054" s="1140"/>
    </row>
    <row r="1055" spans="1:9" x14ac:dyDescent="0.35">
      <c r="A1055" s="1019"/>
      <c r="B1055" s="1019"/>
      <c r="C1055" s="1019"/>
      <c r="D1055" s="3188"/>
      <c r="E1055" s="1019"/>
      <c r="F1055" s="1019"/>
      <c r="G1055" s="1019"/>
      <c r="H1055" s="1019"/>
      <c r="I1055" s="1140"/>
    </row>
    <row r="1056" spans="1:9" x14ac:dyDescent="0.35">
      <c r="A1056" s="1019"/>
      <c r="B1056" s="1019"/>
      <c r="C1056" s="1019"/>
      <c r="D1056" s="3188"/>
      <c r="E1056" s="1019"/>
      <c r="F1056" s="1019"/>
      <c r="G1056" s="1019"/>
      <c r="H1056" s="1019"/>
      <c r="I1056" s="1140"/>
    </row>
    <row r="1057" spans="1:9" x14ac:dyDescent="0.35">
      <c r="A1057" s="1019"/>
      <c r="B1057" s="1019"/>
      <c r="C1057" s="1019"/>
      <c r="D1057" s="3188"/>
      <c r="E1057" s="1019"/>
      <c r="F1057" s="1019"/>
      <c r="G1057" s="1019"/>
      <c r="H1057" s="1019"/>
      <c r="I1057" s="1140"/>
    </row>
    <row r="1058" spans="1:9" x14ac:dyDescent="0.35">
      <c r="A1058" s="1019"/>
      <c r="B1058" s="1019"/>
      <c r="C1058" s="1019"/>
      <c r="D1058" s="3188"/>
      <c r="E1058" s="1019"/>
      <c r="F1058" s="1019"/>
      <c r="G1058" s="1019"/>
      <c r="H1058" s="1019"/>
      <c r="I1058" s="1140"/>
    </row>
    <row r="1059" spans="1:9" x14ac:dyDescent="0.35">
      <c r="A1059" s="1019"/>
      <c r="B1059" s="1019"/>
      <c r="C1059" s="1019"/>
      <c r="D1059" s="3188"/>
      <c r="E1059" s="1019"/>
      <c r="F1059" s="1019"/>
      <c r="G1059" s="1019"/>
      <c r="H1059" s="1019"/>
      <c r="I1059" s="1140"/>
    </row>
    <row r="1060" spans="1:9" x14ac:dyDescent="0.35">
      <c r="A1060" s="1019"/>
      <c r="B1060" s="1019"/>
      <c r="C1060" s="1019"/>
      <c r="D1060" s="3188"/>
      <c r="E1060" s="1019"/>
      <c r="F1060" s="1019"/>
      <c r="G1060" s="1019"/>
      <c r="H1060" s="1019"/>
      <c r="I1060" s="1140"/>
    </row>
    <row r="1061" spans="1:9" x14ac:dyDescent="0.35">
      <c r="A1061" s="1019"/>
      <c r="B1061" s="1019"/>
      <c r="C1061" s="1019"/>
      <c r="D1061" s="3188"/>
      <c r="E1061" s="1019"/>
      <c r="F1061" s="1019"/>
      <c r="G1061" s="1019"/>
      <c r="H1061" s="1019"/>
      <c r="I1061" s="1140"/>
    </row>
    <row r="1062" spans="1:9" x14ac:dyDescent="0.35">
      <c r="A1062" s="1019"/>
      <c r="B1062" s="1019"/>
      <c r="C1062" s="1019"/>
      <c r="D1062" s="3188"/>
      <c r="E1062" s="1019"/>
      <c r="F1062" s="1019"/>
      <c r="G1062" s="1019"/>
      <c r="H1062" s="1019"/>
      <c r="I1062" s="1140"/>
    </row>
    <row r="1063" spans="1:9" x14ac:dyDescent="0.35">
      <c r="A1063" s="1019"/>
      <c r="B1063" s="1019"/>
      <c r="C1063" s="1019"/>
      <c r="D1063" s="3188"/>
      <c r="E1063" s="1019"/>
      <c r="F1063" s="1019"/>
      <c r="G1063" s="1019"/>
      <c r="H1063" s="1019"/>
      <c r="I1063" s="1140"/>
    </row>
    <row r="1064" spans="1:9" x14ac:dyDescent="0.35">
      <c r="A1064" s="1019"/>
      <c r="B1064" s="1019"/>
      <c r="C1064" s="1019"/>
      <c r="D1064" s="3188"/>
      <c r="E1064" s="1019"/>
      <c r="F1064" s="1019"/>
      <c r="G1064" s="1019"/>
      <c r="H1064" s="1019"/>
      <c r="I1064" s="1140"/>
    </row>
    <row r="1065" spans="1:9" x14ac:dyDescent="0.35">
      <c r="A1065" s="1019"/>
      <c r="B1065" s="1019"/>
      <c r="C1065" s="1019"/>
      <c r="D1065" s="3188"/>
      <c r="E1065" s="1019"/>
      <c r="F1065" s="1019"/>
      <c r="G1065" s="1019"/>
      <c r="H1065" s="1019"/>
      <c r="I1065" s="1140"/>
    </row>
    <row r="1066" spans="1:9" x14ac:dyDescent="0.35">
      <c r="A1066" s="1019"/>
      <c r="B1066" s="1019"/>
      <c r="C1066" s="1019"/>
      <c r="D1066" s="3188"/>
      <c r="E1066" s="1019"/>
      <c r="F1066" s="1019"/>
      <c r="G1066" s="1019"/>
      <c r="H1066" s="1019"/>
      <c r="I1066" s="1140"/>
    </row>
    <row r="1067" spans="1:9" x14ac:dyDescent="0.35">
      <c r="A1067" s="1019"/>
      <c r="B1067" s="1019"/>
      <c r="C1067" s="1019"/>
      <c r="D1067" s="3188"/>
      <c r="E1067" s="1019"/>
      <c r="F1067" s="1019"/>
      <c r="G1067" s="1019"/>
      <c r="H1067" s="1019"/>
      <c r="I1067" s="1140"/>
    </row>
    <row r="1068" spans="1:9" x14ac:dyDescent="0.35">
      <c r="A1068" s="1019"/>
      <c r="B1068" s="1019"/>
      <c r="C1068" s="1019"/>
      <c r="D1068" s="3188"/>
      <c r="E1068" s="1019"/>
      <c r="F1068" s="1019"/>
      <c r="G1068" s="1019"/>
      <c r="H1068" s="1019"/>
      <c r="I1068" s="1140"/>
    </row>
    <row r="1069" spans="1:9" x14ac:dyDescent="0.35">
      <c r="A1069" s="1019"/>
      <c r="B1069" s="1019"/>
      <c r="C1069" s="1019"/>
      <c r="D1069" s="3188"/>
      <c r="E1069" s="1019"/>
      <c r="F1069" s="1019"/>
      <c r="G1069" s="1019"/>
      <c r="H1069" s="1019"/>
      <c r="I1069" s="1140"/>
    </row>
    <row r="1070" spans="1:9" x14ac:dyDescent="0.35">
      <c r="A1070" s="1019"/>
      <c r="B1070" s="1019"/>
      <c r="C1070" s="1019"/>
      <c r="D1070" s="3188"/>
      <c r="E1070" s="1019"/>
      <c r="F1070" s="1019"/>
      <c r="G1070" s="1019"/>
      <c r="H1070" s="1019"/>
      <c r="I1070" s="1140"/>
    </row>
    <row r="1071" spans="1:9" x14ac:dyDescent="0.35">
      <c r="A1071" s="1019"/>
      <c r="B1071" s="1019"/>
      <c r="C1071" s="1019"/>
      <c r="D1071" s="3188"/>
      <c r="E1071" s="1019"/>
      <c r="F1071" s="1019"/>
      <c r="G1071" s="1019"/>
      <c r="H1071" s="1019"/>
      <c r="I1071" s="1140"/>
    </row>
    <row r="1072" spans="1:9" x14ac:dyDescent="0.35">
      <c r="A1072" s="1019"/>
      <c r="B1072" s="1019"/>
      <c r="C1072" s="1019"/>
      <c r="D1072" s="3188"/>
      <c r="E1072" s="1019"/>
      <c r="F1072" s="1019"/>
      <c r="G1072" s="1019"/>
      <c r="H1072" s="1019"/>
      <c r="I1072" s="1140"/>
    </row>
    <row r="1073" spans="1:9" x14ac:dyDescent="0.35">
      <c r="A1073" s="1019"/>
      <c r="B1073" s="1019"/>
      <c r="C1073" s="1019"/>
      <c r="D1073" s="3188"/>
      <c r="E1073" s="1019"/>
      <c r="F1073" s="1019"/>
      <c r="G1073" s="1019"/>
      <c r="H1073" s="1019"/>
      <c r="I1073" s="1140"/>
    </row>
    <row r="1074" spans="1:9" x14ac:dyDescent="0.35">
      <c r="A1074" s="1019"/>
      <c r="B1074" s="1019"/>
      <c r="C1074" s="1019"/>
      <c r="D1074" s="3188"/>
      <c r="E1074" s="1019"/>
      <c r="F1074" s="1019"/>
      <c r="G1074" s="1019"/>
      <c r="H1074" s="1019"/>
      <c r="I1074" s="1140"/>
    </row>
    <row r="1075" spans="1:9" x14ac:dyDescent="0.35">
      <c r="A1075" s="1019"/>
      <c r="B1075" s="1019"/>
      <c r="C1075" s="1019"/>
      <c r="D1075" s="3188"/>
      <c r="E1075" s="1019"/>
      <c r="F1075" s="1019"/>
      <c r="G1075" s="1019"/>
      <c r="H1075" s="1019"/>
      <c r="I1075" s="1140"/>
    </row>
    <row r="1076" spans="1:9" x14ac:dyDescent="0.35">
      <c r="A1076" s="1019"/>
      <c r="B1076" s="1019"/>
      <c r="C1076" s="1019"/>
      <c r="D1076" s="3188"/>
      <c r="E1076" s="1019"/>
      <c r="F1076" s="1019"/>
      <c r="G1076" s="1019"/>
      <c r="H1076" s="1019"/>
      <c r="I1076" s="1140"/>
    </row>
    <row r="1077" spans="1:9" x14ac:dyDescent="0.35">
      <c r="A1077" s="1019"/>
      <c r="B1077" s="1019"/>
      <c r="C1077" s="1019"/>
      <c r="D1077" s="3188"/>
      <c r="E1077" s="1019"/>
      <c r="F1077" s="1019"/>
      <c r="G1077" s="1019"/>
      <c r="H1077" s="1019"/>
      <c r="I1077" s="1140"/>
    </row>
    <row r="1078" spans="1:9" x14ac:dyDescent="0.35">
      <c r="A1078" s="1019"/>
      <c r="B1078" s="1019"/>
      <c r="C1078" s="1019"/>
      <c r="D1078" s="3188"/>
      <c r="E1078" s="1019"/>
      <c r="F1078" s="1019"/>
      <c r="G1078" s="1019"/>
      <c r="H1078" s="1019"/>
      <c r="I1078" s="1140"/>
    </row>
    <row r="1079" spans="1:9" x14ac:dyDescent="0.35">
      <c r="A1079" s="1019"/>
      <c r="B1079" s="1019"/>
      <c r="C1079" s="1019"/>
      <c r="D1079" s="3188"/>
      <c r="E1079" s="1019"/>
      <c r="F1079" s="1019"/>
      <c r="G1079" s="1019"/>
      <c r="H1079" s="1019"/>
      <c r="I1079" s="1140"/>
    </row>
    <row r="1080" spans="1:9" x14ac:dyDescent="0.35">
      <c r="A1080" s="1019"/>
      <c r="B1080" s="1019"/>
      <c r="C1080" s="1019"/>
      <c r="D1080" s="3188"/>
      <c r="E1080" s="1019"/>
      <c r="F1080" s="1019"/>
      <c r="G1080" s="1019"/>
      <c r="H1080" s="1019"/>
      <c r="I1080" s="1140"/>
    </row>
    <row r="1081" spans="1:9" x14ac:dyDescent="0.35">
      <c r="A1081" s="1019"/>
      <c r="B1081" s="1019"/>
      <c r="C1081" s="1019"/>
      <c r="D1081" s="3188"/>
      <c r="E1081" s="1019"/>
      <c r="F1081" s="1019"/>
      <c r="G1081" s="1019"/>
      <c r="H1081" s="1019"/>
      <c r="I1081" s="1140"/>
    </row>
    <row r="1082" spans="1:9" x14ac:dyDescent="0.35">
      <c r="A1082" s="1019"/>
      <c r="B1082" s="1019"/>
      <c r="C1082" s="1019"/>
      <c r="D1082" s="3188"/>
      <c r="E1082" s="1019"/>
      <c r="F1082" s="1019"/>
      <c r="G1082" s="1019"/>
      <c r="H1082" s="1019"/>
      <c r="I1082" s="1140"/>
    </row>
    <row r="1083" spans="1:9" x14ac:dyDescent="0.35">
      <c r="A1083" s="1019"/>
      <c r="B1083" s="1019"/>
      <c r="C1083" s="1019"/>
      <c r="D1083" s="3188"/>
      <c r="E1083" s="1019"/>
      <c r="F1083" s="1019"/>
      <c r="G1083" s="1019"/>
      <c r="H1083" s="1019"/>
      <c r="I1083" s="1140"/>
    </row>
    <row r="1084" spans="1:9" x14ac:dyDescent="0.35">
      <c r="A1084" s="1019"/>
      <c r="B1084" s="1019"/>
      <c r="C1084" s="1019"/>
      <c r="D1084" s="3188"/>
      <c r="E1084" s="1019"/>
      <c r="F1084" s="1019"/>
      <c r="G1084" s="1019"/>
      <c r="H1084" s="1019"/>
      <c r="I1084" s="1140"/>
    </row>
    <row r="1085" spans="1:9" x14ac:dyDescent="0.35">
      <c r="A1085" s="1019"/>
      <c r="B1085" s="1019"/>
      <c r="C1085" s="1019"/>
      <c r="D1085" s="3188"/>
      <c r="E1085" s="1019"/>
      <c r="F1085" s="1019"/>
      <c r="G1085" s="1019"/>
      <c r="H1085" s="1019"/>
      <c r="I1085" s="1140"/>
    </row>
    <row r="1086" spans="1:9" x14ac:dyDescent="0.35">
      <c r="A1086" s="1019"/>
      <c r="B1086" s="1019"/>
      <c r="C1086" s="1019"/>
      <c r="D1086" s="3188"/>
      <c r="E1086" s="1019"/>
      <c r="F1086" s="1019"/>
      <c r="G1086" s="1019"/>
      <c r="H1086" s="1019"/>
      <c r="I1086" s="1140"/>
    </row>
    <row r="1087" spans="1:9" x14ac:dyDescent="0.35">
      <c r="A1087" s="1019"/>
      <c r="B1087" s="1019"/>
      <c r="C1087" s="1019"/>
      <c r="D1087" s="3188"/>
      <c r="E1087" s="1019"/>
      <c r="F1087" s="1019"/>
      <c r="G1087" s="1019"/>
      <c r="H1087" s="1019"/>
      <c r="I1087" s="1140"/>
    </row>
    <row r="1088" spans="1:9" x14ac:dyDescent="0.35">
      <c r="A1088" s="1019"/>
      <c r="B1088" s="1019"/>
      <c r="C1088" s="1019"/>
      <c r="D1088" s="3188"/>
      <c r="E1088" s="1019"/>
      <c r="F1088" s="1019"/>
      <c r="G1088" s="1019"/>
      <c r="H1088" s="1019"/>
      <c r="I1088" s="1140"/>
    </row>
    <row r="1089" spans="1:9" x14ac:dyDescent="0.35">
      <c r="A1089" s="1019"/>
      <c r="B1089" s="1019"/>
      <c r="C1089" s="1019"/>
      <c r="D1089" s="3188"/>
      <c r="E1089" s="1019"/>
      <c r="F1089" s="1019"/>
      <c r="G1089" s="1019"/>
      <c r="H1089" s="1019"/>
      <c r="I1089" s="1140"/>
    </row>
    <row r="1090" spans="1:9" x14ac:dyDescent="0.35">
      <c r="A1090" s="1019"/>
      <c r="B1090" s="1019"/>
      <c r="C1090" s="1019"/>
      <c r="D1090" s="3188"/>
      <c r="E1090" s="1019"/>
      <c r="F1090" s="1019"/>
      <c r="G1090" s="1019"/>
      <c r="H1090" s="1019"/>
      <c r="I1090" s="1140"/>
    </row>
    <row r="1091" spans="1:9" x14ac:dyDescent="0.35">
      <c r="A1091" s="1019"/>
      <c r="B1091" s="1019"/>
      <c r="C1091" s="1019"/>
      <c r="D1091" s="3188"/>
      <c r="E1091" s="1019"/>
      <c r="F1091" s="1019"/>
      <c r="G1091" s="1019"/>
      <c r="H1091" s="1019"/>
      <c r="I1091" s="1140"/>
    </row>
    <row r="1092" spans="1:9" x14ac:dyDescent="0.35">
      <c r="A1092" s="1019"/>
      <c r="B1092" s="1019"/>
      <c r="C1092" s="1019"/>
      <c r="D1092" s="3188"/>
      <c r="E1092" s="1019"/>
      <c r="F1092" s="1019"/>
      <c r="G1092" s="1019"/>
      <c r="H1092" s="1019"/>
      <c r="I1092" s="1140"/>
    </row>
    <row r="1093" spans="1:9" x14ac:dyDescent="0.35">
      <c r="A1093" s="1019"/>
      <c r="B1093" s="1019"/>
      <c r="C1093" s="1019"/>
      <c r="D1093" s="3188"/>
      <c r="E1093" s="1019"/>
      <c r="F1093" s="1019"/>
      <c r="G1093" s="1019"/>
      <c r="H1093" s="1019"/>
      <c r="I1093" s="1140"/>
    </row>
    <row r="1094" spans="1:9" x14ac:dyDescent="0.35">
      <c r="A1094" s="1019"/>
      <c r="B1094" s="1019"/>
      <c r="C1094" s="1019"/>
      <c r="D1094" s="3188"/>
      <c r="E1094" s="1019"/>
      <c r="F1094" s="1019"/>
      <c r="G1094" s="1019"/>
      <c r="H1094" s="1019"/>
      <c r="I1094" s="1140"/>
    </row>
    <row r="1095" spans="1:9" x14ac:dyDescent="0.35">
      <c r="A1095" s="1019"/>
      <c r="B1095" s="1019"/>
      <c r="C1095" s="1019"/>
      <c r="D1095" s="3188"/>
      <c r="E1095" s="1019"/>
      <c r="F1095" s="1019"/>
      <c r="G1095" s="1019"/>
      <c r="H1095" s="1019"/>
      <c r="I1095" s="1140"/>
    </row>
    <row r="1096" spans="1:9" x14ac:dyDescent="0.35">
      <c r="A1096" s="1019"/>
      <c r="B1096" s="1019"/>
      <c r="C1096" s="1019"/>
      <c r="D1096" s="3188"/>
      <c r="E1096" s="1019"/>
      <c r="F1096" s="1019"/>
      <c r="G1096" s="1019"/>
      <c r="H1096" s="1019"/>
      <c r="I1096" s="1140"/>
    </row>
    <row r="1097" spans="1:9" x14ac:dyDescent="0.35">
      <c r="A1097" s="1019"/>
      <c r="B1097" s="1019"/>
      <c r="C1097" s="1019"/>
      <c r="D1097" s="3188"/>
      <c r="E1097" s="1019"/>
      <c r="F1097" s="1019"/>
      <c r="G1097" s="1019"/>
      <c r="H1097" s="1019"/>
      <c r="I1097" s="1140"/>
    </row>
    <row r="1098" spans="1:9" x14ac:dyDescent="0.35">
      <c r="A1098" s="1019"/>
      <c r="B1098" s="1019"/>
      <c r="C1098" s="1019"/>
      <c r="D1098" s="3188"/>
      <c r="E1098" s="1019"/>
      <c r="F1098" s="1019"/>
      <c r="G1098" s="1019"/>
      <c r="H1098" s="1019"/>
      <c r="I1098" s="1140"/>
    </row>
    <row r="1099" spans="1:9" x14ac:dyDescent="0.35">
      <c r="A1099" s="1019"/>
      <c r="B1099" s="1019"/>
      <c r="C1099" s="1019"/>
      <c r="D1099" s="3188"/>
      <c r="E1099" s="1019"/>
      <c r="F1099" s="1019"/>
      <c r="G1099" s="1019"/>
      <c r="H1099" s="1019"/>
      <c r="I1099" s="1140"/>
    </row>
    <row r="1100" spans="1:9" x14ac:dyDescent="0.35">
      <c r="A1100" s="1019"/>
      <c r="B1100" s="1019"/>
      <c r="C1100" s="1019"/>
      <c r="D1100" s="3188"/>
      <c r="E1100" s="1019"/>
      <c r="F1100" s="1019"/>
      <c r="G1100" s="1019"/>
      <c r="H1100" s="1019"/>
      <c r="I1100" s="1140"/>
    </row>
    <row r="1101" spans="1:9" x14ac:dyDescent="0.35">
      <c r="A1101" s="1019"/>
      <c r="B1101" s="1019"/>
      <c r="C1101" s="1019"/>
      <c r="D1101" s="3188"/>
      <c r="E1101" s="1019"/>
      <c r="F1101" s="1019"/>
      <c r="G1101" s="1019"/>
      <c r="H1101" s="1019"/>
      <c r="I1101" s="1140"/>
    </row>
    <row r="1102" spans="1:9" x14ac:dyDescent="0.35">
      <c r="A1102" s="1019"/>
      <c r="B1102" s="1019"/>
      <c r="C1102" s="1019"/>
      <c r="D1102" s="3188"/>
      <c r="E1102" s="1019"/>
      <c r="F1102" s="1019"/>
      <c r="G1102" s="1019"/>
      <c r="H1102" s="1019"/>
      <c r="I1102" s="1140"/>
    </row>
    <row r="1103" spans="1:9" x14ac:dyDescent="0.35">
      <c r="A1103" s="1019"/>
      <c r="B1103" s="1019"/>
      <c r="C1103" s="1019"/>
      <c r="D1103" s="3188"/>
      <c r="E1103" s="1019"/>
      <c r="F1103" s="1019"/>
      <c r="G1103" s="1019"/>
      <c r="H1103" s="1019"/>
      <c r="I1103" s="1140"/>
    </row>
    <row r="1104" spans="1:9" x14ac:dyDescent="0.35">
      <c r="A1104" s="1019"/>
      <c r="B1104" s="1019"/>
      <c r="C1104" s="1019"/>
      <c r="D1104" s="3188"/>
      <c r="E1104" s="1019"/>
      <c r="F1104" s="1019"/>
      <c r="G1104" s="1019"/>
      <c r="H1104" s="1019"/>
      <c r="I1104" s="1140"/>
    </row>
    <row r="1105" spans="1:9" x14ac:dyDescent="0.35">
      <c r="A1105" s="1019"/>
      <c r="B1105" s="1019"/>
      <c r="C1105" s="1019"/>
      <c r="D1105" s="3188"/>
      <c r="E1105" s="1019"/>
      <c r="F1105" s="1019"/>
      <c r="G1105" s="1019"/>
      <c r="H1105" s="1019"/>
      <c r="I1105" s="1140"/>
    </row>
    <row r="1106" spans="1:9" x14ac:dyDescent="0.35">
      <c r="A1106" s="1019"/>
      <c r="B1106" s="1019"/>
      <c r="C1106" s="1019"/>
      <c r="D1106" s="3188"/>
      <c r="E1106" s="1019"/>
      <c r="F1106" s="1019"/>
      <c r="G1106" s="1019"/>
      <c r="H1106" s="1019"/>
      <c r="I1106" s="1140"/>
    </row>
    <row r="1107" spans="1:9" x14ac:dyDescent="0.35">
      <c r="A1107" s="1019"/>
      <c r="B1107" s="1019"/>
      <c r="C1107" s="1019"/>
      <c r="D1107" s="3188"/>
      <c r="E1107" s="1019"/>
      <c r="F1107" s="1019"/>
      <c r="G1107" s="1019"/>
      <c r="H1107" s="1019"/>
      <c r="I1107" s="1140"/>
    </row>
    <row r="1108" spans="1:9" x14ac:dyDescent="0.35">
      <c r="A1108" s="1019"/>
      <c r="B1108" s="1019"/>
      <c r="C1108" s="1019"/>
      <c r="D1108" s="3188"/>
      <c r="E1108" s="1019"/>
      <c r="F1108" s="1019"/>
      <c r="G1108" s="1019"/>
      <c r="H1108" s="1019"/>
      <c r="I1108" s="1140"/>
    </row>
    <row r="1109" spans="1:9" x14ac:dyDescent="0.35">
      <c r="A1109" s="1019"/>
      <c r="B1109" s="1019"/>
      <c r="C1109" s="1019"/>
      <c r="D1109" s="3188"/>
      <c r="E1109" s="1019"/>
      <c r="F1109" s="1019"/>
      <c r="G1109" s="1019"/>
      <c r="H1109" s="1019"/>
      <c r="I1109" s="1140"/>
    </row>
    <row r="1110" spans="1:9" x14ac:dyDescent="0.35">
      <c r="A1110" s="1019"/>
      <c r="B1110" s="1019"/>
      <c r="C1110" s="1019"/>
      <c r="D1110" s="3188"/>
      <c r="E1110" s="1019"/>
      <c r="F1110" s="1019"/>
      <c r="G1110" s="1019"/>
      <c r="H1110" s="1019"/>
      <c r="I1110" s="1140"/>
    </row>
    <row r="1111" spans="1:9" x14ac:dyDescent="0.35">
      <c r="A1111" s="1019"/>
      <c r="B1111" s="1019"/>
      <c r="C1111" s="1019"/>
      <c r="D1111" s="3188"/>
      <c r="E1111" s="1019"/>
      <c r="F1111" s="1019"/>
      <c r="G1111" s="1019"/>
      <c r="H1111" s="1019"/>
      <c r="I1111" s="1140"/>
    </row>
    <row r="1112" spans="1:9" x14ac:dyDescent="0.35">
      <c r="A1112" s="1019"/>
      <c r="B1112" s="1019"/>
      <c r="C1112" s="1019"/>
      <c r="D1112" s="3188"/>
      <c r="E1112" s="1019"/>
      <c r="F1112" s="1019"/>
      <c r="G1112" s="1019"/>
      <c r="H1112" s="1019"/>
      <c r="I1112" s="1140"/>
    </row>
    <row r="1113" spans="1:9" x14ac:dyDescent="0.35">
      <c r="A1113" s="1019"/>
      <c r="B1113" s="1019"/>
      <c r="C1113" s="1019"/>
      <c r="D1113" s="3188"/>
      <c r="E1113" s="1019"/>
      <c r="F1113" s="1019"/>
      <c r="G1113" s="1019"/>
      <c r="H1113" s="1019"/>
      <c r="I1113" s="1140"/>
    </row>
    <row r="1114" spans="1:9" x14ac:dyDescent="0.35">
      <c r="A1114" s="1019"/>
      <c r="B1114" s="1019"/>
      <c r="C1114" s="1019"/>
      <c r="D1114" s="3188"/>
      <c r="E1114" s="1019"/>
      <c r="F1114" s="1019"/>
      <c r="G1114" s="1019"/>
      <c r="H1114" s="1019"/>
      <c r="I1114" s="1140"/>
    </row>
    <row r="1115" spans="1:9" x14ac:dyDescent="0.35">
      <c r="A1115" s="1019"/>
      <c r="B1115" s="1019"/>
      <c r="C1115" s="1019"/>
      <c r="D1115" s="3188"/>
      <c r="E1115" s="1019"/>
      <c r="F1115" s="1019"/>
      <c r="G1115" s="1019"/>
      <c r="H1115" s="1019"/>
      <c r="I1115" s="1140"/>
    </row>
    <row r="1116" spans="1:9" x14ac:dyDescent="0.35">
      <c r="A1116" s="1019"/>
      <c r="B1116" s="1019"/>
      <c r="C1116" s="1019"/>
      <c r="D1116" s="3188"/>
      <c r="E1116" s="1019"/>
      <c r="F1116" s="1019"/>
      <c r="G1116" s="1019"/>
      <c r="H1116" s="1019"/>
      <c r="I1116" s="1140"/>
    </row>
    <row r="1117" spans="1:9" x14ac:dyDescent="0.35">
      <c r="A1117" s="1019"/>
      <c r="B1117" s="1019"/>
      <c r="C1117" s="1019"/>
      <c r="D1117" s="3188"/>
      <c r="E1117" s="1019"/>
      <c r="F1117" s="1019"/>
      <c r="G1117" s="1019"/>
      <c r="H1117" s="1019"/>
      <c r="I1117" s="1140"/>
    </row>
    <row r="1118" spans="1:9" x14ac:dyDescent="0.35">
      <c r="A1118" s="1019"/>
      <c r="B1118" s="1019"/>
      <c r="C1118" s="1019"/>
      <c r="D1118" s="3188"/>
      <c r="E1118" s="1019"/>
      <c r="F1118" s="1019"/>
      <c r="G1118" s="1019"/>
      <c r="H1118" s="1019"/>
      <c r="I1118" s="1140"/>
    </row>
    <row r="1119" spans="1:9" x14ac:dyDescent="0.35">
      <c r="A1119" s="1019"/>
      <c r="B1119" s="1019"/>
      <c r="C1119" s="1019"/>
      <c r="D1119" s="3188"/>
      <c r="E1119" s="1019"/>
      <c r="F1119" s="1019"/>
      <c r="G1119" s="1019"/>
      <c r="H1119" s="1019"/>
      <c r="I1119" s="1140"/>
    </row>
    <row r="1120" spans="1:9" x14ac:dyDescent="0.35">
      <c r="A1120" s="1019"/>
      <c r="B1120" s="1019"/>
      <c r="C1120" s="1019"/>
      <c r="D1120" s="3188"/>
      <c r="E1120" s="1019"/>
      <c r="F1120" s="1019"/>
      <c r="G1120" s="1019"/>
      <c r="H1120" s="1019"/>
      <c r="I1120" s="1140"/>
    </row>
    <row r="1121" spans="1:9" x14ac:dyDescent="0.35">
      <c r="A1121" s="1019"/>
      <c r="B1121" s="1019"/>
      <c r="C1121" s="1019"/>
      <c r="D1121" s="3188"/>
      <c r="E1121" s="1019"/>
      <c r="F1121" s="1019"/>
      <c r="G1121" s="1019"/>
      <c r="H1121" s="1019"/>
      <c r="I1121" s="1140"/>
    </row>
    <row r="1122" spans="1:9" x14ac:dyDescent="0.35">
      <c r="A1122" s="1019"/>
      <c r="B1122" s="1019"/>
      <c r="C1122" s="1019"/>
      <c r="D1122" s="3188"/>
      <c r="E1122" s="1019"/>
      <c r="F1122" s="1019"/>
      <c r="G1122" s="1019"/>
      <c r="H1122" s="1019"/>
      <c r="I1122" s="1140"/>
    </row>
    <row r="1123" spans="1:9" x14ac:dyDescent="0.35">
      <c r="A1123" s="1019"/>
      <c r="B1123" s="1019"/>
      <c r="C1123" s="1019"/>
      <c r="D1123" s="3188"/>
      <c r="E1123" s="1019"/>
      <c r="F1123" s="1019"/>
      <c r="G1123" s="1019"/>
      <c r="H1123" s="1019"/>
      <c r="I1123" s="1140"/>
    </row>
    <row r="1124" spans="1:9" x14ac:dyDescent="0.35">
      <c r="A1124" s="1019"/>
      <c r="B1124" s="1019"/>
      <c r="C1124" s="1019"/>
      <c r="D1124" s="3188"/>
      <c r="E1124" s="1019"/>
      <c r="F1124" s="1019"/>
      <c r="G1124" s="1019"/>
      <c r="H1124" s="1019"/>
      <c r="I1124" s="1140"/>
    </row>
    <row r="1125" spans="1:9" x14ac:dyDescent="0.35">
      <c r="A1125" s="1019"/>
      <c r="B1125" s="1019"/>
      <c r="C1125" s="1019"/>
      <c r="D1125" s="3188"/>
      <c r="E1125" s="1019"/>
      <c r="F1125" s="1019"/>
      <c r="G1125" s="1019"/>
      <c r="H1125" s="1019"/>
      <c r="I1125" s="1140"/>
    </row>
    <row r="1126" spans="1:9" x14ac:dyDescent="0.35">
      <c r="A1126" s="1019"/>
      <c r="B1126" s="1019"/>
      <c r="C1126" s="1019"/>
      <c r="D1126" s="3188"/>
      <c r="E1126" s="1019"/>
      <c r="F1126" s="1019"/>
      <c r="G1126" s="1019"/>
      <c r="H1126" s="1019"/>
      <c r="I1126" s="1140"/>
    </row>
    <row r="1127" spans="1:9" x14ac:dyDescent="0.35">
      <c r="A1127" s="1019"/>
      <c r="B1127" s="1019"/>
      <c r="C1127" s="1019"/>
      <c r="D1127" s="3188"/>
      <c r="E1127" s="1019"/>
      <c r="F1127" s="1019"/>
      <c r="G1127" s="1019"/>
      <c r="H1127" s="1019"/>
      <c r="I1127" s="1140"/>
    </row>
    <row r="1128" spans="1:9" x14ac:dyDescent="0.35">
      <c r="A1128" s="1019"/>
      <c r="B1128" s="1019"/>
      <c r="C1128" s="1019"/>
      <c r="D1128" s="3188"/>
      <c r="E1128" s="1019"/>
      <c r="F1128" s="1019"/>
      <c r="G1128" s="1019"/>
      <c r="H1128" s="1019"/>
      <c r="I1128" s="1140"/>
    </row>
    <row r="1129" spans="1:9" x14ac:dyDescent="0.35">
      <c r="A1129" s="1019"/>
      <c r="B1129" s="1019"/>
      <c r="C1129" s="1019"/>
      <c r="D1129" s="3188"/>
      <c r="E1129" s="1019"/>
      <c r="F1129" s="1019"/>
      <c r="G1129" s="1019"/>
      <c r="H1129" s="1019"/>
      <c r="I1129" s="1140"/>
    </row>
    <row r="1130" spans="1:9" x14ac:dyDescent="0.35">
      <c r="A1130" s="1019"/>
      <c r="B1130" s="1019"/>
      <c r="C1130" s="1019"/>
      <c r="D1130" s="3188"/>
      <c r="E1130" s="1019"/>
      <c r="F1130" s="1019"/>
      <c r="G1130" s="1019"/>
      <c r="H1130" s="1019"/>
      <c r="I1130" s="1140"/>
    </row>
    <row r="1131" spans="1:9" x14ac:dyDescent="0.35">
      <c r="A1131" s="1019"/>
      <c r="B1131" s="1019"/>
      <c r="C1131" s="1019"/>
      <c r="D1131" s="3188"/>
      <c r="E1131" s="1019"/>
      <c r="F1131" s="1019"/>
      <c r="G1131" s="1019"/>
      <c r="H1131" s="1019"/>
      <c r="I1131" s="1140"/>
    </row>
    <row r="1132" spans="1:9" x14ac:dyDescent="0.35">
      <c r="A1132" s="1019"/>
      <c r="B1132" s="1019"/>
      <c r="C1132" s="1019"/>
      <c r="D1132" s="3188"/>
      <c r="E1132" s="1019"/>
      <c r="F1132" s="1019"/>
      <c r="G1132" s="1019"/>
      <c r="H1132" s="1019"/>
      <c r="I1132" s="1140"/>
    </row>
    <row r="1133" spans="1:9" x14ac:dyDescent="0.35">
      <c r="A1133" s="1019"/>
      <c r="B1133" s="1019"/>
      <c r="C1133" s="1019"/>
      <c r="D1133" s="3188"/>
      <c r="E1133" s="1019"/>
      <c r="F1133" s="1019"/>
      <c r="G1133" s="1019"/>
      <c r="H1133" s="1019"/>
      <c r="I1133" s="1140"/>
    </row>
    <row r="1134" spans="1:9" x14ac:dyDescent="0.35">
      <c r="A1134" s="1019"/>
      <c r="B1134" s="1019"/>
      <c r="C1134" s="1019"/>
      <c r="D1134" s="3188"/>
      <c r="E1134" s="1019"/>
      <c r="F1134" s="1019"/>
      <c r="G1134" s="1019"/>
      <c r="H1134" s="1019"/>
      <c r="I1134" s="1140"/>
    </row>
    <row r="1135" spans="1:9" x14ac:dyDescent="0.35">
      <c r="A1135" s="1019"/>
      <c r="B1135" s="1019"/>
      <c r="C1135" s="1019"/>
      <c r="D1135" s="3188"/>
      <c r="E1135" s="1019"/>
      <c r="F1135" s="1019"/>
      <c r="G1135" s="1019"/>
      <c r="H1135" s="1019"/>
      <c r="I1135" s="1140"/>
    </row>
    <row r="1136" spans="1:9" x14ac:dyDescent="0.35">
      <c r="A1136" s="1019"/>
      <c r="B1136" s="1019"/>
      <c r="C1136" s="1019"/>
      <c r="D1136" s="3188"/>
      <c r="E1136" s="1019"/>
      <c r="F1136" s="1019"/>
      <c r="G1136" s="1019"/>
      <c r="H1136" s="1019"/>
      <c r="I1136" s="1140"/>
    </row>
    <row r="1137" spans="1:9" x14ac:dyDescent="0.35">
      <c r="A1137" s="1019"/>
      <c r="B1137" s="1019"/>
      <c r="C1137" s="1019"/>
      <c r="D1137" s="3188"/>
      <c r="E1137" s="1019"/>
      <c r="F1137" s="1019"/>
      <c r="G1137" s="1019"/>
      <c r="H1137" s="1019"/>
      <c r="I1137" s="1140"/>
    </row>
    <row r="1138" spans="1:9" x14ac:dyDescent="0.35">
      <c r="A1138" s="1019"/>
      <c r="B1138" s="1019"/>
      <c r="C1138" s="1019"/>
      <c r="D1138" s="3188"/>
      <c r="E1138" s="1019"/>
      <c r="F1138" s="1019"/>
      <c r="G1138" s="1019"/>
      <c r="H1138" s="1019"/>
      <c r="I1138" s="1140"/>
    </row>
    <row r="1139" spans="1:9" x14ac:dyDescent="0.35">
      <c r="A1139" s="1019"/>
      <c r="B1139" s="1019"/>
      <c r="C1139" s="1019"/>
      <c r="D1139" s="3188"/>
      <c r="E1139" s="1019"/>
      <c r="F1139" s="1019"/>
      <c r="G1139" s="1019"/>
      <c r="H1139" s="1019"/>
      <c r="I1139" s="1140"/>
    </row>
    <row r="1140" spans="1:9" x14ac:dyDescent="0.35">
      <c r="A1140" s="1019"/>
      <c r="B1140" s="1019"/>
      <c r="C1140" s="1019"/>
      <c r="D1140" s="3188"/>
      <c r="E1140" s="1019"/>
      <c r="F1140" s="1019"/>
      <c r="G1140" s="1019"/>
      <c r="H1140" s="1019"/>
      <c r="I1140" s="1140"/>
    </row>
    <row r="1141" spans="1:9" x14ac:dyDescent="0.35">
      <c r="A1141" s="1019"/>
      <c r="B1141" s="1019"/>
      <c r="C1141" s="1019"/>
      <c r="D1141" s="3188"/>
      <c r="E1141" s="1019"/>
      <c r="F1141" s="1019"/>
      <c r="G1141" s="1019"/>
      <c r="H1141" s="1019"/>
      <c r="I1141" s="1140"/>
    </row>
    <row r="1142" spans="1:9" x14ac:dyDescent="0.35">
      <c r="A1142" s="1019"/>
      <c r="B1142" s="1019"/>
      <c r="C1142" s="1019"/>
      <c r="D1142" s="3188"/>
      <c r="E1142" s="1019"/>
      <c r="F1142" s="1019"/>
      <c r="G1142" s="1019"/>
      <c r="H1142" s="1019"/>
      <c r="I1142" s="1140"/>
    </row>
    <row r="1143" spans="1:9" x14ac:dyDescent="0.35">
      <c r="A1143" s="1019"/>
      <c r="B1143" s="1019"/>
      <c r="C1143" s="1019"/>
      <c r="D1143" s="3188"/>
      <c r="E1143" s="1019"/>
      <c r="F1143" s="1019"/>
      <c r="G1143" s="1019"/>
      <c r="H1143" s="1019"/>
      <c r="I1143" s="1140"/>
    </row>
    <row r="1144" spans="1:9" x14ac:dyDescent="0.35">
      <c r="A1144" s="1019"/>
      <c r="B1144" s="1019"/>
      <c r="C1144" s="1019"/>
      <c r="D1144" s="3188"/>
      <c r="E1144" s="1019"/>
      <c r="F1144" s="1019"/>
      <c r="G1144" s="1019"/>
      <c r="H1144" s="1019"/>
      <c r="I1144" s="1140"/>
    </row>
    <row r="1145" spans="1:9" x14ac:dyDescent="0.35">
      <c r="A1145" s="1019"/>
      <c r="B1145" s="1019"/>
      <c r="C1145" s="1019"/>
      <c r="D1145" s="3188"/>
      <c r="E1145" s="1019"/>
      <c r="F1145" s="1019"/>
      <c r="G1145" s="1019"/>
      <c r="H1145" s="1019"/>
      <c r="I1145" s="1140"/>
    </row>
    <row r="1146" spans="1:9" x14ac:dyDescent="0.35">
      <c r="A1146" s="1019"/>
      <c r="B1146" s="1019"/>
      <c r="C1146" s="1019"/>
      <c r="D1146" s="3188"/>
      <c r="E1146" s="1019"/>
      <c r="F1146" s="1019"/>
      <c r="G1146" s="1019"/>
      <c r="H1146" s="1019"/>
      <c r="I1146" s="1140"/>
    </row>
    <row r="1147" spans="1:9" x14ac:dyDescent="0.35">
      <c r="A1147" s="1019"/>
      <c r="B1147" s="1019"/>
      <c r="C1147" s="1019"/>
      <c r="D1147" s="3188"/>
      <c r="E1147" s="1019"/>
      <c r="F1147" s="1019"/>
      <c r="G1147" s="1019"/>
      <c r="H1147" s="1019"/>
      <c r="I1147" s="1140"/>
    </row>
    <row r="1148" spans="1:9" x14ac:dyDescent="0.35">
      <c r="A1148" s="1019"/>
      <c r="B1148" s="1019"/>
      <c r="C1148" s="1019"/>
      <c r="D1148" s="3188"/>
      <c r="E1148" s="1019"/>
      <c r="F1148" s="1019"/>
      <c r="G1148" s="1019"/>
      <c r="H1148" s="1019"/>
      <c r="I1148" s="1140"/>
    </row>
    <row r="1149" spans="1:9" x14ac:dyDescent="0.35">
      <c r="A1149" s="1019"/>
      <c r="B1149" s="1019"/>
      <c r="C1149" s="1019"/>
      <c r="D1149" s="3188"/>
      <c r="E1149" s="1019"/>
      <c r="F1149" s="1019"/>
      <c r="G1149" s="1019"/>
      <c r="H1149" s="1019"/>
      <c r="I1149" s="1140"/>
    </row>
    <row r="1150" spans="1:9" x14ac:dyDescent="0.35">
      <c r="A1150" s="1019"/>
      <c r="B1150" s="1019"/>
      <c r="C1150" s="1019"/>
      <c r="D1150" s="3188"/>
      <c r="E1150" s="1019"/>
      <c r="F1150" s="1019"/>
      <c r="G1150" s="1019"/>
      <c r="H1150" s="1019"/>
      <c r="I1150" s="1140"/>
    </row>
    <row r="1151" spans="1:9" x14ac:dyDescent="0.35">
      <c r="A1151" s="1019"/>
      <c r="B1151" s="1019"/>
      <c r="C1151" s="1019"/>
      <c r="D1151" s="3188"/>
      <c r="E1151" s="1019"/>
      <c r="F1151" s="1019"/>
      <c r="G1151" s="1019"/>
      <c r="H1151" s="1019"/>
      <c r="I1151" s="1140"/>
    </row>
    <row r="1152" spans="1:9" x14ac:dyDescent="0.35">
      <c r="A1152" s="1019"/>
      <c r="B1152" s="1019"/>
      <c r="C1152" s="1019"/>
      <c r="D1152" s="3188"/>
      <c r="E1152" s="1019"/>
      <c r="F1152" s="1019"/>
      <c r="G1152" s="1019"/>
      <c r="H1152" s="1019"/>
      <c r="I1152" s="1140"/>
    </row>
    <row r="1153" spans="1:9" x14ac:dyDescent="0.35">
      <c r="A1153" s="1019"/>
      <c r="B1153" s="1019"/>
      <c r="C1153" s="1019"/>
      <c r="D1153" s="3188"/>
      <c r="E1153" s="1019"/>
      <c r="F1153" s="1019"/>
      <c r="G1153" s="1019"/>
      <c r="H1153" s="1019"/>
      <c r="I1153" s="1140"/>
    </row>
    <row r="1154" spans="1:9" x14ac:dyDescent="0.35">
      <c r="A1154" s="1019"/>
      <c r="B1154" s="1019"/>
      <c r="C1154" s="1019"/>
      <c r="D1154" s="3188"/>
      <c r="E1154" s="1019"/>
      <c r="F1154" s="1019"/>
      <c r="G1154" s="1019"/>
      <c r="H1154" s="1019"/>
      <c r="I1154" s="1140"/>
    </row>
    <row r="1155" spans="1:9" x14ac:dyDescent="0.35">
      <c r="A1155" s="1019"/>
      <c r="B1155" s="1019"/>
      <c r="C1155" s="1019"/>
      <c r="D1155" s="3188"/>
      <c r="E1155" s="1019"/>
      <c r="F1155" s="1019"/>
      <c r="G1155" s="1019"/>
      <c r="H1155" s="1019"/>
      <c r="I1155" s="1140"/>
    </row>
    <row r="1156" spans="1:9" x14ac:dyDescent="0.35">
      <c r="A1156" s="1019"/>
      <c r="B1156" s="1019"/>
      <c r="C1156" s="1019"/>
      <c r="D1156" s="3188"/>
      <c r="E1156" s="1019"/>
      <c r="F1156" s="1019"/>
      <c r="G1156" s="1019"/>
      <c r="H1156" s="1019"/>
      <c r="I1156" s="1140"/>
    </row>
    <row r="1157" spans="1:9" x14ac:dyDescent="0.35">
      <c r="A1157" s="1019"/>
      <c r="B1157" s="1019"/>
      <c r="C1157" s="1019"/>
      <c r="D1157" s="3188"/>
      <c r="E1157" s="1019"/>
      <c r="F1157" s="1019"/>
      <c r="G1157" s="1019"/>
      <c r="H1157" s="1019"/>
      <c r="I1157" s="1140"/>
    </row>
    <row r="1158" spans="1:9" x14ac:dyDescent="0.35">
      <c r="A1158" s="1019"/>
      <c r="B1158" s="1019"/>
      <c r="C1158" s="1019"/>
      <c r="D1158" s="3188"/>
      <c r="E1158" s="1019"/>
      <c r="F1158" s="1019"/>
      <c r="G1158" s="1019"/>
      <c r="H1158" s="1019"/>
      <c r="I1158" s="1140"/>
    </row>
    <row r="1159" spans="1:9" x14ac:dyDescent="0.35">
      <c r="A1159" s="1019"/>
      <c r="B1159" s="1019"/>
      <c r="C1159" s="1019"/>
      <c r="D1159" s="3188"/>
      <c r="E1159" s="1019"/>
      <c r="F1159" s="1019"/>
      <c r="G1159" s="1019"/>
      <c r="H1159" s="1019"/>
      <c r="I1159" s="1140"/>
    </row>
    <row r="1160" spans="1:9" x14ac:dyDescent="0.35">
      <c r="A1160" s="1019"/>
      <c r="B1160" s="1019"/>
      <c r="C1160" s="1019"/>
      <c r="D1160" s="3188"/>
      <c r="E1160" s="1019"/>
      <c r="F1160" s="1019"/>
      <c r="G1160" s="1019"/>
      <c r="H1160" s="1019"/>
      <c r="I1160" s="1140"/>
    </row>
    <row r="1161" spans="1:9" x14ac:dyDescent="0.35">
      <c r="A1161" s="1019"/>
      <c r="B1161" s="1019"/>
      <c r="C1161" s="1019"/>
      <c r="D1161" s="3188"/>
      <c r="E1161" s="1019"/>
      <c r="F1161" s="1019"/>
      <c r="G1161" s="1019"/>
      <c r="H1161" s="1019"/>
      <c r="I1161" s="1140"/>
    </row>
    <row r="1162" spans="1:9" x14ac:dyDescent="0.35">
      <c r="A1162" s="1019"/>
      <c r="B1162" s="1019"/>
      <c r="C1162" s="1019"/>
      <c r="D1162" s="3188"/>
      <c r="E1162" s="1019"/>
      <c r="F1162" s="1019"/>
      <c r="G1162" s="1019"/>
      <c r="H1162" s="1019"/>
      <c r="I1162" s="1140"/>
    </row>
    <row r="1163" spans="1:9" x14ac:dyDescent="0.35">
      <c r="A1163" s="1019"/>
      <c r="B1163" s="1019"/>
      <c r="C1163" s="1019"/>
      <c r="D1163" s="3188"/>
      <c r="E1163" s="1019"/>
      <c r="F1163" s="1019"/>
      <c r="G1163" s="1019"/>
      <c r="H1163" s="1019"/>
      <c r="I1163" s="1140"/>
    </row>
    <row r="1164" spans="1:9" x14ac:dyDescent="0.35">
      <c r="A1164" s="1019"/>
      <c r="B1164" s="1019"/>
      <c r="C1164" s="1019"/>
      <c r="D1164" s="3188"/>
      <c r="E1164" s="1019"/>
      <c r="F1164" s="1019"/>
      <c r="G1164" s="1019"/>
      <c r="H1164" s="1019"/>
      <c r="I1164" s="1140"/>
    </row>
    <row r="1165" spans="1:9" x14ac:dyDescent="0.35">
      <c r="A1165" s="1019"/>
      <c r="B1165" s="1019"/>
      <c r="C1165" s="1019"/>
      <c r="D1165" s="3188"/>
      <c r="E1165" s="1019"/>
      <c r="F1165" s="1019"/>
      <c r="G1165" s="1019"/>
      <c r="H1165" s="1019"/>
      <c r="I1165" s="1140"/>
    </row>
    <row r="1166" spans="1:9" x14ac:dyDescent="0.35">
      <c r="A1166" s="1019"/>
      <c r="B1166" s="1019"/>
      <c r="C1166" s="1019"/>
      <c r="D1166" s="3188"/>
      <c r="E1166" s="1019"/>
      <c r="F1166" s="1019"/>
      <c r="G1166" s="1019"/>
      <c r="H1166" s="1019"/>
      <c r="I1166" s="1140"/>
    </row>
    <row r="1167" spans="1:9" x14ac:dyDescent="0.35">
      <c r="A1167" s="1019"/>
      <c r="B1167" s="1019"/>
      <c r="C1167" s="1019"/>
      <c r="D1167" s="3188"/>
      <c r="E1167" s="1019"/>
      <c r="F1167" s="1019"/>
      <c r="G1167" s="1019"/>
      <c r="H1167" s="1019"/>
      <c r="I1167" s="1140"/>
    </row>
    <row r="1168" spans="1:9" x14ac:dyDescent="0.35">
      <c r="A1168" s="1019"/>
      <c r="B1168" s="1019"/>
      <c r="C1168" s="1019"/>
      <c r="D1168" s="3188"/>
      <c r="E1168" s="1019"/>
      <c r="F1168" s="1019"/>
      <c r="G1168" s="1019"/>
      <c r="H1168" s="1019"/>
      <c r="I1168" s="1140"/>
    </row>
    <row r="1169" spans="1:9" x14ac:dyDescent="0.35">
      <c r="A1169" s="1019"/>
      <c r="B1169" s="1019"/>
      <c r="C1169" s="1019"/>
      <c r="D1169" s="3188"/>
      <c r="E1169" s="1019"/>
      <c r="F1169" s="1019"/>
      <c r="G1169" s="1019"/>
      <c r="H1169" s="1019"/>
      <c r="I1169" s="1140"/>
    </row>
    <row r="1170" spans="1:9" x14ac:dyDescent="0.35">
      <c r="A1170" s="1019"/>
      <c r="B1170" s="1019"/>
      <c r="C1170" s="1019"/>
      <c r="D1170" s="3188"/>
      <c r="E1170" s="1019"/>
      <c r="F1170" s="1019"/>
      <c r="G1170" s="1019"/>
      <c r="H1170" s="1019"/>
      <c r="I1170" s="1140"/>
    </row>
    <row r="1171" spans="1:9" x14ac:dyDescent="0.35">
      <c r="A1171" s="1019"/>
      <c r="B1171" s="1019"/>
      <c r="C1171" s="1019"/>
      <c r="D1171" s="3188"/>
      <c r="E1171" s="1019"/>
      <c r="F1171" s="1019"/>
      <c r="G1171" s="1019"/>
      <c r="H1171" s="1019"/>
      <c r="I1171" s="1140"/>
    </row>
    <row r="1172" spans="1:9" x14ac:dyDescent="0.35">
      <c r="A1172" s="1019"/>
      <c r="B1172" s="1019"/>
      <c r="C1172" s="1019"/>
      <c r="D1172" s="3188"/>
      <c r="E1172" s="1019"/>
      <c r="F1172" s="1019"/>
      <c r="G1172" s="1019"/>
      <c r="H1172" s="1019"/>
      <c r="I1172" s="1140"/>
    </row>
    <row r="1173" spans="1:9" x14ac:dyDescent="0.35">
      <c r="A1173" s="1019"/>
      <c r="B1173" s="1019"/>
      <c r="C1173" s="1019"/>
      <c r="D1173" s="3188"/>
      <c r="E1173" s="1019"/>
      <c r="F1173" s="1019"/>
      <c r="G1173" s="1019"/>
      <c r="H1173" s="1019"/>
      <c r="I1173" s="1140"/>
    </row>
    <row r="1174" spans="1:9" x14ac:dyDescent="0.35">
      <c r="A1174" s="1019"/>
      <c r="B1174" s="1019"/>
      <c r="C1174" s="1019"/>
      <c r="D1174" s="3188"/>
      <c r="E1174" s="1019"/>
      <c r="F1174" s="1019"/>
      <c r="G1174" s="1019"/>
      <c r="H1174" s="1019"/>
      <c r="I1174" s="1140"/>
    </row>
    <row r="1175" spans="1:9" x14ac:dyDescent="0.35">
      <c r="A1175" s="1019"/>
      <c r="B1175" s="1019"/>
      <c r="C1175" s="1019"/>
      <c r="D1175" s="3188"/>
      <c r="E1175" s="1019"/>
      <c r="F1175" s="1019"/>
      <c r="G1175" s="1019"/>
      <c r="H1175" s="1019"/>
      <c r="I1175" s="1140"/>
    </row>
    <row r="1176" spans="1:9" x14ac:dyDescent="0.35">
      <c r="A1176" s="1019"/>
      <c r="B1176" s="1019"/>
      <c r="C1176" s="1019"/>
      <c r="D1176" s="3188"/>
      <c r="E1176" s="1019"/>
      <c r="F1176" s="1019"/>
      <c r="G1176" s="1019"/>
      <c r="H1176" s="1019"/>
      <c r="I1176" s="1140"/>
    </row>
    <row r="1177" spans="1:9" x14ac:dyDescent="0.35">
      <c r="A1177" s="1019"/>
      <c r="B1177" s="1019"/>
      <c r="C1177" s="1019"/>
      <c r="D1177" s="3188"/>
      <c r="E1177" s="1019"/>
      <c r="F1177" s="1019"/>
      <c r="G1177" s="1019"/>
      <c r="H1177" s="1019"/>
      <c r="I1177" s="1140"/>
    </row>
    <row r="1178" spans="1:9" x14ac:dyDescent="0.35">
      <c r="A1178" s="1019"/>
      <c r="B1178" s="1019"/>
      <c r="C1178" s="1019"/>
      <c r="D1178" s="3188"/>
      <c r="E1178" s="1019"/>
      <c r="F1178" s="1019"/>
      <c r="G1178" s="1019"/>
      <c r="H1178" s="1019"/>
      <c r="I1178" s="1140"/>
    </row>
    <row r="1179" spans="1:9" x14ac:dyDescent="0.35">
      <c r="A1179" s="1019"/>
      <c r="B1179" s="1019"/>
      <c r="C1179" s="1019"/>
      <c r="D1179" s="3188"/>
      <c r="E1179" s="1019"/>
      <c r="F1179" s="1019"/>
      <c r="G1179" s="1019"/>
      <c r="H1179" s="1019"/>
      <c r="I1179" s="1140"/>
    </row>
    <row r="1180" spans="1:9" x14ac:dyDescent="0.35">
      <c r="A1180" s="1019"/>
      <c r="B1180" s="1019"/>
      <c r="C1180" s="1019"/>
      <c r="D1180" s="3188"/>
      <c r="E1180" s="1019"/>
      <c r="F1180" s="1019"/>
      <c r="G1180" s="1019"/>
      <c r="H1180" s="1019"/>
      <c r="I1180" s="1140"/>
    </row>
    <row r="1181" spans="1:9" x14ac:dyDescent="0.35">
      <c r="A1181" s="1019"/>
      <c r="B1181" s="1019"/>
      <c r="C1181" s="1019"/>
      <c r="D1181" s="3188"/>
      <c r="E1181" s="1019"/>
      <c r="F1181" s="1019"/>
      <c r="G1181" s="1019"/>
      <c r="H1181" s="1019"/>
      <c r="I1181" s="1140"/>
    </row>
    <row r="1182" spans="1:9" x14ac:dyDescent="0.35">
      <c r="A1182" s="1019"/>
      <c r="B1182" s="1019"/>
      <c r="C1182" s="1019"/>
      <c r="D1182" s="3188"/>
      <c r="E1182" s="1019"/>
      <c r="F1182" s="1019"/>
      <c r="G1182" s="1019"/>
      <c r="H1182" s="1019"/>
      <c r="I1182" s="1140"/>
    </row>
    <row r="1183" spans="1:9" x14ac:dyDescent="0.35">
      <c r="A1183" s="1019"/>
      <c r="B1183" s="1019"/>
      <c r="C1183" s="1019"/>
      <c r="D1183" s="3188"/>
      <c r="E1183" s="1019"/>
      <c r="F1183" s="1019"/>
      <c r="G1183" s="1019"/>
      <c r="H1183" s="1019"/>
      <c r="I1183" s="1140"/>
    </row>
    <row r="1184" spans="1:9" x14ac:dyDescent="0.35">
      <c r="A1184" s="1019"/>
      <c r="B1184" s="1019"/>
      <c r="C1184" s="1019"/>
      <c r="D1184" s="3188"/>
      <c r="E1184" s="1019"/>
      <c r="F1184" s="1019"/>
      <c r="G1184" s="1019"/>
      <c r="H1184" s="1019"/>
      <c r="I1184" s="1140"/>
    </row>
    <row r="1185" spans="1:9" x14ac:dyDescent="0.35">
      <c r="A1185" s="1019"/>
      <c r="B1185" s="1019"/>
      <c r="C1185" s="1019"/>
      <c r="D1185" s="3188"/>
      <c r="E1185" s="1019"/>
      <c r="F1185" s="1019"/>
      <c r="G1185" s="1019"/>
      <c r="H1185" s="1019"/>
      <c r="I1185" s="1140"/>
    </row>
    <row r="1186" spans="1:9" x14ac:dyDescent="0.35">
      <c r="A1186" s="1019"/>
      <c r="B1186" s="1019"/>
      <c r="C1186" s="1019"/>
      <c r="D1186" s="3188"/>
      <c r="E1186" s="1019"/>
      <c r="F1186" s="1019"/>
      <c r="G1186" s="1019"/>
      <c r="H1186" s="1019"/>
      <c r="I1186" s="1140"/>
    </row>
    <row r="1187" spans="1:9" x14ac:dyDescent="0.35">
      <c r="A1187" s="1019"/>
      <c r="B1187" s="1019"/>
      <c r="C1187" s="1019"/>
      <c r="D1187" s="3188"/>
      <c r="E1187" s="1019"/>
      <c r="F1187" s="1019"/>
      <c r="G1187" s="1019"/>
      <c r="H1187" s="1019"/>
      <c r="I1187" s="1140"/>
    </row>
    <row r="1188" spans="1:9" x14ac:dyDescent="0.35">
      <c r="A1188" s="1019"/>
      <c r="B1188" s="1019"/>
      <c r="C1188" s="1019"/>
      <c r="D1188" s="3188"/>
      <c r="E1188" s="1019"/>
      <c r="F1188" s="1019"/>
      <c r="G1188" s="1019"/>
      <c r="H1188" s="1019"/>
      <c r="I1188" s="1140"/>
    </row>
    <row r="1189" spans="1:9" x14ac:dyDescent="0.35">
      <c r="A1189" s="1019"/>
      <c r="B1189" s="1019"/>
      <c r="C1189" s="1019"/>
      <c r="D1189" s="3188"/>
      <c r="E1189" s="1019"/>
      <c r="F1189" s="1019"/>
      <c r="G1189" s="1019"/>
      <c r="H1189" s="1019"/>
      <c r="I1189" s="1140"/>
    </row>
    <row r="1190" spans="1:9" x14ac:dyDescent="0.35">
      <c r="A1190" s="1019"/>
      <c r="B1190" s="1019"/>
      <c r="C1190" s="1019"/>
      <c r="D1190" s="3188"/>
      <c r="E1190" s="1019"/>
      <c r="F1190" s="1019"/>
      <c r="G1190" s="1019"/>
      <c r="H1190" s="1019"/>
      <c r="I1190" s="1140"/>
    </row>
    <row r="1191" spans="1:9" x14ac:dyDescent="0.35">
      <c r="A1191" s="1019"/>
      <c r="B1191" s="1019"/>
      <c r="C1191" s="1019"/>
      <c r="D1191" s="3188"/>
      <c r="E1191" s="1019"/>
      <c r="F1191" s="1019"/>
      <c r="G1191" s="1019"/>
      <c r="H1191" s="1019"/>
      <c r="I1191" s="1140"/>
    </row>
    <row r="1192" spans="1:9" x14ac:dyDescent="0.35">
      <c r="A1192" s="1019"/>
      <c r="B1192" s="1019"/>
      <c r="C1192" s="1019"/>
      <c r="D1192" s="3188"/>
      <c r="E1192" s="1019"/>
      <c r="F1192" s="1019"/>
      <c r="G1192" s="1019"/>
      <c r="H1192" s="1019"/>
      <c r="I1192" s="1140"/>
    </row>
    <row r="1193" spans="1:9" x14ac:dyDescent="0.35">
      <c r="A1193" s="1019"/>
      <c r="B1193" s="1019"/>
      <c r="C1193" s="1019"/>
      <c r="D1193" s="3188"/>
      <c r="E1193" s="1019"/>
      <c r="F1193" s="1019"/>
      <c r="G1193" s="1019"/>
      <c r="H1193" s="1019"/>
      <c r="I1193" s="1140"/>
    </row>
    <row r="1194" spans="1:9" x14ac:dyDescent="0.35">
      <c r="A1194" s="1019"/>
      <c r="B1194" s="1019"/>
      <c r="C1194" s="1019"/>
      <c r="D1194" s="3188"/>
      <c r="E1194" s="1019"/>
      <c r="F1194" s="1019"/>
      <c r="G1194" s="1019"/>
      <c r="H1194" s="1019"/>
      <c r="I1194" s="1140"/>
    </row>
    <row r="1195" spans="1:9" x14ac:dyDescent="0.35">
      <c r="A1195" s="1019"/>
      <c r="B1195" s="1019"/>
      <c r="C1195" s="1019"/>
      <c r="D1195" s="3188"/>
      <c r="E1195" s="1019"/>
      <c r="F1195" s="1019"/>
      <c r="G1195" s="1019"/>
      <c r="H1195" s="1019"/>
      <c r="I1195" s="1140"/>
    </row>
    <row r="1196" spans="1:9" x14ac:dyDescent="0.35">
      <c r="A1196" s="1019"/>
      <c r="B1196" s="1019"/>
      <c r="C1196" s="1019"/>
      <c r="D1196" s="3188"/>
      <c r="E1196" s="1019"/>
      <c r="F1196" s="1019"/>
      <c r="G1196" s="1019"/>
      <c r="H1196" s="1019"/>
      <c r="I1196" s="1140"/>
    </row>
    <row r="1197" spans="1:9" x14ac:dyDescent="0.35">
      <c r="A1197" s="1019"/>
      <c r="B1197" s="1019"/>
      <c r="C1197" s="1019"/>
      <c r="D1197" s="3188"/>
      <c r="E1197" s="1019"/>
      <c r="F1197" s="1019"/>
      <c r="G1197" s="1019"/>
      <c r="H1197" s="1019"/>
      <c r="I1197" s="1140"/>
    </row>
    <row r="1198" spans="1:9" x14ac:dyDescent="0.35">
      <c r="A1198" s="1019"/>
      <c r="B1198" s="1019"/>
      <c r="C1198" s="1019"/>
      <c r="D1198" s="3188"/>
      <c r="E1198" s="1019"/>
      <c r="F1198" s="1019"/>
      <c r="G1198" s="1019"/>
      <c r="H1198" s="1019"/>
      <c r="I1198" s="1140"/>
    </row>
    <row r="1199" spans="1:9" x14ac:dyDescent="0.35">
      <c r="A1199" s="1019"/>
      <c r="B1199" s="1019"/>
      <c r="C1199" s="1019"/>
      <c r="D1199" s="3188"/>
      <c r="E1199" s="1019"/>
      <c r="F1199" s="1019"/>
      <c r="G1199" s="1019"/>
      <c r="H1199" s="1019"/>
      <c r="I1199" s="1140"/>
    </row>
    <row r="1200" spans="1:9" x14ac:dyDescent="0.35">
      <c r="A1200" s="1019"/>
      <c r="B1200" s="1019"/>
      <c r="C1200" s="1019"/>
      <c r="D1200" s="3188"/>
      <c r="E1200" s="1019"/>
      <c r="F1200" s="1019"/>
      <c r="G1200" s="1019"/>
      <c r="H1200" s="1019"/>
      <c r="I1200" s="1140"/>
    </row>
    <row r="1201" spans="1:9" x14ac:dyDescent="0.35">
      <c r="A1201" s="1019"/>
      <c r="B1201" s="1019"/>
      <c r="C1201" s="1019"/>
      <c r="D1201" s="3188"/>
      <c r="E1201" s="1019"/>
      <c r="F1201" s="1019"/>
      <c r="G1201" s="1019"/>
      <c r="H1201" s="1019"/>
      <c r="I1201" s="1140"/>
    </row>
    <row r="1202" spans="1:9" x14ac:dyDescent="0.35">
      <c r="A1202" s="1019"/>
      <c r="B1202" s="1019"/>
      <c r="C1202" s="1019"/>
      <c r="D1202" s="3188"/>
      <c r="E1202" s="1019"/>
      <c r="F1202" s="1019"/>
      <c r="G1202" s="1019"/>
      <c r="H1202" s="1019"/>
      <c r="I1202" s="1140"/>
    </row>
    <row r="1203" spans="1:9" x14ac:dyDescent="0.35">
      <c r="A1203" s="1019"/>
      <c r="B1203" s="1019"/>
      <c r="C1203" s="1019"/>
      <c r="D1203" s="3188"/>
      <c r="E1203" s="1019"/>
      <c r="F1203" s="1019"/>
      <c r="G1203" s="1019"/>
      <c r="H1203" s="1019"/>
      <c r="I1203" s="1140"/>
    </row>
    <row r="1204" spans="1:9" x14ac:dyDescent="0.35">
      <c r="A1204" s="1019"/>
      <c r="B1204" s="1019"/>
      <c r="C1204" s="1019"/>
      <c r="D1204" s="3188"/>
      <c r="E1204" s="1019"/>
      <c r="F1204" s="1019"/>
      <c r="G1204" s="1019"/>
      <c r="H1204" s="1019"/>
      <c r="I1204" s="1140"/>
    </row>
    <row r="1205" spans="1:9" x14ac:dyDescent="0.35">
      <c r="A1205" s="1019"/>
      <c r="B1205" s="1019"/>
      <c r="C1205" s="1019"/>
      <c r="D1205" s="3188"/>
      <c r="E1205" s="1019"/>
      <c r="F1205" s="1019"/>
      <c r="G1205" s="1019"/>
      <c r="H1205" s="1019"/>
      <c r="I1205" s="1140"/>
    </row>
    <row r="1206" spans="1:9" x14ac:dyDescent="0.35">
      <c r="A1206" s="1019"/>
      <c r="B1206" s="1019"/>
      <c r="C1206" s="1019"/>
      <c r="D1206" s="3188"/>
      <c r="E1206" s="1019"/>
      <c r="F1206" s="1019"/>
      <c r="G1206" s="1019"/>
      <c r="H1206" s="1019"/>
      <c r="I1206" s="1140"/>
    </row>
    <row r="1207" spans="1:9" x14ac:dyDescent="0.35">
      <c r="A1207" s="1019"/>
      <c r="B1207" s="1019"/>
      <c r="C1207" s="1019"/>
      <c r="D1207" s="3188"/>
      <c r="E1207" s="1019"/>
      <c r="F1207" s="1019"/>
      <c r="G1207" s="1019"/>
      <c r="H1207" s="1019"/>
      <c r="I1207" s="1140"/>
    </row>
    <row r="1208" spans="1:9" x14ac:dyDescent="0.35">
      <c r="A1208" s="1019"/>
      <c r="B1208" s="1019"/>
      <c r="C1208" s="1019"/>
      <c r="D1208" s="3188"/>
      <c r="E1208" s="1019"/>
      <c r="F1208" s="1019"/>
      <c r="G1208" s="1019"/>
      <c r="H1208" s="1019"/>
      <c r="I1208" s="1140"/>
    </row>
    <row r="1209" spans="1:9" x14ac:dyDescent="0.35">
      <c r="A1209" s="1019"/>
      <c r="B1209" s="1019"/>
      <c r="C1209" s="1019"/>
      <c r="D1209" s="3188"/>
      <c r="E1209" s="1019"/>
      <c r="F1209" s="1019"/>
      <c r="G1209" s="1019"/>
      <c r="H1209" s="1019"/>
      <c r="I1209" s="1140"/>
    </row>
    <row r="1210" spans="1:9" x14ac:dyDescent="0.35">
      <c r="A1210" s="1019"/>
      <c r="B1210" s="1019"/>
      <c r="C1210" s="1019"/>
      <c r="D1210" s="3188"/>
      <c r="E1210" s="1019"/>
      <c r="F1210" s="1019"/>
      <c r="G1210" s="1019"/>
      <c r="H1210" s="1019"/>
      <c r="I1210" s="1140"/>
    </row>
    <row r="1211" spans="1:9" x14ac:dyDescent="0.35">
      <c r="A1211" s="1019"/>
      <c r="B1211" s="1019"/>
      <c r="C1211" s="1019"/>
      <c r="D1211" s="3188"/>
      <c r="E1211" s="1019"/>
      <c r="F1211" s="1019"/>
      <c r="G1211" s="1019"/>
      <c r="H1211" s="1019"/>
      <c r="I1211" s="1140"/>
    </row>
    <row r="1212" spans="1:9" x14ac:dyDescent="0.35">
      <c r="A1212" s="1019"/>
      <c r="B1212" s="1019"/>
      <c r="C1212" s="1019"/>
      <c r="D1212" s="3188"/>
      <c r="E1212" s="1019"/>
      <c r="F1212" s="1019"/>
      <c r="G1212" s="1019"/>
      <c r="H1212" s="1019"/>
      <c r="I1212" s="1140"/>
    </row>
    <row r="1213" spans="1:9" x14ac:dyDescent="0.35">
      <c r="A1213" s="1019"/>
      <c r="B1213" s="1019"/>
      <c r="C1213" s="1019"/>
      <c r="D1213" s="3188"/>
      <c r="E1213" s="1019"/>
      <c r="F1213" s="1019"/>
      <c r="G1213" s="1019"/>
      <c r="H1213" s="1019"/>
      <c r="I1213" s="1140"/>
    </row>
    <row r="1214" spans="1:9" x14ac:dyDescent="0.35">
      <c r="A1214" s="1019"/>
      <c r="B1214" s="1019"/>
      <c r="C1214" s="1019"/>
      <c r="D1214" s="3188"/>
      <c r="E1214" s="1019"/>
      <c r="F1214" s="1019"/>
      <c r="G1214" s="1019"/>
      <c r="H1214" s="1019"/>
      <c r="I1214" s="1140"/>
    </row>
    <row r="1215" spans="1:9" x14ac:dyDescent="0.35">
      <c r="A1215" s="1019"/>
      <c r="B1215" s="1019"/>
      <c r="C1215" s="1019"/>
      <c r="D1215" s="3188"/>
      <c r="E1215" s="1019"/>
      <c r="F1215" s="1019"/>
      <c r="G1215" s="1019"/>
      <c r="H1215" s="1019"/>
      <c r="I1215" s="1140"/>
    </row>
    <row r="1216" spans="1:9" x14ac:dyDescent="0.35">
      <c r="A1216" s="1019"/>
      <c r="B1216" s="1019"/>
      <c r="C1216" s="1019"/>
      <c r="D1216" s="3188"/>
      <c r="E1216" s="1019"/>
      <c r="F1216" s="1019"/>
      <c r="G1216" s="1019"/>
      <c r="H1216" s="1019"/>
      <c r="I1216" s="1140"/>
    </row>
    <row r="1217" spans="1:9" x14ac:dyDescent="0.35">
      <c r="A1217" s="1019"/>
      <c r="B1217" s="1019"/>
      <c r="C1217" s="1019"/>
      <c r="D1217" s="3188"/>
      <c r="E1217" s="1019"/>
      <c r="F1217" s="1019"/>
      <c r="G1217" s="1019"/>
      <c r="H1217" s="1019"/>
      <c r="I1217" s="1140"/>
    </row>
    <row r="1218" spans="1:9" x14ac:dyDescent="0.35">
      <c r="A1218" s="1019"/>
      <c r="B1218" s="1019"/>
      <c r="C1218" s="1019"/>
      <c r="D1218" s="3188"/>
      <c r="E1218" s="1019"/>
      <c r="F1218" s="1019"/>
      <c r="G1218" s="1019"/>
      <c r="H1218" s="1019"/>
      <c r="I1218" s="1140"/>
    </row>
    <row r="1219" spans="1:9" x14ac:dyDescent="0.35">
      <c r="A1219" s="1019"/>
      <c r="B1219" s="1019"/>
      <c r="C1219" s="1019"/>
      <c r="D1219" s="3188"/>
      <c r="E1219" s="1019"/>
      <c r="F1219" s="1019"/>
      <c r="G1219" s="1019"/>
      <c r="H1219" s="1019"/>
      <c r="I1219" s="1140"/>
    </row>
    <row r="1220" spans="1:9" x14ac:dyDescent="0.35">
      <c r="A1220" s="1019"/>
      <c r="B1220" s="1019"/>
      <c r="C1220" s="1019"/>
      <c r="D1220" s="3188"/>
      <c r="E1220" s="1019"/>
      <c r="F1220" s="1019"/>
      <c r="G1220" s="1019"/>
      <c r="H1220" s="1019"/>
      <c r="I1220" s="1140"/>
    </row>
    <row r="1221" spans="1:9" x14ac:dyDescent="0.35">
      <c r="A1221" s="1019"/>
      <c r="B1221" s="1019"/>
      <c r="C1221" s="1019"/>
      <c r="D1221" s="3188"/>
      <c r="E1221" s="1019"/>
      <c r="F1221" s="1019"/>
      <c r="G1221" s="1019"/>
      <c r="H1221" s="1019"/>
      <c r="I1221" s="1140"/>
    </row>
    <row r="1222" spans="1:9" x14ac:dyDescent="0.35">
      <c r="A1222" s="1019"/>
      <c r="B1222" s="1019"/>
      <c r="C1222" s="1019"/>
      <c r="D1222" s="3188"/>
      <c r="E1222" s="1019"/>
      <c r="F1222" s="1019"/>
      <c r="G1222" s="1019"/>
      <c r="H1222" s="1019"/>
      <c r="I1222" s="1140"/>
    </row>
    <row r="1223" spans="1:9" x14ac:dyDescent="0.35">
      <c r="A1223" s="1019"/>
      <c r="B1223" s="1019"/>
      <c r="C1223" s="1019"/>
      <c r="D1223" s="3188"/>
      <c r="E1223" s="1019"/>
      <c r="F1223" s="1019"/>
      <c r="G1223" s="1019"/>
      <c r="H1223" s="1019"/>
      <c r="I1223" s="1140"/>
    </row>
    <row r="1224" spans="1:9" x14ac:dyDescent="0.35">
      <c r="A1224" s="1019"/>
      <c r="B1224" s="1019"/>
      <c r="C1224" s="1019"/>
      <c r="D1224" s="3188"/>
      <c r="E1224" s="1019"/>
      <c r="F1224" s="1019"/>
      <c r="G1224" s="1019"/>
      <c r="H1224" s="1019"/>
      <c r="I1224" s="1140"/>
    </row>
    <row r="1225" spans="1:9" x14ac:dyDescent="0.35">
      <c r="A1225" s="1019"/>
      <c r="B1225" s="1019"/>
      <c r="C1225" s="1019"/>
      <c r="D1225" s="3188"/>
      <c r="E1225" s="1019"/>
      <c r="F1225" s="1019"/>
      <c r="G1225" s="1019"/>
      <c r="H1225" s="1019"/>
      <c r="I1225" s="1140"/>
    </row>
    <row r="1226" spans="1:9" x14ac:dyDescent="0.35">
      <c r="A1226" s="1019"/>
      <c r="B1226" s="1019"/>
      <c r="C1226" s="1019"/>
      <c r="D1226" s="3188"/>
      <c r="E1226" s="1019"/>
      <c r="F1226" s="1019"/>
      <c r="G1226" s="1019"/>
      <c r="H1226" s="1019"/>
      <c r="I1226" s="1140"/>
    </row>
    <row r="1227" spans="1:9" x14ac:dyDescent="0.35">
      <c r="A1227" s="1019"/>
      <c r="B1227" s="1019"/>
      <c r="C1227" s="1019"/>
      <c r="D1227" s="3188"/>
      <c r="E1227" s="1019"/>
      <c r="F1227" s="1019"/>
      <c r="G1227" s="1019"/>
      <c r="H1227" s="1019"/>
      <c r="I1227" s="1140"/>
    </row>
    <row r="1228" spans="1:9" x14ac:dyDescent="0.35">
      <c r="A1228" s="1019"/>
      <c r="B1228" s="1019"/>
      <c r="C1228" s="1019"/>
      <c r="D1228" s="3188"/>
      <c r="E1228" s="1019"/>
      <c r="F1228" s="1019"/>
      <c r="G1228" s="1019"/>
      <c r="H1228" s="1019"/>
      <c r="I1228" s="1140"/>
    </row>
    <row r="1229" spans="1:9" x14ac:dyDescent="0.35">
      <c r="A1229" s="1019"/>
      <c r="B1229" s="1019"/>
      <c r="C1229" s="1019"/>
      <c r="D1229" s="3188"/>
      <c r="E1229" s="1019"/>
      <c r="F1229" s="1019"/>
      <c r="G1229" s="1019"/>
      <c r="H1229" s="1019"/>
      <c r="I1229" s="1140"/>
    </row>
    <row r="1230" spans="1:9" x14ac:dyDescent="0.35">
      <c r="A1230" s="1019"/>
      <c r="B1230" s="1019"/>
      <c r="C1230" s="1019"/>
      <c r="D1230" s="3188"/>
      <c r="E1230" s="1019"/>
      <c r="F1230" s="1019"/>
      <c r="G1230" s="1019"/>
      <c r="H1230" s="1019"/>
      <c r="I1230" s="1140"/>
    </row>
    <row r="1231" spans="1:9" x14ac:dyDescent="0.35">
      <c r="A1231" s="1019"/>
      <c r="B1231" s="1019"/>
      <c r="C1231" s="1019"/>
      <c r="D1231" s="3188"/>
      <c r="E1231" s="1019"/>
      <c r="F1231" s="1019"/>
      <c r="G1231" s="1019"/>
      <c r="H1231" s="1019"/>
      <c r="I1231" s="1140"/>
    </row>
    <row r="1232" spans="1:9" x14ac:dyDescent="0.35">
      <c r="A1232" s="1019"/>
      <c r="B1232" s="1019"/>
      <c r="C1232" s="1019"/>
      <c r="D1232" s="3188"/>
      <c r="E1232" s="1019"/>
      <c r="F1232" s="1019"/>
      <c r="G1232" s="1019"/>
      <c r="H1232" s="1019"/>
      <c r="I1232" s="1140"/>
    </row>
    <row r="1233" spans="1:9" x14ac:dyDescent="0.35">
      <c r="A1233" s="1019"/>
      <c r="B1233" s="1019"/>
      <c r="C1233" s="1019"/>
      <c r="D1233" s="3188"/>
      <c r="E1233" s="1019"/>
      <c r="F1233" s="1019"/>
      <c r="G1233" s="1019"/>
      <c r="H1233" s="1019"/>
      <c r="I1233" s="1140"/>
    </row>
    <row r="1234" spans="1:9" x14ac:dyDescent="0.35">
      <c r="A1234" s="1019"/>
      <c r="B1234" s="1019"/>
      <c r="C1234" s="1019"/>
      <c r="D1234" s="3188"/>
      <c r="E1234" s="1019"/>
      <c r="F1234" s="1019"/>
      <c r="G1234" s="1019"/>
      <c r="H1234" s="1019"/>
      <c r="I1234" s="1140"/>
    </row>
    <row r="1235" spans="1:9" x14ac:dyDescent="0.35">
      <c r="A1235" s="1019"/>
      <c r="B1235" s="1019"/>
      <c r="C1235" s="1019"/>
      <c r="D1235" s="3188"/>
      <c r="E1235" s="1019"/>
      <c r="F1235" s="1019"/>
      <c r="G1235" s="1019"/>
      <c r="H1235" s="1019"/>
      <c r="I1235" s="1140"/>
    </row>
    <row r="1236" spans="1:9" x14ac:dyDescent="0.35">
      <c r="A1236" s="1019"/>
      <c r="B1236" s="1019"/>
      <c r="C1236" s="1019"/>
      <c r="D1236" s="3188"/>
      <c r="E1236" s="1019"/>
      <c r="F1236" s="1019"/>
      <c r="G1236" s="1019"/>
      <c r="H1236" s="1019"/>
      <c r="I1236" s="1140"/>
    </row>
    <row r="1237" spans="1:9" x14ac:dyDescent="0.35">
      <c r="A1237" s="1019"/>
      <c r="B1237" s="1019"/>
      <c r="C1237" s="1019"/>
      <c r="D1237" s="3188"/>
      <c r="E1237" s="1019"/>
      <c r="F1237" s="1019"/>
      <c r="G1237" s="1019"/>
      <c r="H1237" s="1019"/>
      <c r="I1237" s="1140"/>
    </row>
    <row r="1238" spans="1:9" x14ac:dyDescent="0.35">
      <c r="A1238" s="1019"/>
      <c r="B1238" s="1019"/>
      <c r="C1238" s="1019"/>
      <c r="D1238" s="3188"/>
      <c r="E1238" s="1019"/>
      <c r="F1238" s="1019"/>
      <c r="G1238" s="1019"/>
      <c r="H1238" s="1019"/>
      <c r="I1238" s="1140"/>
    </row>
    <row r="1239" spans="1:9" x14ac:dyDescent="0.35">
      <c r="A1239" s="1019"/>
      <c r="B1239" s="1019"/>
      <c r="C1239" s="1019"/>
      <c r="D1239" s="3188"/>
      <c r="E1239" s="1019"/>
      <c r="F1239" s="1019"/>
      <c r="G1239" s="1019"/>
      <c r="H1239" s="1019"/>
      <c r="I1239" s="1140"/>
    </row>
    <row r="1240" spans="1:9" x14ac:dyDescent="0.35">
      <c r="A1240" s="1019"/>
      <c r="B1240" s="1019"/>
      <c r="C1240" s="1019"/>
      <c r="D1240" s="3188"/>
      <c r="E1240" s="1019"/>
      <c r="F1240" s="1019"/>
      <c r="G1240" s="1019"/>
      <c r="H1240" s="1019"/>
      <c r="I1240" s="1140"/>
    </row>
    <row r="1241" spans="1:9" x14ac:dyDescent="0.35">
      <c r="A1241" s="1019"/>
      <c r="B1241" s="1019"/>
      <c r="C1241" s="1019"/>
      <c r="D1241" s="3188"/>
      <c r="E1241" s="1019"/>
      <c r="F1241" s="1019"/>
      <c r="G1241" s="1019"/>
      <c r="H1241" s="1019"/>
      <c r="I1241" s="1140"/>
    </row>
    <row r="1242" spans="1:9" x14ac:dyDescent="0.35">
      <c r="A1242" s="1019"/>
      <c r="B1242" s="1019"/>
      <c r="C1242" s="1019"/>
      <c r="D1242" s="3188"/>
      <c r="E1242" s="1019"/>
      <c r="F1242" s="1019"/>
      <c r="G1242" s="1019"/>
      <c r="H1242" s="1019"/>
      <c r="I1242" s="1140"/>
    </row>
    <row r="1243" spans="1:9" x14ac:dyDescent="0.35">
      <c r="A1243" s="1019"/>
      <c r="B1243" s="1019"/>
      <c r="C1243" s="1019"/>
      <c r="D1243" s="3188"/>
      <c r="E1243" s="1019"/>
      <c r="F1243" s="1019"/>
      <c r="G1243" s="1019"/>
      <c r="H1243" s="1019"/>
      <c r="I1243" s="1140"/>
    </row>
    <row r="1244" spans="1:9" x14ac:dyDescent="0.35">
      <c r="A1244" s="1019"/>
      <c r="B1244" s="1019"/>
      <c r="C1244" s="1019"/>
      <c r="D1244" s="3188"/>
      <c r="E1244" s="1019"/>
      <c r="F1244" s="1019"/>
      <c r="G1244" s="1019"/>
      <c r="H1244" s="1019"/>
      <c r="I1244" s="1140"/>
    </row>
    <row r="1245" spans="1:9" x14ac:dyDescent="0.35">
      <c r="A1245" s="1019"/>
      <c r="B1245" s="1019"/>
      <c r="C1245" s="1019"/>
      <c r="D1245" s="3188"/>
      <c r="E1245" s="1019"/>
      <c r="F1245" s="1019"/>
      <c r="G1245" s="1019"/>
      <c r="H1245" s="1019"/>
      <c r="I1245" s="1140"/>
    </row>
    <row r="1246" spans="1:9" x14ac:dyDescent="0.35">
      <c r="A1246" s="1019"/>
      <c r="B1246" s="1019"/>
      <c r="C1246" s="1019"/>
      <c r="D1246" s="3188"/>
      <c r="E1246" s="1019"/>
      <c r="F1246" s="1019"/>
      <c r="G1246" s="1019"/>
      <c r="H1246" s="1019"/>
      <c r="I1246" s="1140"/>
    </row>
    <row r="1247" spans="1:9" x14ac:dyDescent="0.35">
      <c r="A1247" s="1019"/>
      <c r="B1247" s="1019"/>
      <c r="C1247" s="1019"/>
      <c r="D1247" s="3188"/>
      <c r="E1247" s="1019"/>
      <c r="F1247" s="1019"/>
      <c r="G1247" s="1019"/>
      <c r="H1247" s="1019"/>
      <c r="I1247" s="1140"/>
    </row>
    <row r="1248" spans="1:9" x14ac:dyDescent="0.35">
      <c r="A1248" s="1019"/>
      <c r="B1248" s="1019"/>
      <c r="C1248" s="1019"/>
      <c r="D1248" s="3188"/>
      <c r="E1248" s="1019"/>
      <c r="F1248" s="1019"/>
      <c r="G1248" s="1019"/>
      <c r="H1248" s="1019"/>
      <c r="I1248" s="1140"/>
    </row>
    <row r="1249" spans="1:9" x14ac:dyDescent="0.35">
      <c r="A1249" s="1019"/>
      <c r="B1249" s="1019"/>
      <c r="C1249" s="1019"/>
      <c r="D1249" s="3188"/>
      <c r="E1249" s="1019"/>
      <c r="F1249" s="1019"/>
      <c r="G1249" s="1019"/>
      <c r="H1249" s="1019"/>
      <c r="I1249" s="1140"/>
    </row>
    <row r="1250" spans="1:9" x14ac:dyDescent="0.35">
      <c r="A1250" s="1019"/>
      <c r="B1250" s="1019"/>
      <c r="C1250" s="1019"/>
      <c r="D1250" s="3188"/>
      <c r="E1250" s="1019"/>
      <c r="F1250" s="1019"/>
      <c r="G1250" s="1019"/>
      <c r="H1250" s="1019"/>
      <c r="I1250" s="1140"/>
    </row>
    <row r="1251" spans="1:9" x14ac:dyDescent="0.35">
      <c r="A1251" s="1019"/>
      <c r="B1251" s="1019"/>
      <c r="C1251" s="1019"/>
      <c r="D1251" s="3188"/>
      <c r="E1251" s="1019"/>
      <c r="F1251" s="1019"/>
      <c r="G1251" s="1019"/>
      <c r="H1251" s="1019"/>
      <c r="I1251" s="1140"/>
    </row>
    <row r="1252" spans="1:9" x14ac:dyDescent="0.35">
      <c r="A1252" s="1019"/>
      <c r="B1252" s="1019"/>
      <c r="C1252" s="1019"/>
      <c r="D1252" s="3188"/>
      <c r="E1252" s="1019"/>
      <c r="F1252" s="1019"/>
      <c r="G1252" s="1019"/>
      <c r="H1252" s="1019"/>
      <c r="I1252" s="1140"/>
    </row>
    <row r="1253" spans="1:9" x14ac:dyDescent="0.35">
      <c r="A1253" s="1019"/>
      <c r="B1253" s="1019"/>
      <c r="C1253" s="1019"/>
      <c r="D1253" s="3188"/>
      <c r="E1253" s="1019"/>
      <c r="F1253" s="1019"/>
      <c r="G1253" s="1019"/>
      <c r="H1253" s="1019"/>
      <c r="I1253" s="1140"/>
    </row>
    <row r="1254" spans="1:9" x14ac:dyDescent="0.35">
      <c r="A1254" s="1019"/>
      <c r="B1254" s="1019"/>
      <c r="C1254" s="1019"/>
      <c r="D1254" s="3188"/>
      <c r="E1254" s="1019"/>
      <c r="F1254" s="1019"/>
      <c r="G1254" s="1019"/>
      <c r="H1254" s="1019"/>
      <c r="I1254" s="1140"/>
    </row>
    <row r="1255" spans="1:9" x14ac:dyDescent="0.35">
      <c r="A1255" s="1019"/>
      <c r="B1255" s="1019"/>
      <c r="C1255" s="1019"/>
      <c r="D1255" s="3188"/>
      <c r="E1255" s="1019"/>
      <c r="F1255" s="1019"/>
      <c r="G1255" s="1019"/>
      <c r="H1255" s="1019"/>
      <c r="I1255" s="1140"/>
    </row>
    <row r="1256" spans="1:9" x14ac:dyDescent="0.35">
      <c r="A1256" s="1019"/>
      <c r="B1256" s="1019"/>
      <c r="C1256" s="1019"/>
      <c r="D1256" s="3188"/>
      <c r="E1256" s="1019"/>
      <c r="F1256" s="1019"/>
      <c r="G1256" s="1019"/>
      <c r="H1256" s="1019"/>
      <c r="I1256" s="1140"/>
    </row>
    <row r="1257" spans="1:9" x14ac:dyDescent="0.35">
      <c r="A1257" s="1019"/>
      <c r="B1257" s="1019"/>
      <c r="C1257" s="1019"/>
      <c r="D1257" s="3188"/>
      <c r="E1257" s="1019"/>
      <c r="F1257" s="1019"/>
      <c r="G1257" s="1019"/>
      <c r="H1257" s="1019"/>
      <c r="I1257" s="1140"/>
    </row>
    <row r="1258" spans="1:9" x14ac:dyDescent="0.35">
      <c r="A1258" s="1019"/>
      <c r="B1258" s="1019"/>
      <c r="C1258" s="1019"/>
      <c r="D1258" s="3188"/>
      <c r="E1258" s="1019"/>
      <c r="F1258" s="1019"/>
      <c r="G1258" s="1019"/>
      <c r="H1258" s="1019"/>
      <c r="I1258" s="1140"/>
    </row>
    <row r="1259" spans="1:9" x14ac:dyDescent="0.35">
      <c r="A1259" s="1019"/>
      <c r="B1259" s="1019"/>
      <c r="C1259" s="1019"/>
      <c r="D1259" s="3188"/>
      <c r="E1259" s="1019"/>
      <c r="F1259" s="1019"/>
      <c r="G1259" s="1019"/>
      <c r="H1259" s="1019"/>
      <c r="I1259" s="1140"/>
    </row>
    <row r="1260" spans="1:9" x14ac:dyDescent="0.35">
      <c r="A1260" s="1019"/>
      <c r="B1260" s="1019"/>
      <c r="C1260" s="1019"/>
      <c r="D1260" s="3188"/>
      <c r="E1260" s="1019"/>
      <c r="F1260" s="1019"/>
      <c r="G1260" s="1019"/>
      <c r="H1260" s="1019"/>
      <c r="I1260" s="1140"/>
    </row>
    <row r="1261" spans="1:9" x14ac:dyDescent="0.35">
      <c r="A1261" s="1019"/>
      <c r="B1261" s="1019"/>
      <c r="C1261" s="1019"/>
      <c r="D1261" s="3188"/>
      <c r="E1261" s="1019"/>
      <c r="F1261" s="1019"/>
      <c r="G1261" s="1019"/>
      <c r="H1261" s="1019"/>
      <c r="I1261" s="1140"/>
    </row>
    <row r="1262" spans="1:9" x14ac:dyDescent="0.35">
      <c r="A1262" s="1019"/>
      <c r="B1262" s="1019"/>
      <c r="C1262" s="1019"/>
      <c r="D1262" s="3188"/>
      <c r="E1262" s="1019"/>
      <c r="F1262" s="1019"/>
      <c r="G1262" s="1019"/>
      <c r="H1262" s="1019"/>
      <c r="I1262" s="1140"/>
    </row>
    <row r="1263" spans="1:9" x14ac:dyDescent="0.35">
      <c r="A1263" s="1019"/>
      <c r="B1263" s="1019"/>
      <c r="C1263" s="1019"/>
      <c r="D1263" s="3188"/>
      <c r="E1263" s="1019"/>
      <c r="F1263" s="1019"/>
      <c r="G1263" s="1019"/>
      <c r="H1263" s="1019"/>
      <c r="I1263" s="1140"/>
    </row>
    <row r="1264" spans="1:9" x14ac:dyDescent="0.35">
      <c r="A1264" s="1019"/>
      <c r="B1264" s="1019"/>
      <c r="C1264" s="1019"/>
      <c r="D1264" s="3188"/>
      <c r="E1264" s="1019"/>
      <c r="F1264" s="1019"/>
      <c r="G1264" s="1019"/>
      <c r="H1264" s="1019"/>
      <c r="I1264" s="1140"/>
    </row>
    <row r="1265" spans="1:9" x14ac:dyDescent="0.35">
      <c r="A1265" s="1019"/>
      <c r="B1265" s="1019"/>
      <c r="C1265" s="1019"/>
      <c r="D1265" s="3188"/>
      <c r="E1265" s="1019"/>
      <c r="F1265" s="1019"/>
      <c r="G1265" s="1019"/>
      <c r="H1265" s="1019"/>
      <c r="I1265" s="1140"/>
    </row>
    <row r="1266" spans="1:9" x14ac:dyDescent="0.35">
      <c r="A1266" s="1019"/>
      <c r="B1266" s="1019"/>
      <c r="C1266" s="1019"/>
      <c r="D1266" s="3188"/>
      <c r="E1266" s="1019"/>
      <c r="F1266" s="1019"/>
      <c r="G1266" s="1019"/>
      <c r="H1266" s="1019"/>
      <c r="I1266" s="1140"/>
    </row>
    <row r="1267" spans="1:9" x14ac:dyDescent="0.35">
      <c r="A1267" s="1019"/>
      <c r="B1267" s="1019"/>
      <c r="C1267" s="1019"/>
      <c r="D1267" s="3188"/>
      <c r="E1267" s="1019"/>
      <c r="F1267" s="1019"/>
      <c r="G1267" s="1019"/>
      <c r="H1267" s="1019"/>
      <c r="I1267" s="1140"/>
    </row>
    <row r="1268" spans="1:9" x14ac:dyDescent="0.35">
      <c r="A1268" s="1019"/>
      <c r="B1268" s="1019"/>
      <c r="C1268" s="1019"/>
      <c r="D1268" s="3188"/>
      <c r="E1268" s="1019"/>
      <c r="F1268" s="1019"/>
      <c r="G1268" s="1019"/>
      <c r="H1268" s="1019"/>
      <c r="I1268" s="1140"/>
    </row>
    <row r="1269" spans="1:9" x14ac:dyDescent="0.35">
      <c r="A1269" s="1019"/>
      <c r="B1269" s="1019"/>
      <c r="C1269" s="1019"/>
      <c r="D1269" s="3188"/>
      <c r="E1269" s="1019"/>
      <c r="F1269" s="1019"/>
      <c r="G1269" s="1019"/>
      <c r="H1269" s="1019"/>
      <c r="I1269" s="1140"/>
    </row>
    <row r="1270" spans="1:9" x14ac:dyDescent="0.35">
      <c r="A1270" s="1019"/>
      <c r="B1270" s="1019"/>
      <c r="C1270" s="1019"/>
      <c r="D1270" s="3188"/>
      <c r="E1270" s="1019"/>
      <c r="F1270" s="1019"/>
      <c r="G1270" s="1019"/>
      <c r="H1270" s="1019"/>
      <c r="I1270" s="1140"/>
    </row>
    <row r="1271" spans="1:9" x14ac:dyDescent="0.35">
      <c r="A1271" s="1019"/>
      <c r="B1271" s="1019"/>
      <c r="C1271" s="1019"/>
      <c r="D1271" s="3188"/>
      <c r="E1271" s="1019"/>
      <c r="F1271" s="1019"/>
      <c r="G1271" s="1019"/>
      <c r="H1271" s="1019"/>
      <c r="I1271" s="1140"/>
    </row>
    <row r="1272" spans="1:9" x14ac:dyDescent="0.35">
      <c r="A1272" s="1019"/>
      <c r="B1272" s="1019"/>
      <c r="C1272" s="1019"/>
      <c r="D1272" s="3188"/>
      <c r="E1272" s="1019"/>
      <c r="F1272" s="1019"/>
      <c r="G1272" s="1019"/>
      <c r="H1272" s="1019"/>
      <c r="I1272" s="1140"/>
    </row>
    <row r="1273" spans="1:9" x14ac:dyDescent="0.35">
      <c r="A1273" s="1019"/>
      <c r="B1273" s="1019"/>
      <c r="C1273" s="1019"/>
      <c r="D1273" s="3188"/>
      <c r="E1273" s="1019"/>
      <c r="F1273" s="1019"/>
      <c r="G1273" s="1019"/>
      <c r="H1273" s="1019"/>
      <c r="I1273" s="1140"/>
    </row>
    <row r="1274" spans="1:9" x14ac:dyDescent="0.35">
      <c r="A1274" s="1019"/>
      <c r="B1274" s="1019"/>
      <c r="C1274" s="1019"/>
      <c r="D1274" s="3188"/>
      <c r="E1274" s="1019"/>
      <c r="F1274" s="1019"/>
      <c r="G1274" s="1019"/>
      <c r="H1274" s="1019"/>
      <c r="I1274" s="1140"/>
    </row>
    <row r="1275" spans="1:9" x14ac:dyDescent="0.35">
      <c r="A1275" s="1019"/>
      <c r="B1275" s="1019"/>
      <c r="C1275" s="1019"/>
      <c r="D1275" s="3188"/>
      <c r="E1275" s="1019"/>
      <c r="F1275" s="1019"/>
      <c r="G1275" s="1019"/>
      <c r="H1275" s="1019"/>
      <c r="I1275" s="1140"/>
    </row>
    <row r="1276" spans="1:9" x14ac:dyDescent="0.35">
      <c r="A1276" s="1019"/>
      <c r="B1276" s="1019"/>
      <c r="C1276" s="1019"/>
      <c r="D1276" s="3188"/>
      <c r="E1276" s="1019"/>
      <c r="F1276" s="1019"/>
      <c r="G1276" s="1019"/>
      <c r="H1276" s="1019"/>
      <c r="I1276" s="1140"/>
    </row>
    <row r="1277" spans="1:9" x14ac:dyDescent="0.35">
      <c r="A1277" s="1019"/>
      <c r="B1277" s="1019"/>
      <c r="C1277" s="1019"/>
      <c r="D1277" s="3188"/>
      <c r="E1277" s="1019"/>
      <c r="F1277" s="1019"/>
      <c r="G1277" s="1019"/>
      <c r="H1277" s="1019"/>
      <c r="I1277" s="1140"/>
    </row>
    <row r="1278" spans="1:9" x14ac:dyDescent="0.35">
      <c r="A1278" s="1019"/>
      <c r="B1278" s="1019"/>
      <c r="C1278" s="1019"/>
      <c r="D1278" s="3188"/>
      <c r="E1278" s="1019"/>
      <c r="F1278" s="1019"/>
      <c r="G1278" s="1019"/>
      <c r="H1278" s="1019"/>
      <c r="I1278" s="1140"/>
    </row>
    <row r="1279" spans="1:9" x14ac:dyDescent="0.35">
      <c r="A1279" s="1019"/>
      <c r="B1279" s="1019"/>
      <c r="C1279" s="1019"/>
      <c r="D1279" s="3188"/>
      <c r="E1279" s="1019"/>
      <c r="F1279" s="1019"/>
      <c r="G1279" s="1019"/>
      <c r="H1279" s="1019"/>
      <c r="I1279" s="1140"/>
    </row>
    <row r="1280" spans="1:9" x14ac:dyDescent="0.35">
      <c r="A1280" s="1019"/>
      <c r="B1280" s="1019"/>
      <c r="C1280" s="1019"/>
      <c r="D1280" s="3188"/>
      <c r="E1280" s="1019"/>
      <c r="F1280" s="1019"/>
      <c r="G1280" s="1019"/>
      <c r="H1280" s="1019"/>
      <c r="I1280" s="1140"/>
    </row>
    <row r="1281" spans="1:9" x14ac:dyDescent="0.35">
      <c r="A1281" s="1019"/>
      <c r="B1281" s="1019"/>
      <c r="C1281" s="1019"/>
      <c r="D1281" s="3188"/>
      <c r="E1281" s="1019"/>
      <c r="F1281" s="1019"/>
      <c r="G1281" s="1019"/>
      <c r="H1281" s="1019"/>
      <c r="I1281" s="1140"/>
    </row>
    <row r="1282" spans="1:9" x14ac:dyDescent="0.35">
      <c r="A1282" s="1019"/>
      <c r="B1282" s="1019"/>
      <c r="C1282" s="1019"/>
      <c r="D1282" s="3188"/>
      <c r="E1282" s="1019"/>
      <c r="F1282" s="1019"/>
      <c r="G1282" s="1019"/>
      <c r="H1282" s="1019"/>
      <c r="I1282" s="1140"/>
    </row>
    <row r="1283" spans="1:9" x14ac:dyDescent="0.35">
      <c r="A1283" s="1019"/>
      <c r="B1283" s="1019"/>
      <c r="C1283" s="1019"/>
      <c r="D1283" s="3188"/>
      <c r="E1283" s="1019"/>
      <c r="F1283" s="1019"/>
      <c r="G1283" s="1019"/>
      <c r="H1283" s="1019"/>
      <c r="I1283" s="1140"/>
    </row>
    <row r="1284" spans="1:9" x14ac:dyDescent="0.35">
      <c r="A1284" s="1019"/>
      <c r="B1284" s="1019"/>
      <c r="C1284" s="1019"/>
      <c r="D1284" s="3188"/>
      <c r="E1284" s="1019"/>
      <c r="F1284" s="1019"/>
      <c r="G1284" s="1019"/>
      <c r="H1284" s="1019"/>
      <c r="I1284" s="1140"/>
    </row>
    <row r="1285" spans="1:9" x14ac:dyDescent="0.35">
      <c r="A1285" s="1019"/>
      <c r="B1285" s="1019"/>
      <c r="C1285" s="1019"/>
      <c r="D1285" s="3188"/>
      <c r="E1285" s="1019"/>
      <c r="F1285" s="1019"/>
      <c r="G1285" s="1019"/>
      <c r="H1285" s="1019"/>
      <c r="I1285" s="1140"/>
    </row>
    <row r="1286" spans="1:9" x14ac:dyDescent="0.35">
      <c r="A1286" s="1019"/>
      <c r="B1286" s="1019"/>
      <c r="C1286" s="1019"/>
      <c r="D1286" s="3188"/>
      <c r="E1286" s="1019"/>
      <c r="F1286" s="1019"/>
      <c r="G1286" s="1019"/>
      <c r="H1286" s="1019"/>
      <c r="I1286" s="1140"/>
    </row>
    <row r="1287" spans="1:9" x14ac:dyDescent="0.35">
      <c r="A1287" s="1019"/>
      <c r="B1287" s="1019"/>
      <c r="C1287" s="1019"/>
      <c r="D1287" s="3188"/>
      <c r="E1287" s="1019"/>
      <c r="F1287" s="1019"/>
      <c r="G1287" s="1019"/>
      <c r="H1287" s="1019"/>
      <c r="I1287" s="1140"/>
    </row>
    <row r="1288" spans="1:9" x14ac:dyDescent="0.35">
      <c r="A1288" s="1019"/>
      <c r="B1288" s="1019"/>
      <c r="C1288" s="1019"/>
      <c r="D1288" s="3188"/>
      <c r="E1288" s="1019"/>
      <c r="F1288" s="1019"/>
      <c r="G1288" s="1019"/>
      <c r="H1288" s="1019"/>
      <c r="I1288" s="1140"/>
    </row>
    <row r="1289" spans="1:9" x14ac:dyDescent="0.35">
      <c r="A1289" s="1019"/>
      <c r="B1289" s="1019"/>
      <c r="C1289" s="1019"/>
      <c r="D1289" s="3188"/>
      <c r="E1289" s="1019"/>
      <c r="F1289" s="1019"/>
      <c r="G1289" s="1019"/>
      <c r="H1289" s="1019"/>
      <c r="I1289" s="1140"/>
    </row>
    <row r="1290" spans="1:9" x14ac:dyDescent="0.35">
      <c r="A1290" s="1019"/>
      <c r="B1290" s="1019"/>
      <c r="C1290" s="1019"/>
      <c r="D1290" s="3188"/>
      <c r="E1290" s="1019"/>
      <c r="F1290" s="1019"/>
      <c r="G1290" s="1019"/>
      <c r="H1290" s="1019"/>
      <c r="I1290" s="1140"/>
    </row>
    <row r="1291" spans="1:9" x14ac:dyDescent="0.35">
      <c r="A1291" s="1019"/>
      <c r="B1291" s="1019"/>
      <c r="C1291" s="1019"/>
      <c r="D1291" s="3188"/>
      <c r="E1291" s="1019"/>
      <c r="F1291" s="1019"/>
      <c r="G1291" s="1019"/>
      <c r="H1291" s="1019"/>
      <c r="I1291" s="1140"/>
    </row>
    <row r="1292" spans="1:9" x14ac:dyDescent="0.35">
      <c r="A1292" s="1019"/>
      <c r="B1292" s="1019"/>
      <c r="C1292" s="1019"/>
      <c r="D1292" s="3188"/>
      <c r="E1292" s="1019"/>
      <c r="F1292" s="1019"/>
      <c r="G1292" s="1019"/>
      <c r="H1292" s="1019"/>
      <c r="I1292" s="1140"/>
    </row>
    <row r="1293" spans="1:9" x14ac:dyDescent="0.35">
      <c r="A1293" s="1019"/>
      <c r="B1293" s="1019"/>
      <c r="C1293" s="1019"/>
      <c r="D1293" s="3188"/>
      <c r="E1293" s="1019"/>
      <c r="F1293" s="1019"/>
      <c r="G1293" s="1019"/>
      <c r="H1293" s="1019"/>
      <c r="I1293" s="1140"/>
    </row>
    <row r="1294" spans="1:9" x14ac:dyDescent="0.35">
      <c r="A1294" s="1019"/>
      <c r="B1294" s="1019"/>
      <c r="C1294" s="1019"/>
      <c r="D1294" s="3188"/>
      <c r="E1294" s="1019"/>
      <c r="F1294" s="1019"/>
      <c r="G1294" s="1019"/>
      <c r="H1294" s="1019"/>
      <c r="I1294" s="1140"/>
    </row>
    <row r="1295" spans="1:9" x14ac:dyDescent="0.35">
      <c r="A1295" s="1019"/>
      <c r="B1295" s="1019"/>
      <c r="C1295" s="1019"/>
      <c r="D1295" s="3188"/>
      <c r="E1295" s="1019"/>
      <c r="F1295" s="1019"/>
      <c r="G1295" s="1019"/>
      <c r="H1295" s="1019"/>
      <c r="I1295" s="1140"/>
    </row>
    <row r="1296" spans="1:9" x14ac:dyDescent="0.35">
      <c r="A1296" s="1019"/>
      <c r="B1296" s="1019"/>
      <c r="C1296" s="1019"/>
      <c r="D1296" s="3188"/>
      <c r="E1296" s="1019"/>
      <c r="F1296" s="1019"/>
      <c r="G1296" s="1019"/>
      <c r="H1296" s="1019"/>
      <c r="I1296" s="1140"/>
    </row>
    <row r="1297" spans="1:9" x14ac:dyDescent="0.35">
      <c r="A1297" s="1019"/>
      <c r="B1297" s="1019"/>
      <c r="C1297" s="1019"/>
      <c r="D1297" s="3188"/>
      <c r="E1297" s="1019"/>
      <c r="F1297" s="1019"/>
      <c r="G1297" s="1019"/>
      <c r="H1297" s="1019"/>
      <c r="I1297" s="1140"/>
    </row>
    <row r="1298" spans="1:9" x14ac:dyDescent="0.35">
      <c r="A1298" s="1019"/>
      <c r="B1298" s="1019"/>
      <c r="C1298" s="1019"/>
      <c r="D1298" s="3188"/>
      <c r="E1298" s="1019"/>
      <c r="F1298" s="1019"/>
      <c r="G1298" s="1019"/>
      <c r="H1298" s="1019"/>
      <c r="I1298" s="1140"/>
    </row>
    <row r="1299" spans="1:9" x14ac:dyDescent="0.35">
      <c r="A1299" s="1019"/>
      <c r="B1299" s="1019"/>
      <c r="C1299" s="1019"/>
      <c r="D1299" s="3188"/>
      <c r="E1299" s="1019"/>
      <c r="F1299" s="1019"/>
      <c r="G1299" s="1019"/>
      <c r="H1299" s="1019"/>
      <c r="I1299" s="1140"/>
    </row>
    <row r="1300" spans="1:9" x14ac:dyDescent="0.35">
      <c r="A1300" s="1019"/>
      <c r="B1300" s="1019"/>
      <c r="C1300" s="1019"/>
      <c r="D1300" s="3188"/>
      <c r="E1300" s="1019"/>
      <c r="F1300" s="1019"/>
      <c r="G1300" s="1019"/>
      <c r="H1300" s="1019"/>
      <c r="I1300" s="1140"/>
    </row>
    <row r="1301" spans="1:9" x14ac:dyDescent="0.35">
      <c r="A1301" s="1019"/>
      <c r="B1301" s="1019"/>
      <c r="C1301" s="1019"/>
      <c r="D1301" s="3188"/>
      <c r="E1301" s="1019"/>
      <c r="F1301" s="1019"/>
      <c r="G1301" s="1019"/>
      <c r="H1301" s="1019"/>
      <c r="I1301" s="1140"/>
    </row>
    <row r="1302" spans="1:9" x14ac:dyDescent="0.35">
      <c r="A1302" s="1019"/>
      <c r="B1302" s="1019"/>
      <c r="C1302" s="1019"/>
      <c r="D1302" s="3188"/>
      <c r="E1302" s="1019"/>
      <c r="F1302" s="1019"/>
      <c r="G1302" s="1019"/>
      <c r="H1302" s="1019"/>
      <c r="I1302" s="1140"/>
    </row>
    <row r="1303" spans="1:9" x14ac:dyDescent="0.35">
      <c r="A1303" s="1019"/>
      <c r="B1303" s="1019"/>
      <c r="C1303" s="1019"/>
      <c r="D1303" s="3188"/>
      <c r="E1303" s="1019"/>
      <c r="F1303" s="1019"/>
      <c r="G1303" s="1019"/>
      <c r="H1303" s="1019"/>
      <c r="I1303" s="1140"/>
    </row>
    <row r="1304" spans="1:9" x14ac:dyDescent="0.35">
      <c r="A1304" s="1019"/>
      <c r="B1304" s="1019"/>
      <c r="C1304" s="1019"/>
      <c r="D1304" s="3188"/>
      <c r="E1304" s="1019"/>
      <c r="F1304" s="1019"/>
      <c r="G1304" s="1019"/>
      <c r="H1304" s="1019"/>
      <c r="I1304" s="1140"/>
    </row>
    <row r="1305" spans="1:9" x14ac:dyDescent="0.35">
      <c r="A1305" s="1019"/>
      <c r="B1305" s="1019"/>
      <c r="C1305" s="1019"/>
      <c r="D1305" s="3188"/>
      <c r="E1305" s="1019"/>
      <c r="F1305" s="1019"/>
      <c r="G1305" s="1019"/>
      <c r="H1305" s="1019"/>
      <c r="I1305" s="1140"/>
    </row>
    <row r="1306" spans="1:9" x14ac:dyDescent="0.35">
      <c r="A1306" s="1019"/>
      <c r="B1306" s="1019"/>
      <c r="C1306" s="1019"/>
      <c r="D1306" s="3188"/>
      <c r="E1306" s="1019"/>
      <c r="F1306" s="1019"/>
      <c r="G1306" s="1019"/>
      <c r="H1306" s="1019"/>
      <c r="I1306" s="1140"/>
    </row>
    <row r="1307" spans="1:9" x14ac:dyDescent="0.35">
      <c r="A1307" s="1019"/>
      <c r="B1307" s="1019"/>
      <c r="C1307" s="1019"/>
      <c r="D1307" s="3188"/>
      <c r="E1307" s="1019"/>
      <c r="F1307" s="1019"/>
      <c r="G1307" s="1019"/>
      <c r="H1307" s="1019"/>
      <c r="I1307" s="1140"/>
    </row>
    <row r="1308" spans="1:9" x14ac:dyDescent="0.35">
      <c r="A1308" s="1019"/>
      <c r="B1308" s="1019"/>
      <c r="C1308" s="1019"/>
      <c r="D1308" s="3188"/>
      <c r="E1308" s="1019"/>
      <c r="F1308" s="1019"/>
      <c r="G1308" s="1019"/>
      <c r="H1308" s="1019"/>
      <c r="I1308" s="1140"/>
    </row>
    <row r="1309" spans="1:9" x14ac:dyDescent="0.35">
      <c r="A1309" s="1019"/>
      <c r="B1309" s="1019"/>
      <c r="C1309" s="1019"/>
      <c r="D1309" s="3188"/>
      <c r="E1309" s="1019"/>
      <c r="F1309" s="1019"/>
      <c r="G1309" s="1019"/>
      <c r="H1309" s="1019"/>
      <c r="I1309" s="1140"/>
    </row>
    <row r="1310" spans="1:9" x14ac:dyDescent="0.35">
      <c r="A1310" s="1019"/>
      <c r="B1310" s="1019"/>
      <c r="C1310" s="1019"/>
      <c r="D1310" s="3188"/>
      <c r="E1310" s="1019"/>
      <c r="F1310" s="1019"/>
      <c r="G1310" s="1019"/>
      <c r="H1310" s="1019"/>
      <c r="I1310" s="1140"/>
    </row>
    <row r="1311" spans="1:9" x14ac:dyDescent="0.35">
      <c r="A1311" s="1019"/>
      <c r="B1311" s="1019"/>
      <c r="C1311" s="1019"/>
      <c r="D1311" s="3188"/>
      <c r="E1311" s="1019"/>
      <c r="F1311" s="1019"/>
      <c r="G1311" s="1019"/>
      <c r="H1311" s="1019"/>
      <c r="I1311" s="1140"/>
    </row>
    <row r="1312" spans="1:9" x14ac:dyDescent="0.35">
      <c r="A1312" s="1019"/>
      <c r="B1312" s="1019"/>
      <c r="C1312" s="1019"/>
      <c r="D1312" s="3188"/>
      <c r="E1312" s="1019"/>
      <c r="F1312" s="1019"/>
      <c r="G1312" s="1019"/>
      <c r="H1312" s="1019"/>
      <c r="I1312" s="1140"/>
    </row>
    <row r="1313" spans="1:9" x14ac:dyDescent="0.35">
      <c r="A1313" s="1019"/>
      <c r="B1313" s="1019"/>
      <c r="C1313" s="1019"/>
      <c r="D1313" s="3188"/>
      <c r="E1313" s="1019"/>
      <c r="F1313" s="1019"/>
      <c r="G1313" s="1019"/>
      <c r="H1313" s="1019"/>
      <c r="I1313" s="1140"/>
    </row>
    <row r="1314" spans="1:9" x14ac:dyDescent="0.35">
      <c r="A1314" s="1019"/>
      <c r="B1314" s="1019"/>
      <c r="C1314" s="1019"/>
      <c r="D1314" s="3188"/>
      <c r="E1314" s="1019"/>
      <c r="F1314" s="1019"/>
      <c r="G1314" s="1019"/>
      <c r="H1314" s="1019"/>
      <c r="I1314" s="1140"/>
    </row>
    <row r="1315" spans="1:9" x14ac:dyDescent="0.35">
      <c r="A1315" s="1019"/>
      <c r="B1315" s="1019"/>
      <c r="C1315" s="1019"/>
      <c r="D1315" s="3188"/>
      <c r="E1315" s="1019"/>
      <c r="F1315" s="1019"/>
      <c r="G1315" s="1019"/>
      <c r="H1315" s="1019"/>
      <c r="I1315" s="1140"/>
    </row>
    <row r="1316" spans="1:9" x14ac:dyDescent="0.35">
      <c r="A1316" s="1019"/>
      <c r="B1316" s="1019"/>
      <c r="C1316" s="1019"/>
      <c r="D1316" s="3188"/>
      <c r="E1316" s="1019"/>
      <c r="F1316" s="1019"/>
      <c r="G1316" s="1019"/>
      <c r="H1316" s="1019"/>
      <c r="I1316" s="1140"/>
    </row>
    <row r="1317" spans="1:9" x14ac:dyDescent="0.35">
      <c r="A1317" s="1019"/>
      <c r="B1317" s="1019"/>
      <c r="C1317" s="1019"/>
      <c r="D1317" s="3188"/>
      <c r="E1317" s="1019"/>
      <c r="F1317" s="1019"/>
      <c r="G1317" s="1019"/>
      <c r="H1317" s="1019"/>
      <c r="I1317" s="1140"/>
    </row>
    <row r="1318" spans="1:9" x14ac:dyDescent="0.35">
      <c r="A1318" s="1019"/>
      <c r="B1318" s="1019"/>
      <c r="C1318" s="1019"/>
      <c r="D1318" s="3188"/>
      <c r="E1318" s="1019"/>
      <c r="F1318" s="1019"/>
      <c r="G1318" s="1019"/>
      <c r="H1318" s="1019"/>
      <c r="I1318" s="1140"/>
    </row>
    <row r="1319" spans="1:9" x14ac:dyDescent="0.35">
      <c r="A1319" s="1019"/>
      <c r="B1319" s="1019"/>
      <c r="C1319" s="1019"/>
      <c r="D1319" s="3188"/>
      <c r="E1319" s="1019"/>
      <c r="F1319" s="1019"/>
      <c r="G1319" s="1019"/>
      <c r="H1319" s="1019"/>
      <c r="I1319" s="1140"/>
    </row>
    <row r="1320" spans="1:9" x14ac:dyDescent="0.35">
      <c r="A1320" s="1019"/>
      <c r="B1320" s="1019"/>
      <c r="C1320" s="1019"/>
      <c r="D1320" s="3188"/>
      <c r="E1320" s="1019"/>
      <c r="F1320" s="1019"/>
      <c r="G1320" s="1019"/>
      <c r="H1320" s="1019"/>
      <c r="I1320" s="1140"/>
    </row>
    <row r="1321" spans="1:9" x14ac:dyDescent="0.35">
      <c r="A1321" s="1019"/>
      <c r="B1321" s="1019"/>
      <c r="C1321" s="1019"/>
      <c r="D1321" s="3188"/>
      <c r="E1321" s="1019"/>
      <c r="F1321" s="1019"/>
      <c r="G1321" s="1019"/>
      <c r="H1321" s="1019"/>
      <c r="I1321" s="1140"/>
    </row>
    <row r="1322" spans="1:9" x14ac:dyDescent="0.35">
      <c r="A1322" s="1019"/>
      <c r="B1322" s="1019"/>
      <c r="C1322" s="1019"/>
      <c r="D1322" s="3188"/>
      <c r="E1322" s="1019"/>
      <c r="F1322" s="1019"/>
      <c r="G1322" s="1019"/>
      <c r="H1322" s="1019"/>
      <c r="I1322" s="1140"/>
    </row>
    <row r="1323" spans="1:9" x14ac:dyDescent="0.35">
      <c r="A1323" s="1019"/>
      <c r="B1323" s="1019"/>
      <c r="C1323" s="1019"/>
      <c r="D1323" s="3188"/>
      <c r="E1323" s="1019"/>
      <c r="F1323" s="1019"/>
      <c r="G1323" s="1019"/>
      <c r="H1323" s="1019"/>
      <c r="I1323" s="1140"/>
    </row>
    <row r="1324" spans="1:9" x14ac:dyDescent="0.35">
      <c r="A1324" s="1019"/>
      <c r="B1324" s="1019"/>
      <c r="C1324" s="1019"/>
      <c r="D1324" s="3188"/>
      <c r="E1324" s="1019"/>
      <c r="F1324" s="1019"/>
      <c r="G1324" s="1019"/>
      <c r="H1324" s="1019"/>
      <c r="I1324" s="1140"/>
    </row>
    <row r="1325" spans="1:9" x14ac:dyDescent="0.35">
      <c r="A1325" s="1019"/>
      <c r="B1325" s="1019"/>
      <c r="C1325" s="1019"/>
      <c r="D1325" s="3188"/>
      <c r="E1325" s="1019"/>
      <c r="F1325" s="1019"/>
      <c r="G1325" s="1019"/>
      <c r="H1325" s="1019"/>
      <c r="I1325" s="1140"/>
    </row>
    <row r="1326" spans="1:9" x14ac:dyDescent="0.35">
      <c r="A1326" s="1019"/>
      <c r="B1326" s="1019"/>
      <c r="C1326" s="1019"/>
      <c r="D1326" s="3188"/>
      <c r="E1326" s="1019"/>
      <c r="F1326" s="1019"/>
      <c r="G1326" s="1019"/>
      <c r="H1326" s="1019"/>
      <c r="I1326" s="1140"/>
    </row>
    <row r="1327" spans="1:9" x14ac:dyDescent="0.35">
      <c r="A1327" s="1019"/>
      <c r="B1327" s="1019"/>
      <c r="C1327" s="1019"/>
      <c r="D1327" s="3188"/>
      <c r="E1327" s="1019"/>
      <c r="F1327" s="1019"/>
      <c r="G1327" s="1019"/>
      <c r="H1327" s="1019"/>
      <c r="I1327" s="1140"/>
    </row>
    <row r="1328" spans="1:9" x14ac:dyDescent="0.35">
      <c r="A1328" s="1019"/>
      <c r="B1328" s="1019"/>
      <c r="C1328" s="1019"/>
      <c r="D1328" s="3188"/>
      <c r="E1328" s="1019"/>
      <c r="F1328" s="1019"/>
      <c r="G1328" s="1019"/>
      <c r="H1328" s="1019"/>
      <c r="I1328" s="1140"/>
    </row>
    <row r="1329" spans="1:9" x14ac:dyDescent="0.35">
      <c r="A1329" s="1019"/>
      <c r="B1329" s="1019"/>
      <c r="C1329" s="1019"/>
      <c r="D1329" s="3188"/>
      <c r="E1329" s="1019"/>
      <c r="F1329" s="1019"/>
      <c r="G1329" s="1019"/>
      <c r="H1329" s="1019"/>
      <c r="I1329" s="1140"/>
    </row>
    <row r="1330" spans="1:9" x14ac:dyDescent="0.35">
      <c r="A1330" s="1019"/>
      <c r="B1330" s="1019"/>
      <c r="C1330" s="1019"/>
      <c r="D1330" s="3188"/>
      <c r="E1330" s="1019"/>
      <c r="F1330" s="1019"/>
      <c r="G1330" s="1019"/>
      <c r="H1330" s="1019"/>
      <c r="I1330" s="1140"/>
    </row>
    <row r="1331" spans="1:9" x14ac:dyDescent="0.35">
      <c r="A1331" s="1019"/>
      <c r="B1331" s="1019"/>
      <c r="C1331" s="1019"/>
      <c r="D1331" s="3188"/>
      <c r="E1331" s="1019"/>
      <c r="F1331" s="1019"/>
      <c r="G1331" s="1019"/>
      <c r="H1331" s="1019"/>
      <c r="I1331" s="1140"/>
    </row>
    <row r="1332" spans="1:9" x14ac:dyDescent="0.35">
      <c r="A1332" s="1019"/>
      <c r="B1332" s="1019"/>
      <c r="C1332" s="1019"/>
      <c r="D1332" s="3188"/>
      <c r="E1332" s="1019"/>
      <c r="F1332" s="1019"/>
      <c r="G1332" s="1019"/>
      <c r="H1332" s="1019"/>
      <c r="I1332" s="1140"/>
    </row>
    <row r="1333" spans="1:9" x14ac:dyDescent="0.35">
      <c r="A1333" s="1019"/>
      <c r="B1333" s="1019"/>
      <c r="C1333" s="1019"/>
      <c r="D1333" s="3188"/>
      <c r="E1333" s="1019"/>
      <c r="F1333" s="1019"/>
      <c r="G1333" s="1019"/>
      <c r="H1333" s="1019"/>
      <c r="I1333" s="1140"/>
    </row>
    <row r="1334" spans="1:9" x14ac:dyDescent="0.35">
      <c r="A1334" s="1019"/>
      <c r="B1334" s="1019"/>
      <c r="C1334" s="1019"/>
      <c r="D1334" s="3188"/>
      <c r="E1334" s="1019"/>
      <c r="F1334" s="1019"/>
      <c r="G1334" s="1019"/>
      <c r="H1334" s="1019"/>
      <c r="I1334" s="1140"/>
    </row>
    <row r="1335" spans="1:9" x14ac:dyDescent="0.35">
      <c r="A1335" s="1019"/>
      <c r="B1335" s="1019"/>
      <c r="C1335" s="1019"/>
      <c r="D1335" s="3188"/>
      <c r="E1335" s="1019"/>
      <c r="F1335" s="1019"/>
      <c r="G1335" s="1019"/>
      <c r="H1335" s="1019"/>
      <c r="I1335" s="1140"/>
    </row>
    <row r="1336" spans="1:9" x14ac:dyDescent="0.35">
      <c r="A1336" s="1019"/>
      <c r="B1336" s="1019"/>
      <c r="C1336" s="1019"/>
      <c r="D1336" s="3188"/>
      <c r="E1336" s="1019"/>
      <c r="F1336" s="1019"/>
      <c r="G1336" s="1019"/>
      <c r="H1336" s="1019"/>
      <c r="I1336" s="1140"/>
    </row>
    <row r="1337" spans="1:9" x14ac:dyDescent="0.35">
      <c r="A1337" s="1019"/>
      <c r="B1337" s="1019"/>
      <c r="C1337" s="1019"/>
      <c r="D1337" s="3188"/>
      <c r="E1337" s="1019"/>
      <c r="F1337" s="1019"/>
      <c r="G1337" s="1019"/>
      <c r="H1337" s="1019"/>
      <c r="I1337" s="1140"/>
    </row>
    <row r="1338" spans="1:9" x14ac:dyDescent="0.35">
      <c r="A1338" s="1019"/>
      <c r="B1338" s="1019"/>
      <c r="C1338" s="1019"/>
      <c r="D1338" s="3188"/>
      <c r="E1338" s="1019"/>
      <c r="F1338" s="1019"/>
      <c r="G1338" s="1019"/>
      <c r="H1338" s="1019"/>
      <c r="I1338" s="1140"/>
    </row>
    <row r="1339" spans="1:9" x14ac:dyDescent="0.35">
      <c r="A1339" s="1019"/>
      <c r="B1339" s="1019"/>
      <c r="C1339" s="1019"/>
      <c r="D1339" s="3188"/>
      <c r="E1339" s="1019"/>
      <c r="F1339" s="1019"/>
      <c r="G1339" s="1019"/>
      <c r="H1339" s="1019"/>
      <c r="I1339" s="1140"/>
    </row>
    <row r="1340" spans="1:9" x14ac:dyDescent="0.35">
      <c r="A1340" s="1019"/>
      <c r="B1340" s="1019"/>
      <c r="C1340" s="1019"/>
      <c r="D1340" s="3188"/>
      <c r="E1340" s="1019"/>
      <c r="F1340" s="1019"/>
      <c r="G1340" s="1019"/>
      <c r="H1340" s="1019"/>
      <c r="I1340" s="1140"/>
    </row>
    <row r="1341" spans="1:9" x14ac:dyDescent="0.35">
      <c r="A1341" s="1019"/>
      <c r="B1341" s="1019"/>
      <c r="C1341" s="1019"/>
      <c r="D1341" s="3188"/>
      <c r="E1341" s="1019"/>
      <c r="F1341" s="1019"/>
      <c r="G1341" s="1019"/>
      <c r="H1341" s="1019"/>
      <c r="I1341" s="1140"/>
    </row>
    <row r="1342" spans="1:9" x14ac:dyDescent="0.35">
      <c r="A1342" s="1019"/>
      <c r="B1342" s="1019"/>
      <c r="C1342" s="1019"/>
      <c r="D1342" s="3188"/>
      <c r="E1342" s="1019"/>
      <c r="F1342" s="1019"/>
      <c r="G1342" s="1019"/>
      <c r="H1342" s="1019"/>
      <c r="I1342" s="1140"/>
    </row>
    <row r="1343" spans="1:9" x14ac:dyDescent="0.35">
      <c r="A1343" s="1019"/>
      <c r="B1343" s="1019"/>
      <c r="C1343" s="1019"/>
      <c r="D1343" s="3188"/>
      <c r="E1343" s="1019"/>
      <c r="F1343" s="1019"/>
      <c r="G1343" s="1019"/>
      <c r="H1343" s="1019"/>
      <c r="I1343" s="1140"/>
    </row>
    <row r="1344" spans="1:9" x14ac:dyDescent="0.35">
      <c r="A1344" s="1019"/>
      <c r="B1344" s="1019"/>
      <c r="C1344" s="1019"/>
      <c r="D1344" s="3188"/>
      <c r="E1344" s="1019"/>
      <c r="F1344" s="1019"/>
      <c r="G1344" s="1019"/>
      <c r="H1344" s="1019"/>
      <c r="I1344" s="1140"/>
    </row>
    <row r="1345" spans="1:9" x14ac:dyDescent="0.35">
      <c r="A1345" s="1019"/>
      <c r="B1345" s="1019"/>
      <c r="C1345" s="1019"/>
      <c r="D1345" s="3188"/>
      <c r="E1345" s="1019"/>
      <c r="F1345" s="1019"/>
      <c r="G1345" s="1019"/>
      <c r="H1345" s="1019"/>
      <c r="I1345" s="1140"/>
    </row>
    <row r="1346" spans="1:9" x14ac:dyDescent="0.35">
      <c r="A1346" s="1019"/>
      <c r="B1346" s="1019"/>
      <c r="C1346" s="1019"/>
      <c r="D1346" s="3188"/>
      <c r="E1346" s="1019"/>
      <c r="F1346" s="1019"/>
      <c r="G1346" s="1019"/>
      <c r="H1346" s="1019"/>
      <c r="I1346" s="1140"/>
    </row>
    <row r="1347" spans="1:9" x14ac:dyDescent="0.35">
      <c r="A1347" s="1019"/>
      <c r="B1347" s="1019"/>
      <c r="C1347" s="1019"/>
      <c r="D1347" s="3188"/>
      <c r="E1347" s="1019"/>
      <c r="F1347" s="1019"/>
      <c r="G1347" s="1019"/>
      <c r="H1347" s="1019"/>
      <c r="I1347" s="1140"/>
    </row>
    <row r="1348" spans="1:9" x14ac:dyDescent="0.35">
      <c r="A1348" s="1019"/>
      <c r="B1348" s="1019"/>
      <c r="C1348" s="1019"/>
      <c r="D1348" s="3188"/>
      <c r="E1348" s="1019"/>
      <c r="F1348" s="1019"/>
      <c r="G1348" s="1019"/>
      <c r="H1348" s="1019"/>
      <c r="I1348" s="1140"/>
    </row>
    <row r="1349" spans="1:9" x14ac:dyDescent="0.35">
      <c r="A1349" s="1019"/>
      <c r="B1349" s="1019"/>
      <c r="C1349" s="1019"/>
      <c r="D1349" s="3188"/>
      <c r="E1349" s="1019"/>
      <c r="F1349" s="1019"/>
      <c r="G1349" s="1019"/>
      <c r="H1349" s="1019"/>
      <c r="I1349" s="1140"/>
    </row>
    <row r="1350" spans="1:9" x14ac:dyDescent="0.35">
      <c r="A1350" s="1019"/>
      <c r="B1350" s="1019"/>
      <c r="C1350" s="1019"/>
      <c r="D1350" s="3188"/>
      <c r="E1350" s="1019"/>
      <c r="F1350" s="1019"/>
      <c r="G1350" s="1019"/>
      <c r="H1350" s="1019"/>
      <c r="I1350" s="1140"/>
    </row>
    <row r="1351" spans="1:9" x14ac:dyDescent="0.35">
      <c r="A1351" s="1019"/>
      <c r="B1351" s="1019"/>
      <c r="C1351" s="1019"/>
      <c r="D1351" s="3188"/>
      <c r="E1351" s="1019"/>
      <c r="F1351" s="1019"/>
      <c r="G1351" s="1019"/>
      <c r="H1351" s="1019"/>
      <c r="I1351" s="1140"/>
    </row>
    <row r="1352" spans="1:9" x14ac:dyDescent="0.35">
      <c r="A1352" s="1019"/>
      <c r="B1352" s="1019"/>
      <c r="C1352" s="1019"/>
      <c r="D1352" s="3188"/>
      <c r="E1352" s="1019"/>
      <c r="F1352" s="1019"/>
      <c r="G1352" s="1019"/>
      <c r="H1352" s="1019"/>
      <c r="I1352" s="1140"/>
    </row>
    <row r="1353" spans="1:9" x14ac:dyDescent="0.35">
      <c r="A1353" s="1019"/>
      <c r="B1353" s="1019"/>
      <c r="C1353" s="1019"/>
      <c r="D1353" s="3188"/>
      <c r="E1353" s="1019"/>
      <c r="F1353" s="1019"/>
      <c r="G1353" s="1019"/>
      <c r="H1353" s="1019"/>
      <c r="I1353" s="1140"/>
    </row>
    <row r="1354" spans="1:9" x14ac:dyDescent="0.35">
      <c r="A1354" s="1019"/>
      <c r="B1354" s="1019"/>
      <c r="C1354" s="1019"/>
      <c r="D1354" s="3188"/>
      <c r="E1354" s="1019"/>
      <c r="F1354" s="1019"/>
      <c r="G1354" s="1019"/>
      <c r="H1354" s="1019"/>
      <c r="I1354" s="1140"/>
    </row>
    <row r="1355" spans="1:9" x14ac:dyDescent="0.35">
      <c r="A1355" s="1019"/>
      <c r="B1355" s="1019"/>
      <c r="C1355" s="1019"/>
      <c r="D1355" s="3188"/>
      <c r="E1355" s="1019"/>
      <c r="F1355" s="1019"/>
      <c r="G1355" s="1019"/>
      <c r="H1355" s="1019"/>
      <c r="I1355" s="1140"/>
    </row>
    <row r="1356" spans="1:9" x14ac:dyDescent="0.35">
      <c r="A1356" s="1019"/>
      <c r="B1356" s="1019"/>
      <c r="C1356" s="1019"/>
      <c r="D1356" s="3188"/>
      <c r="E1356" s="1019"/>
      <c r="F1356" s="1019"/>
      <c r="G1356" s="1019"/>
      <c r="H1356" s="1019"/>
      <c r="I1356" s="1140"/>
    </row>
    <row r="1357" spans="1:9" x14ac:dyDescent="0.35">
      <c r="A1357" s="1019"/>
      <c r="B1357" s="1019"/>
      <c r="C1357" s="1019"/>
      <c r="D1357" s="3188"/>
      <c r="E1357" s="1019"/>
      <c r="F1357" s="1019"/>
      <c r="G1357" s="1019"/>
      <c r="H1357" s="1019"/>
      <c r="I1357" s="1140"/>
    </row>
    <row r="1358" spans="1:9" x14ac:dyDescent="0.35">
      <c r="A1358" s="1019"/>
      <c r="B1358" s="1019"/>
      <c r="C1358" s="1019"/>
      <c r="D1358" s="3188"/>
      <c r="E1358" s="1019"/>
      <c r="F1358" s="1019"/>
      <c r="G1358" s="1019"/>
      <c r="H1358" s="1019"/>
      <c r="I1358" s="1140"/>
    </row>
    <row r="1359" spans="1:9" x14ac:dyDescent="0.35">
      <c r="A1359" s="1019"/>
      <c r="B1359" s="1019"/>
      <c r="C1359" s="1019"/>
      <c r="D1359" s="3188"/>
      <c r="E1359" s="1019"/>
      <c r="F1359" s="1019"/>
      <c r="G1359" s="1019"/>
      <c r="H1359" s="1019"/>
      <c r="I1359" s="1140"/>
    </row>
    <row r="1360" spans="1:9" x14ac:dyDescent="0.35">
      <c r="A1360" s="1019"/>
      <c r="B1360" s="1019"/>
      <c r="C1360" s="1019"/>
      <c r="D1360" s="3188"/>
      <c r="E1360" s="1019"/>
      <c r="F1360" s="1019"/>
      <c r="G1360" s="1019"/>
      <c r="H1360" s="1019"/>
      <c r="I1360" s="1140"/>
    </row>
    <row r="1361" spans="1:9" x14ac:dyDescent="0.35">
      <c r="A1361" s="1019"/>
      <c r="B1361" s="1019"/>
      <c r="C1361" s="1019"/>
      <c r="D1361" s="3188"/>
      <c r="E1361" s="1019"/>
      <c r="F1361" s="1019"/>
      <c r="G1361" s="1019"/>
      <c r="H1361" s="1019"/>
      <c r="I1361" s="1140"/>
    </row>
    <row r="1362" spans="1:9" x14ac:dyDescent="0.35">
      <c r="A1362" s="1019"/>
      <c r="B1362" s="1019"/>
      <c r="C1362" s="1019"/>
      <c r="D1362" s="3188"/>
      <c r="E1362" s="1019"/>
      <c r="F1362" s="1019"/>
      <c r="G1362" s="1019"/>
      <c r="H1362" s="1019"/>
      <c r="I1362" s="1140"/>
    </row>
    <row r="1363" spans="1:9" x14ac:dyDescent="0.35">
      <c r="A1363" s="1019"/>
      <c r="B1363" s="1019"/>
      <c r="C1363" s="1019"/>
      <c r="D1363" s="3188"/>
      <c r="E1363" s="1019"/>
      <c r="F1363" s="1019"/>
      <c r="G1363" s="1019"/>
      <c r="H1363" s="1019"/>
      <c r="I1363" s="1140"/>
    </row>
    <row r="1364" spans="1:9" x14ac:dyDescent="0.35">
      <c r="A1364" s="1019"/>
      <c r="B1364" s="1019"/>
      <c r="C1364" s="1019"/>
      <c r="D1364" s="3188"/>
      <c r="E1364" s="1019"/>
      <c r="F1364" s="1019"/>
      <c r="G1364" s="1019"/>
      <c r="H1364" s="1019"/>
      <c r="I1364" s="1140"/>
    </row>
    <row r="1365" spans="1:9" x14ac:dyDescent="0.35">
      <c r="A1365" s="1019"/>
      <c r="B1365" s="1019"/>
      <c r="C1365" s="1019"/>
      <c r="D1365" s="3188"/>
      <c r="E1365" s="1019"/>
      <c r="F1365" s="1019"/>
      <c r="G1365" s="1019"/>
      <c r="H1365" s="1019"/>
      <c r="I1365" s="1140"/>
    </row>
    <row r="1366" spans="1:9" x14ac:dyDescent="0.35">
      <c r="A1366" s="1019"/>
      <c r="B1366" s="1019"/>
      <c r="C1366" s="1019"/>
      <c r="D1366" s="3188"/>
      <c r="E1366" s="1019"/>
      <c r="F1366" s="1019"/>
      <c r="G1366" s="1019"/>
      <c r="H1366" s="1019"/>
      <c r="I1366" s="1140"/>
    </row>
    <row r="1367" spans="1:9" x14ac:dyDescent="0.35">
      <c r="A1367" s="1019"/>
      <c r="B1367" s="1019"/>
      <c r="C1367" s="1019"/>
      <c r="D1367" s="3188"/>
      <c r="E1367" s="1019"/>
      <c r="F1367" s="1019"/>
      <c r="G1367" s="1019"/>
      <c r="H1367" s="1019"/>
      <c r="I1367" s="1140"/>
    </row>
    <row r="1368" spans="1:9" x14ac:dyDescent="0.35">
      <c r="A1368" s="1019"/>
      <c r="B1368" s="1019"/>
      <c r="C1368" s="1019"/>
      <c r="D1368" s="3188"/>
      <c r="E1368" s="1019"/>
      <c r="F1368" s="1019"/>
      <c r="G1368" s="1019"/>
      <c r="H1368" s="1019"/>
      <c r="I1368" s="1140"/>
    </row>
    <row r="1369" spans="1:9" x14ac:dyDescent="0.35">
      <c r="A1369" s="1019"/>
      <c r="B1369" s="1019"/>
      <c r="C1369" s="1019"/>
      <c r="D1369" s="3188"/>
      <c r="E1369" s="1019"/>
      <c r="F1369" s="1019"/>
      <c r="G1369" s="1019"/>
      <c r="H1369" s="1019"/>
      <c r="I1369" s="1140"/>
    </row>
    <row r="1370" spans="1:9" x14ac:dyDescent="0.35">
      <c r="A1370" s="1019"/>
      <c r="B1370" s="1019"/>
      <c r="C1370" s="1019"/>
      <c r="D1370" s="3188"/>
      <c r="E1370" s="1019"/>
      <c r="F1370" s="1019"/>
      <c r="G1370" s="1019"/>
      <c r="H1370" s="1019"/>
      <c r="I1370" s="1140"/>
    </row>
    <row r="1371" spans="1:9" x14ac:dyDescent="0.35">
      <c r="A1371" s="1019"/>
      <c r="B1371" s="1019"/>
      <c r="C1371" s="1019"/>
      <c r="D1371" s="3188"/>
      <c r="E1371" s="1019"/>
      <c r="F1371" s="1019"/>
      <c r="G1371" s="1019"/>
      <c r="H1371" s="1019"/>
      <c r="I1371" s="1140"/>
    </row>
    <row r="1372" spans="1:9" x14ac:dyDescent="0.35">
      <c r="A1372" s="1019"/>
      <c r="B1372" s="1019"/>
      <c r="C1372" s="1019"/>
      <c r="D1372" s="3188"/>
      <c r="E1372" s="1019"/>
      <c r="F1372" s="1019"/>
      <c r="G1372" s="1019"/>
      <c r="H1372" s="1019"/>
      <c r="I1372" s="1140"/>
    </row>
    <row r="1373" spans="1:9" x14ac:dyDescent="0.35">
      <c r="A1373" s="1019"/>
      <c r="B1373" s="1019"/>
      <c r="C1373" s="1019"/>
      <c r="D1373" s="3188"/>
      <c r="E1373" s="1019"/>
      <c r="F1373" s="1019"/>
      <c r="G1373" s="1019"/>
      <c r="H1373" s="1019"/>
      <c r="I1373" s="1140"/>
    </row>
    <row r="1374" spans="1:9" x14ac:dyDescent="0.35">
      <c r="A1374" s="1019"/>
      <c r="B1374" s="1019"/>
      <c r="C1374" s="1019"/>
      <c r="D1374" s="3188"/>
      <c r="E1374" s="1019"/>
      <c r="F1374" s="1019"/>
      <c r="G1374" s="1019"/>
      <c r="H1374" s="1019"/>
      <c r="I1374" s="1140"/>
    </row>
    <row r="1375" spans="1:9" x14ac:dyDescent="0.35">
      <c r="A1375" s="1019"/>
      <c r="B1375" s="1019"/>
      <c r="C1375" s="1019"/>
      <c r="D1375" s="3188"/>
      <c r="E1375" s="1019"/>
      <c r="F1375" s="1019"/>
      <c r="G1375" s="1019"/>
      <c r="H1375" s="1019"/>
      <c r="I1375" s="1140"/>
    </row>
    <row r="1376" spans="1:9" x14ac:dyDescent="0.35">
      <c r="A1376" s="1019"/>
      <c r="B1376" s="1019"/>
      <c r="C1376" s="1019"/>
      <c r="D1376" s="3188"/>
      <c r="E1376" s="1019"/>
      <c r="F1376" s="1019"/>
      <c r="G1376" s="1019"/>
      <c r="H1376" s="1019"/>
      <c r="I1376" s="1140"/>
    </row>
    <row r="1377" spans="1:9" x14ac:dyDescent="0.35">
      <c r="A1377" s="1019"/>
      <c r="B1377" s="1019"/>
      <c r="C1377" s="1019"/>
      <c r="D1377" s="3188"/>
      <c r="E1377" s="1019"/>
      <c r="F1377" s="1019"/>
      <c r="G1377" s="1019"/>
      <c r="H1377" s="1019"/>
      <c r="I1377" s="1140"/>
    </row>
    <row r="1378" spans="1:9" x14ac:dyDescent="0.35">
      <c r="A1378" s="1019"/>
      <c r="B1378" s="1019"/>
      <c r="C1378" s="1019"/>
      <c r="D1378" s="3188"/>
      <c r="E1378" s="1019"/>
      <c r="F1378" s="1019"/>
      <c r="G1378" s="1019"/>
      <c r="H1378" s="1019"/>
      <c r="I1378" s="1140"/>
    </row>
    <row r="1379" spans="1:9" x14ac:dyDescent="0.35">
      <c r="A1379" s="1019"/>
      <c r="B1379" s="1019"/>
      <c r="C1379" s="1019"/>
      <c r="D1379" s="3188"/>
      <c r="E1379" s="1019"/>
      <c r="F1379" s="1019"/>
      <c r="G1379" s="1019"/>
      <c r="H1379" s="1019"/>
      <c r="I1379" s="1140"/>
    </row>
    <row r="1380" spans="1:9" x14ac:dyDescent="0.35">
      <c r="A1380" s="1019"/>
      <c r="B1380" s="1019"/>
      <c r="C1380" s="1019"/>
      <c r="D1380" s="3188"/>
      <c r="E1380" s="1019"/>
      <c r="F1380" s="1019"/>
      <c r="G1380" s="1019"/>
      <c r="H1380" s="1019"/>
      <c r="I1380" s="1140"/>
    </row>
    <row r="1381" spans="1:9" x14ac:dyDescent="0.35">
      <c r="A1381" s="1019"/>
      <c r="B1381" s="1019"/>
      <c r="C1381" s="1019"/>
      <c r="D1381" s="3188"/>
      <c r="E1381" s="1019"/>
      <c r="F1381" s="1019"/>
      <c r="G1381" s="1019"/>
      <c r="H1381" s="1019"/>
      <c r="I1381" s="1140"/>
    </row>
    <row r="1382" spans="1:9" x14ac:dyDescent="0.35">
      <c r="A1382" s="1019"/>
      <c r="B1382" s="1019"/>
      <c r="C1382" s="1019"/>
      <c r="D1382" s="3188"/>
      <c r="E1382" s="1019"/>
      <c r="F1382" s="1019"/>
      <c r="G1382" s="1019"/>
      <c r="H1382" s="1019"/>
      <c r="I1382" s="1140"/>
    </row>
    <row r="1383" spans="1:9" x14ac:dyDescent="0.35">
      <c r="A1383" s="1019"/>
      <c r="B1383" s="1019"/>
      <c r="C1383" s="1019"/>
      <c r="D1383" s="3188"/>
      <c r="E1383" s="1019"/>
      <c r="F1383" s="1019"/>
      <c r="G1383" s="1019"/>
      <c r="H1383" s="1019"/>
      <c r="I1383" s="1140"/>
    </row>
    <row r="1384" spans="1:9" x14ac:dyDescent="0.35">
      <c r="A1384" s="1019"/>
      <c r="B1384" s="1019"/>
      <c r="C1384" s="1019"/>
      <c r="D1384" s="3188"/>
      <c r="E1384" s="1019"/>
      <c r="F1384" s="1019"/>
      <c r="G1384" s="1019"/>
      <c r="H1384" s="1019"/>
      <c r="I1384" s="1140"/>
    </row>
    <row r="1385" spans="1:9" x14ac:dyDescent="0.35">
      <c r="A1385" s="1019"/>
      <c r="B1385" s="1019"/>
      <c r="C1385" s="1019"/>
      <c r="D1385" s="3188"/>
      <c r="E1385" s="1019"/>
      <c r="F1385" s="1019"/>
      <c r="G1385" s="1019"/>
      <c r="H1385" s="1019"/>
      <c r="I1385" s="1140"/>
    </row>
    <row r="1386" spans="1:9" x14ac:dyDescent="0.35">
      <c r="A1386" s="1019"/>
      <c r="B1386" s="1019"/>
      <c r="C1386" s="1019"/>
      <c r="D1386" s="3188"/>
      <c r="E1386" s="1019"/>
      <c r="F1386" s="1019"/>
      <c r="G1386" s="1019"/>
      <c r="H1386" s="1019"/>
      <c r="I1386" s="1140"/>
    </row>
    <row r="1387" spans="1:9" x14ac:dyDescent="0.35">
      <c r="A1387" s="1019"/>
      <c r="B1387" s="1019"/>
      <c r="C1387" s="1019"/>
      <c r="D1387" s="3188"/>
      <c r="E1387" s="1019"/>
      <c r="F1387" s="1019"/>
      <c r="G1387" s="1019"/>
      <c r="H1387" s="1019"/>
      <c r="I1387" s="1140"/>
    </row>
    <row r="1388" spans="1:9" x14ac:dyDescent="0.35">
      <c r="A1388" s="1019"/>
      <c r="B1388" s="1019"/>
      <c r="C1388" s="1019"/>
      <c r="D1388" s="3188"/>
      <c r="E1388" s="1019"/>
      <c r="F1388" s="1019"/>
      <c r="G1388" s="1019"/>
      <c r="H1388" s="1019"/>
      <c r="I1388" s="1140"/>
    </row>
    <row r="1389" spans="1:9" x14ac:dyDescent="0.35">
      <c r="A1389" s="1019"/>
      <c r="B1389" s="1019"/>
      <c r="C1389" s="1019"/>
      <c r="D1389" s="3188"/>
      <c r="E1389" s="1019"/>
      <c r="F1389" s="1019"/>
      <c r="G1389" s="1019"/>
      <c r="H1389" s="1019"/>
      <c r="I1389" s="1140"/>
    </row>
    <row r="1390" spans="1:9" x14ac:dyDescent="0.35">
      <c r="A1390" s="1019"/>
      <c r="B1390" s="1019"/>
      <c r="C1390" s="1019"/>
      <c r="D1390" s="3188"/>
      <c r="E1390" s="1019"/>
      <c r="F1390" s="1019"/>
      <c r="G1390" s="1019"/>
      <c r="H1390" s="1019"/>
      <c r="I1390" s="1140"/>
    </row>
    <row r="1391" spans="1:9" x14ac:dyDescent="0.35">
      <c r="A1391" s="1019"/>
      <c r="B1391" s="1019"/>
      <c r="C1391" s="1019"/>
      <c r="D1391" s="3188"/>
      <c r="E1391" s="1019"/>
      <c r="F1391" s="1019"/>
      <c r="G1391" s="1019"/>
      <c r="H1391" s="1019"/>
      <c r="I1391" s="1140"/>
    </row>
    <row r="1392" spans="1:9" x14ac:dyDescent="0.35">
      <c r="A1392" s="1019"/>
      <c r="B1392" s="1019"/>
      <c r="C1392" s="1019"/>
      <c r="D1392" s="3188"/>
      <c r="E1392" s="1019"/>
      <c r="F1392" s="1019"/>
      <c r="G1392" s="1019"/>
      <c r="H1392" s="1019"/>
      <c r="I1392" s="1140"/>
    </row>
    <row r="1393" spans="1:9" x14ac:dyDescent="0.35">
      <c r="A1393" s="1019"/>
      <c r="B1393" s="1019"/>
      <c r="C1393" s="1019"/>
      <c r="D1393" s="3188"/>
      <c r="E1393" s="1019"/>
      <c r="F1393" s="1019"/>
      <c r="G1393" s="1019"/>
      <c r="H1393" s="1019"/>
      <c r="I1393" s="1140"/>
    </row>
    <row r="1394" spans="1:9" x14ac:dyDescent="0.35">
      <c r="A1394" s="1019"/>
      <c r="B1394" s="1019"/>
      <c r="C1394" s="1019"/>
      <c r="D1394" s="3188"/>
      <c r="E1394" s="1019"/>
      <c r="F1394" s="1019"/>
      <c r="G1394" s="1019"/>
      <c r="H1394" s="1019"/>
      <c r="I1394" s="1140"/>
    </row>
    <row r="1395" spans="1:9" x14ac:dyDescent="0.35">
      <c r="A1395" s="1019"/>
      <c r="B1395" s="1019"/>
      <c r="C1395" s="1019"/>
      <c r="D1395" s="3188"/>
      <c r="E1395" s="1019"/>
      <c r="F1395" s="1019"/>
      <c r="G1395" s="1019"/>
      <c r="H1395" s="1019"/>
      <c r="I1395" s="1140"/>
    </row>
    <row r="1396" spans="1:9" x14ac:dyDescent="0.35">
      <c r="A1396" s="1019"/>
      <c r="B1396" s="1019"/>
      <c r="C1396" s="1019"/>
      <c r="D1396" s="3188"/>
      <c r="E1396" s="1019"/>
      <c r="F1396" s="1019"/>
      <c r="G1396" s="1019"/>
      <c r="H1396" s="1019"/>
      <c r="I1396" s="1140"/>
    </row>
    <row r="1397" spans="1:9" x14ac:dyDescent="0.35">
      <c r="A1397" s="1019"/>
      <c r="B1397" s="1019"/>
      <c r="C1397" s="1019"/>
      <c r="D1397" s="3188"/>
      <c r="E1397" s="1019"/>
      <c r="F1397" s="1019"/>
      <c r="G1397" s="1019"/>
      <c r="H1397" s="1019"/>
      <c r="I1397" s="1140"/>
    </row>
    <row r="1398" spans="1:9" x14ac:dyDescent="0.35">
      <c r="A1398" s="1019"/>
      <c r="B1398" s="1019"/>
      <c r="C1398" s="1019"/>
      <c r="D1398" s="3188"/>
      <c r="E1398" s="1019"/>
      <c r="F1398" s="1019"/>
      <c r="G1398" s="1019"/>
      <c r="H1398" s="1019"/>
      <c r="I1398" s="1140"/>
    </row>
    <row r="1399" spans="1:9" x14ac:dyDescent="0.35">
      <c r="A1399" s="1019"/>
      <c r="B1399" s="1019"/>
      <c r="C1399" s="1019"/>
      <c r="D1399" s="3188"/>
      <c r="E1399" s="1019"/>
      <c r="F1399" s="1019"/>
      <c r="G1399" s="1019"/>
      <c r="H1399" s="1019"/>
      <c r="I1399" s="1140"/>
    </row>
    <row r="1400" spans="1:9" x14ac:dyDescent="0.35">
      <c r="A1400" s="1019"/>
      <c r="B1400" s="1019"/>
      <c r="C1400" s="1019"/>
      <c r="D1400" s="3188"/>
      <c r="E1400" s="1019"/>
      <c r="F1400" s="1019"/>
      <c r="G1400" s="1019"/>
      <c r="H1400" s="1019"/>
      <c r="I1400" s="1140"/>
    </row>
    <row r="1401" spans="1:9" x14ac:dyDescent="0.35">
      <c r="A1401" s="1019"/>
      <c r="B1401" s="1019"/>
      <c r="C1401" s="1019"/>
      <c r="D1401" s="3188"/>
      <c r="E1401" s="1019"/>
      <c r="F1401" s="1019"/>
      <c r="G1401" s="1019"/>
      <c r="H1401" s="1019"/>
      <c r="I1401" s="1140"/>
    </row>
    <row r="1402" spans="1:9" x14ac:dyDescent="0.35">
      <c r="A1402" s="1019"/>
      <c r="B1402" s="1019"/>
      <c r="C1402" s="1019"/>
      <c r="D1402" s="3188"/>
      <c r="E1402" s="1019"/>
      <c r="F1402" s="1019"/>
      <c r="G1402" s="1019"/>
      <c r="H1402" s="1019"/>
      <c r="I1402" s="1140"/>
    </row>
    <row r="1403" spans="1:9" x14ac:dyDescent="0.35">
      <c r="A1403" s="1019"/>
      <c r="B1403" s="1019"/>
      <c r="C1403" s="1019"/>
      <c r="D1403" s="3188"/>
      <c r="E1403" s="1019"/>
      <c r="F1403" s="1019"/>
      <c r="G1403" s="1019"/>
      <c r="H1403" s="1019"/>
      <c r="I1403" s="1140"/>
    </row>
    <row r="1404" spans="1:9" x14ac:dyDescent="0.35">
      <c r="A1404" s="1019"/>
      <c r="B1404" s="1019"/>
      <c r="C1404" s="1019"/>
      <c r="D1404" s="3188"/>
      <c r="E1404" s="1019"/>
      <c r="F1404" s="1019"/>
      <c r="G1404" s="1019"/>
      <c r="H1404" s="1019"/>
      <c r="I1404" s="1140"/>
    </row>
    <row r="1405" spans="1:9" x14ac:dyDescent="0.35">
      <c r="A1405" s="1019"/>
      <c r="B1405" s="1019"/>
      <c r="C1405" s="1019"/>
      <c r="D1405" s="3188"/>
      <c r="E1405" s="1019"/>
      <c r="F1405" s="1019"/>
      <c r="G1405" s="1019"/>
      <c r="H1405" s="1019"/>
      <c r="I1405" s="1140"/>
    </row>
    <row r="1406" spans="1:9" x14ac:dyDescent="0.35">
      <c r="A1406" s="1019"/>
      <c r="B1406" s="1019"/>
      <c r="C1406" s="1019"/>
      <c r="D1406" s="3188"/>
      <c r="E1406" s="1019"/>
      <c r="F1406" s="1019"/>
      <c r="G1406" s="1019"/>
      <c r="H1406" s="1019"/>
      <c r="I1406" s="1140"/>
    </row>
    <row r="1407" spans="1:9" x14ac:dyDescent="0.35">
      <c r="A1407" s="1019"/>
      <c r="B1407" s="1019"/>
      <c r="C1407" s="1019"/>
      <c r="D1407" s="3188"/>
      <c r="E1407" s="1019"/>
      <c r="F1407" s="1019"/>
      <c r="G1407" s="1019"/>
      <c r="H1407" s="1019"/>
      <c r="I1407" s="1140"/>
    </row>
    <row r="1408" spans="1:9" x14ac:dyDescent="0.35">
      <c r="A1408" s="1019"/>
      <c r="B1408" s="1019"/>
      <c r="C1408" s="1019"/>
      <c r="D1408" s="3188"/>
      <c r="E1408" s="1019"/>
      <c r="F1408" s="1019"/>
      <c r="G1408" s="1019"/>
      <c r="H1408" s="1019"/>
      <c r="I1408" s="1140"/>
    </row>
    <row r="1409" spans="1:9" x14ac:dyDescent="0.35">
      <c r="A1409" s="1019"/>
      <c r="B1409" s="1019"/>
      <c r="C1409" s="1019"/>
      <c r="D1409" s="3188"/>
      <c r="E1409" s="1019"/>
      <c r="F1409" s="1019"/>
      <c r="G1409" s="1019"/>
      <c r="H1409" s="1019"/>
      <c r="I1409" s="1140"/>
    </row>
    <row r="1410" spans="1:9" x14ac:dyDescent="0.35">
      <c r="A1410" s="1019"/>
      <c r="B1410" s="1019"/>
      <c r="C1410" s="1019"/>
      <c r="D1410" s="3188"/>
      <c r="E1410" s="1019"/>
      <c r="F1410" s="1019"/>
      <c r="G1410" s="1019"/>
      <c r="H1410" s="1019"/>
      <c r="I1410" s="1140"/>
    </row>
    <row r="1411" spans="1:9" x14ac:dyDescent="0.35">
      <c r="A1411" s="1019"/>
      <c r="B1411" s="1019"/>
      <c r="C1411" s="1019"/>
      <c r="D1411" s="3188"/>
      <c r="E1411" s="1019"/>
      <c r="F1411" s="1019"/>
      <c r="G1411" s="1019"/>
      <c r="H1411" s="1019"/>
      <c r="I1411" s="1140"/>
    </row>
    <row r="1412" spans="1:9" x14ac:dyDescent="0.35">
      <c r="A1412" s="1019"/>
      <c r="B1412" s="1019"/>
      <c r="C1412" s="1019"/>
      <c r="D1412" s="3188"/>
      <c r="E1412" s="1019"/>
      <c r="F1412" s="1019"/>
      <c r="G1412" s="1019"/>
      <c r="H1412" s="1019"/>
      <c r="I1412" s="1140"/>
    </row>
    <row r="1413" spans="1:9" x14ac:dyDescent="0.35">
      <c r="A1413" s="1019"/>
      <c r="B1413" s="1019"/>
      <c r="C1413" s="1019"/>
      <c r="D1413" s="3188"/>
      <c r="E1413" s="1019"/>
      <c r="F1413" s="1019"/>
      <c r="G1413" s="1019"/>
      <c r="H1413" s="1019"/>
      <c r="I1413" s="1140"/>
    </row>
    <row r="1414" spans="1:9" x14ac:dyDescent="0.35">
      <c r="A1414" s="1019"/>
      <c r="B1414" s="1019"/>
      <c r="C1414" s="1019"/>
      <c r="D1414" s="3188"/>
      <c r="E1414" s="1019"/>
      <c r="F1414" s="1019"/>
      <c r="G1414" s="1019"/>
      <c r="H1414" s="1019"/>
      <c r="I1414" s="1140"/>
    </row>
    <row r="1415" spans="1:9" x14ac:dyDescent="0.35">
      <c r="A1415" s="1019"/>
      <c r="B1415" s="1019"/>
      <c r="C1415" s="1019"/>
      <c r="D1415" s="3188"/>
      <c r="E1415" s="1019"/>
      <c r="F1415" s="1019"/>
      <c r="G1415" s="1019"/>
      <c r="H1415" s="1019"/>
      <c r="I1415" s="1140"/>
    </row>
    <row r="1416" spans="1:9" x14ac:dyDescent="0.35">
      <c r="A1416" s="1019"/>
      <c r="B1416" s="1019"/>
      <c r="C1416" s="1019"/>
      <c r="D1416" s="3188"/>
      <c r="E1416" s="1019"/>
      <c r="F1416" s="1019"/>
      <c r="G1416" s="1019"/>
      <c r="H1416" s="1019"/>
      <c r="I1416" s="1140"/>
    </row>
    <row r="1417" spans="1:9" x14ac:dyDescent="0.35">
      <c r="A1417" s="1019"/>
      <c r="B1417" s="1019"/>
      <c r="C1417" s="1019"/>
      <c r="D1417" s="3188"/>
      <c r="E1417" s="1019"/>
      <c r="F1417" s="1019"/>
      <c r="G1417" s="1019"/>
      <c r="H1417" s="1019"/>
      <c r="I1417" s="1140"/>
    </row>
    <row r="1418" spans="1:9" x14ac:dyDescent="0.35">
      <c r="A1418" s="1019"/>
      <c r="B1418" s="1019"/>
      <c r="C1418" s="1019"/>
      <c r="D1418" s="3188"/>
      <c r="E1418" s="1019"/>
      <c r="F1418" s="1019"/>
      <c r="G1418" s="1019"/>
      <c r="H1418" s="1019"/>
      <c r="I1418" s="1140"/>
    </row>
    <row r="1419" spans="1:9" x14ac:dyDescent="0.35">
      <c r="A1419" s="1019"/>
      <c r="B1419" s="1019"/>
      <c r="C1419" s="1019"/>
      <c r="D1419" s="3188"/>
      <c r="E1419" s="1019"/>
      <c r="F1419" s="1019"/>
      <c r="G1419" s="1019"/>
      <c r="H1419" s="1019"/>
      <c r="I1419" s="1140"/>
    </row>
    <row r="1420" spans="1:9" x14ac:dyDescent="0.35">
      <c r="A1420" s="1019"/>
      <c r="B1420" s="1019"/>
      <c r="C1420" s="1019"/>
      <c r="D1420" s="3188"/>
      <c r="E1420" s="1019"/>
      <c r="F1420" s="1019"/>
      <c r="G1420" s="1019"/>
      <c r="H1420" s="1019"/>
      <c r="I1420" s="1140"/>
    </row>
    <row r="1421" spans="1:9" x14ac:dyDescent="0.35">
      <c r="A1421" s="1019"/>
      <c r="B1421" s="1019"/>
      <c r="C1421" s="1019"/>
      <c r="D1421" s="3188"/>
      <c r="E1421" s="1019"/>
      <c r="F1421" s="1019"/>
      <c r="G1421" s="1019"/>
      <c r="H1421" s="1019"/>
      <c r="I1421" s="1140"/>
    </row>
    <row r="1422" spans="1:9" x14ac:dyDescent="0.35">
      <c r="A1422" s="1019"/>
      <c r="B1422" s="1019"/>
      <c r="C1422" s="1019"/>
      <c r="D1422" s="3188"/>
      <c r="E1422" s="1019"/>
      <c r="F1422" s="1019"/>
      <c r="G1422" s="1019"/>
      <c r="H1422" s="1019"/>
      <c r="I1422" s="1140"/>
    </row>
    <row r="1423" spans="1:9" x14ac:dyDescent="0.35">
      <c r="A1423" s="1019"/>
      <c r="B1423" s="1019"/>
      <c r="C1423" s="1019"/>
      <c r="D1423" s="3188"/>
      <c r="E1423" s="1019"/>
      <c r="F1423" s="1019"/>
      <c r="G1423" s="1019"/>
      <c r="H1423" s="1019"/>
      <c r="I1423" s="1140"/>
    </row>
    <row r="1424" spans="1:9" x14ac:dyDescent="0.35">
      <c r="A1424" s="1019"/>
      <c r="B1424" s="1019"/>
      <c r="C1424" s="1019"/>
      <c r="D1424" s="3188"/>
      <c r="E1424" s="1019"/>
      <c r="F1424" s="1019"/>
      <c r="G1424" s="1019"/>
      <c r="H1424" s="1019"/>
      <c r="I1424" s="1140"/>
    </row>
    <row r="1425" spans="1:9" x14ac:dyDescent="0.35">
      <c r="A1425" s="1019"/>
      <c r="B1425" s="1019"/>
      <c r="C1425" s="1019"/>
      <c r="D1425" s="3188"/>
      <c r="E1425" s="1019"/>
      <c r="F1425" s="1019"/>
      <c r="G1425" s="1019"/>
      <c r="H1425" s="1019"/>
      <c r="I1425" s="1140"/>
    </row>
    <row r="1426" spans="1:9" x14ac:dyDescent="0.35">
      <c r="A1426" s="1019"/>
      <c r="B1426" s="1019"/>
      <c r="C1426" s="1019"/>
      <c r="D1426" s="3188"/>
      <c r="E1426" s="1019"/>
      <c r="F1426" s="1019"/>
      <c r="G1426" s="1019"/>
      <c r="H1426" s="1019"/>
      <c r="I1426" s="1140"/>
    </row>
    <row r="1427" spans="1:9" x14ac:dyDescent="0.35">
      <c r="A1427" s="1019"/>
      <c r="B1427" s="1019"/>
      <c r="C1427" s="1019"/>
      <c r="D1427" s="3188"/>
      <c r="E1427" s="1019"/>
      <c r="F1427" s="1019"/>
      <c r="G1427" s="1019"/>
      <c r="H1427" s="1019"/>
      <c r="I1427" s="1140"/>
    </row>
    <row r="1428" spans="1:9" x14ac:dyDescent="0.35">
      <c r="A1428" s="1019"/>
      <c r="B1428" s="1019"/>
      <c r="C1428" s="1019"/>
      <c r="D1428" s="3188"/>
      <c r="E1428" s="1019"/>
      <c r="F1428" s="1019"/>
      <c r="G1428" s="1019"/>
      <c r="H1428" s="1019"/>
      <c r="I1428" s="1140"/>
    </row>
    <row r="1429" spans="1:9" x14ac:dyDescent="0.35">
      <c r="A1429" s="1019"/>
      <c r="B1429" s="1019"/>
      <c r="C1429" s="1019"/>
      <c r="D1429" s="3188"/>
      <c r="E1429" s="1019"/>
      <c r="F1429" s="1019"/>
      <c r="G1429" s="1019"/>
      <c r="H1429" s="1019"/>
      <c r="I1429" s="1140"/>
    </row>
    <row r="1430" spans="1:9" x14ac:dyDescent="0.35">
      <c r="A1430" s="1019"/>
      <c r="B1430" s="1019"/>
      <c r="C1430" s="1019"/>
      <c r="D1430" s="3188"/>
      <c r="E1430" s="1019"/>
      <c r="F1430" s="1019"/>
      <c r="G1430" s="1019"/>
      <c r="H1430" s="1019"/>
      <c r="I1430" s="1140"/>
    </row>
    <row r="1431" spans="1:9" x14ac:dyDescent="0.35">
      <c r="A1431" s="1019"/>
      <c r="B1431" s="1019"/>
      <c r="C1431" s="1019"/>
      <c r="D1431" s="3188"/>
      <c r="E1431" s="1019"/>
      <c r="F1431" s="1019"/>
      <c r="G1431" s="1019"/>
      <c r="H1431" s="1019"/>
      <c r="I1431" s="1140"/>
    </row>
    <row r="1432" spans="1:9" x14ac:dyDescent="0.35">
      <c r="A1432" s="1019"/>
      <c r="B1432" s="1019"/>
      <c r="C1432" s="1019"/>
      <c r="D1432" s="3188"/>
      <c r="E1432" s="1019"/>
      <c r="F1432" s="1019"/>
      <c r="G1432" s="1019"/>
      <c r="H1432" s="1019"/>
      <c r="I1432" s="1140"/>
    </row>
    <row r="1433" spans="1:9" x14ac:dyDescent="0.35">
      <c r="A1433" s="1019"/>
      <c r="B1433" s="1019"/>
      <c r="C1433" s="1019"/>
      <c r="D1433" s="3188"/>
      <c r="E1433" s="1019"/>
      <c r="F1433" s="1019"/>
      <c r="G1433" s="1019"/>
      <c r="H1433" s="1019"/>
      <c r="I1433" s="1140"/>
    </row>
    <row r="1434" spans="1:9" x14ac:dyDescent="0.35">
      <c r="A1434" s="1019"/>
      <c r="B1434" s="1019"/>
      <c r="C1434" s="1019"/>
      <c r="D1434" s="3188"/>
      <c r="E1434" s="1019"/>
      <c r="F1434" s="1019"/>
      <c r="G1434" s="1019"/>
      <c r="H1434" s="1019"/>
      <c r="I1434" s="1140"/>
    </row>
    <row r="1435" spans="1:9" x14ac:dyDescent="0.35">
      <c r="A1435" s="1019"/>
      <c r="B1435" s="1019"/>
      <c r="C1435" s="1019"/>
      <c r="D1435" s="3188"/>
      <c r="E1435" s="1019"/>
      <c r="F1435" s="1019"/>
      <c r="G1435" s="1019"/>
      <c r="H1435" s="1019"/>
      <c r="I1435" s="1140"/>
    </row>
    <row r="1436" spans="1:9" x14ac:dyDescent="0.35">
      <c r="A1436" s="1019"/>
      <c r="B1436" s="1019"/>
      <c r="C1436" s="1019"/>
      <c r="D1436" s="3188"/>
      <c r="E1436" s="1019"/>
      <c r="F1436" s="1019"/>
      <c r="G1436" s="1019"/>
      <c r="H1436" s="1019"/>
      <c r="I1436" s="1140"/>
    </row>
    <row r="1437" spans="1:9" x14ac:dyDescent="0.35">
      <c r="A1437" s="1019"/>
      <c r="B1437" s="1019"/>
      <c r="C1437" s="1019"/>
      <c r="D1437" s="3188"/>
      <c r="E1437" s="1019"/>
      <c r="F1437" s="1019"/>
      <c r="G1437" s="1019"/>
      <c r="H1437" s="1019"/>
      <c r="I1437" s="1140"/>
    </row>
    <row r="1438" spans="1:9" x14ac:dyDescent="0.35">
      <c r="A1438" s="1019"/>
      <c r="B1438" s="1019"/>
      <c r="C1438" s="1019"/>
      <c r="D1438" s="3188"/>
      <c r="E1438" s="1019"/>
      <c r="F1438" s="1019"/>
      <c r="G1438" s="1019"/>
      <c r="H1438" s="1019"/>
      <c r="I1438" s="1140"/>
    </row>
    <row r="1439" spans="1:9" x14ac:dyDescent="0.35">
      <c r="A1439" s="1019"/>
      <c r="B1439" s="1019"/>
      <c r="C1439" s="1019"/>
      <c r="D1439" s="3188"/>
      <c r="E1439" s="1019"/>
      <c r="F1439" s="1019"/>
      <c r="G1439" s="1019"/>
      <c r="H1439" s="1019"/>
      <c r="I1439" s="1140"/>
    </row>
    <row r="1440" spans="1:9" x14ac:dyDescent="0.35">
      <c r="A1440" s="1019"/>
      <c r="B1440" s="1019"/>
      <c r="C1440" s="1019"/>
      <c r="D1440" s="3188"/>
      <c r="E1440" s="1019"/>
      <c r="F1440" s="1019"/>
      <c r="G1440" s="1019"/>
      <c r="H1440" s="1019"/>
      <c r="I1440" s="1140"/>
    </row>
    <row r="1441" spans="1:9" x14ac:dyDescent="0.35">
      <c r="A1441" s="1019"/>
      <c r="B1441" s="1019"/>
      <c r="C1441" s="1019"/>
      <c r="D1441" s="3188"/>
      <c r="E1441" s="1019"/>
      <c r="F1441" s="1019"/>
      <c r="G1441" s="1019"/>
      <c r="H1441" s="1019"/>
      <c r="I1441" s="1140"/>
    </row>
    <row r="1442" spans="1:9" x14ac:dyDescent="0.35">
      <c r="A1442" s="1019"/>
      <c r="B1442" s="1019"/>
      <c r="C1442" s="1019"/>
      <c r="D1442" s="3188"/>
      <c r="E1442" s="1019"/>
      <c r="F1442" s="1019"/>
      <c r="G1442" s="1019"/>
      <c r="H1442" s="1019"/>
      <c r="I1442" s="1140"/>
    </row>
    <row r="1443" spans="1:9" x14ac:dyDescent="0.35">
      <c r="A1443" s="1019"/>
      <c r="B1443" s="1019"/>
      <c r="C1443" s="1019"/>
      <c r="D1443" s="3188"/>
      <c r="E1443" s="1019"/>
      <c r="F1443" s="1019"/>
      <c r="G1443" s="1019"/>
      <c r="H1443" s="1019"/>
      <c r="I1443" s="1140"/>
    </row>
    <row r="1444" spans="1:9" x14ac:dyDescent="0.35">
      <c r="A1444" s="1019"/>
      <c r="B1444" s="1019"/>
      <c r="C1444" s="1019"/>
      <c r="D1444" s="3188"/>
      <c r="E1444" s="1019"/>
      <c r="F1444" s="1019"/>
      <c r="G1444" s="1019"/>
      <c r="H1444" s="1019"/>
      <c r="I1444" s="1140"/>
    </row>
    <row r="1445" spans="1:9" x14ac:dyDescent="0.35">
      <c r="A1445" s="1019"/>
      <c r="B1445" s="1019"/>
      <c r="C1445" s="1019"/>
      <c r="D1445" s="3188"/>
      <c r="E1445" s="1019"/>
      <c r="F1445" s="1019"/>
      <c r="G1445" s="1019"/>
      <c r="H1445" s="1019"/>
      <c r="I1445" s="1140"/>
    </row>
    <row r="1446" spans="1:9" x14ac:dyDescent="0.35">
      <c r="A1446" s="1019"/>
      <c r="B1446" s="1019"/>
      <c r="C1446" s="1019"/>
      <c r="D1446" s="3188"/>
      <c r="E1446" s="1019"/>
      <c r="F1446" s="1019"/>
      <c r="G1446" s="1019"/>
      <c r="H1446" s="1019"/>
      <c r="I1446" s="1140"/>
    </row>
    <row r="1447" spans="1:9" x14ac:dyDescent="0.35">
      <c r="A1447" s="1019"/>
      <c r="B1447" s="1019"/>
      <c r="C1447" s="1019"/>
      <c r="D1447" s="3188"/>
      <c r="E1447" s="1019"/>
      <c r="F1447" s="1019"/>
      <c r="G1447" s="1019"/>
      <c r="H1447" s="1019"/>
      <c r="I1447" s="1140"/>
    </row>
    <row r="1448" spans="1:9" x14ac:dyDescent="0.35">
      <c r="A1448" s="1019"/>
      <c r="B1448" s="1019"/>
      <c r="C1448" s="1019"/>
      <c r="D1448" s="3188"/>
      <c r="E1448" s="1019"/>
      <c r="F1448" s="1019"/>
      <c r="G1448" s="1019"/>
      <c r="H1448" s="1019"/>
      <c r="I1448" s="1140"/>
    </row>
    <row r="1449" spans="1:9" x14ac:dyDescent="0.35">
      <c r="A1449" s="1019"/>
      <c r="B1449" s="1019"/>
      <c r="C1449" s="1019"/>
      <c r="D1449" s="3188"/>
      <c r="E1449" s="1019"/>
      <c r="F1449" s="1019"/>
      <c r="G1449" s="1019"/>
      <c r="H1449" s="1019"/>
      <c r="I1449" s="1140"/>
    </row>
    <row r="1450" spans="1:9" x14ac:dyDescent="0.35">
      <c r="A1450" s="1019"/>
      <c r="B1450" s="1019"/>
      <c r="C1450" s="1019"/>
      <c r="D1450" s="3188"/>
      <c r="E1450" s="1019"/>
      <c r="F1450" s="1019"/>
      <c r="G1450" s="1019"/>
      <c r="H1450" s="1019"/>
      <c r="I1450" s="1140"/>
    </row>
    <row r="1451" spans="1:9" x14ac:dyDescent="0.35">
      <c r="A1451" s="1019"/>
      <c r="B1451" s="1019"/>
      <c r="C1451" s="1019"/>
      <c r="D1451" s="3188"/>
      <c r="E1451" s="1019"/>
      <c r="F1451" s="1019"/>
      <c r="G1451" s="1019"/>
      <c r="H1451" s="1019"/>
      <c r="I1451" s="1140"/>
    </row>
    <row r="1452" spans="1:9" x14ac:dyDescent="0.35">
      <c r="A1452" s="1019"/>
      <c r="B1452" s="1019"/>
      <c r="C1452" s="1019"/>
      <c r="D1452" s="3188"/>
      <c r="E1452" s="1019"/>
      <c r="F1452" s="1019"/>
      <c r="G1452" s="1019"/>
      <c r="H1452" s="1019"/>
      <c r="I1452" s="1140"/>
    </row>
    <row r="1453" spans="1:9" x14ac:dyDescent="0.35">
      <c r="A1453" s="1019"/>
      <c r="B1453" s="1019"/>
      <c r="C1453" s="1019"/>
      <c r="D1453" s="3188"/>
      <c r="E1453" s="1019"/>
      <c r="F1453" s="1019"/>
      <c r="G1453" s="1019"/>
      <c r="H1453" s="1019"/>
      <c r="I1453" s="1140"/>
    </row>
    <row r="1454" spans="1:9" x14ac:dyDescent="0.35">
      <c r="A1454" s="1019"/>
      <c r="B1454" s="1019"/>
      <c r="C1454" s="1019"/>
      <c r="D1454" s="3188"/>
      <c r="E1454" s="1019"/>
      <c r="F1454" s="1019"/>
      <c r="G1454" s="1019"/>
      <c r="H1454" s="1019"/>
      <c r="I1454" s="1140"/>
    </row>
    <row r="1455" spans="1:9" x14ac:dyDescent="0.35">
      <c r="A1455" s="1019"/>
      <c r="B1455" s="1019"/>
      <c r="C1455" s="1019"/>
      <c r="D1455" s="3188"/>
      <c r="E1455" s="1019"/>
      <c r="F1455" s="1019"/>
      <c r="G1455" s="1019"/>
      <c r="H1455" s="1019"/>
      <c r="I1455" s="1140"/>
    </row>
    <row r="1456" spans="1:9" x14ac:dyDescent="0.35">
      <c r="A1456" s="1019"/>
      <c r="B1456" s="1019"/>
      <c r="C1456" s="1019"/>
      <c r="D1456" s="3188"/>
      <c r="E1456" s="1019"/>
      <c r="F1456" s="1019"/>
      <c r="G1456" s="1019"/>
      <c r="H1456" s="1019"/>
      <c r="I1456" s="1140"/>
    </row>
    <row r="1457" spans="1:9" x14ac:dyDescent="0.35">
      <c r="A1457" s="1019"/>
      <c r="B1457" s="1019"/>
      <c r="C1457" s="1019"/>
      <c r="D1457" s="3188"/>
      <c r="E1457" s="1019"/>
      <c r="F1457" s="1019"/>
      <c r="G1457" s="1019"/>
      <c r="H1457" s="1019"/>
      <c r="I1457" s="1140"/>
    </row>
    <row r="1458" spans="1:9" x14ac:dyDescent="0.35">
      <c r="A1458" s="1019"/>
      <c r="B1458" s="1019"/>
      <c r="C1458" s="1019"/>
      <c r="D1458" s="3188"/>
      <c r="E1458" s="1019"/>
      <c r="F1458" s="1019"/>
      <c r="G1458" s="1019"/>
      <c r="H1458" s="1019"/>
      <c r="I1458" s="1140"/>
    </row>
    <row r="1459" spans="1:9" x14ac:dyDescent="0.35">
      <c r="A1459" s="1019"/>
      <c r="B1459" s="1019"/>
      <c r="C1459" s="1019"/>
      <c r="D1459" s="3188"/>
      <c r="E1459" s="1019"/>
      <c r="F1459" s="1019"/>
      <c r="G1459" s="1019"/>
      <c r="H1459" s="1019"/>
      <c r="I1459" s="1140"/>
    </row>
    <row r="1460" spans="1:9" x14ac:dyDescent="0.35">
      <c r="A1460" s="1019"/>
      <c r="B1460" s="1019"/>
      <c r="C1460" s="1019"/>
      <c r="D1460" s="3188"/>
      <c r="E1460" s="1019"/>
      <c r="F1460" s="1019"/>
      <c r="G1460" s="1019"/>
      <c r="H1460" s="1019"/>
      <c r="I1460" s="1140"/>
    </row>
    <row r="1461" spans="1:9" x14ac:dyDescent="0.35">
      <c r="A1461" s="1019"/>
      <c r="B1461" s="1019"/>
      <c r="C1461" s="1019"/>
      <c r="D1461" s="3188"/>
      <c r="E1461" s="1019"/>
      <c r="F1461" s="1019"/>
      <c r="G1461" s="1019"/>
      <c r="H1461" s="1019"/>
      <c r="I1461" s="1140"/>
    </row>
    <row r="1462" spans="1:9" x14ac:dyDescent="0.35">
      <c r="A1462" s="1019"/>
      <c r="B1462" s="1019"/>
      <c r="C1462" s="1019"/>
      <c r="D1462" s="3188"/>
      <c r="E1462" s="1019"/>
      <c r="F1462" s="1019"/>
      <c r="G1462" s="1019"/>
      <c r="H1462" s="1019"/>
      <c r="I1462" s="1140"/>
    </row>
    <row r="1463" spans="1:9" x14ac:dyDescent="0.35">
      <c r="A1463" s="1019"/>
      <c r="B1463" s="1019"/>
      <c r="C1463" s="1019"/>
      <c r="D1463" s="3188"/>
      <c r="E1463" s="1019"/>
      <c r="F1463" s="1019"/>
      <c r="G1463" s="1019"/>
      <c r="H1463" s="1019"/>
      <c r="I1463" s="1140"/>
    </row>
    <row r="1464" spans="1:9" x14ac:dyDescent="0.35">
      <c r="A1464" s="1019"/>
      <c r="B1464" s="1019"/>
      <c r="C1464" s="1019"/>
      <c r="D1464" s="3188"/>
      <c r="E1464" s="1019"/>
      <c r="F1464" s="1019"/>
      <c r="G1464" s="1019"/>
      <c r="H1464" s="1019"/>
      <c r="I1464" s="1140"/>
    </row>
    <row r="1465" spans="1:9" x14ac:dyDescent="0.35">
      <c r="A1465" s="1019"/>
      <c r="B1465" s="1019"/>
      <c r="C1465" s="1019"/>
      <c r="D1465" s="3188"/>
      <c r="E1465" s="1019"/>
      <c r="F1465" s="1019"/>
      <c r="G1465" s="1019"/>
      <c r="H1465" s="1019"/>
      <c r="I1465" s="1140"/>
    </row>
    <row r="1466" spans="1:9" x14ac:dyDescent="0.35">
      <c r="A1466" s="1019"/>
      <c r="B1466" s="1019"/>
      <c r="C1466" s="1019"/>
      <c r="D1466" s="3188"/>
      <c r="E1466" s="1019"/>
      <c r="F1466" s="1019"/>
      <c r="G1466" s="1019"/>
      <c r="H1466" s="1019"/>
      <c r="I1466" s="1140"/>
    </row>
    <row r="1467" spans="1:9" x14ac:dyDescent="0.35">
      <c r="A1467" s="1019"/>
      <c r="B1467" s="1019"/>
      <c r="C1467" s="1019"/>
      <c r="D1467" s="3188"/>
      <c r="E1467" s="1019"/>
      <c r="F1467" s="1019"/>
      <c r="G1467" s="1019"/>
      <c r="H1467" s="1019"/>
      <c r="I1467" s="1140"/>
    </row>
    <row r="1468" spans="1:9" x14ac:dyDescent="0.35">
      <c r="A1468" s="1019"/>
      <c r="B1468" s="1019"/>
      <c r="C1468" s="1019"/>
      <c r="D1468" s="3188"/>
      <c r="E1468" s="1019"/>
      <c r="F1468" s="1019"/>
      <c r="G1468" s="1019"/>
      <c r="H1468" s="1019"/>
      <c r="I1468" s="1140"/>
    </row>
    <row r="1469" spans="1:9" x14ac:dyDescent="0.35">
      <c r="A1469" s="1019"/>
      <c r="B1469" s="1019"/>
      <c r="C1469" s="1019"/>
      <c r="D1469" s="3188"/>
      <c r="E1469" s="1019"/>
      <c r="F1469" s="1019"/>
      <c r="G1469" s="1019"/>
      <c r="H1469" s="1019"/>
      <c r="I1469" s="1140"/>
    </row>
    <row r="1470" spans="1:9" x14ac:dyDescent="0.35">
      <c r="A1470" s="1019"/>
      <c r="B1470" s="1019"/>
      <c r="C1470" s="1019"/>
      <c r="D1470" s="3188"/>
      <c r="E1470" s="1019"/>
      <c r="F1470" s="1019"/>
      <c r="G1470" s="1019"/>
      <c r="H1470" s="1019"/>
      <c r="I1470" s="1140"/>
    </row>
    <row r="1471" spans="1:9" x14ac:dyDescent="0.35">
      <c r="A1471" s="1019"/>
      <c r="B1471" s="1019"/>
      <c r="C1471" s="1019"/>
      <c r="D1471" s="3188"/>
      <c r="E1471" s="1019"/>
      <c r="F1471" s="1019"/>
      <c r="G1471" s="1019"/>
      <c r="H1471" s="1019"/>
      <c r="I1471" s="1140"/>
    </row>
    <row r="1472" spans="1:9" x14ac:dyDescent="0.35">
      <c r="A1472" s="1019"/>
      <c r="B1472" s="1019"/>
      <c r="C1472" s="1019"/>
      <c r="D1472" s="3188"/>
      <c r="E1472" s="1019"/>
      <c r="F1472" s="1019"/>
      <c r="G1472" s="1019"/>
      <c r="H1472" s="1019"/>
      <c r="I1472" s="1140"/>
    </row>
    <row r="1473" spans="1:9" x14ac:dyDescent="0.35">
      <c r="A1473" s="1019"/>
      <c r="B1473" s="1019"/>
      <c r="C1473" s="1019"/>
      <c r="D1473" s="3188"/>
      <c r="E1473" s="1019"/>
      <c r="F1473" s="1019"/>
      <c r="G1473" s="1019"/>
      <c r="H1473" s="1019"/>
      <c r="I1473" s="1140"/>
    </row>
    <row r="1474" spans="1:9" x14ac:dyDescent="0.35">
      <c r="A1474" s="1019"/>
      <c r="B1474" s="1019"/>
      <c r="C1474" s="1019"/>
      <c r="D1474" s="3188"/>
      <c r="E1474" s="1019"/>
      <c r="F1474" s="1019"/>
      <c r="G1474" s="1019"/>
      <c r="H1474" s="1019"/>
      <c r="I1474" s="1140"/>
    </row>
    <row r="1475" spans="1:9" x14ac:dyDescent="0.35">
      <c r="A1475" s="1019"/>
      <c r="B1475" s="1019"/>
      <c r="C1475" s="1019"/>
      <c r="D1475" s="3188"/>
      <c r="E1475" s="1019"/>
      <c r="F1475" s="1019"/>
      <c r="G1475" s="1019"/>
      <c r="H1475" s="1019"/>
      <c r="I1475" s="1140"/>
    </row>
    <row r="1476" spans="1:9" x14ac:dyDescent="0.35">
      <c r="A1476" s="1019"/>
      <c r="B1476" s="1019"/>
      <c r="C1476" s="1019"/>
      <c r="D1476" s="3188"/>
      <c r="E1476" s="1019"/>
      <c r="F1476" s="1019"/>
      <c r="G1476" s="1019"/>
      <c r="H1476" s="1019"/>
      <c r="I1476" s="1140"/>
    </row>
    <row r="1477" spans="1:9" x14ac:dyDescent="0.35">
      <c r="A1477" s="1019"/>
      <c r="B1477" s="1019"/>
      <c r="C1477" s="1019"/>
      <c r="D1477" s="3188"/>
      <c r="E1477" s="1019"/>
      <c r="F1477" s="1019"/>
      <c r="G1477" s="1019"/>
      <c r="H1477" s="1019"/>
      <c r="I1477" s="1140"/>
    </row>
    <row r="1478" spans="1:9" x14ac:dyDescent="0.35">
      <c r="A1478" s="1019"/>
      <c r="B1478" s="1019"/>
      <c r="C1478" s="1019"/>
      <c r="D1478" s="3188"/>
      <c r="E1478" s="1019"/>
      <c r="F1478" s="1019"/>
      <c r="G1478" s="1019"/>
      <c r="H1478" s="1019"/>
      <c r="I1478" s="1140"/>
    </row>
    <row r="1479" spans="1:9" x14ac:dyDescent="0.35">
      <c r="A1479" s="1019"/>
      <c r="B1479" s="1019"/>
      <c r="C1479" s="1019"/>
      <c r="D1479" s="3188"/>
      <c r="E1479" s="1019"/>
      <c r="F1479" s="1019"/>
      <c r="G1479" s="1019"/>
      <c r="H1479" s="1019"/>
      <c r="I1479" s="1140"/>
    </row>
    <row r="1480" spans="1:9" x14ac:dyDescent="0.35">
      <c r="A1480" s="1019"/>
      <c r="B1480" s="1019"/>
      <c r="C1480" s="1019"/>
      <c r="D1480" s="3188"/>
      <c r="E1480" s="1019"/>
      <c r="F1480" s="1019"/>
      <c r="G1480" s="1019"/>
      <c r="H1480" s="1019"/>
      <c r="I1480" s="1140"/>
    </row>
    <row r="1481" spans="1:9" x14ac:dyDescent="0.35">
      <c r="A1481" s="1019"/>
      <c r="B1481" s="1019"/>
      <c r="C1481" s="1019"/>
      <c r="D1481" s="3188"/>
      <c r="E1481" s="1019"/>
      <c r="F1481" s="1019"/>
      <c r="G1481" s="1019"/>
      <c r="H1481" s="1019"/>
      <c r="I1481" s="1140"/>
    </row>
    <row r="1482" spans="1:9" x14ac:dyDescent="0.35">
      <c r="A1482" s="1019"/>
      <c r="B1482" s="1019"/>
      <c r="C1482" s="1019"/>
      <c r="D1482" s="3188"/>
      <c r="E1482" s="1019"/>
      <c r="F1482" s="1019"/>
      <c r="G1482" s="1019"/>
      <c r="H1482" s="1019"/>
      <c r="I1482" s="1140"/>
    </row>
    <row r="1483" spans="1:9" x14ac:dyDescent="0.35">
      <c r="A1483" s="1019"/>
      <c r="B1483" s="1019"/>
      <c r="C1483" s="1019"/>
      <c r="D1483" s="3188"/>
      <c r="E1483" s="1019"/>
      <c r="F1483" s="1019"/>
      <c r="G1483" s="1019"/>
      <c r="H1483" s="1019"/>
      <c r="I1483" s="1140"/>
    </row>
    <row r="1484" spans="1:9" x14ac:dyDescent="0.35">
      <c r="A1484" s="1019"/>
      <c r="B1484" s="1019"/>
      <c r="C1484" s="1019"/>
      <c r="D1484" s="3188"/>
      <c r="E1484" s="1019"/>
      <c r="F1484" s="1019"/>
      <c r="G1484" s="1019"/>
      <c r="H1484" s="1019"/>
      <c r="I1484" s="1140"/>
    </row>
    <row r="1485" spans="1:9" x14ac:dyDescent="0.35">
      <c r="A1485" s="1019"/>
      <c r="B1485" s="1019"/>
      <c r="C1485" s="1019"/>
      <c r="D1485" s="3188"/>
      <c r="E1485" s="1019"/>
      <c r="F1485" s="1019"/>
      <c r="G1485" s="1019"/>
      <c r="H1485" s="1019"/>
      <c r="I1485" s="1140"/>
    </row>
    <row r="1486" spans="1:9" x14ac:dyDescent="0.35">
      <c r="A1486" s="1019"/>
      <c r="B1486" s="1019"/>
      <c r="C1486" s="1019"/>
      <c r="D1486" s="3188"/>
      <c r="E1486" s="1019"/>
      <c r="F1486" s="1019"/>
      <c r="G1486" s="1019"/>
      <c r="H1486" s="1019"/>
      <c r="I1486" s="1140"/>
    </row>
    <row r="1487" spans="1:9" x14ac:dyDescent="0.35">
      <c r="A1487" s="1019"/>
      <c r="B1487" s="1019"/>
      <c r="C1487" s="1019"/>
      <c r="D1487" s="3188"/>
      <c r="E1487" s="1019"/>
      <c r="F1487" s="1019"/>
      <c r="G1487" s="1019"/>
      <c r="H1487" s="1019"/>
      <c r="I1487" s="1140"/>
    </row>
    <row r="1488" spans="1:9" x14ac:dyDescent="0.35">
      <c r="A1488" s="1019"/>
      <c r="B1488" s="1019"/>
      <c r="C1488" s="1019"/>
      <c r="D1488" s="3188"/>
      <c r="E1488" s="1019"/>
      <c r="F1488" s="1019"/>
      <c r="G1488" s="1019"/>
      <c r="H1488" s="1019"/>
      <c r="I1488" s="1140"/>
    </row>
    <row r="1489" spans="1:9" x14ac:dyDescent="0.35">
      <c r="A1489" s="1019"/>
      <c r="B1489" s="1019"/>
      <c r="C1489" s="1019"/>
      <c r="D1489" s="3188"/>
      <c r="E1489" s="1019"/>
      <c r="F1489" s="1019"/>
      <c r="G1489" s="1019"/>
      <c r="H1489" s="1019"/>
      <c r="I1489" s="1140"/>
    </row>
    <row r="1490" spans="1:9" x14ac:dyDescent="0.35">
      <c r="A1490" s="1019"/>
      <c r="B1490" s="1019"/>
      <c r="C1490" s="1019"/>
      <c r="D1490" s="3188"/>
      <c r="E1490" s="1019"/>
      <c r="F1490" s="1019"/>
      <c r="G1490" s="1019"/>
      <c r="H1490" s="1019"/>
      <c r="I1490" s="1140"/>
    </row>
    <row r="1491" spans="1:9" x14ac:dyDescent="0.35">
      <c r="A1491" s="1019"/>
      <c r="B1491" s="1019"/>
      <c r="C1491" s="1019"/>
      <c r="D1491" s="3188"/>
      <c r="E1491" s="1019"/>
      <c r="F1491" s="1019"/>
      <c r="G1491" s="1019"/>
      <c r="H1491" s="1019"/>
      <c r="I1491" s="1140"/>
    </row>
    <row r="1492" spans="1:9" x14ac:dyDescent="0.35">
      <c r="A1492" s="1019"/>
      <c r="B1492" s="1019"/>
      <c r="C1492" s="1019"/>
      <c r="D1492" s="3188"/>
      <c r="E1492" s="1019"/>
      <c r="F1492" s="1019"/>
      <c r="G1492" s="1019"/>
      <c r="H1492" s="1019"/>
      <c r="I1492" s="1140"/>
    </row>
    <row r="1493" spans="1:9" x14ac:dyDescent="0.35">
      <c r="A1493" s="1019"/>
      <c r="B1493" s="1019"/>
      <c r="C1493" s="1019"/>
      <c r="D1493" s="3188"/>
      <c r="E1493" s="1019"/>
      <c r="F1493" s="1019"/>
      <c r="G1493" s="1019"/>
      <c r="H1493" s="1019"/>
      <c r="I1493" s="1140"/>
    </row>
    <row r="1494" spans="1:9" x14ac:dyDescent="0.35">
      <c r="A1494" s="1019"/>
      <c r="B1494" s="1019"/>
      <c r="C1494" s="1019"/>
      <c r="D1494" s="3188"/>
      <c r="E1494" s="1019"/>
      <c r="F1494" s="1019"/>
      <c r="G1494" s="1019"/>
      <c r="H1494" s="1019"/>
      <c r="I1494" s="1140"/>
    </row>
    <row r="1495" spans="1:9" x14ac:dyDescent="0.35">
      <c r="A1495" s="1019"/>
      <c r="B1495" s="1019"/>
      <c r="C1495" s="1019"/>
      <c r="D1495" s="3188"/>
      <c r="E1495" s="1019"/>
      <c r="F1495" s="1019"/>
      <c r="G1495" s="1019"/>
      <c r="H1495" s="1019"/>
      <c r="I1495" s="1140"/>
    </row>
    <row r="1496" spans="1:9" x14ac:dyDescent="0.35">
      <c r="A1496" s="1019"/>
      <c r="B1496" s="1019"/>
      <c r="C1496" s="1019"/>
      <c r="D1496" s="3188"/>
      <c r="E1496" s="1019"/>
      <c r="F1496" s="1019"/>
      <c r="G1496" s="1019"/>
      <c r="H1496" s="1019"/>
      <c r="I1496" s="1140"/>
    </row>
    <row r="1497" spans="1:9" x14ac:dyDescent="0.35">
      <c r="A1497" s="1019"/>
      <c r="B1497" s="1019"/>
      <c r="C1497" s="1019"/>
      <c r="D1497" s="3188"/>
      <c r="E1497" s="1019"/>
      <c r="F1497" s="1019"/>
      <c r="G1497" s="1019"/>
      <c r="H1497" s="1019"/>
      <c r="I1497" s="1140"/>
    </row>
    <row r="1498" spans="1:9" x14ac:dyDescent="0.35">
      <c r="A1498" s="1019"/>
      <c r="B1498" s="1019"/>
      <c r="C1498" s="1019"/>
      <c r="D1498" s="3188"/>
      <c r="E1498" s="1019"/>
      <c r="F1498" s="1019"/>
      <c r="G1498" s="1019"/>
      <c r="H1498" s="1019"/>
      <c r="I1498" s="1140"/>
    </row>
    <row r="1499" spans="1:9" x14ac:dyDescent="0.35">
      <c r="A1499" s="1019"/>
      <c r="B1499" s="1019"/>
      <c r="C1499" s="1019"/>
      <c r="D1499" s="3188"/>
      <c r="E1499" s="1019"/>
      <c r="F1499" s="1019"/>
      <c r="G1499" s="1019"/>
      <c r="H1499" s="1019"/>
      <c r="I1499" s="1140"/>
    </row>
    <row r="1500" spans="1:9" x14ac:dyDescent="0.35">
      <c r="A1500" s="1019"/>
      <c r="B1500" s="1019"/>
      <c r="C1500" s="1019"/>
      <c r="D1500" s="3188"/>
      <c r="E1500" s="1019"/>
      <c r="F1500" s="1019"/>
      <c r="G1500" s="1019"/>
      <c r="H1500" s="1019"/>
      <c r="I1500" s="1140"/>
    </row>
    <row r="1501" spans="1:9" x14ac:dyDescent="0.35">
      <c r="A1501" s="1019"/>
      <c r="B1501" s="1019"/>
      <c r="C1501" s="1019"/>
      <c r="D1501" s="3188"/>
      <c r="E1501" s="1019"/>
      <c r="F1501" s="1019"/>
      <c r="G1501" s="1019"/>
      <c r="H1501" s="1019"/>
      <c r="I1501" s="1140"/>
    </row>
    <row r="1502" spans="1:9" x14ac:dyDescent="0.35">
      <c r="A1502" s="1019"/>
      <c r="B1502" s="1019"/>
      <c r="C1502" s="1019"/>
      <c r="D1502" s="3188"/>
      <c r="E1502" s="1019"/>
      <c r="F1502" s="1019"/>
      <c r="G1502" s="1019"/>
      <c r="H1502" s="1019"/>
      <c r="I1502" s="1140"/>
    </row>
    <row r="1503" spans="1:9" x14ac:dyDescent="0.35">
      <c r="A1503" s="1019"/>
      <c r="B1503" s="1019"/>
      <c r="C1503" s="1019"/>
      <c r="D1503" s="3188"/>
      <c r="E1503" s="1019"/>
      <c r="F1503" s="1019"/>
      <c r="G1503" s="1019"/>
      <c r="H1503" s="1019"/>
      <c r="I1503" s="1140"/>
    </row>
    <row r="1504" spans="1:9" x14ac:dyDescent="0.35">
      <c r="A1504" s="1019"/>
      <c r="B1504" s="1019"/>
      <c r="C1504" s="1019"/>
      <c r="D1504" s="3188"/>
      <c r="E1504" s="1019"/>
      <c r="F1504" s="1019"/>
      <c r="G1504" s="1019"/>
      <c r="H1504" s="1019"/>
      <c r="I1504" s="1140"/>
    </row>
    <row r="1505" spans="1:9" x14ac:dyDescent="0.35">
      <c r="A1505" s="1019"/>
      <c r="B1505" s="1019"/>
      <c r="C1505" s="1019"/>
      <c r="D1505" s="3188"/>
      <c r="E1505" s="1019"/>
      <c r="F1505" s="1019"/>
      <c r="G1505" s="1019"/>
      <c r="H1505" s="1019"/>
      <c r="I1505" s="1140"/>
    </row>
    <row r="1506" spans="1:9" x14ac:dyDescent="0.35">
      <c r="A1506" s="1019"/>
      <c r="B1506" s="1019"/>
      <c r="C1506" s="1019"/>
      <c r="D1506" s="3188"/>
      <c r="E1506" s="1019"/>
      <c r="F1506" s="1019"/>
      <c r="G1506" s="1019"/>
      <c r="H1506" s="1019"/>
      <c r="I1506" s="1140"/>
    </row>
    <row r="1507" spans="1:9" x14ac:dyDescent="0.35">
      <c r="A1507" s="1019"/>
      <c r="B1507" s="1019"/>
      <c r="C1507" s="1019"/>
      <c r="D1507" s="3188"/>
      <c r="E1507" s="1019"/>
      <c r="F1507" s="1019"/>
      <c r="G1507" s="1019"/>
      <c r="H1507" s="1019"/>
      <c r="I1507" s="1140"/>
    </row>
    <row r="1508" spans="1:9" x14ac:dyDescent="0.35">
      <c r="A1508" s="1019"/>
      <c r="B1508" s="1019"/>
      <c r="C1508" s="1019"/>
      <c r="D1508" s="3188"/>
      <c r="E1508" s="1019"/>
      <c r="F1508" s="1019"/>
      <c r="G1508" s="1019"/>
      <c r="H1508" s="1019"/>
      <c r="I1508" s="1140"/>
    </row>
    <row r="1509" spans="1:9" x14ac:dyDescent="0.35">
      <c r="A1509" s="1019"/>
      <c r="B1509" s="1019"/>
      <c r="C1509" s="1019"/>
      <c r="D1509" s="3188"/>
      <c r="E1509" s="1019"/>
      <c r="F1509" s="1019"/>
      <c r="G1509" s="1019"/>
      <c r="H1509" s="1019"/>
      <c r="I1509" s="1140"/>
    </row>
    <row r="1510" spans="1:9" x14ac:dyDescent="0.35">
      <c r="A1510" s="1019"/>
      <c r="B1510" s="1019"/>
      <c r="C1510" s="1019"/>
      <c r="D1510" s="3188"/>
      <c r="E1510" s="1019"/>
      <c r="F1510" s="1019"/>
      <c r="G1510" s="1019"/>
      <c r="H1510" s="1019"/>
      <c r="I1510" s="1140"/>
    </row>
    <row r="1511" spans="1:9" x14ac:dyDescent="0.35">
      <c r="A1511" s="1019"/>
      <c r="B1511" s="1019"/>
      <c r="C1511" s="1019"/>
      <c r="D1511" s="3188"/>
      <c r="E1511" s="1019"/>
      <c r="F1511" s="1019"/>
      <c r="G1511" s="1019"/>
      <c r="H1511" s="1019"/>
      <c r="I1511" s="1140"/>
    </row>
    <row r="1512" spans="1:9" x14ac:dyDescent="0.35">
      <c r="A1512" s="1019"/>
      <c r="B1512" s="1019"/>
      <c r="C1512" s="1019"/>
      <c r="D1512" s="3188"/>
      <c r="E1512" s="1019"/>
      <c r="F1512" s="1019"/>
      <c r="G1512" s="1019"/>
      <c r="H1512" s="1019"/>
      <c r="I1512" s="1140"/>
    </row>
    <row r="1513" spans="1:9" x14ac:dyDescent="0.35">
      <c r="A1513" s="1019"/>
      <c r="B1513" s="1019"/>
      <c r="C1513" s="1019"/>
      <c r="D1513" s="3188"/>
      <c r="E1513" s="1019"/>
      <c r="F1513" s="1019"/>
      <c r="G1513" s="1019"/>
      <c r="H1513" s="1019"/>
      <c r="I1513" s="1140"/>
    </row>
    <row r="1514" spans="1:9" x14ac:dyDescent="0.35">
      <c r="A1514" s="1019"/>
      <c r="B1514" s="1019"/>
      <c r="C1514" s="1019"/>
      <c r="D1514" s="3188"/>
      <c r="E1514" s="1019"/>
      <c r="F1514" s="1019"/>
      <c r="G1514" s="1019"/>
      <c r="H1514" s="1019"/>
      <c r="I1514" s="1140"/>
    </row>
    <row r="1515" spans="1:9" x14ac:dyDescent="0.35">
      <c r="A1515" s="1019"/>
      <c r="B1515" s="1019"/>
      <c r="C1515" s="1019"/>
      <c r="D1515" s="3188"/>
      <c r="E1515" s="1019"/>
      <c r="F1515" s="1019"/>
      <c r="G1515" s="1019"/>
      <c r="H1515" s="1019"/>
      <c r="I1515" s="1140"/>
    </row>
    <row r="1516" spans="1:9" x14ac:dyDescent="0.35">
      <c r="A1516" s="1019"/>
      <c r="B1516" s="1019"/>
      <c r="C1516" s="1019"/>
      <c r="D1516" s="3188"/>
      <c r="E1516" s="1019"/>
      <c r="F1516" s="1019"/>
      <c r="G1516" s="1019"/>
      <c r="H1516" s="1019"/>
      <c r="I1516" s="1140"/>
    </row>
    <row r="1517" spans="1:9" x14ac:dyDescent="0.35">
      <c r="A1517" s="1019"/>
      <c r="B1517" s="1019"/>
      <c r="C1517" s="1019"/>
      <c r="D1517" s="3188"/>
      <c r="E1517" s="1019"/>
      <c r="F1517" s="1019"/>
      <c r="G1517" s="1019"/>
      <c r="H1517" s="1019"/>
      <c r="I1517" s="1140"/>
    </row>
    <row r="1518" spans="1:9" x14ac:dyDescent="0.35">
      <c r="A1518" s="1019"/>
      <c r="B1518" s="1019"/>
      <c r="C1518" s="1019"/>
      <c r="D1518" s="3188"/>
      <c r="E1518" s="1019"/>
      <c r="F1518" s="1019"/>
      <c r="G1518" s="1019"/>
      <c r="H1518" s="1019"/>
      <c r="I1518" s="1140"/>
    </row>
    <row r="1519" spans="1:9" x14ac:dyDescent="0.35">
      <c r="A1519" s="1019"/>
      <c r="B1519" s="1019"/>
      <c r="C1519" s="1019"/>
      <c r="D1519" s="3188"/>
      <c r="E1519" s="1019"/>
      <c r="F1519" s="1019"/>
      <c r="G1519" s="1019"/>
      <c r="H1519" s="1019"/>
      <c r="I1519" s="1140"/>
    </row>
    <row r="1520" spans="1:9" x14ac:dyDescent="0.35">
      <c r="A1520" s="1019"/>
      <c r="B1520" s="1019"/>
      <c r="C1520" s="1019"/>
      <c r="D1520" s="3188"/>
      <c r="E1520" s="1019"/>
      <c r="F1520" s="1019"/>
      <c r="G1520" s="1019"/>
      <c r="H1520" s="1019"/>
      <c r="I1520" s="1140"/>
    </row>
    <row r="1521" spans="1:9" x14ac:dyDescent="0.35">
      <c r="A1521" s="1019"/>
      <c r="B1521" s="1019"/>
      <c r="C1521" s="1019"/>
      <c r="D1521" s="3188"/>
      <c r="E1521" s="1019"/>
      <c r="F1521" s="1019"/>
      <c r="G1521" s="1019"/>
      <c r="H1521" s="1019"/>
      <c r="I1521" s="1140"/>
    </row>
    <row r="1522" spans="1:9" x14ac:dyDescent="0.35">
      <c r="A1522" s="1019"/>
      <c r="B1522" s="1019"/>
      <c r="C1522" s="1019"/>
      <c r="D1522" s="3188"/>
      <c r="E1522" s="1019"/>
      <c r="F1522" s="1019"/>
      <c r="G1522" s="1019"/>
      <c r="H1522" s="1019"/>
      <c r="I1522" s="1140"/>
    </row>
    <row r="1523" spans="1:9" x14ac:dyDescent="0.35">
      <c r="A1523" s="1019"/>
      <c r="B1523" s="1019"/>
      <c r="C1523" s="1019"/>
      <c r="D1523" s="3188"/>
      <c r="E1523" s="1019"/>
      <c r="F1523" s="1019"/>
      <c r="G1523" s="1019"/>
      <c r="H1523" s="1019"/>
      <c r="I1523" s="1140"/>
    </row>
    <row r="1524" spans="1:9" x14ac:dyDescent="0.35">
      <c r="A1524" s="1019"/>
      <c r="B1524" s="1019"/>
      <c r="C1524" s="1019"/>
      <c r="D1524" s="3188"/>
      <c r="E1524" s="1019"/>
      <c r="F1524" s="1019"/>
      <c r="G1524" s="1019"/>
      <c r="H1524" s="1019"/>
      <c r="I1524" s="1140"/>
    </row>
    <row r="1525" spans="1:9" x14ac:dyDescent="0.35">
      <c r="A1525" s="1019"/>
      <c r="B1525" s="1019"/>
      <c r="C1525" s="1019"/>
      <c r="D1525" s="3188"/>
      <c r="E1525" s="1019"/>
      <c r="F1525" s="1019"/>
      <c r="G1525" s="1019"/>
      <c r="H1525" s="1019"/>
      <c r="I1525" s="1140"/>
    </row>
    <row r="1526" spans="1:9" x14ac:dyDescent="0.35">
      <c r="A1526" s="1019"/>
      <c r="B1526" s="1019"/>
      <c r="C1526" s="1019"/>
      <c r="D1526" s="3188"/>
      <c r="E1526" s="1019"/>
      <c r="F1526" s="1019"/>
      <c r="G1526" s="1019"/>
      <c r="H1526" s="1019"/>
      <c r="I1526" s="1140"/>
    </row>
    <row r="1527" spans="1:9" x14ac:dyDescent="0.35">
      <c r="A1527" s="1019"/>
      <c r="B1527" s="1019"/>
      <c r="C1527" s="1019"/>
      <c r="D1527" s="3188"/>
      <c r="E1527" s="1019"/>
      <c r="F1527" s="1019"/>
      <c r="G1527" s="1019"/>
      <c r="H1527" s="1019"/>
      <c r="I1527" s="1140"/>
    </row>
    <row r="1528" spans="1:9" x14ac:dyDescent="0.35">
      <c r="A1528" s="1019"/>
      <c r="B1528" s="1019"/>
      <c r="C1528" s="1019"/>
      <c r="D1528" s="3188"/>
      <c r="E1528" s="1019"/>
      <c r="F1528" s="1019"/>
      <c r="G1528" s="1019"/>
      <c r="H1528" s="1019"/>
      <c r="I1528" s="1140"/>
    </row>
    <row r="1529" spans="1:9" x14ac:dyDescent="0.35">
      <c r="A1529" s="1019"/>
      <c r="B1529" s="1019"/>
      <c r="C1529" s="1019"/>
      <c r="D1529" s="3188"/>
      <c r="E1529" s="1019"/>
      <c r="F1529" s="1019"/>
      <c r="G1529" s="1019"/>
      <c r="H1529" s="1019"/>
      <c r="I1529" s="1140"/>
    </row>
    <row r="1530" spans="1:9" x14ac:dyDescent="0.35">
      <c r="A1530" s="1019"/>
      <c r="B1530" s="1019"/>
      <c r="C1530" s="1019"/>
      <c r="D1530" s="3188"/>
      <c r="E1530" s="1019"/>
      <c r="F1530" s="1019"/>
      <c r="G1530" s="1019"/>
      <c r="H1530" s="1019"/>
      <c r="I1530" s="1140"/>
    </row>
    <row r="1531" spans="1:9" x14ac:dyDescent="0.35">
      <c r="A1531" s="1019"/>
      <c r="B1531" s="1019"/>
      <c r="C1531" s="1019"/>
      <c r="D1531" s="3188"/>
      <c r="E1531" s="1019"/>
      <c r="F1531" s="1019"/>
      <c r="G1531" s="1019"/>
      <c r="H1531" s="1019"/>
      <c r="I1531" s="1140"/>
    </row>
    <row r="1532" spans="1:9" x14ac:dyDescent="0.35">
      <c r="A1532" s="1019"/>
      <c r="B1532" s="1019"/>
      <c r="C1532" s="1019"/>
      <c r="D1532" s="3188"/>
      <c r="E1532" s="1019"/>
      <c r="F1532" s="1019"/>
      <c r="G1532" s="1019"/>
      <c r="H1532" s="1019"/>
      <c r="I1532" s="1140"/>
    </row>
    <row r="1533" spans="1:9" x14ac:dyDescent="0.35">
      <c r="A1533" s="1019"/>
      <c r="B1533" s="1019"/>
      <c r="C1533" s="1019"/>
      <c r="D1533" s="3188"/>
      <c r="E1533" s="1019"/>
      <c r="F1533" s="1019"/>
      <c r="G1533" s="1019"/>
      <c r="H1533" s="1019"/>
      <c r="I1533" s="1140"/>
    </row>
    <row r="1534" spans="1:9" x14ac:dyDescent="0.35">
      <c r="A1534" s="1019"/>
      <c r="B1534" s="1019"/>
      <c r="C1534" s="1019"/>
      <c r="D1534" s="3188"/>
      <c r="E1534" s="1019"/>
      <c r="F1534" s="1019"/>
      <c r="G1534" s="1019"/>
      <c r="H1534" s="1019"/>
      <c r="I1534" s="1140"/>
    </row>
    <row r="1535" spans="1:9" x14ac:dyDescent="0.35">
      <c r="A1535" s="1019"/>
      <c r="B1535" s="1019"/>
      <c r="C1535" s="1019"/>
      <c r="D1535" s="3188"/>
      <c r="E1535" s="1019"/>
      <c r="F1535" s="1019"/>
      <c r="G1535" s="1019"/>
      <c r="H1535" s="1019"/>
      <c r="I1535" s="1140"/>
    </row>
    <row r="1536" spans="1:9" x14ac:dyDescent="0.35">
      <c r="A1536" s="1019"/>
      <c r="B1536" s="1019"/>
      <c r="C1536" s="1019"/>
      <c r="D1536" s="3188"/>
      <c r="E1536" s="1019"/>
      <c r="F1536" s="1019"/>
      <c r="G1536" s="1019"/>
      <c r="H1536" s="1019"/>
      <c r="I1536" s="1140"/>
    </row>
    <row r="1537" spans="1:9" x14ac:dyDescent="0.35">
      <c r="A1537" s="1019"/>
      <c r="B1537" s="1019"/>
      <c r="C1537" s="1019"/>
      <c r="D1537" s="3188"/>
      <c r="E1537" s="1019"/>
      <c r="F1537" s="1019"/>
      <c r="G1537" s="1019"/>
      <c r="H1537" s="1019"/>
      <c r="I1537" s="1140"/>
    </row>
    <row r="1538" spans="1:9" x14ac:dyDescent="0.35">
      <c r="A1538" s="1019"/>
      <c r="B1538" s="1019"/>
      <c r="C1538" s="1019"/>
      <c r="D1538" s="3188"/>
      <c r="E1538" s="1019"/>
      <c r="F1538" s="1019"/>
      <c r="G1538" s="1019"/>
      <c r="H1538" s="1019"/>
      <c r="I1538" s="1140"/>
    </row>
    <row r="1539" spans="1:9" x14ac:dyDescent="0.35">
      <c r="A1539" s="1019"/>
      <c r="B1539" s="1019"/>
      <c r="C1539" s="1019"/>
      <c r="D1539" s="3188"/>
      <c r="E1539" s="1019"/>
      <c r="F1539" s="1019"/>
      <c r="G1539" s="1019"/>
      <c r="H1539" s="1019"/>
      <c r="I1539" s="1140"/>
    </row>
    <row r="1540" spans="1:9" x14ac:dyDescent="0.35">
      <c r="A1540" s="1019"/>
      <c r="B1540" s="1019"/>
      <c r="C1540" s="1019"/>
      <c r="D1540" s="3188"/>
      <c r="E1540" s="1019"/>
      <c r="F1540" s="1019"/>
      <c r="G1540" s="1019"/>
      <c r="H1540" s="1019"/>
      <c r="I1540" s="1140"/>
    </row>
    <row r="1541" spans="1:9" x14ac:dyDescent="0.35">
      <c r="A1541" s="1019"/>
      <c r="B1541" s="1019"/>
      <c r="C1541" s="1019"/>
      <c r="D1541" s="3188"/>
      <c r="E1541" s="1019"/>
      <c r="F1541" s="1019"/>
      <c r="G1541" s="1019"/>
      <c r="H1541" s="1019"/>
      <c r="I1541" s="1140"/>
    </row>
    <row r="1542" spans="1:9" x14ac:dyDescent="0.35">
      <c r="A1542" s="1019"/>
      <c r="B1542" s="1019"/>
      <c r="C1542" s="1019"/>
      <c r="D1542" s="3188"/>
      <c r="E1542" s="1019"/>
      <c r="F1542" s="1019"/>
      <c r="G1542" s="1019"/>
      <c r="H1542" s="1019"/>
      <c r="I1542" s="1140"/>
    </row>
    <row r="1543" spans="1:9" x14ac:dyDescent="0.35">
      <c r="A1543" s="1019"/>
      <c r="B1543" s="1019"/>
      <c r="C1543" s="1019"/>
      <c r="D1543" s="3188"/>
      <c r="E1543" s="1019"/>
      <c r="F1543" s="1019"/>
      <c r="G1543" s="1019"/>
      <c r="H1543" s="1019"/>
      <c r="I1543" s="1140"/>
    </row>
    <row r="1544" spans="1:9" x14ac:dyDescent="0.35">
      <c r="A1544" s="1019"/>
      <c r="B1544" s="1019"/>
      <c r="C1544" s="1019"/>
      <c r="D1544" s="3188"/>
      <c r="E1544" s="1019"/>
      <c r="F1544" s="1019"/>
      <c r="G1544" s="1019"/>
      <c r="H1544" s="1019"/>
      <c r="I1544" s="1140"/>
    </row>
    <row r="1545" spans="1:9" x14ac:dyDescent="0.35">
      <c r="A1545" s="1019"/>
      <c r="B1545" s="1019"/>
      <c r="C1545" s="1019"/>
      <c r="D1545" s="3188"/>
      <c r="E1545" s="1019"/>
      <c r="F1545" s="1019"/>
      <c r="G1545" s="1019"/>
      <c r="H1545" s="1019"/>
      <c r="I1545" s="1140"/>
    </row>
    <row r="1546" spans="1:9" x14ac:dyDescent="0.35">
      <c r="A1546" s="1019"/>
      <c r="B1546" s="1019"/>
      <c r="C1546" s="1019"/>
      <c r="D1546" s="3188"/>
      <c r="E1546" s="1019"/>
      <c r="F1546" s="1019"/>
      <c r="G1546" s="1019"/>
      <c r="H1546" s="1019"/>
      <c r="I1546" s="1140"/>
    </row>
    <row r="1547" spans="1:9" x14ac:dyDescent="0.35">
      <c r="A1547" s="1019"/>
      <c r="B1547" s="1019"/>
      <c r="C1547" s="1019"/>
      <c r="D1547" s="3188"/>
      <c r="E1547" s="1019"/>
      <c r="F1547" s="1019"/>
      <c r="G1547" s="1019"/>
      <c r="H1547" s="1019"/>
      <c r="I1547" s="1140"/>
    </row>
    <row r="1548" spans="1:9" x14ac:dyDescent="0.35">
      <c r="A1548" s="1019"/>
      <c r="B1548" s="1019"/>
      <c r="C1548" s="1019"/>
      <c r="D1548" s="3188"/>
      <c r="E1548" s="1019"/>
      <c r="F1548" s="1019"/>
      <c r="G1548" s="1019"/>
      <c r="H1548" s="1019"/>
      <c r="I1548" s="1140"/>
    </row>
    <row r="1549" spans="1:9" x14ac:dyDescent="0.35">
      <c r="A1549" s="1019"/>
      <c r="B1549" s="1019"/>
      <c r="C1549" s="1019"/>
      <c r="D1549" s="3188"/>
      <c r="E1549" s="1019"/>
      <c r="F1549" s="1019"/>
      <c r="G1549" s="1019"/>
      <c r="H1549" s="1019"/>
      <c r="I1549" s="1140"/>
    </row>
    <row r="1550" spans="1:9" x14ac:dyDescent="0.35">
      <c r="A1550" s="1019"/>
      <c r="B1550" s="1019"/>
      <c r="C1550" s="1019"/>
      <c r="D1550" s="3188"/>
      <c r="E1550" s="1019"/>
      <c r="F1550" s="1019"/>
      <c r="G1550" s="1019"/>
      <c r="H1550" s="1019"/>
      <c r="I1550" s="1140"/>
    </row>
    <row r="1551" spans="1:9" x14ac:dyDescent="0.35">
      <c r="A1551" s="1019"/>
      <c r="B1551" s="1019"/>
      <c r="C1551" s="1019"/>
      <c r="D1551" s="3188"/>
      <c r="E1551" s="1019"/>
      <c r="F1551" s="1019"/>
      <c r="G1551" s="1019"/>
      <c r="H1551" s="1019"/>
      <c r="I1551" s="1140"/>
    </row>
    <row r="1552" spans="1:9" x14ac:dyDescent="0.35">
      <c r="A1552" s="1019"/>
      <c r="B1552" s="1019"/>
      <c r="C1552" s="1019"/>
      <c r="D1552" s="3188"/>
      <c r="E1552" s="1019"/>
      <c r="F1552" s="1019"/>
      <c r="G1552" s="1019"/>
      <c r="H1552" s="1019"/>
      <c r="I1552" s="1140"/>
    </row>
    <row r="1553" spans="1:9" x14ac:dyDescent="0.35">
      <c r="A1553" s="1019"/>
      <c r="B1553" s="1019"/>
      <c r="C1553" s="1019"/>
      <c r="D1553" s="3188"/>
      <c r="E1553" s="1019"/>
      <c r="F1553" s="1019"/>
      <c r="G1553" s="1019"/>
      <c r="H1553" s="1019"/>
      <c r="I1553" s="1140"/>
    </row>
    <row r="1554" spans="1:9" x14ac:dyDescent="0.35">
      <c r="A1554" s="1019"/>
      <c r="B1554" s="1019"/>
      <c r="C1554" s="1019"/>
      <c r="D1554" s="3188"/>
      <c r="E1554" s="1019"/>
      <c r="F1554" s="1019"/>
      <c r="G1554" s="1019"/>
      <c r="H1554" s="1019"/>
      <c r="I1554" s="1140"/>
    </row>
    <row r="1555" spans="1:9" x14ac:dyDescent="0.35">
      <c r="A1555" s="1019"/>
      <c r="B1555" s="1019"/>
      <c r="C1555" s="1019"/>
      <c r="D1555" s="3188"/>
      <c r="E1555" s="1019"/>
      <c r="F1555" s="1019"/>
      <c r="G1555" s="1019"/>
      <c r="H1555" s="1019"/>
      <c r="I1555" s="1140"/>
    </row>
    <row r="1556" spans="1:9" x14ac:dyDescent="0.35">
      <c r="A1556" s="1019"/>
      <c r="B1556" s="1019"/>
      <c r="C1556" s="1019"/>
      <c r="D1556" s="3188"/>
      <c r="E1556" s="1019"/>
      <c r="F1556" s="1019"/>
      <c r="G1556" s="1019"/>
      <c r="H1556" s="1019"/>
      <c r="I1556" s="1140"/>
    </row>
    <row r="1557" spans="1:9" x14ac:dyDescent="0.35">
      <c r="A1557" s="1019"/>
      <c r="B1557" s="1019"/>
      <c r="C1557" s="1019"/>
      <c r="D1557" s="3188"/>
      <c r="E1557" s="1019"/>
      <c r="F1557" s="1019"/>
      <c r="G1557" s="1019"/>
      <c r="H1557" s="1019"/>
      <c r="I1557" s="1140"/>
    </row>
    <row r="1558" spans="1:9" x14ac:dyDescent="0.35">
      <c r="A1558" s="1019"/>
      <c r="B1558" s="1019"/>
      <c r="C1558" s="1019"/>
      <c r="D1558" s="3188"/>
      <c r="E1558" s="1019"/>
      <c r="F1558" s="1019"/>
      <c r="G1558" s="1019"/>
      <c r="H1558" s="1019"/>
      <c r="I1558" s="1140"/>
    </row>
    <row r="1559" spans="1:9" x14ac:dyDescent="0.35">
      <c r="A1559" s="1019"/>
      <c r="B1559" s="1019"/>
      <c r="C1559" s="1019"/>
      <c r="D1559" s="3188"/>
      <c r="E1559" s="1019"/>
      <c r="F1559" s="1019"/>
      <c r="G1559" s="1019"/>
      <c r="H1559" s="1019"/>
      <c r="I1559" s="1140"/>
    </row>
    <row r="1560" spans="1:9" x14ac:dyDescent="0.35">
      <c r="A1560" s="1019"/>
      <c r="B1560" s="1019"/>
      <c r="C1560" s="1019"/>
      <c r="D1560" s="3188"/>
      <c r="E1560" s="1019"/>
      <c r="F1560" s="1019"/>
      <c r="G1560" s="1019"/>
      <c r="H1560" s="1019"/>
      <c r="I1560" s="1140"/>
    </row>
    <row r="1561" spans="1:9" x14ac:dyDescent="0.35">
      <c r="A1561" s="1019"/>
      <c r="B1561" s="1019"/>
      <c r="C1561" s="1019"/>
      <c r="D1561" s="3188"/>
      <c r="E1561" s="1019"/>
      <c r="F1561" s="1019"/>
      <c r="G1561" s="1019"/>
      <c r="H1561" s="1019"/>
      <c r="I1561" s="1140"/>
    </row>
    <row r="1562" spans="1:9" x14ac:dyDescent="0.35">
      <c r="A1562" s="1019"/>
      <c r="B1562" s="1019"/>
      <c r="C1562" s="1019"/>
      <c r="D1562" s="3188"/>
      <c r="E1562" s="1019"/>
      <c r="F1562" s="1019"/>
      <c r="G1562" s="1019"/>
      <c r="H1562" s="1019"/>
      <c r="I1562" s="1140"/>
    </row>
    <row r="1563" spans="1:9" x14ac:dyDescent="0.35">
      <c r="A1563" s="1019"/>
      <c r="B1563" s="1019"/>
      <c r="C1563" s="1019"/>
      <c r="D1563" s="3188"/>
      <c r="E1563" s="1019"/>
      <c r="F1563" s="1019"/>
      <c r="G1563" s="1019"/>
      <c r="H1563" s="1019"/>
      <c r="I1563" s="1140"/>
    </row>
    <row r="1564" spans="1:9" x14ac:dyDescent="0.35">
      <c r="A1564" s="1019"/>
      <c r="B1564" s="1019"/>
      <c r="C1564" s="1019"/>
      <c r="D1564" s="3188"/>
      <c r="E1564" s="1019"/>
      <c r="F1564" s="1019"/>
      <c r="G1564" s="1019"/>
      <c r="H1564" s="1019"/>
      <c r="I1564" s="1140"/>
    </row>
    <row r="1565" spans="1:9" x14ac:dyDescent="0.35">
      <c r="A1565" s="1019"/>
      <c r="B1565" s="1019"/>
      <c r="C1565" s="1019"/>
      <c r="D1565" s="3188"/>
      <c r="E1565" s="1019"/>
      <c r="F1565" s="1019"/>
      <c r="G1565" s="1019"/>
      <c r="H1565" s="1019"/>
      <c r="I1565" s="1140"/>
    </row>
    <row r="1566" spans="1:9" x14ac:dyDescent="0.35">
      <c r="A1566" s="1019"/>
      <c r="B1566" s="1019"/>
      <c r="C1566" s="1019"/>
      <c r="D1566" s="3188"/>
      <c r="E1566" s="1019"/>
      <c r="F1566" s="1019"/>
      <c r="G1566" s="1019"/>
      <c r="H1566" s="1019"/>
      <c r="I1566" s="1140"/>
    </row>
    <row r="1567" spans="1:9" x14ac:dyDescent="0.35">
      <c r="A1567" s="1019"/>
      <c r="B1567" s="1019"/>
      <c r="C1567" s="1019"/>
      <c r="D1567" s="3188"/>
      <c r="E1567" s="1019"/>
      <c r="F1567" s="1019"/>
      <c r="G1567" s="1019"/>
      <c r="H1567" s="1019"/>
      <c r="I1567" s="1140"/>
    </row>
    <row r="1568" spans="1:9" x14ac:dyDescent="0.35">
      <c r="A1568" s="1019"/>
      <c r="B1568" s="1019"/>
      <c r="C1568" s="1019"/>
      <c r="D1568" s="3188"/>
      <c r="E1568" s="1019"/>
      <c r="F1568" s="1019"/>
      <c r="G1568" s="1019"/>
      <c r="H1568" s="1019"/>
      <c r="I1568" s="1140"/>
    </row>
    <row r="1569" spans="1:9" x14ac:dyDescent="0.35">
      <c r="A1569" s="1019"/>
      <c r="B1569" s="1019"/>
      <c r="C1569" s="1019"/>
      <c r="D1569" s="3188"/>
      <c r="E1569" s="1019"/>
      <c r="F1569" s="1019"/>
      <c r="G1569" s="1019"/>
      <c r="H1569" s="1019"/>
      <c r="I1569" s="1140"/>
    </row>
    <row r="1570" spans="1:9" x14ac:dyDescent="0.35">
      <c r="A1570" s="1019"/>
      <c r="B1570" s="1019"/>
      <c r="C1570" s="1019"/>
      <c r="D1570" s="3188"/>
      <c r="E1570" s="1019"/>
      <c r="F1570" s="1019"/>
      <c r="G1570" s="1019"/>
      <c r="H1570" s="1019"/>
      <c r="I1570" s="1140"/>
    </row>
    <row r="1571" spans="1:9" x14ac:dyDescent="0.35">
      <c r="A1571" s="1019"/>
      <c r="B1571" s="1019"/>
      <c r="C1571" s="1019"/>
      <c r="D1571" s="3188"/>
      <c r="E1571" s="1019"/>
      <c r="F1571" s="1019"/>
      <c r="G1571" s="1019"/>
      <c r="H1571" s="1019"/>
      <c r="I1571" s="1140"/>
    </row>
    <row r="1572" spans="1:9" x14ac:dyDescent="0.35">
      <c r="A1572" s="1019"/>
      <c r="B1572" s="1019"/>
      <c r="C1572" s="1019"/>
      <c r="D1572" s="3188"/>
      <c r="E1572" s="1019"/>
      <c r="F1572" s="1019"/>
      <c r="G1572" s="1019"/>
      <c r="H1572" s="1019"/>
      <c r="I1572" s="1140"/>
    </row>
    <row r="1573" spans="1:9" x14ac:dyDescent="0.35">
      <c r="A1573" s="1019"/>
      <c r="B1573" s="1019"/>
      <c r="C1573" s="1019"/>
      <c r="D1573" s="3188"/>
      <c r="E1573" s="1019"/>
      <c r="F1573" s="1019"/>
      <c r="G1573" s="1019"/>
      <c r="H1573" s="1019"/>
      <c r="I1573" s="1140"/>
    </row>
    <row r="1574" spans="1:9" x14ac:dyDescent="0.35">
      <c r="A1574" s="1019"/>
      <c r="B1574" s="1019"/>
      <c r="C1574" s="1019"/>
      <c r="D1574" s="3188"/>
      <c r="E1574" s="1019"/>
      <c r="F1574" s="1019"/>
      <c r="G1574" s="1019"/>
      <c r="H1574" s="1019"/>
      <c r="I1574" s="1140"/>
    </row>
    <row r="1575" spans="1:9" x14ac:dyDescent="0.35">
      <c r="A1575" s="1019"/>
      <c r="B1575" s="1019"/>
      <c r="C1575" s="1019"/>
      <c r="D1575" s="3188"/>
      <c r="E1575" s="1019"/>
      <c r="F1575" s="1019"/>
      <c r="G1575" s="1019"/>
      <c r="H1575" s="1019"/>
      <c r="I1575" s="1140"/>
    </row>
    <row r="1576" spans="1:9" x14ac:dyDescent="0.35">
      <c r="A1576" s="1019"/>
      <c r="B1576" s="1019"/>
      <c r="C1576" s="1019"/>
      <c r="D1576" s="3188"/>
      <c r="E1576" s="1019"/>
      <c r="F1576" s="1019"/>
      <c r="G1576" s="1019"/>
      <c r="H1576" s="1019"/>
      <c r="I1576" s="1140"/>
    </row>
    <row r="1577" spans="1:9" x14ac:dyDescent="0.35">
      <c r="A1577" s="1019"/>
      <c r="B1577" s="1019"/>
      <c r="C1577" s="1019"/>
      <c r="D1577" s="3188"/>
      <c r="E1577" s="1019"/>
      <c r="F1577" s="1019"/>
      <c r="G1577" s="1019"/>
      <c r="H1577" s="1019"/>
      <c r="I1577" s="1140"/>
    </row>
    <row r="1578" spans="1:9" x14ac:dyDescent="0.35">
      <c r="A1578" s="1019"/>
      <c r="B1578" s="1019"/>
      <c r="C1578" s="1019"/>
      <c r="D1578" s="3188"/>
      <c r="E1578" s="1019"/>
      <c r="F1578" s="1019"/>
      <c r="G1578" s="1019"/>
      <c r="H1578" s="1019"/>
      <c r="I1578" s="1140"/>
    </row>
    <row r="1579" spans="1:9" x14ac:dyDescent="0.35">
      <c r="A1579" s="1019"/>
      <c r="B1579" s="1019"/>
      <c r="C1579" s="1019"/>
      <c r="D1579" s="3188"/>
      <c r="E1579" s="1019"/>
      <c r="F1579" s="1019"/>
      <c r="G1579" s="1019"/>
      <c r="H1579" s="1019"/>
      <c r="I1579" s="1140"/>
    </row>
    <row r="1580" spans="1:9" x14ac:dyDescent="0.35">
      <c r="A1580" s="1019"/>
      <c r="B1580" s="1019"/>
      <c r="C1580" s="1019"/>
      <c r="D1580" s="3188"/>
      <c r="E1580" s="1019"/>
      <c r="F1580" s="1019"/>
      <c r="G1580" s="1019"/>
      <c r="H1580" s="1019"/>
      <c r="I1580" s="1140"/>
    </row>
    <row r="1581" spans="1:9" x14ac:dyDescent="0.35">
      <c r="A1581" s="1019"/>
      <c r="B1581" s="1019"/>
      <c r="C1581" s="1019"/>
      <c r="D1581" s="3188"/>
      <c r="E1581" s="1019"/>
      <c r="F1581" s="1019"/>
      <c r="G1581" s="1019"/>
      <c r="H1581" s="1019"/>
      <c r="I1581" s="1140"/>
    </row>
    <row r="1582" spans="1:9" x14ac:dyDescent="0.35">
      <c r="A1582" s="1019"/>
      <c r="B1582" s="1019"/>
      <c r="C1582" s="1019"/>
      <c r="D1582" s="3188"/>
      <c r="E1582" s="1019"/>
      <c r="F1582" s="1019"/>
      <c r="G1582" s="1019"/>
      <c r="H1582" s="1019"/>
      <c r="I1582" s="1140"/>
    </row>
    <row r="1583" spans="1:9" x14ac:dyDescent="0.35">
      <c r="A1583" s="1019"/>
      <c r="B1583" s="1019"/>
      <c r="C1583" s="1019"/>
      <c r="D1583" s="3188"/>
      <c r="E1583" s="1019"/>
      <c r="F1583" s="1019"/>
      <c r="G1583" s="1019"/>
      <c r="H1583" s="1019"/>
      <c r="I1583" s="1140"/>
    </row>
    <row r="1584" spans="1:9" x14ac:dyDescent="0.35">
      <c r="A1584" s="1019"/>
      <c r="B1584" s="1019"/>
      <c r="C1584" s="1019"/>
      <c r="D1584" s="3188"/>
      <c r="E1584" s="1019"/>
      <c r="F1584" s="1019"/>
      <c r="G1584" s="1019"/>
      <c r="H1584" s="1019"/>
      <c r="I1584" s="1140"/>
    </row>
    <row r="1585" spans="1:9" x14ac:dyDescent="0.35">
      <c r="A1585" s="1019"/>
      <c r="B1585" s="1019"/>
      <c r="C1585" s="1019"/>
      <c r="D1585" s="3188"/>
      <c r="E1585" s="1019"/>
      <c r="F1585" s="1019"/>
      <c r="G1585" s="1019"/>
      <c r="H1585" s="1019"/>
      <c r="I1585" s="1140"/>
    </row>
    <row r="1586" spans="1:9" x14ac:dyDescent="0.35">
      <c r="A1586" s="1019"/>
      <c r="B1586" s="1019"/>
      <c r="C1586" s="1019"/>
      <c r="D1586" s="3188"/>
      <c r="E1586" s="1019"/>
      <c r="F1586" s="1019"/>
      <c r="G1586" s="1019"/>
      <c r="H1586" s="1019"/>
      <c r="I1586" s="1140"/>
    </row>
    <row r="1587" spans="1:9" x14ac:dyDescent="0.35">
      <c r="A1587" s="1019"/>
      <c r="B1587" s="1019"/>
      <c r="C1587" s="1019"/>
      <c r="D1587" s="3188"/>
      <c r="E1587" s="1019"/>
      <c r="F1587" s="1019"/>
      <c r="G1587" s="1019"/>
      <c r="H1587" s="1019"/>
      <c r="I1587" s="1140"/>
    </row>
    <row r="1588" spans="1:9" x14ac:dyDescent="0.35">
      <c r="A1588" s="1019"/>
      <c r="B1588" s="1019"/>
      <c r="C1588" s="1019"/>
      <c r="D1588" s="3188"/>
      <c r="E1588" s="1019"/>
      <c r="F1588" s="1019"/>
      <c r="G1588" s="1019"/>
      <c r="H1588" s="1019"/>
      <c r="I1588" s="1140"/>
    </row>
    <row r="1589" spans="1:9" x14ac:dyDescent="0.35">
      <c r="A1589" s="1019"/>
      <c r="B1589" s="1019"/>
      <c r="C1589" s="1019"/>
      <c r="D1589" s="3188"/>
      <c r="E1589" s="1019"/>
      <c r="F1589" s="1019"/>
      <c r="G1589" s="1019"/>
      <c r="H1589" s="1019"/>
      <c r="I1589" s="1140"/>
    </row>
    <row r="1590" spans="1:9" x14ac:dyDescent="0.35">
      <c r="A1590" s="1019"/>
      <c r="B1590" s="1019"/>
      <c r="C1590" s="1019"/>
      <c r="D1590" s="3188"/>
      <c r="E1590" s="1019"/>
      <c r="F1590" s="1019"/>
      <c r="G1590" s="1019"/>
      <c r="H1590" s="1019"/>
      <c r="I1590" s="1140"/>
    </row>
    <row r="1591" spans="1:9" x14ac:dyDescent="0.35">
      <c r="A1591" s="1019"/>
      <c r="B1591" s="1019"/>
      <c r="C1591" s="1019"/>
      <c r="D1591" s="3188"/>
      <c r="E1591" s="1019"/>
      <c r="F1591" s="1019"/>
      <c r="G1591" s="1019"/>
      <c r="H1591" s="1019"/>
      <c r="I1591" s="1140"/>
    </row>
    <row r="1592" spans="1:9" x14ac:dyDescent="0.35">
      <c r="A1592" s="1019"/>
      <c r="B1592" s="1019"/>
      <c r="C1592" s="1019"/>
      <c r="D1592" s="3188"/>
      <c r="E1592" s="1019"/>
      <c r="F1592" s="1019"/>
      <c r="G1592" s="1019"/>
      <c r="H1592" s="1019"/>
      <c r="I1592" s="1140"/>
    </row>
    <row r="1593" spans="1:9" x14ac:dyDescent="0.35">
      <c r="A1593" s="1019"/>
      <c r="B1593" s="1019"/>
      <c r="C1593" s="1019"/>
      <c r="D1593" s="3188"/>
      <c r="E1593" s="1019"/>
      <c r="F1593" s="1019"/>
      <c r="G1593" s="1019"/>
      <c r="H1593" s="1019"/>
      <c r="I1593" s="1140"/>
    </row>
    <row r="1594" spans="1:9" x14ac:dyDescent="0.35">
      <c r="A1594" s="1019"/>
      <c r="B1594" s="1019"/>
      <c r="C1594" s="1019"/>
      <c r="D1594" s="3188"/>
      <c r="E1594" s="1019"/>
      <c r="F1594" s="1019"/>
      <c r="G1594" s="1019"/>
      <c r="H1594" s="1019"/>
      <c r="I1594" s="1140"/>
    </row>
    <row r="1595" spans="1:9" x14ac:dyDescent="0.35">
      <c r="A1595" s="1019"/>
      <c r="B1595" s="1019"/>
      <c r="C1595" s="1019"/>
      <c r="D1595" s="3188"/>
      <c r="E1595" s="1019"/>
      <c r="F1595" s="1019"/>
      <c r="G1595" s="1019"/>
      <c r="H1595" s="1019"/>
      <c r="I1595" s="1140"/>
    </row>
    <row r="1596" spans="1:9" x14ac:dyDescent="0.35">
      <c r="A1596" s="1019"/>
      <c r="B1596" s="1019"/>
      <c r="C1596" s="1019"/>
      <c r="D1596" s="3188"/>
      <c r="E1596" s="1019"/>
      <c r="F1596" s="1019"/>
      <c r="G1596" s="1019"/>
      <c r="H1596" s="1019"/>
      <c r="I1596" s="1140"/>
    </row>
    <row r="1597" spans="1:9" x14ac:dyDescent="0.35">
      <c r="A1597" s="1019"/>
      <c r="B1597" s="1019"/>
      <c r="C1597" s="1019"/>
      <c r="D1597" s="3188"/>
      <c r="E1597" s="1019"/>
      <c r="F1597" s="1019"/>
      <c r="G1597" s="1019"/>
      <c r="H1597" s="1019"/>
      <c r="I1597" s="1140"/>
    </row>
    <row r="1598" spans="1:9" x14ac:dyDescent="0.35">
      <c r="A1598" s="1019"/>
      <c r="B1598" s="1019"/>
      <c r="C1598" s="1019"/>
      <c r="D1598" s="3188"/>
      <c r="E1598" s="1019"/>
      <c r="F1598" s="1019"/>
      <c r="G1598" s="1019"/>
      <c r="H1598" s="1019"/>
      <c r="I1598" s="1140"/>
    </row>
    <row r="1599" spans="1:9" x14ac:dyDescent="0.35">
      <c r="A1599" s="1019"/>
      <c r="B1599" s="1019"/>
      <c r="C1599" s="1019"/>
      <c r="D1599" s="3188"/>
      <c r="E1599" s="1019"/>
      <c r="F1599" s="1019"/>
      <c r="G1599" s="1019"/>
      <c r="H1599" s="1019"/>
      <c r="I1599" s="1140"/>
    </row>
    <row r="1600" spans="1:9" x14ac:dyDescent="0.35">
      <c r="A1600" s="1019"/>
      <c r="B1600" s="1019"/>
      <c r="C1600" s="1019"/>
      <c r="D1600" s="3188"/>
      <c r="E1600" s="1019"/>
      <c r="F1600" s="1019"/>
      <c r="G1600" s="1019"/>
      <c r="H1600" s="1019"/>
      <c r="I1600" s="1140"/>
    </row>
    <row r="1601" spans="1:9" x14ac:dyDescent="0.35">
      <c r="A1601" s="1019"/>
      <c r="B1601" s="1019"/>
      <c r="C1601" s="1019"/>
      <c r="D1601" s="3188"/>
      <c r="E1601" s="1019"/>
      <c r="F1601" s="1019"/>
      <c r="G1601" s="1019"/>
      <c r="H1601" s="1019"/>
      <c r="I1601" s="1140"/>
    </row>
    <row r="1602" spans="1:9" x14ac:dyDescent="0.35">
      <c r="A1602" s="1019"/>
      <c r="B1602" s="1019"/>
      <c r="C1602" s="1019"/>
      <c r="D1602" s="3188"/>
      <c r="E1602" s="1019"/>
      <c r="F1602" s="1019"/>
      <c r="G1602" s="1019"/>
      <c r="H1602" s="1019"/>
      <c r="I1602" s="1140"/>
    </row>
    <row r="1603" spans="1:9" x14ac:dyDescent="0.35">
      <c r="A1603" s="1019"/>
      <c r="B1603" s="1019"/>
      <c r="C1603" s="1019"/>
      <c r="D1603" s="3188"/>
      <c r="E1603" s="1019"/>
      <c r="F1603" s="1019"/>
      <c r="G1603" s="1019"/>
      <c r="H1603" s="1019"/>
      <c r="I1603" s="1140"/>
    </row>
    <row r="1604" spans="1:9" x14ac:dyDescent="0.35">
      <c r="A1604" s="1019"/>
      <c r="B1604" s="1019"/>
      <c r="C1604" s="1019"/>
      <c r="D1604" s="3188"/>
      <c r="E1604" s="1019"/>
      <c r="F1604" s="1019"/>
      <c r="G1604" s="1019"/>
      <c r="H1604" s="1019"/>
      <c r="I1604" s="1140"/>
    </row>
    <row r="1605" spans="1:9" x14ac:dyDescent="0.35">
      <c r="A1605" s="1019"/>
      <c r="B1605" s="1019"/>
      <c r="C1605" s="1019"/>
      <c r="D1605" s="3188"/>
      <c r="E1605" s="1019"/>
      <c r="F1605" s="1019"/>
      <c r="G1605" s="1019"/>
      <c r="H1605" s="1019"/>
      <c r="I1605" s="1140"/>
    </row>
    <row r="1606" spans="1:9" x14ac:dyDescent="0.35">
      <c r="A1606" s="1019"/>
      <c r="B1606" s="1019"/>
      <c r="C1606" s="1019"/>
      <c r="D1606" s="3188"/>
      <c r="E1606" s="1019"/>
      <c r="F1606" s="1019"/>
      <c r="G1606" s="1019"/>
      <c r="H1606" s="1019"/>
      <c r="I1606" s="1140"/>
    </row>
    <row r="1607" spans="1:9" x14ac:dyDescent="0.35">
      <c r="A1607" s="1019"/>
      <c r="B1607" s="1019"/>
      <c r="C1607" s="1019"/>
      <c r="D1607" s="3188"/>
      <c r="E1607" s="1019"/>
      <c r="F1607" s="1019"/>
      <c r="G1607" s="1019"/>
      <c r="H1607" s="1019"/>
      <c r="I1607" s="1140"/>
    </row>
    <row r="1608" spans="1:9" x14ac:dyDescent="0.35">
      <c r="A1608" s="1019"/>
      <c r="B1608" s="1019"/>
      <c r="C1608" s="1019"/>
      <c r="D1608" s="3188"/>
      <c r="E1608" s="1019"/>
      <c r="F1608" s="1019"/>
      <c r="G1608" s="1019"/>
      <c r="H1608" s="1019"/>
      <c r="I1608" s="1140"/>
    </row>
    <row r="1609" spans="1:9" x14ac:dyDescent="0.35">
      <c r="A1609" s="1019"/>
      <c r="B1609" s="1019"/>
      <c r="C1609" s="1019"/>
      <c r="D1609" s="3188"/>
      <c r="E1609" s="1019"/>
      <c r="F1609" s="1019"/>
      <c r="G1609" s="1019"/>
      <c r="H1609" s="1019"/>
      <c r="I1609" s="1140"/>
    </row>
    <row r="1610" spans="1:9" x14ac:dyDescent="0.35">
      <c r="A1610" s="1019"/>
      <c r="B1610" s="1019"/>
      <c r="C1610" s="1019"/>
      <c r="D1610" s="3188"/>
      <c r="E1610" s="1019"/>
      <c r="F1610" s="1019"/>
      <c r="G1610" s="1019"/>
      <c r="H1610" s="1019"/>
      <c r="I1610" s="1140"/>
    </row>
    <row r="1611" spans="1:9" x14ac:dyDescent="0.35">
      <c r="A1611" s="1019"/>
      <c r="B1611" s="1019"/>
      <c r="C1611" s="1019"/>
      <c r="D1611" s="3188"/>
      <c r="E1611" s="1019"/>
      <c r="F1611" s="1019"/>
      <c r="G1611" s="1019"/>
      <c r="H1611" s="1019"/>
      <c r="I1611" s="1140"/>
    </row>
    <row r="1612" spans="1:9" x14ac:dyDescent="0.35">
      <c r="A1612" s="1019"/>
      <c r="B1612" s="1019"/>
      <c r="C1612" s="1019"/>
      <c r="D1612" s="3188"/>
      <c r="E1612" s="1019"/>
      <c r="F1612" s="1019"/>
      <c r="G1612" s="1019"/>
      <c r="H1612" s="1019"/>
      <c r="I1612" s="1140"/>
    </row>
    <row r="1613" spans="1:9" x14ac:dyDescent="0.35">
      <c r="A1613" s="1019"/>
      <c r="B1613" s="1019"/>
      <c r="C1613" s="1019"/>
      <c r="D1613" s="3188"/>
      <c r="E1613" s="1019"/>
      <c r="F1613" s="1019"/>
      <c r="G1613" s="1019"/>
      <c r="H1613" s="1019"/>
      <c r="I1613" s="1140"/>
    </row>
    <row r="1614" spans="1:9" x14ac:dyDescent="0.35">
      <c r="A1614" s="1019"/>
      <c r="B1614" s="1019"/>
      <c r="C1614" s="1019"/>
      <c r="D1614" s="3188"/>
      <c r="E1614" s="1019"/>
      <c r="F1614" s="1019"/>
      <c r="G1614" s="1019"/>
      <c r="H1614" s="1019"/>
      <c r="I1614" s="1140"/>
    </row>
    <row r="1615" spans="1:9" x14ac:dyDescent="0.35">
      <c r="A1615" s="1019"/>
      <c r="B1615" s="1019"/>
      <c r="C1615" s="1019"/>
      <c r="D1615" s="3188"/>
      <c r="E1615" s="1019"/>
      <c r="F1615" s="1019"/>
      <c r="G1615" s="1019"/>
      <c r="H1615" s="1019"/>
      <c r="I1615" s="1140"/>
    </row>
    <row r="1616" spans="1:9" x14ac:dyDescent="0.35">
      <c r="A1616" s="1019"/>
      <c r="B1616" s="1019"/>
      <c r="C1616" s="1019"/>
      <c r="D1616" s="3188"/>
      <c r="E1616" s="1019"/>
      <c r="F1616" s="1019"/>
      <c r="G1616" s="1019"/>
      <c r="H1616" s="1019"/>
      <c r="I1616" s="1140"/>
    </row>
    <row r="1617" spans="1:9" x14ac:dyDescent="0.35">
      <c r="A1617" s="1019"/>
      <c r="B1617" s="1019"/>
      <c r="C1617" s="1019"/>
      <c r="D1617" s="3188"/>
      <c r="E1617" s="1019"/>
      <c r="F1617" s="1019"/>
      <c r="G1617" s="1019"/>
      <c r="H1617" s="1019"/>
      <c r="I1617" s="1140"/>
    </row>
    <row r="1618" spans="1:9" x14ac:dyDescent="0.35">
      <c r="A1618" s="1019"/>
      <c r="B1618" s="1019"/>
      <c r="C1618" s="1019"/>
      <c r="D1618" s="3188"/>
      <c r="E1618" s="1019"/>
      <c r="F1618" s="1019"/>
      <c r="G1618" s="1019"/>
      <c r="H1618" s="1019"/>
      <c r="I1618" s="1140"/>
    </row>
    <row r="1619" spans="1:9" x14ac:dyDescent="0.35">
      <c r="A1619" s="1019"/>
      <c r="B1619" s="1019"/>
      <c r="C1619" s="1019"/>
      <c r="D1619" s="3188"/>
      <c r="E1619" s="1019"/>
      <c r="F1619" s="1019"/>
      <c r="G1619" s="1019"/>
      <c r="H1619" s="1019"/>
      <c r="I1619" s="1140"/>
    </row>
    <row r="1620" spans="1:9" x14ac:dyDescent="0.35">
      <c r="A1620" s="1019"/>
      <c r="B1620" s="1019"/>
      <c r="C1620" s="1019"/>
      <c r="D1620" s="3188"/>
      <c r="E1620" s="1019"/>
      <c r="F1620" s="1019"/>
      <c r="G1620" s="1019"/>
      <c r="H1620" s="1019"/>
      <c r="I1620" s="1140"/>
    </row>
    <row r="1621" spans="1:9" x14ac:dyDescent="0.35">
      <c r="A1621" s="1019"/>
      <c r="B1621" s="1019"/>
      <c r="C1621" s="1019"/>
      <c r="D1621" s="3188"/>
      <c r="E1621" s="1019"/>
      <c r="F1621" s="1019"/>
      <c r="G1621" s="1019"/>
      <c r="H1621" s="1019"/>
      <c r="I1621" s="1140"/>
    </row>
    <row r="1622" spans="1:9" x14ac:dyDescent="0.35">
      <c r="A1622" s="1019"/>
      <c r="B1622" s="1019"/>
      <c r="C1622" s="1019"/>
      <c r="D1622" s="3188"/>
      <c r="E1622" s="1019"/>
      <c r="F1622" s="1019"/>
      <c r="G1622" s="1019"/>
      <c r="H1622" s="1019"/>
      <c r="I1622" s="1140"/>
    </row>
    <row r="1623" spans="1:9" x14ac:dyDescent="0.35">
      <c r="A1623" s="1019"/>
      <c r="B1623" s="1019"/>
      <c r="C1623" s="1019"/>
      <c r="D1623" s="3188"/>
      <c r="E1623" s="1019"/>
      <c r="F1623" s="1019"/>
      <c r="G1623" s="1019"/>
      <c r="H1623" s="1019"/>
      <c r="I1623" s="1140"/>
    </row>
    <row r="1624" spans="1:9" x14ac:dyDescent="0.35">
      <c r="A1624" s="1019"/>
      <c r="B1624" s="1019"/>
      <c r="C1624" s="1019"/>
      <c r="D1624" s="3188"/>
      <c r="E1624" s="1019"/>
      <c r="F1624" s="1019"/>
      <c r="G1624" s="1019"/>
      <c r="H1624" s="1019"/>
      <c r="I1624" s="1140"/>
    </row>
    <row r="1625" spans="1:9" x14ac:dyDescent="0.35">
      <c r="A1625" s="1019"/>
      <c r="B1625" s="1019"/>
      <c r="C1625" s="1019"/>
      <c r="D1625" s="3188"/>
      <c r="E1625" s="1019"/>
      <c r="F1625" s="1019"/>
      <c r="G1625" s="1019"/>
      <c r="H1625" s="1019"/>
      <c r="I1625" s="1140"/>
    </row>
    <row r="1626" spans="1:9" x14ac:dyDescent="0.35">
      <c r="A1626" s="1019"/>
      <c r="B1626" s="1019"/>
      <c r="C1626" s="1019"/>
      <c r="D1626" s="3188"/>
      <c r="E1626" s="1019"/>
      <c r="F1626" s="1019"/>
      <c r="G1626" s="1019"/>
      <c r="H1626" s="1019"/>
      <c r="I1626" s="1140"/>
    </row>
    <row r="1627" spans="1:9" x14ac:dyDescent="0.35">
      <c r="A1627" s="1019"/>
      <c r="B1627" s="1019"/>
      <c r="C1627" s="1019"/>
      <c r="D1627" s="3188"/>
      <c r="E1627" s="1019"/>
      <c r="F1627" s="1019"/>
      <c r="G1627" s="1019"/>
      <c r="H1627" s="1019"/>
      <c r="I1627" s="1140"/>
    </row>
    <row r="1628" spans="1:9" x14ac:dyDescent="0.35">
      <c r="A1628" s="1019"/>
      <c r="B1628" s="1019"/>
      <c r="C1628" s="1019"/>
      <c r="D1628" s="3188"/>
      <c r="E1628" s="1019"/>
      <c r="F1628" s="1019"/>
      <c r="G1628" s="1019"/>
      <c r="H1628" s="1019"/>
      <c r="I1628" s="1140"/>
    </row>
    <row r="1629" spans="1:9" x14ac:dyDescent="0.35">
      <c r="A1629" s="1019"/>
      <c r="B1629" s="1019"/>
      <c r="C1629" s="1019"/>
      <c r="D1629" s="3188"/>
      <c r="E1629" s="1019"/>
      <c r="F1629" s="1019"/>
      <c r="G1629" s="1019"/>
      <c r="H1629" s="1019"/>
      <c r="I1629" s="1140"/>
    </row>
    <row r="1630" spans="1:9" x14ac:dyDescent="0.35">
      <c r="A1630" s="1019"/>
      <c r="B1630" s="1019"/>
      <c r="C1630" s="1019"/>
      <c r="D1630" s="3188"/>
      <c r="E1630" s="1019"/>
      <c r="F1630" s="1019"/>
      <c r="G1630" s="1019"/>
      <c r="H1630" s="1019"/>
      <c r="I1630" s="1140"/>
    </row>
    <row r="1631" spans="1:9" x14ac:dyDescent="0.35">
      <c r="A1631" s="1019"/>
      <c r="B1631" s="1019"/>
      <c r="C1631" s="1019"/>
      <c r="D1631" s="3188"/>
      <c r="E1631" s="1019"/>
      <c r="F1631" s="1019"/>
      <c r="G1631" s="1019"/>
      <c r="H1631" s="1019"/>
      <c r="I1631" s="1140"/>
    </row>
    <row r="1632" spans="1:9" x14ac:dyDescent="0.35">
      <c r="A1632" s="1019"/>
      <c r="B1632" s="1019"/>
      <c r="C1632" s="1019"/>
      <c r="D1632" s="3188"/>
      <c r="E1632" s="1019"/>
      <c r="F1632" s="1019"/>
      <c r="G1632" s="1019"/>
      <c r="H1632" s="1019"/>
      <c r="I1632" s="1140"/>
    </row>
    <row r="1633" spans="1:9" x14ac:dyDescent="0.35">
      <c r="A1633" s="1019"/>
      <c r="B1633" s="1019"/>
      <c r="C1633" s="1019"/>
      <c r="D1633" s="3188"/>
      <c r="E1633" s="1019"/>
      <c r="F1633" s="1019"/>
      <c r="G1633" s="1019"/>
      <c r="H1633" s="1019"/>
      <c r="I1633" s="1140"/>
    </row>
    <row r="1634" spans="1:9" x14ac:dyDescent="0.35">
      <c r="A1634" s="1019"/>
      <c r="B1634" s="1019"/>
      <c r="C1634" s="1019"/>
      <c r="D1634" s="3188"/>
      <c r="E1634" s="1019"/>
      <c r="F1634" s="1019"/>
      <c r="G1634" s="1019"/>
      <c r="H1634" s="1019"/>
      <c r="I1634" s="1140"/>
    </row>
    <row r="1635" spans="1:9" x14ac:dyDescent="0.35">
      <c r="A1635" s="1019"/>
      <c r="B1635" s="1019"/>
      <c r="C1635" s="1019"/>
      <c r="D1635" s="3188"/>
      <c r="E1635" s="1019"/>
      <c r="F1635" s="1019"/>
      <c r="G1635" s="1019"/>
      <c r="H1635" s="1019"/>
      <c r="I1635" s="1140"/>
    </row>
    <row r="1636" spans="1:9" x14ac:dyDescent="0.35">
      <c r="A1636" s="1019"/>
      <c r="B1636" s="1019"/>
      <c r="C1636" s="1019"/>
      <c r="D1636" s="3188"/>
      <c r="E1636" s="1019"/>
      <c r="F1636" s="1019"/>
      <c r="G1636" s="1019"/>
      <c r="H1636" s="1019"/>
      <c r="I1636" s="1140"/>
    </row>
    <row r="1637" spans="1:9" x14ac:dyDescent="0.35">
      <c r="A1637" s="1019"/>
      <c r="B1637" s="1019"/>
      <c r="C1637" s="1019"/>
      <c r="D1637" s="3188"/>
      <c r="E1637" s="1019"/>
      <c r="F1637" s="1019"/>
      <c r="G1637" s="1019"/>
      <c r="H1637" s="1019"/>
      <c r="I1637" s="1140"/>
    </row>
    <row r="1638" spans="1:9" x14ac:dyDescent="0.35">
      <c r="A1638" s="1019"/>
      <c r="B1638" s="1019"/>
      <c r="C1638" s="1019"/>
      <c r="D1638" s="3188"/>
      <c r="E1638" s="1019"/>
      <c r="F1638" s="1019"/>
      <c r="G1638" s="1019"/>
      <c r="H1638" s="1019"/>
      <c r="I1638" s="1140"/>
    </row>
    <row r="1639" spans="1:9" x14ac:dyDescent="0.35">
      <c r="A1639" s="1019"/>
      <c r="B1639" s="1019"/>
      <c r="C1639" s="1019"/>
      <c r="D1639" s="3188"/>
      <c r="E1639" s="1019"/>
      <c r="F1639" s="1019"/>
      <c r="G1639" s="1019"/>
      <c r="H1639" s="1019"/>
      <c r="I1639" s="1140"/>
    </row>
    <row r="1640" spans="1:9" x14ac:dyDescent="0.35">
      <c r="A1640" s="1019"/>
      <c r="B1640" s="1019"/>
      <c r="C1640" s="1019"/>
      <c r="D1640" s="3188"/>
      <c r="E1640" s="1019"/>
      <c r="F1640" s="1019"/>
      <c r="G1640" s="1019"/>
      <c r="H1640" s="1019"/>
      <c r="I1640" s="1140"/>
    </row>
    <row r="1641" spans="1:9" x14ac:dyDescent="0.35">
      <c r="A1641" s="1019"/>
      <c r="B1641" s="1019"/>
      <c r="C1641" s="1019"/>
      <c r="D1641" s="3188"/>
      <c r="E1641" s="1019"/>
      <c r="F1641" s="1019"/>
      <c r="G1641" s="1019"/>
      <c r="H1641" s="1019"/>
      <c r="I1641" s="1140"/>
    </row>
    <row r="1642" spans="1:9" x14ac:dyDescent="0.35">
      <c r="A1642" s="1019"/>
      <c r="B1642" s="1019"/>
      <c r="C1642" s="1019"/>
      <c r="D1642" s="3188"/>
      <c r="E1642" s="1019"/>
      <c r="F1642" s="1019"/>
      <c r="G1642" s="1019"/>
      <c r="H1642" s="1019"/>
      <c r="I1642" s="1140"/>
    </row>
    <row r="1643" spans="1:9" x14ac:dyDescent="0.35">
      <c r="A1643" s="1019"/>
      <c r="B1643" s="1019"/>
      <c r="C1643" s="1019"/>
      <c r="D1643" s="3188"/>
      <c r="E1643" s="1019"/>
      <c r="F1643" s="1019"/>
      <c r="G1643" s="1019"/>
      <c r="H1643" s="1019"/>
      <c r="I1643" s="1140"/>
    </row>
    <row r="1644" spans="1:9" x14ac:dyDescent="0.35">
      <c r="A1644" s="1019"/>
      <c r="B1644" s="1019"/>
      <c r="C1644" s="1019"/>
      <c r="D1644" s="3188"/>
      <c r="E1644" s="1019"/>
      <c r="F1644" s="1019"/>
      <c r="G1644" s="1019"/>
      <c r="H1644" s="1019"/>
      <c r="I1644" s="1140"/>
    </row>
    <row r="1645" spans="1:9" x14ac:dyDescent="0.35">
      <c r="A1645" s="1019"/>
      <c r="B1645" s="1019"/>
      <c r="C1645" s="1019"/>
      <c r="D1645" s="3188"/>
      <c r="E1645" s="1019"/>
      <c r="F1645" s="1019"/>
      <c r="G1645" s="1019"/>
      <c r="H1645" s="1019"/>
      <c r="I1645" s="1140"/>
    </row>
    <row r="1646" spans="1:9" x14ac:dyDescent="0.35">
      <c r="A1646" s="1019"/>
      <c r="B1646" s="1019"/>
      <c r="C1646" s="1019"/>
      <c r="D1646" s="3188"/>
      <c r="E1646" s="1019"/>
      <c r="F1646" s="1019"/>
      <c r="G1646" s="1019"/>
      <c r="H1646" s="1019"/>
      <c r="I1646" s="1140"/>
    </row>
    <row r="1647" spans="1:9" x14ac:dyDescent="0.35">
      <c r="A1647" s="1019"/>
      <c r="B1647" s="1019"/>
      <c r="C1647" s="1019"/>
      <c r="D1647" s="3188"/>
      <c r="E1647" s="1019"/>
      <c r="F1647" s="1019"/>
      <c r="G1647" s="1019"/>
      <c r="H1647" s="1019"/>
      <c r="I1647" s="1140"/>
    </row>
    <row r="1648" spans="1:9" x14ac:dyDescent="0.35">
      <c r="A1648" s="1019"/>
      <c r="B1648" s="1019"/>
      <c r="C1648" s="1019"/>
      <c r="D1648" s="3188"/>
      <c r="E1648" s="1019"/>
      <c r="F1648" s="1019"/>
      <c r="G1648" s="1019"/>
      <c r="H1648" s="1019"/>
      <c r="I1648" s="1140"/>
    </row>
    <row r="1649" spans="1:9" x14ac:dyDescent="0.35">
      <c r="A1649" s="1019"/>
      <c r="B1649" s="1019"/>
      <c r="C1649" s="1019"/>
      <c r="D1649" s="3188"/>
      <c r="E1649" s="1019"/>
      <c r="F1649" s="1019"/>
      <c r="G1649" s="1019"/>
      <c r="H1649" s="1019"/>
      <c r="I1649" s="1140"/>
    </row>
    <row r="1650" spans="1:9" x14ac:dyDescent="0.35">
      <c r="A1650" s="1019"/>
      <c r="B1650" s="1019"/>
      <c r="C1650" s="1019"/>
      <c r="D1650" s="3188"/>
      <c r="E1650" s="1019"/>
      <c r="F1650" s="1019"/>
      <c r="G1650" s="1019"/>
      <c r="H1650" s="1019"/>
      <c r="I1650" s="1140"/>
    </row>
    <row r="1651" spans="1:9" x14ac:dyDescent="0.35">
      <c r="A1651" s="1019"/>
      <c r="B1651" s="1019"/>
      <c r="C1651" s="1019"/>
      <c r="D1651" s="3188"/>
      <c r="E1651" s="1019"/>
      <c r="F1651" s="1019"/>
      <c r="G1651" s="1019"/>
      <c r="H1651" s="1019"/>
      <c r="I1651" s="1140"/>
    </row>
    <row r="1652" spans="1:9" x14ac:dyDescent="0.35">
      <c r="A1652" s="1019"/>
      <c r="B1652" s="1019"/>
      <c r="C1652" s="1019"/>
      <c r="D1652" s="3188"/>
      <c r="E1652" s="1019"/>
      <c r="F1652" s="1019"/>
      <c r="G1652" s="1019"/>
      <c r="H1652" s="1019"/>
      <c r="I1652" s="1140"/>
    </row>
    <row r="1653" spans="1:9" x14ac:dyDescent="0.35">
      <c r="A1653" s="1019"/>
      <c r="B1653" s="1019"/>
      <c r="C1653" s="1019"/>
      <c r="D1653" s="3188"/>
      <c r="E1653" s="1019"/>
      <c r="F1653" s="1019"/>
      <c r="G1653" s="1019"/>
      <c r="H1653" s="1019"/>
      <c r="I1653" s="1140"/>
    </row>
    <row r="1654" spans="1:9" x14ac:dyDescent="0.35">
      <c r="A1654" s="1019"/>
      <c r="B1654" s="1019"/>
      <c r="C1654" s="1019"/>
      <c r="D1654" s="3188"/>
      <c r="E1654" s="1019"/>
      <c r="F1654" s="1019"/>
      <c r="G1654" s="1019"/>
      <c r="H1654" s="1019"/>
      <c r="I1654" s="1140"/>
    </row>
    <row r="1655" spans="1:9" x14ac:dyDescent="0.35">
      <c r="A1655" s="1019"/>
      <c r="B1655" s="1019"/>
      <c r="C1655" s="1019"/>
      <c r="D1655" s="3188"/>
      <c r="E1655" s="1019"/>
      <c r="F1655" s="1019"/>
      <c r="G1655" s="1019"/>
      <c r="H1655" s="1019"/>
      <c r="I1655" s="1140"/>
    </row>
    <row r="1656" spans="1:9" x14ac:dyDescent="0.35">
      <c r="A1656" s="1019"/>
      <c r="B1656" s="1019"/>
      <c r="C1656" s="1019"/>
      <c r="D1656" s="3188"/>
      <c r="E1656" s="1019"/>
      <c r="F1656" s="1019"/>
      <c r="G1656" s="1019"/>
      <c r="H1656" s="1019"/>
      <c r="I1656" s="1140"/>
    </row>
    <row r="1657" spans="1:9" x14ac:dyDescent="0.35">
      <c r="A1657" s="1019"/>
      <c r="B1657" s="1019"/>
      <c r="C1657" s="1019"/>
      <c r="D1657" s="3188"/>
      <c r="E1657" s="1019"/>
      <c r="F1657" s="1019"/>
      <c r="G1657" s="1019"/>
      <c r="H1657" s="1019"/>
      <c r="I1657" s="1140"/>
    </row>
    <row r="1658" spans="1:9" x14ac:dyDescent="0.35">
      <c r="A1658" s="1019"/>
      <c r="B1658" s="1019"/>
      <c r="C1658" s="1019"/>
      <c r="D1658" s="3188"/>
      <c r="E1658" s="1019"/>
      <c r="F1658" s="1019"/>
      <c r="G1658" s="1019"/>
      <c r="H1658" s="1019"/>
      <c r="I1658" s="1140"/>
    </row>
    <row r="1659" spans="1:9" x14ac:dyDescent="0.35">
      <c r="A1659" s="1019"/>
      <c r="B1659" s="1019"/>
      <c r="C1659" s="1019"/>
      <c r="D1659" s="3188"/>
      <c r="E1659" s="1019"/>
      <c r="F1659" s="1019"/>
      <c r="G1659" s="1019"/>
      <c r="H1659" s="1019"/>
      <c r="I1659" s="1140"/>
    </row>
    <row r="1660" spans="1:9" x14ac:dyDescent="0.35">
      <c r="A1660" s="1019"/>
      <c r="B1660" s="1019"/>
      <c r="C1660" s="1019"/>
      <c r="D1660" s="3188"/>
      <c r="E1660" s="1019"/>
      <c r="F1660" s="1019"/>
      <c r="G1660" s="1019"/>
      <c r="H1660" s="1019"/>
      <c r="I1660" s="1140"/>
    </row>
    <row r="1661" spans="1:9" x14ac:dyDescent="0.35">
      <c r="A1661" s="1019"/>
      <c r="B1661" s="1019"/>
      <c r="C1661" s="1019"/>
      <c r="D1661" s="3188"/>
      <c r="E1661" s="1019"/>
      <c r="F1661" s="1019"/>
      <c r="G1661" s="1019"/>
      <c r="H1661" s="1019"/>
      <c r="I1661" s="1140"/>
    </row>
    <row r="1662" spans="1:9" x14ac:dyDescent="0.35">
      <c r="A1662" s="1019"/>
      <c r="B1662" s="1019"/>
      <c r="C1662" s="1019"/>
      <c r="D1662" s="3188"/>
      <c r="E1662" s="1019"/>
      <c r="F1662" s="1019"/>
      <c r="G1662" s="1019"/>
      <c r="H1662" s="1019"/>
      <c r="I1662" s="1140"/>
    </row>
    <row r="1663" spans="1:9" x14ac:dyDescent="0.35">
      <c r="A1663" s="1019"/>
      <c r="B1663" s="1019"/>
      <c r="C1663" s="1019"/>
      <c r="D1663" s="3188"/>
      <c r="E1663" s="1019"/>
      <c r="F1663" s="1019"/>
      <c r="G1663" s="1019"/>
      <c r="H1663" s="1019"/>
      <c r="I1663" s="1140"/>
    </row>
    <row r="1664" spans="1:9" x14ac:dyDescent="0.35">
      <c r="A1664" s="1019"/>
      <c r="B1664" s="1019"/>
      <c r="C1664" s="1019"/>
      <c r="D1664" s="3188"/>
      <c r="E1664" s="1019"/>
      <c r="F1664" s="1019"/>
      <c r="G1664" s="1019"/>
      <c r="H1664" s="1019"/>
      <c r="I1664" s="1140"/>
    </row>
    <row r="1665" spans="1:9" x14ac:dyDescent="0.35">
      <c r="A1665" s="1019"/>
      <c r="B1665" s="1019"/>
      <c r="C1665" s="1019"/>
      <c r="D1665" s="3188"/>
      <c r="E1665" s="1019"/>
      <c r="F1665" s="1019"/>
      <c r="G1665" s="1019"/>
      <c r="H1665" s="1019"/>
      <c r="I1665" s="1140"/>
    </row>
    <row r="1666" spans="1:9" x14ac:dyDescent="0.35">
      <c r="A1666" s="1019"/>
      <c r="B1666" s="1019"/>
      <c r="C1666" s="1019"/>
      <c r="D1666" s="3188"/>
      <c r="E1666" s="1019"/>
      <c r="F1666" s="1019"/>
      <c r="G1666" s="1019"/>
      <c r="H1666" s="1019"/>
      <c r="I1666" s="1140"/>
    </row>
    <row r="1667" spans="1:9" x14ac:dyDescent="0.35">
      <c r="A1667" s="1019"/>
      <c r="B1667" s="1019"/>
      <c r="C1667" s="1019"/>
      <c r="D1667" s="3188"/>
      <c r="E1667" s="1019"/>
      <c r="F1667" s="1019"/>
      <c r="G1667" s="1019"/>
      <c r="H1667" s="1019"/>
      <c r="I1667" s="1140"/>
    </row>
    <row r="1668" spans="1:9" x14ac:dyDescent="0.35">
      <c r="A1668" s="1019"/>
      <c r="B1668" s="1019"/>
      <c r="C1668" s="1019"/>
      <c r="D1668" s="3188"/>
      <c r="E1668" s="1019"/>
      <c r="F1668" s="1019"/>
      <c r="G1668" s="1019"/>
      <c r="H1668" s="1019"/>
      <c r="I1668" s="1140"/>
    </row>
    <row r="1669" spans="1:9" x14ac:dyDescent="0.35">
      <c r="A1669" s="1019"/>
      <c r="B1669" s="1019"/>
      <c r="C1669" s="1019"/>
      <c r="D1669" s="3188"/>
      <c r="E1669" s="1019"/>
      <c r="F1669" s="1019"/>
      <c r="G1669" s="1019"/>
      <c r="H1669" s="1019"/>
      <c r="I1669" s="1140"/>
    </row>
    <row r="1670" spans="1:9" x14ac:dyDescent="0.35">
      <c r="A1670" s="1019"/>
      <c r="B1670" s="1019"/>
      <c r="C1670" s="1019"/>
      <c r="D1670" s="3188"/>
      <c r="E1670" s="1019"/>
      <c r="F1670" s="1019"/>
      <c r="G1670" s="1019"/>
      <c r="H1670" s="1019"/>
      <c r="I1670" s="1140"/>
    </row>
    <row r="1671" spans="1:9" x14ac:dyDescent="0.35">
      <c r="A1671" s="1019"/>
      <c r="B1671" s="1019"/>
      <c r="C1671" s="1019"/>
      <c r="D1671" s="3188"/>
      <c r="E1671" s="1019"/>
      <c r="F1671" s="1019"/>
      <c r="G1671" s="1019"/>
      <c r="H1671" s="1019"/>
      <c r="I1671" s="1140"/>
    </row>
    <row r="1672" spans="1:9" x14ac:dyDescent="0.35">
      <c r="A1672" s="1019"/>
      <c r="B1672" s="1019"/>
      <c r="C1672" s="1019"/>
      <c r="D1672" s="3188"/>
      <c r="E1672" s="1019"/>
      <c r="F1672" s="1019"/>
      <c r="G1672" s="1019"/>
      <c r="H1672" s="1019"/>
      <c r="I1672" s="1140"/>
    </row>
    <row r="1673" spans="1:9" x14ac:dyDescent="0.35">
      <c r="A1673" s="1019"/>
      <c r="B1673" s="1019"/>
      <c r="C1673" s="1019"/>
      <c r="D1673" s="3188"/>
      <c r="E1673" s="1019"/>
      <c r="F1673" s="1019"/>
      <c r="G1673" s="1019"/>
      <c r="H1673" s="1019"/>
      <c r="I1673" s="1140"/>
    </row>
    <row r="1674" spans="1:9" x14ac:dyDescent="0.35">
      <c r="A1674" s="1019"/>
      <c r="B1674" s="1019"/>
      <c r="C1674" s="1019"/>
      <c r="D1674" s="3188"/>
      <c r="E1674" s="1019"/>
      <c r="F1674" s="1019"/>
      <c r="G1674" s="1019"/>
      <c r="H1674" s="1019"/>
      <c r="I1674" s="1140"/>
    </row>
    <row r="1675" spans="1:9" x14ac:dyDescent="0.35">
      <c r="A1675" s="1019"/>
      <c r="B1675" s="1019"/>
      <c r="C1675" s="1019"/>
      <c r="D1675" s="3188"/>
      <c r="E1675" s="1019"/>
      <c r="F1675" s="1019"/>
      <c r="G1675" s="1019"/>
      <c r="H1675" s="1019"/>
      <c r="I1675" s="1140"/>
    </row>
    <row r="1676" spans="1:9" x14ac:dyDescent="0.35">
      <c r="A1676" s="1019"/>
      <c r="B1676" s="1019"/>
      <c r="C1676" s="1019"/>
      <c r="D1676" s="3188"/>
      <c r="E1676" s="1019"/>
      <c r="F1676" s="1019"/>
      <c r="G1676" s="1019"/>
      <c r="H1676" s="1019"/>
      <c r="I1676" s="1140"/>
    </row>
    <row r="1677" spans="1:9" x14ac:dyDescent="0.35">
      <c r="A1677" s="1019"/>
      <c r="B1677" s="1019"/>
      <c r="C1677" s="1019"/>
      <c r="D1677" s="3188"/>
      <c r="E1677" s="1019"/>
      <c r="F1677" s="1019"/>
      <c r="G1677" s="1019"/>
      <c r="H1677" s="1019"/>
      <c r="I1677" s="1140"/>
    </row>
    <row r="1678" spans="1:9" x14ac:dyDescent="0.35">
      <c r="A1678" s="1019"/>
      <c r="B1678" s="1019"/>
      <c r="C1678" s="1019"/>
      <c r="D1678" s="3188"/>
      <c r="E1678" s="1019"/>
      <c r="F1678" s="1019"/>
      <c r="G1678" s="1019"/>
      <c r="H1678" s="1019"/>
      <c r="I1678" s="1140"/>
    </row>
    <row r="1679" spans="1:9" x14ac:dyDescent="0.35">
      <c r="A1679" s="1019"/>
      <c r="B1679" s="1019"/>
      <c r="C1679" s="1019"/>
      <c r="D1679" s="3188"/>
      <c r="E1679" s="1019"/>
      <c r="F1679" s="1019"/>
      <c r="G1679" s="1019"/>
      <c r="H1679" s="1019"/>
      <c r="I1679" s="1140"/>
    </row>
    <row r="1680" spans="1:9" x14ac:dyDescent="0.35">
      <c r="A1680" s="1019"/>
      <c r="B1680" s="1019"/>
      <c r="C1680" s="1019"/>
      <c r="D1680" s="3188"/>
      <c r="E1680" s="1019"/>
      <c r="F1680" s="1019"/>
      <c r="G1680" s="1019"/>
      <c r="H1680" s="1019"/>
      <c r="I1680" s="1140"/>
    </row>
    <row r="1681" spans="1:9" x14ac:dyDescent="0.35">
      <c r="A1681" s="1019"/>
      <c r="B1681" s="1019"/>
      <c r="C1681" s="1019"/>
      <c r="D1681" s="3188"/>
      <c r="E1681" s="1019"/>
      <c r="F1681" s="1019"/>
      <c r="G1681" s="1019"/>
      <c r="H1681" s="1019"/>
      <c r="I1681" s="1140"/>
    </row>
    <row r="1682" spans="1:9" x14ac:dyDescent="0.35">
      <c r="A1682" s="1019"/>
      <c r="B1682" s="1019"/>
      <c r="C1682" s="1019"/>
      <c r="D1682" s="3188"/>
      <c r="E1682" s="1019"/>
      <c r="F1682" s="1019"/>
      <c r="G1682" s="1019"/>
      <c r="H1682" s="1019"/>
      <c r="I1682" s="1140"/>
    </row>
    <row r="1683" spans="1:9" x14ac:dyDescent="0.35">
      <c r="A1683" s="1019"/>
      <c r="B1683" s="1019"/>
      <c r="C1683" s="1019"/>
      <c r="D1683" s="3188"/>
      <c r="E1683" s="1019"/>
      <c r="F1683" s="1019"/>
      <c r="G1683" s="1019"/>
      <c r="H1683" s="1019"/>
      <c r="I1683" s="1140"/>
    </row>
    <row r="1684" spans="1:9" x14ac:dyDescent="0.35">
      <c r="A1684" s="1019"/>
      <c r="B1684" s="1019"/>
      <c r="C1684" s="1019"/>
      <c r="D1684" s="3188"/>
      <c r="E1684" s="1019"/>
      <c r="F1684" s="1019"/>
      <c r="G1684" s="1019"/>
      <c r="H1684" s="1019"/>
      <c r="I1684" s="1140"/>
    </row>
    <row r="1685" spans="1:9" x14ac:dyDescent="0.35">
      <c r="A1685" s="1019"/>
      <c r="B1685" s="1019"/>
      <c r="C1685" s="1019"/>
      <c r="D1685" s="3188"/>
      <c r="E1685" s="1019"/>
      <c r="F1685" s="1019"/>
      <c r="G1685" s="1019"/>
      <c r="H1685" s="1019"/>
      <c r="I1685" s="1140"/>
    </row>
    <row r="1686" spans="1:9" x14ac:dyDescent="0.35">
      <c r="A1686" s="1019"/>
      <c r="B1686" s="1019"/>
      <c r="C1686" s="1019"/>
      <c r="D1686" s="3188"/>
      <c r="E1686" s="1019"/>
      <c r="F1686" s="1019"/>
      <c r="G1686" s="1019"/>
      <c r="H1686" s="1019"/>
      <c r="I1686" s="1140"/>
    </row>
    <row r="1687" spans="1:9" x14ac:dyDescent="0.35">
      <c r="A1687" s="1019"/>
      <c r="B1687" s="1019"/>
      <c r="C1687" s="1019"/>
      <c r="D1687" s="3188"/>
      <c r="E1687" s="1019"/>
      <c r="F1687" s="1019"/>
      <c r="G1687" s="1019"/>
      <c r="H1687" s="1019"/>
      <c r="I1687" s="1140"/>
    </row>
    <row r="1688" spans="1:9" x14ac:dyDescent="0.35">
      <c r="A1688" s="1019"/>
      <c r="B1688" s="1019"/>
      <c r="C1688" s="1019"/>
      <c r="D1688" s="3188"/>
      <c r="E1688" s="1019"/>
      <c r="F1688" s="1019"/>
      <c r="G1688" s="1019"/>
      <c r="H1688" s="1019"/>
      <c r="I1688" s="1140"/>
    </row>
    <row r="1689" spans="1:9" x14ac:dyDescent="0.35">
      <c r="A1689" s="1019"/>
      <c r="B1689" s="1019"/>
      <c r="C1689" s="1019"/>
      <c r="D1689" s="3188"/>
      <c r="E1689" s="1019"/>
      <c r="F1689" s="1019"/>
      <c r="G1689" s="1019"/>
      <c r="H1689" s="1019"/>
      <c r="I1689" s="1140"/>
    </row>
    <row r="1690" spans="1:9" x14ac:dyDescent="0.35">
      <c r="A1690" s="1019"/>
      <c r="B1690" s="1019"/>
      <c r="C1690" s="1019"/>
      <c r="D1690" s="3188"/>
      <c r="E1690" s="1019"/>
      <c r="F1690" s="1019"/>
      <c r="G1690" s="1019"/>
      <c r="H1690" s="1019"/>
      <c r="I1690" s="1140"/>
    </row>
    <row r="1691" spans="1:9" x14ac:dyDescent="0.35">
      <c r="A1691" s="1019"/>
      <c r="B1691" s="1019"/>
      <c r="C1691" s="1019"/>
      <c r="D1691" s="3188"/>
      <c r="E1691" s="1019"/>
      <c r="F1691" s="1019"/>
      <c r="G1691" s="1019"/>
      <c r="H1691" s="1019"/>
      <c r="I1691" s="1140"/>
    </row>
    <row r="1692" spans="1:9" x14ac:dyDescent="0.35">
      <c r="A1692" s="1019"/>
      <c r="B1692" s="1019"/>
      <c r="C1692" s="1019"/>
      <c r="D1692" s="3188"/>
      <c r="E1692" s="1019"/>
      <c r="F1692" s="1019"/>
      <c r="G1692" s="1019"/>
      <c r="H1692" s="1019"/>
      <c r="I1692" s="1140"/>
    </row>
    <row r="1693" spans="1:9" x14ac:dyDescent="0.35">
      <c r="A1693" s="1019"/>
      <c r="B1693" s="1019"/>
      <c r="C1693" s="1019"/>
      <c r="D1693" s="3188"/>
      <c r="E1693" s="1019"/>
      <c r="F1693" s="1019"/>
      <c r="G1693" s="1019"/>
      <c r="H1693" s="1019"/>
      <c r="I1693" s="1140"/>
    </row>
    <row r="1694" spans="1:9" x14ac:dyDescent="0.35">
      <c r="A1694" s="1019"/>
      <c r="B1694" s="1019"/>
      <c r="C1694" s="1019"/>
      <c r="D1694" s="3188"/>
      <c r="E1694" s="1019"/>
      <c r="F1694" s="1019"/>
      <c r="G1694" s="1019"/>
      <c r="H1694" s="1019"/>
      <c r="I1694" s="1140"/>
    </row>
    <row r="1695" spans="1:9" x14ac:dyDescent="0.35">
      <c r="A1695" s="1019"/>
      <c r="B1695" s="1019"/>
      <c r="C1695" s="1019"/>
      <c r="D1695" s="3188"/>
      <c r="E1695" s="1019"/>
      <c r="F1695" s="1019"/>
      <c r="G1695" s="1019"/>
      <c r="H1695" s="1019"/>
      <c r="I1695" s="1140"/>
    </row>
    <row r="1696" spans="1:9" x14ac:dyDescent="0.35">
      <c r="A1696" s="1019"/>
      <c r="B1696" s="1019"/>
      <c r="C1696" s="1019"/>
      <c r="D1696" s="3188"/>
      <c r="E1696" s="1019"/>
      <c r="F1696" s="1019"/>
      <c r="G1696" s="1019"/>
      <c r="H1696" s="1019"/>
      <c r="I1696" s="1140"/>
    </row>
    <row r="1697" spans="1:9" x14ac:dyDescent="0.35">
      <c r="A1697" s="1019"/>
      <c r="B1697" s="1019"/>
      <c r="C1697" s="1019"/>
      <c r="D1697" s="3188"/>
      <c r="E1697" s="1019"/>
      <c r="F1697" s="1019"/>
      <c r="G1697" s="1019"/>
      <c r="H1697" s="1019"/>
      <c r="I1697" s="1140"/>
    </row>
    <row r="1698" spans="1:9" x14ac:dyDescent="0.35">
      <c r="A1698" s="1019"/>
      <c r="B1698" s="1019"/>
      <c r="C1698" s="1019"/>
      <c r="D1698" s="3188"/>
      <c r="E1698" s="1019"/>
      <c r="F1698" s="1019"/>
      <c r="G1698" s="1019"/>
      <c r="H1698" s="1019"/>
      <c r="I1698" s="1140"/>
    </row>
    <row r="1699" spans="1:9" x14ac:dyDescent="0.35">
      <c r="A1699" s="1019"/>
      <c r="B1699" s="1019"/>
      <c r="C1699" s="1019"/>
      <c r="D1699" s="3188"/>
      <c r="E1699" s="1019"/>
      <c r="F1699" s="1019"/>
      <c r="G1699" s="1019"/>
      <c r="H1699" s="1019"/>
      <c r="I1699" s="1140"/>
    </row>
    <row r="1700" spans="1:9" x14ac:dyDescent="0.35">
      <c r="A1700" s="1019"/>
      <c r="B1700" s="1019"/>
      <c r="C1700" s="1019"/>
      <c r="D1700" s="3188"/>
      <c r="E1700" s="1019"/>
      <c r="F1700" s="1019"/>
      <c r="G1700" s="1019"/>
      <c r="H1700" s="1019"/>
      <c r="I1700" s="1140"/>
    </row>
    <row r="1701" spans="1:9" x14ac:dyDescent="0.35">
      <c r="A1701" s="1019"/>
      <c r="B1701" s="1019"/>
      <c r="C1701" s="1019"/>
      <c r="D1701" s="3188"/>
      <c r="E1701" s="1019"/>
      <c r="F1701" s="1019"/>
      <c r="G1701" s="1019"/>
      <c r="H1701" s="1019"/>
      <c r="I1701" s="1140"/>
    </row>
    <row r="1702" spans="1:9" x14ac:dyDescent="0.35">
      <c r="A1702" s="1019"/>
      <c r="B1702" s="1019"/>
      <c r="C1702" s="1019"/>
      <c r="D1702" s="3188"/>
      <c r="E1702" s="1019"/>
      <c r="F1702" s="1019"/>
      <c r="G1702" s="1019"/>
      <c r="H1702" s="1019"/>
      <c r="I1702" s="1140"/>
    </row>
    <row r="1703" spans="1:9" x14ac:dyDescent="0.35">
      <c r="A1703" s="1019"/>
      <c r="B1703" s="1019"/>
      <c r="C1703" s="1019"/>
      <c r="D1703" s="3188"/>
      <c r="E1703" s="1019"/>
      <c r="F1703" s="1019"/>
      <c r="G1703" s="1019"/>
      <c r="H1703" s="1019"/>
      <c r="I1703" s="1140"/>
    </row>
    <row r="1704" spans="1:9" x14ac:dyDescent="0.35">
      <c r="A1704" s="1019"/>
      <c r="B1704" s="1019"/>
      <c r="C1704" s="1019"/>
      <c r="D1704" s="3188"/>
      <c r="E1704" s="1019"/>
      <c r="F1704" s="1019"/>
      <c r="G1704" s="1019"/>
      <c r="H1704" s="1019"/>
      <c r="I1704" s="1140"/>
    </row>
    <row r="1705" spans="1:9" x14ac:dyDescent="0.35">
      <c r="A1705" s="1019"/>
      <c r="B1705" s="1019"/>
      <c r="C1705" s="1019"/>
      <c r="D1705" s="3188"/>
      <c r="E1705" s="1019"/>
      <c r="F1705" s="1019"/>
      <c r="G1705" s="1019"/>
      <c r="H1705" s="1019"/>
      <c r="I1705" s="1140"/>
    </row>
    <row r="1706" spans="1:9" x14ac:dyDescent="0.35">
      <c r="A1706" s="1019"/>
      <c r="B1706" s="1019"/>
      <c r="C1706" s="1019"/>
      <c r="D1706" s="3188"/>
      <c r="E1706" s="1019"/>
      <c r="F1706" s="1019"/>
      <c r="G1706" s="1019"/>
      <c r="H1706" s="1019"/>
      <c r="I1706" s="1140"/>
    </row>
    <row r="1707" spans="1:9" x14ac:dyDescent="0.35">
      <c r="A1707" s="1019"/>
      <c r="B1707" s="1019"/>
      <c r="C1707" s="1019"/>
      <c r="D1707" s="3188"/>
      <c r="E1707" s="1019"/>
      <c r="F1707" s="1019"/>
      <c r="G1707" s="1019"/>
      <c r="H1707" s="1019"/>
      <c r="I1707" s="1140"/>
    </row>
    <row r="1708" spans="1:9" x14ac:dyDescent="0.35">
      <c r="A1708" s="1019"/>
      <c r="B1708" s="1019"/>
      <c r="C1708" s="1019"/>
      <c r="D1708" s="3188"/>
      <c r="E1708" s="1019"/>
      <c r="F1708" s="1019"/>
      <c r="G1708" s="1019"/>
      <c r="H1708" s="1019"/>
      <c r="I1708" s="1140"/>
    </row>
    <row r="1709" spans="1:9" x14ac:dyDescent="0.35">
      <c r="A1709" s="1019"/>
      <c r="B1709" s="1019"/>
      <c r="C1709" s="1019"/>
      <c r="D1709" s="3188"/>
      <c r="E1709" s="1019"/>
      <c r="F1709" s="1019"/>
      <c r="G1709" s="1019"/>
      <c r="H1709" s="1019"/>
      <c r="I1709" s="1140"/>
    </row>
    <row r="1710" spans="1:9" x14ac:dyDescent="0.35">
      <c r="A1710" s="1019"/>
      <c r="B1710" s="1019"/>
      <c r="C1710" s="1019"/>
      <c r="D1710" s="3188"/>
      <c r="E1710" s="1019"/>
      <c r="F1710" s="1019"/>
      <c r="G1710" s="1019"/>
      <c r="H1710" s="1019"/>
      <c r="I1710" s="1140"/>
    </row>
    <row r="1711" spans="1:9" x14ac:dyDescent="0.35">
      <c r="A1711" s="1019"/>
      <c r="B1711" s="1019"/>
      <c r="C1711" s="1019"/>
      <c r="D1711" s="3188"/>
      <c r="E1711" s="1019"/>
      <c r="F1711" s="1019"/>
      <c r="G1711" s="1019"/>
      <c r="H1711" s="1019"/>
      <c r="I1711" s="1140"/>
    </row>
    <row r="1712" spans="1:9" x14ac:dyDescent="0.35">
      <c r="A1712" s="1019"/>
      <c r="B1712" s="1019"/>
      <c r="C1712" s="1019"/>
      <c r="D1712" s="3188"/>
      <c r="E1712" s="1019"/>
      <c r="F1712" s="1019"/>
      <c r="G1712" s="1019"/>
      <c r="H1712" s="1019"/>
      <c r="I1712" s="1140"/>
    </row>
    <row r="1713" spans="1:9" x14ac:dyDescent="0.35">
      <c r="A1713" s="1019"/>
      <c r="B1713" s="1019"/>
      <c r="C1713" s="1019"/>
      <c r="D1713" s="3188"/>
      <c r="E1713" s="1019"/>
      <c r="F1713" s="1019"/>
      <c r="G1713" s="1019"/>
      <c r="H1713" s="1019"/>
      <c r="I1713" s="1140"/>
    </row>
    <row r="1714" spans="1:9" x14ac:dyDescent="0.35">
      <c r="A1714" s="1019"/>
      <c r="B1714" s="1019"/>
      <c r="C1714" s="1019"/>
      <c r="D1714" s="3188"/>
      <c r="E1714" s="1019"/>
      <c r="F1714" s="1019"/>
      <c r="G1714" s="1019"/>
      <c r="H1714" s="1019"/>
      <c r="I1714" s="1140"/>
    </row>
    <row r="1715" spans="1:9" x14ac:dyDescent="0.35">
      <c r="A1715" s="1019"/>
      <c r="B1715" s="1019"/>
      <c r="C1715" s="1019"/>
      <c r="D1715" s="3188"/>
      <c r="E1715" s="1019"/>
      <c r="F1715" s="1019"/>
      <c r="G1715" s="1019"/>
      <c r="H1715" s="1019"/>
      <c r="I1715" s="1140"/>
    </row>
    <row r="1716" spans="1:9" x14ac:dyDescent="0.35">
      <c r="A1716" s="1019"/>
      <c r="B1716" s="1019"/>
      <c r="C1716" s="1019"/>
      <c r="D1716" s="3188"/>
      <c r="E1716" s="1019"/>
      <c r="F1716" s="1019"/>
      <c r="G1716" s="1019"/>
      <c r="H1716" s="1019"/>
      <c r="I1716" s="1140"/>
    </row>
    <row r="1717" spans="1:9" x14ac:dyDescent="0.35">
      <c r="A1717" s="1019"/>
      <c r="B1717" s="1019"/>
      <c r="C1717" s="1019"/>
      <c r="D1717" s="3188"/>
      <c r="E1717" s="1019"/>
      <c r="F1717" s="1019"/>
      <c r="G1717" s="1019"/>
      <c r="H1717" s="1019"/>
      <c r="I1717" s="1140"/>
    </row>
    <row r="1718" spans="1:9" x14ac:dyDescent="0.35">
      <c r="A1718" s="1019"/>
      <c r="B1718" s="1019"/>
      <c r="C1718" s="1019"/>
      <c r="D1718" s="3188"/>
      <c r="E1718" s="1019"/>
      <c r="F1718" s="1019"/>
      <c r="G1718" s="1019"/>
      <c r="H1718" s="1019"/>
      <c r="I1718" s="1140"/>
    </row>
    <row r="1719" spans="1:9" x14ac:dyDescent="0.35">
      <c r="A1719" s="1019"/>
      <c r="B1719" s="1019"/>
      <c r="C1719" s="1019"/>
      <c r="D1719" s="3188"/>
      <c r="E1719" s="1019"/>
      <c r="F1719" s="1019"/>
      <c r="G1719" s="1019"/>
      <c r="H1719" s="1019"/>
      <c r="I1719" s="1140"/>
    </row>
    <row r="1720" spans="1:9" x14ac:dyDescent="0.35">
      <c r="A1720" s="1019"/>
      <c r="B1720" s="1019"/>
      <c r="C1720" s="1019"/>
      <c r="D1720" s="3188"/>
      <c r="E1720" s="1019"/>
      <c r="F1720" s="1019"/>
      <c r="G1720" s="1019"/>
      <c r="H1720" s="1019"/>
      <c r="I1720" s="1140"/>
    </row>
    <row r="1721" spans="1:9" x14ac:dyDescent="0.35">
      <c r="A1721" s="1019"/>
      <c r="B1721" s="1019"/>
      <c r="C1721" s="1019"/>
      <c r="D1721" s="3188"/>
      <c r="E1721" s="1019"/>
      <c r="F1721" s="1019"/>
      <c r="G1721" s="1019"/>
      <c r="H1721" s="1019"/>
      <c r="I1721" s="1140"/>
    </row>
    <row r="1722" spans="1:9" x14ac:dyDescent="0.35">
      <c r="A1722" s="1019"/>
      <c r="B1722" s="1019"/>
      <c r="C1722" s="1019"/>
      <c r="D1722" s="3188"/>
      <c r="E1722" s="1019"/>
      <c r="F1722" s="1019"/>
      <c r="G1722" s="1019"/>
      <c r="H1722" s="1019"/>
      <c r="I1722" s="1140"/>
    </row>
    <row r="1723" spans="1:9" x14ac:dyDescent="0.35">
      <c r="A1723" s="1019"/>
      <c r="B1723" s="1019"/>
      <c r="C1723" s="1019"/>
      <c r="D1723" s="3188"/>
      <c r="E1723" s="1019"/>
      <c r="F1723" s="1019"/>
      <c r="G1723" s="1019"/>
      <c r="H1723" s="1019"/>
      <c r="I1723" s="1140"/>
    </row>
    <row r="1724" spans="1:9" x14ac:dyDescent="0.35">
      <c r="A1724" s="1019"/>
      <c r="B1724" s="1019"/>
      <c r="C1724" s="1019"/>
      <c r="D1724" s="3188"/>
      <c r="E1724" s="1019"/>
      <c r="F1724" s="1019"/>
      <c r="G1724" s="1019"/>
      <c r="H1724" s="1019"/>
      <c r="I1724" s="1140"/>
    </row>
    <row r="1725" spans="1:9" x14ac:dyDescent="0.35">
      <c r="A1725" s="1019"/>
      <c r="B1725" s="1019"/>
      <c r="C1725" s="1019"/>
      <c r="D1725" s="3188"/>
      <c r="E1725" s="1019"/>
      <c r="F1725" s="1019"/>
      <c r="G1725" s="1019"/>
      <c r="H1725" s="1019"/>
      <c r="I1725" s="1140"/>
    </row>
    <row r="1726" spans="1:9" x14ac:dyDescent="0.35">
      <c r="A1726" s="1019"/>
      <c r="B1726" s="1019"/>
      <c r="C1726" s="1019"/>
      <c r="D1726" s="3188"/>
      <c r="E1726" s="1019"/>
      <c r="F1726" s="1019"/>
      <c r="G1726" s="1019"/>
      <c r="H1726" s="1019"/>
      <c r="I1726" s="1140"/>
    </row>
    <row r="1727" spans="1:9" x14ac:dyDescent="0.35">
      <c r="A1727" s="1019"/>
      <c r="B1727" s="1019"/>
      <c r="C1727" s="1019"/>
      <c r="D1727" s="3188"/>
      <c r="E1727" s="1019"/>
      <c r="F1727" s="1019"/>
      <c r="G1727" s="1019"/>
      <c r="H1727" s="1019"/>
      <c r="I1727" s="1140"/>
    </row>
    <row r="1728" spans="1:9" x14ac:dyDescent="0.35">
      <c r="A1728" s="1019"/>
      <c r="B1728" s="1019"/>
      <c r="C1728" s="1019"/>
      <c r="D1728" s="3188"/>
      <c r="E1728" s="1019"/>
      <c r="F1728" s="1019"/>
      <c r="G1728" s="1019"/>
      <c r="H1728" s="1019"/>
      <c r="I1728" s="1140"/>
    </row>
    <row r="1729" spans="1:9" x14ac:dyDescent="0.35">
      <c r="A1729" s="1019"/>
      <c r="B1729" s="1019"/>
      <c r="C1729" s="1019"/>
      <c r="D1729" s="3188"/>
      <c r="E1729" s="1019"/>
      <c r="F1729" s="1019"/>
      <c r="G1729" s="1019"/>
      <c r="H1729" s="1019"/>
      <c r="I1729" s="1140"/>
    </row>
    <row r="1730" spans="1:9" x14ac:dyDescent="0.35">
      <c r="A1730" s="1019"/>
      <c r="B1730" s="1019"/>
      <c r="C1730" s="1019"/>
      <c r="D1730" s="3188"/>
      <c r="E1730" s="1019"/>
      <c r="F1730" s="1019"/>
      <c r="G1730" s="1019"/>
      <c r="H1730" s="1019"/>
      <c r="I1730" s="1140"/>
    </row>
    <row r="1731" spans="1:9" x14ac:dyDescent="0.35">
      <c r="A1731" s="1019"/>
      <c r="B1731" s="1019"/>
      <c r="C1731" s="1019"/>
      <c r="D1731" s="3188"/>
      <c r="E1731" s="1019"/>
      <c r="F1731" s="1019"/>
      <c r="G1731" s="1019"/>
      <c r="H1731" s="1019"/>
      <c r="I1731" s="1140"/>
    </row>
    <row r="1732" spans="1:9" x14ac:dyDescent="0.35">
      <c r="A1732" s="1019"/>
      <c r="B1732" s="1019"/>
      <c r="C1732" s="1019"/>
      <c r="D1732" s="3188"/>
      <c r="E1732" s="1019"/>
      <c r="F1732" s="1019"/>
      <c r="G1732" s="1019"/>
      <c r="H1732" s="1019"/>
      <c r="I1732" s="1140"/>
    </row>
    <row r="1733" spans="1:9" x14ac:dyDescent="0.35">
      <c r="A1733" s="1019"/>
      <c r="B1733" s="1019"/>
      <c r="C1733" s="1019"/>
      <c r="D1733" s="3188"/>
      <c r="E1733" s="1019"/>
      <c r="F1733" s="1019"/>
      <c r="G1733" s="1019"/>
      <c r="H1733" s="1019"/>
      <c r="I1733" s="1140"/>
    </row>
    <row r="1734" spans="1:9" x14ac:dyDescent="0.35">
      <c r="A1734" s="1019"/>
      <c r="B1734" s="1019"/>
      <c r="C1734" s="1019"/>
      <c r="D1734" s="3188"/>
      <c r="E1734" s="1019"/>
      <c r="F1734" s="1019"/>
      <c r="G1734" s="1019"/>
      <c r="H1734" s="1019"/>
      <c r="I1734" s="1140"/>
    </row>
    <row r="1735" spans="1:9" x14ac:dyDescent="0.35">
      <c r="A1735" s="1019"/>
      <c r="B1735" s="1019"/>
      <c r="C1735" s="1019"/>
      <c r="D1735" s="3188"/>
      <c r="E1735" s="1019"/>
      <c r="F1735" s="1019"/>
      <c r="G1735" s="1019"/>
      <c r="H1735" s="1019"/>
      <c r="I1735" s="1140"/>
    </row>
    <row r="1736" spans="1:9" x14ac:dyDescent="0.35">
      <c r="A1736" s="1019"/>
      <c r="B1736" s="1019"/>
      <c r="C1736" s="1019"/>
      <c r="D1736" s="3188"/>
      <c r="E1736" s="1019"/>
      <c r="F1736" s="1019"/>
      <c r="G1736" s="1019"/>
      <c r="H1736" s="1019"/>
      <c r="I1736" s="1140"/>
    </row>
    <row r="1737" spans="1:9" x14ac:dyDescent="0.35">
      <c r="A1737" s="1019"/>
      <c r="B1737" s="1019"/>
      <c r="C1737" s="1019"/>
      <c r="D1737" s="3188"/>
      <c r="E1737" s="1019"/>
      <c r="F1737" s="1019"/>
      <c r="G1737" s="1019"/>
      <c r="H1737" s="1019"/>
      <c r="I1737" s="1140"/>
    </row>
    <row r="1738" spans="1:9" x14ac:dyDescent="0.35">
      <c r="A1738" s="1019"/>
      <c r="B1738" s="1019"/>
      <c r="C1738" s="1019"/>
      <c r="D1738" s="3188"/>
      <c r="E1738" s="1019"/>
      <c r="F1738" s="1019"/>
      <c r="G1738" s="1019"/>
      <c r="H1738" s="1019"/>
      <c r="I1738" s="1140"/>
    </row>
    <row r="1739" spans="1:9" x14ac:dyDescent="0.35">
      <c r="A1739" s="1019"/>
      <c r="B1739" s="1019"/>
      <c r="C1739" s="1019"/>
      <c r="D1739" s="3188"/>
      <c r="E1739" s="1019"/>
      <c r="F1739" s="1019"/>
      <c r="G1739" s="1019"/>
      <c r="H1739" s="1019"/>
      <c r="I1739" s="1140"/>
    </row>
    <row r="1740" spans="1:9" x14ac:dyDescent="0.35">
      <c r="A1740" s="1019"/>
      <c r="B1740" s="1019"/>
      <c r="C1740" s="1019"/>
      <c r="D1740" s="3188"/>
      <c r="E1740" s="1019"/>
      <c r="F1740" s="1019"/>
      <c r="G1740" s="1019"/>
      <c r="H1740" s="1019"/>
      <c r="I1740" s="1140"/>
    </row>
    <row r="1741" spans="1:9" x14ac:dyDescent="0.35">
      <c r="A1741" s="1019"/>
      <c r="B1741" s="1019"/>
      <c r="C1741" s="1019"/>
      <c r="D1741" s="3188"/>
      <c r="E1741" s="1019"/>
      <c r="F1741" s="1019"/>
      <c r="G1741" s="1019"/>
      <c r="H1741" s="1019"/>
      <c r="I1741" s="1140"/>
    </row>
    <row r="1742" spans="1:9" x14ac:dyDescent="0.35">
      <c r="A1742" s="1019"/>
      <c r="B1742" s="1019"/>
      <c r="C1742" s="1019"/>
      <c r="D1742" s="3188"/>
      <c r="E1742" s="1019"/>
      <c r="F1742" s="1019"/>
      <c r="G1742" s="1019"/>
      <c r="H1742" s="1019"/>
      <c r="I1742" s="1140"/>
    </row>
    <row r="1743" spans="1:9" x14ac:dyDescent="0.35">
      <c r="A1743" s="1019"/>
      <c r="B1743" s="1019"/>
      <c r="C1743" s="1019"/>
      <c r="D1743" s="3188"/>
      <c r="E1743" s="1019"/>
      <c r="F1743" s="1019"/>
      <c r="G1743" s="1019"/>
      <c r="H1743" s="1019"/>
      <c r="I1743" s="1140"/>
    </row>
    <row r="1744" spans="1:9" x14ac:dyDescent="0.35">
      <c r="A1744" s="1019"/>
      <c r="B1744" s="1019"/>
      <c r="C1744" s="1019"/>
      <c r="D1744" s="3188"/>
      <c r="E1744" s="1019"/>
      <c r="F1744" s="1019"/>
      <c r="G1744" s="1019"/>
      <c r="H1744" s="1019"/>
      <c r="I1744" s="1140"/>
    </row>
    <row r="1745" spans="1:9" x14ac:dyDescent="0.35">
      <c r="A1745" s="1019"/>
      <c r="B1745" s="1019"/>
      <c r="C1745" s="1019"/>
      <c r="D1745" s="3188"/>
      <c r="E1745" s="1019"/>
      <c r="F1745" s="1019"/>
      <c r="G1745" s="1019"/>
      <c r="H1745" s="1019"/>
      <c r="I1745" s="1140"/>
    </row>
    <row r="1746" spans="1:9" x14ac:dyDescent="0.35">
      <c r="A1746" s="1019"/>
      <c r="B1746" s="1019"/>
      <c r="C1746" s="1019"/>
      <c r="D1746" s="3188"/>
      <c r="E1746" s="1019"/>
      <c r="F1746" s="1019"/>
      <c r="G1746" s="1019"/>
      <c r="H1746" s="1019"/>
      <c r="I1746" s="1140"/>
    </row>
    <row r="1747" spans="1:9" x14ac:dyDescent="0.35">
      <c r="A1747" s="1019"/>
      <c r="B1747" s="1019"/>
      <c r="C1747" s="1019"/>
      <c r="D1747" s="3188"/>
      <c r="E1747" s="1019"/>
      <c r="F1747" s="1019"/>
      <c r="G1747" s="1019"/>
      <c r="H1747" s="1019"/>
      <c r="I1747" s="1140"/>
    </row>
    <row r="1748" spans="1:9" x14ac:dyDescent="0.35">
      <c r="A1748" s="1019"/>
      <c r="B1748" s="1019"/>
      <c r="C1748" s="1019"/>
      <c r="D1748" s="3188"/>
      <c r="E1748" s="1019"/>
      <c r="F1748" s="1019"/>
      <c r="G1748" s="1019"/>
      <c r="H1748" s="1019"/>
      <c r="I1748" s="1140"/>
    </row>
    <row r="1749" spans="1:9" x14ac:dyDescent="0.35">
      <c r="A1749" s="1019"/>
      <c r="B1749" s="1019"/>
      <c r="C1749" s="1019"/>
      <c r="D1749" s="3188"/>
      <c r="E1749" s="1019"/>
      <c r="F1749" s="1019"/>
      <c r="G1749" s="1019"/>
      <c r="H1749" s="1019"/>
      <c r="I1749" s="1140"/>
    </row>
    <row r="1750" spans="1:9" x14ac:dyDescent="0.35">
      <c r="A1750" s="1019"/>
      <c r="B1750" s="1019"/>
      <c r="C1750" s="1019"/>
      <c r="D1750" s="3188"/>
      <c r="E1750" s="1019"/>
      <c r="F1750" s="1019"/>
      <c r="G1750" s="1019"/>
      <c r="H1750" s="1019"/>
      <c r="I1750" s="1140"/>
    </row>
    <row r="1751" spans="1:9" x14ac:dyDescent="0.35">
      <c r="A1751" s="1019"/>
      <c r="B1751" s="1019"/>
      <c r="C1751" s="1019"/>
      <c r="D1751" s="3188"/>
      <c r="E1751" s="1019"/>
      <c r="F1751" s="1019"/>
      <c r="G1751" s="1019"/>
      <c r="H1751" s="1019"/>
      <c r="I1751" s="1140"/>
    </row>
    <row r="1752" spans="1:9" x14ac:dyDescent="0.35">
      <c r="A1752" s="1019"/>
      <c r="B1752" s="1019"/>
      <c r="C1752" s="1019"/>
      <c r="D1752" s="3188"/>
      <c r="E1752" s="1019"/>
      <c r="F1752" s="1019"/>
      <c r="G1752" s="1019"/>
      <c r="H1752" s="1019"/>
      <c r="I1752" s="1140"/>
    </row>
    <row r="1753" spans="1:9" x14ac:dyDescent="0.35">
      <c r="A1753" s="1019"/>
      <c r="B1753" s="1019"/>
      <c r="C1753" s="1019"/>
      <c r="D1753" s="3188"/>
      <c r="E1753" s="1019"/>
      <c r="F1753" s="1019"/>
      <c r="G1753" s="1019"/>
      <c r="H1753" s="1019"/>
      <c r="I1753" s="1140"/>
    </row>
    <row r="1754" spans="1:9" x14ac:dyDescent="0.35">
      <c r="A1754" s="1019"/>
      <c r="B1754" s="1019"/>
      <c r="C1754" s="1019"/>
      <c r="D1754" s="3188"/>
      <c r="E1754" s="1019"/>
      <c r="F1754" s="1019"/>
      <c r="G1754" s="1019"/>
      <c r="H1754" s="1019"/>
      <c r="I1754" s="1140"/>
    </row>
    <row r="1755" spans="1:9" x14ac:dyDescent="0.35">
      <c r="A1755" s="1019"/>
      <c r="B1755" s="1019"/>
      <c r="C1755" s="1019"/>
      <c r="D1755" s="3188"/>
      <c r="E1755" s="1019"/>
      <c r="F1755" s="1019"/>
      <c r="G1755" s="1019"/>
      <c r="H1755" s="1019"/>
      <c r="I1755" s="1140"/>
    </row>
    <row r="1756" spans="1:9" x14ac:dyDescent="0.35">
      <c r="A1756" s="1019"/>
      <c r="B1756" s="1019"/>
      <c r="C1756" s="1019"/>
      <c r="D1756" s="3188"/>
      <c r="E1756" s="1019"/>
      <c r="F1756" s="1019"/>
      <c r="G1756" s="1019"/>
      <c r="H1756" s="1019"/>
      <c r="I1756" s="1140"/>
    </row>
    <row r="1757" spans="1:9" x14ac:dyDescent="0.35">
      <c r="A1757" s="1019"/>
      <c r="B1757" s="1019"/>
      <c r="C1757" s="1019"/>
      <c r="D1757" s="3188"/>
      <c r="E1757" s="1019"/>
      <c r="F1757" s="1019"/>
      <c r="G1757" s="1019"/>
      <c r="H1757" s="1019"/>
      <c r="I1757" s="1140"/>
    </row>
    <row r="1758" spans="1:9" x14ac:dyDescent="0.35">
      <c r="A1758" s="1019"/>
      <c r="B1758" s="1019"/>
      <c r="C1758" s="1019"/>
      <c r="D1758" s="3188"/>
      <c r="E1758" s="1019"/>
      <c r="F1758" s="1019"/>
      <c r="G1758" s="1019"/>
      <c r="H1758" s="1019"/>
      <c r="I1758" s="1140"/>
    </row>
    <row r="1759" spans="1:9" x14ac:dyDescent="0.35">
      <c r="A1759" s="1019"/>
      <c r="B1759" s="1019"/>
      <c r="C1759" s="1019"/>
      <c r="D1759" s="3188"/>
      <c r="E1759" s="1019"/>
      <c r="F1759" s="1019"/>
      <c r="G1759" s="1019"/>
      <c r="H1759" s="1019"/>
      <c r="I1759" s="1140"/>
    </row>
    <row r="1760" spans="1:9" x14ac:dyDescent="0.35">
      <c r="A1760" s="1019"/>
      <c r="B1760" s="1019"/>
      <c r="C1760" s="1019"/>
      <c r="D1760" s="3188"/>
      <c r="E1760" s="1019"/>
      <c r="F1760" s="1019"/>
      <c r="G1760" s="1019"/>
      <c r="H1760" s="1019"/>
      <c r="I1760" s="1140"/>
    </row>
    <row r="1761" spans="1:9" x14ac:dyDescent="0.35">
      <c r="A1761" s="1019"/>
      <c r="B1761" s="1019"/>
      <c r="C1761" s="1019"/>
      <c r="D1761" s="3188"/>
      <c r="E1761" s="1019"/>
      <c r="F1761" s="1019"/>
      <c r="G1761" s="1019"/>
      <c r="H1761" s="1019"/>
      <c r="I1761" s="1140"/>
    </row>
    <row r="1762" spans="1:9" x14ac:dyDescent="0.35">
      <c r="A1762" s="1019"/>
      <c r="B1762" s="1019"/>
      <c r="C1762" s="1019"/>
      <c r="D1762" s="3188"/>
      <c r="E1762" s="1019"/>
      <c r="F1762" s="1019"/>
      <c r="G1762" s="1019"/>
      <c r="H1762" s="1019"/>
      <c r="I1762" s="1140"/>
    </row>
    <row r="1763" spans="1:9" x14ac:dyDescent="0.35">
      <c r="A1763" s="1019"/>
      <c r="B1763" s="1019"/>
      <c r="C1763" s="1019"/>
      <c r="D1763" s="3188"/>
      <c r="E1763" s="1019"/>
      <c r="F1763" s="1019"/>
      <c r="G1763" s="1019"/>
      <c r="H1763" s="1019"/>
      <c r="I1763" s="1140"/>
    </row>
    <row r="1764" spans="1:9" x14ac:dyDescent="0.35">
      <c r="A1764" s="1019"/>
      <c r="B1764" s="1019"/>
      <c r="C1764" s="1019"/>
      <c r="D1764" s="3188"/>
      <c r="E1764" s="1019"/>
      <c r="F1764" s="1019"/>
      <c r="G1764" s="1019"/>
      <c r="H1764" s="1019"/>
      <c r="I1764" s="1140"/>
    </row>
    <row r="1765" spans="1:9" x14ac:dyDescent="0.35">
      <c r="A1765" s="1019"/>
      <c r="B1765" s="1019"/>
      <c r="C1765" s="1019"/>
      <c r="D1765" s="3188"/>
      <c r="E1765" s="1019"/>
      <c r="F1765" s="1019"/>
      <c r="G1765" s="1019"/>
      <c r="H1765" s="1019"/>
      <c r="I1765" s="1140"/>
    </row>
    <row r="1766" spans="1:9" x14ac:dyDescent="0.35">
      <c r="A1766" s="1019"/>
      <c r="B1766" s="1019"/>
      <c r="C1766" s="1019"/>
      <c r="D1766" s="3188"/>
      <c r="E1766" s="1019"/>
      <c r="F1766" s="1019"/>
      <c r="G1766" s="1019"/>
      <c r="H1766" s="1019"/>
      <c r="I1766" s="1140"/>
    </row>
    <row r="1767" spans="1:9" x14ac:dyDescent="0.35">
      <c r="A1767" s="1019"/>
      <c r="B1767" s="1019"/>
      <c r="C1767" s="1019"/>
      <c r="D1767" s="3188"/>
      <c r="E1767" s="1019"/>
      <c r="F1767" s="1019"/>
      <c r="G1767" s="1019"/>
      <c r="H1767" s="1019"/>
      <c r="I1767" s="1140"/>
    </row>
    <row r="1768" spans="1:9" x14ac:dyDescent="0.35">
      <c r="A1768" s="1019"/>
      <c r="B1768" s="1019"/>
      <c r="C1768" s="1019"/>
      <c r="D1768" s="3188"/>
      <c r="E1768" s="1019"/>
      <c r="F1768" s="1019"/>
      <c r="G1768" s="1019"/>
      <c r="H1768" s="1019"/>
      <c r="I1768" s="1140"/>
    </row>
    <row r="1769" spans="1:9" x14ac:dyDescent="0.35">
      <c r="A1769" s="1019"/>
      <c r="B1769" s="1019"/>
      <c r="C1769" s="1019"/>
      <c r="D1769" s="3188"/>
      <c r="E1769" s="1019"/>
      <c r="F1769" s="1019"/>
      <c r="G1769" s="1019"/>
      <c r="H1769" s="1019"/>
      <c r="I1769" s="1140"/>
    </row>
    <row r="1770" spans="1:9" x14ac:dyDescent="0.35">
      <c r="A1770" s="1019"/>
      <c r="B1770" s="1019"/>
      <c r="C1770" s="1019"/>
      <c r="D1770" s="3188"/>
      <c r="E1770" s="1019"/>
      <c r="F1770" s="1019"/>
      <c r="G1770" s="1019"/>
      <c r="H1770" s="1019"/>
      <c r="I1770" s="1140"/>
    </row>
    <row r="1771" spans="1:9" x14ac:dyDescent="0.35">
      <c r="A1771" s="1019"/>
      <c r="B1771" s="1019"/>
      <c r="C1771" s="1019"/>
      <c r="D1771" s="3188"/>
      <c r="E1771" s="1019"/>
      <c r="F1771" s="1019"/>
      <c r="G1771" s="1019"/>
      <c r="H1771" s="1019"/>
      <c r="I1771" s="1140"/>
    </row>
    <row r="1772" spans="1:9" x14ac:dyDescent="0.35">
      <c r="A1772" s="1019"/>
      <c r="B1772" s="1019"/>
      <c r="C1772" s="1019"/>
      <c r="D1772" s="3188"/>
      <c r="E1772" s="1019"/>
      <c r="F1772" s="1019"/>
      <c r="G1772" s="1019"/>
      <c r="H1772" s="1019"/>
      <c r="I1772" s="1140"/>
    </row>
    <row r="1773" spans="1:9" x14ac:dyDescent="0.35">
      <c r="A1773" s="1019"/>
      <c r="B1773" s="1019"/>
      <c r="C1773" s="1019"/>
      <c r="D1773" s="3188"/>
      <c r="E1773" s="1019"/>
      <c r="F1773" s="1019"/>
      <c r="G1773" s="1019"/>
      <c r="H1773" s="1019"/>
      <c r="I1773" s="1140"/>
    </row>
    <row r="1774" spans="1:9" x14ac:dyDescent="0.35">
      <c r="A1774" s="1019"/>
      <c r="B1774" s="1019"/>
      <c r="C1774" s="1019"/>
      <c r="D1774" s="3188"/>
      <c r="E1774" s="1019"/>
      <c r="F1774" s="1019"/>
      <c r="G1774" s="1019"/>
      <c r="H1774" s="1019"/>
      <c r="I1774" s="1140"/>
    </row>
    <row r="1775" spans="1:9" x14ac:dyDescent="0.35">
      <c r="A1775" s="1019"/>
      <c r="B1775" s="1019"/>
      <c r="C1775" s="1019"/>
      <c r="D1775" s="3188"/>
      <c r="E1775" s="1019"/>
      <c r="F1775" s="1019"/>
      <c r="G1775" s="1019"/>
      <c r="H1775" s="1019"/>
      <c r="I1775" s="1140"/>
    </row>
    <row r="1776" spans="1:9" x14ac:dyDescent="0.35">
      <c r="A1776" s="1019"/>
      <c r="B1776" s="1019"/>
      <c r="C1776" s="1019"/>
      <c r="D1776" s="3188"/>
      <c r="E1776" s="1019"/>
      <c r="F1776" s="1019"/>
      <c r="G1776" s="1019"/>
      <c r="H1776" s="1019"/>
      <c r="I1776" s="1140"/>
    </row>
    <row r="1777" spans="1:9" x14ac:dyDescent="0.35">
      <c r="A1777" s="1019"/>
      <c r="B1777" s="1019"/>
      <c r="C1777" s="1019"/>
      <c r="D1777" s="3188"/>
      <c r="E1777" s="1019"/>
      <c r="F1777" s="1019"/>
      <c r="G1777" s="1019"/>
      <c r="H1777" s="1019"/>
      <c r="I1777" s="1140"/>
    </row>
    <row r="1778" spans="1:9" x14ac:dyDescent="0.35">
      <c r="A1778" s="1019"/>
      <c r="B1778" s="1019"/>
      <c r="C1778" s="1019"/>
      <c r="D1778" s="3188"/>
      <c r="E1778" s="1019"/>
      <c r="F1778" s="1019"/>
      <c r="G1778" s="1019"/>
      <c r="H1778" s="1019"/>
      <c r="I1778" s="1140"/>
    </row>
    <row r="1779" spans="1:9" x14ac:dyDescent="0.35">
      <c r="A1779" s="1019"/>
      <c r="B1779" s="1019"/>
      <c r="C1779" s="1019"/>
      <c r="D1779" s="3188"/>
      <c r="E1779" s="1019"/>
      <c r="F1779" s="1019"/>
      <c r="G1779" s="1019"/>
      <c r="H1779" s="1019"/>
      <c r="I1779" s="1140"/>
    </row>
    <row r="1780" spans="1:9" x14ac:dyDescent="0.35">
      <c r="A1780" s="1019"/>
      <c r="B1780" s="1019"/>
      <c r="C1780" s="1019"/>
      <c r="D1780" s="3188"/>
      <c r="E1780" s="1019"/>
      <c r="F1780" s="1019"/>
      <c r="G1780" s="1019"/>
      <c r="H1780" s="1019"/>
      <c r="I1780" s="1140"/>
    </row>
    <row r="1781" spans="1:9" x14ac:dyDescent="0.35">
      <c r="A1781" s="1019"/>
      <c r="B1781" s="1019"/>
      <c r="C1781" s="1019"/>
      <c r="D1781" s="3188"/>
      <c r="E1781" s="1019"/>
      <c r="F1781" s="1019"/>
      <c r="G1781" s="1019"/>
      <c r="H1781" s="1019"/>
      <c r="I1781" s="1140"/>
    </row>
    <row r="1782" spans="1:9" x14ac:dyDescent="0.35">
      <c r="A1782" s="1019"/>
      <c r="B1782" s="1019"/>
      <c r="C1782" s="1019"/>
      <c r="D1782" s="3188"/>
      <c r="E1782" s="1019"/>
      <c r="F1782" s="1019"/>
      <c r="G1782" s="1019"/>
      <c r="H1782" s="1019"/>
      <c r="I1782" s="1140"/>
    </row>
    <row r="1783" spans="1:9" x14ac:dyDescent="0.35">
      <c r="A1783" s="1019"/>
      <c r="B1783" s="1019"/>
      <c r="C1783" s="1019"/>
      <c r="D1783" s="3188"/>
      <c r="E1783" s="1019"/>
      <c r="F1783" s="1019"/>
      <c r="G1783" s="1019"/>
      <c r="H1783" s="1019"/>
      <c r="I1783" s="1140"/>
    </row>
    <row r="1784" spans="1:9" x14ac:dyDescent="0.35">
      <c r="A1784" s="1019"/>
      <c r="B1784" s="1019"/>
      <c r="C1784" s="1019"/>
      <c r="D1784" s="3188"/>
      <c r="E1784" s="1019"/>
      <c r="F1784" s="1019"/>
      <c r="G1784" s="1019"/>
      <c r="H1784" s="1019"/>
      <c r="I1784" s="1140"/>
    </row>
    <row r="1785" spans="1:9" x14ac:dyDescent="0.35">
      <c r="A1785" s="1019"/>
      <c r="B1785" s="1019"/>
      <c r="C1785" s="1019"/>
      <c r="D1785" s="3188"/>
      <c r="E1785" s="1019"/>
      <c r="F1785" s="1019"/>
      <c r="G1785" s="1019"/>
      <c r="H1785" s="1019"/>
      <c r="I1785" s="1140"/>
    </row>
    <row r="1786" spans="1:9" x14ac:dyDescent="0.35">
      <c r="A1786" s="1019"/>
      <c r="B1786" s="1019"/>
      <c r="C1786" s="1019"/>
      <c r="D1786" s="3188"/>
      <c r="E1786" s="1019"/>
      <c r="F1786" s="1019"/>
      <c r="G1786" s="1019"/>
      <c r="H1786" s="1019"/>
      <c r="I1786" s="1140"/>
    </row>
    <row r="1787" spans="1:9" x14ac:dyDescent="0.35">
      <c r="A1787" s="1019"/>
      <c r="B1787" s="1019"/>
      <c r="C1787" s="1019"/>
      <c r="D1787" s="3188"/>
      <c r="E1787" s="1019"/>
      <c r="F1787" s="1019"/>
      <c r="G1787" s="1019"/>
      <c r="H1787" s="1019"/>
      <c r="I1787" s="1140"/>
    </row>
    <row r="1788" spans="1:9" x14ac:dyDescent="0.35">
      <c r="A1788" s="1019"/>
      <c r="B1788" s="1019"/>
      <c r="C1788" s="1019"/>
      <c r="D1788" s="3188"/>
      <c r="E1788" s="1019"/>
      <c r="F1788" s="1019"/>
      <c r="G1788" s="1019"/>
      <c r="H1788" s="1019"/>
      <c r="I1788" s="1140"/>
    </row>
    <row r="1789" spans="1:9" x14ac:dyDescent="0.35">
      <c r="A1789" s="1019"/>
      <c r="B1789" s="1019"/>
      <c r="C1789" s="1019"/>
      <c r="D1789" s="3188"/>
      <c r="E1789" s="1019"/>
      <c r="F1789" s="1019"/>
      <c r="G1789" s="1019"/>
      <c r="H1789" s="1019"/>
      <c r="I1789" s="1140"/>
    </row>
    <row r="1790" spans="1:9" x14ac:dyDescent="0.35">
      <c r="A1790" s="1019"/>
      <c r="B1790" s="1019"/>
      <c r="C1790" s="1019"/>
      <c r="D1790" s="3188"/>
      <c r="E1790" s="1019"/>
      <c r="F1790" s="1019"/>
      <c r="G1790" s="1019"/>
      <c r="H1790" s="1019"/>
      <c r="I1790" s="1140"/>
    </row>
    <row r="1791" spans="1:9" x14ac:dyDescent="0.35">
      <c r="A1791" s="1019"/>
      <c r="B1791" s="1019"/>
      <c r="C1791" s="1019"/>
      <c r="D1791" s="3188"/>
      <c r="E1791" s="1019"/>
      <c r="F1791" s="1019"/>
      <c r="G1791" s="1019"/>
      <c r="H1791" s="1019"/>
      <c r="I1791" s="1140"/>
    </row>
    <row r="1792" spans="1:9" x14ac:dyDescent="0.35">
      <c r="A1792" s="1019"/>
      <c r="B1792" s="1019"/>
      <c r="C1792" s="1019"/>
      <c r="D1792" s="3188"/>
      <c r="E1792" s="1019"/>
      <c r="F1792" s="1019"/>
      <c r="G1792" s="1019"/>
      <c r="H1792" s="1019"/>
      <c r="I1792" s="1140"/>
    </row>
    <row r="1793" spans="1:9" x14ac:dyDescent="0.35">
      <c r="A1793" s="1019"/>
      <c r="B1793" s="1019"/>
      <c r="C1793" s="1019"/>
      <c r="D1793" s="3188"/>
      <c r="E1793" s="1019"/>
      <c r="F1793" s="1019"/>
      <c r="G1793" s="1019"/>
      <c r="H1793" s="1019"/>
      <c r="I1793" s="1140"/>
    </row>
    <row r="1794" spans="1:9" x14ac:dyDescent="0.35">
      <c r="A1794" s="1019"/>
      <c r="B1794" s="1019"/>
      <c r="C1794" s="1019"/>
      <c r="D1794" s="3188"/>
      <c r="E1794" s="1019"/>
      <c r="F1794" s="1019"/>
      <c r="G1794" s="1019"/>
      <c r="H1794" s="1019"/>
      <c r="I1794" s="1140"/>
    </row>
    <row r="1795" spans="1:9" x14ac:dyDescent="0.35">
      <c r="A1795" s="1019"/>
      <c r="B1795" s="1019"/>
      <c r="C1795" s="1019"/>
      <c r="D1795" s="3188"/>
      <c r="E1795" s="1019"/>
      <c r="F1795" s="1019"/>
      <c r="G1795" s="1019"/>
      <c r="H1795" s="1019"/>
      <c r="I1795" s="1140"/>
    </row>
    <row r="1796" spans="1:9" x14ac:dyDescent="0.35">
      <c r="A1796" s="1019"/>
      <c r="B1796" s="1019"/>
      <c r="C1796" s="1019"/>
      <c r="D1796" s="3188"/>
      <c r="E1796" s="1019"/>
      <c r="F1796" s="1019"/>
      <c r="G1796" s="1019"/>
      <c r="H1796" s="1019"/>
      <c r="I1796" s="1140"/>
    </row>
    <row r="1797" spans="1:9" x14ac:dyDescent="0.35">
      <c r="A1797" s="1019"/>
      <c r="B1797" s="1019"/>
      <c r="C1797" s="1019"/>
      <c r="D1797" s="3188"/>
      <c r="E1797" s="1019"/>
      <c r="F1797" s="1019"/>
      <c r="G1797" s="1019"/>
      <c r="H1797" s="1019"/>
      <c r="I1797" s="1140"/>
    </row>
    <row r="1798" spans="1:9" x14ac:dyDescent="0.35">
      <c r="A1798" s="1019"/>
      <c r="B1798" s="1019"/>
      <c r="C1798" s="1019"/>
      <c r="D1798" s="3188"/>
      <c r="E1798" s="1019"/>
      <c r="F1798" s="1019"/>
      <c r="G1798" s="1019"/>
      <c r="H1798" s="1019"/>
      <c r="I1798" s="1140"/>
    </row>
    <row r="1799" spans="1:9" x14ac:dyDescent="0.35">
      <c r="A1799" s="1019"/>
      <c r="B1799" s="1019"/>
      <c r="C1799" s="1019"/>
      <c r="D1799" s="3188"/>
      <c r="E1799" s="1019"/>
      <c r="F1799" s="1019"/>
      <c r="G1799" s="1019"/>
      <c r="H1799" s="1019"/>
      <c r="I1799" s="1140"/>
    </row>
    <row r="1800" spans="1:9" x14ac:dyDescent="0.35">
      <c r="A1800" s="1019"/>
      <c r="B1800" s="1019"/>
      <c r="C1800" s="1019"/>
      <c r="D1800" s="3188"/>
      <c r="E1800" s="1019"/>
      <c r="F1800" s="1019"/>
      <c r="G1800" s="1019"/>
      <c r="H1800" s="1019"/>
      <c r="I1800" s="1140"/>
    </row>
    <row r="1801" spans="1:9" x14ac:dyDescent="0.35">
      <c r="A1801" s="1019"/>
      <c r="B1801" s="1019"/>
      <c r="C1801" s="1019"/>
      <c r="D1801" s="3188"/>
      <c r="E1801" s="1019"/>
      <c r="F1801" s="1019"/>
      <c r="G1801" s="1019"/>
      <c r="H1801" s="1019"/>
      <c r="I1801" s="1140"/>
    </row>
    <row r="1802" spans="1:9" x14ac:dyDescent="0.35">
      <c r="A1802" s="1019"/>
      <c r="B1802" s="1019"/>
      <c r="C1802" s="1019"/>
      <c r="D1802" s="3188"/>
      <c r="E1802" s="1019"/>
      <c r="F1802" s="1019"/>
      <c r="G1802" s="1019"/>
      <c r="H1802" s="1019"/>
      <c r="I1802" s="1140"/>
    </row>
    <row r="1803" spans="1:9" x14ac:dyDescent="0.35">
      <c r="A1803" s="1019"/>
      <c r="B1803" s="1019"/>
      <c r="C1803" s="1019"/>
      <c r="D1803" s="3188"/>
      <c r="E1803" s="1019"/>
      <c r="F1803" s="1019"/>
      <c r="G1803" s="1019"/>
      <c r="H1803" s="1019"/>
      <c r="I1803" s="1140"/>
    </row>
    <row r="1804" spans="1:9" x14ac:dyDescent="0.35">
      <c r="A1804" s="1019"/>
      <c r="B1804" s="1019"/>
      <c r="C1804" s="1019"/>
      <c r="D1804" s="3188"/>
      <c r="E1804" s="1019"/>
      <c r="F1804" s="1019"/>
      <c r="G1804" s="1019"/>
      <c r="H1804" s="1019"/>
      <c r="I1804" s="1140"/>
    </row>
    <row r="1805" spans="1:9" x14ac:dyDescent="0.35">
      <c r="A1805" s="1019"/>
      <c r="B1805" s="1019"/>
      <c r="C1805" s="1019"/>
      <c r="D1805" s="3188"/>
      <c r="E1805" s="1019"/>
      <c r="F1805" s="1019"/>
      <c r="G1805" s="1019"/>
      <c r="H1805" s="1019"/>
      <c r="I1805" s="1140"/>
    </row>
    <row r="1806" spans="1:9" x14ac:dyDescent="0.35">
      <c r="A1806" s="1019"/>
      <c r="B1806" s="1019"/>
      <c r="C1806" s="1019"/>
      <c r="D1806" s="3188"/>
      <c r="E1806" s="1019"/>
      <c r="F1806" s="1019"/>
      <c r="G1806" s="1019"/>
      <c r="H1806" s="1019"/>
      <c r="I1806" s="1140"/>
    </row>
    <row r="1807" spans="1:9" x14ac:dyDescent="0.35">
      <c r="A1807" s="1019"/>
      <c r="B1807" s="1019"/>
      <c r="C1807" s="1019"/>
      <c r="D1807" s="3188"/>
      <c r="E1807" s="1019"/>
      <c r="F1807" s="1019"/>
      <c r="G1807" s="1019"/>
      <c r="H1807" s="1019"/>
      <c r="I1807" s="1140"/>
    </row>
    <row r="1808" spans="1:9" x14ac:dyDescent="0.35">
      <c r="A1808" s="1019"/>
      <c r="B1808" s="1019"/>
      <c r="C1808" s="1019"/>
      <c r="D1808" s="3188"/>
      <c r="E1808" s="1019"/>
      <c r="F1808" s="1019"/>
      <c r="G1808" s="1019"/>
      <c r="H1808" s="1019"/>
      <c r="I1808" s="1140"/>
    </row>
    <row r="1809" spans="1:9" x14ac:dyDescent="0.35">
      <c r="A1809" s="1019"/>
      <c r="B1809" s="1019"/>
      <c r="C1809" s="1019"/>
      <c r="D1809" s="3188"/>
      <c r="E1809" s="1019"/>
      <c r="F1809" s="1019"/>
      <c r="G1809" s="1019"/>
      <c r="H1809" s="1019"/>
      <c r="I1809" s="1140"/>
    </row>
    <row r="1810" spans="1:9" x14ac:dyDescent="0.35">
      <c r="A1810" s="1019"/>
      <c r="B1810" s="1019"/>
      <c r="C1810" s="1019"/>
      <c r="D1810" s="3188"/>
      <c r="E1810" s="1019"/>
      <c r="F1810" s="1019"/>
      <c r="G1810" s="1019"/>
      <c r="H1810" s="1019"/>
      <c r="I1810" s="1140"/>
    </row>
    <row r="1811" spans="1:9" x14ac:dyDescent="0.35">
      <c r="A1811" s="1019"/>
      <c r="B1811" s="1019"/>
      <c r="C1811" s="1019"/>
      <c r="D1811" s="3188"/>
      <c r="E1811" s="1019"/>
      <c r="F1811" s="1019"/>
      <c r="G1811" s="1019"/>
      <c r="H1811" s="1019"/>
      <c r="I1811" s="1140"/>
    </row>
    <row r="1812" spans="1:9" x14ac:dyDescent="0.35">
      <c r="A1812" s="1019"/>
      <c r="B1812" s="1019"/>
      <c r="C1812" s="1019"/>
      <c r="D1812" s="3188"/>
      <c r="E1812" s="1019"/>
      <c r="F1812" s="1019"/>
      <c r="G1812" s="1019"/>
      <c r="H1812" s="1019"/>
      <c r="I1812" s="1140"/>
    </row>
    <row r="1813" spans="1:9" x14ac:dyDescent="0.35">
      <c r="A1813" s="1019"/>
      <c r="B1813" s="1019"/>
      <c r="C1813" s="1019"/>
      <c r="D1813" s="3188"/>
      <c r="E1813" s="1019"/>
      <c r="F1813" s="1019"/>
      <c r="G1813" s="1019"/>
      <c r="H1813" s="1019"/>
      <c r="I1813" s="1140"/>
    </row>
    <row r="1814" spans="1:9" x14ac:dyDescent="0.35">
      <c r="A1814" s="1019"/>
      <c r="B1814" s="1019"/>
      <c r="C1814" s="1019"/>
      <c r="D1814" s="3188"/>
      <c r="E1814" s="1019"/>
      <c r="F1814" s="1019"/>
      <c r="G1814" s="1019"/>
      <c r="H1814" s="1019"/>
      <c r="I1814" s="1140"/>
    </row>
    <row r="1815" spans="1:9" x14ac:dyDescent="0.35">
      <c r="A1815" s="1019"/>
      <c r="B1815" s="1019"/>
      <c r="C1815" s="1019"/>
      <c r="D1815" s="3188"/>
      <c r="E1815" s="1019"/>
      <c r="F1815" s="1019"/>
      <c r="G1815" s="1019"/>
      <c r="H1815" s="1019"/>
      <c r="I1815" s="1140"/>
    </row>
    <row r="1816" spans="1:9" x14ac:dyDescent="0.35">
      <c r="A1816" s="1019"/>
      <c r="B1816" s="1019"/>
      <c r="C1816" s="1019"/>
      <c r="D1816" s="3188"/>
      <c r="E1816" s="1019"/>
      <c r="F1816" s="1019"/>
      <c r="G1816" s="1019"/>
      <c r="H1816" s="1019"/>
      <c r="I1816" s="1140"/>
    </row>
    <row r="1817" spans="1:9" x14ac:dyDescent="0.35">
      <c r="A1817" s="1019"/>
      <c r="B1817" s="1019"/>
      <c r="C1817" s="1019"/>
      <c r="D1817" s="3188"/>
      <c r="E1817" s="1019"/>
      <c r="F1817" s="1019"/>
      <c r="G1817" s="1019"/>
      <c r="H1817" s="1019"/>
      <c r="I1817" s="1140"/>
    </row>
    <row r="1818" spans="1:9" x14ac:dyDescent="0.35">
      <c r="A1818" s="1019"/>
      <c r="B1818" s="1019"/>
      <c r="C1818" s="1019"/>
      <c r="D1818" s="3188"/>
      <c r="E1818" s="1019"/>
      <c r="F1818" s="1019"/>
      <c r="G1818" s="1019"/>
      <c r="H1818" s="1019"/>
      <c r="I1818" s="1140"/>
    </row>
    <row r="1819" spans="1:9" x14ac:dyDescent="0.35">
      <c r="A1819" s="1019"/>
      <c r="B1819" s="1019"/>
      <c r="C1819" s="1019"/>
      <c r="D1819" s="3188"/>
      <c r="E1819" s="1019"/>
      <c r="F1819" s="1019"/>
      <c r="G1819" s="1019"/>
      <c r="H1819" s="1019"/>
      <c r="I1819" s="1140"/>
    </row>
    <row r="1820" spans="1:9" x14ac:dyDescent="0.35">
      <c r="A1820" s="1019"/>
      <c r="B1820" s="1019"/>
      <c r="C1820" s="1019"/>
      <c r="D1820" s="3188"/>
      <c r="E1820" s="1019"/>
      <c r="F1820" s="1019"/>
      <c r="G1820" s="1019"/>
      <c r="H1820" s="1019"/>
      <c r="I1820" s="1140"/>
    </row>
    <row r="1821" spans="1:9" x14ac:dyDescent="0.35">
      <c r="A1821" s="1019"/>
      <c r="B1821" s="1019"/>
      <c r="C1821" s="1019"/>
      <c r="D1821" s="3188"/>
      <c r="E1821" s="1019"/>
      <c r="F1821" s="1019"/>
      <c r="G1821" s="1019"/>
      <c r="H1821" s="1019"/>
      <c r="I1821" s="1140"/>
    </row>
    <row r="1822" spans="1:9" x14ac:dyDescent="0.35">
      <c r="A1822" s="1019"/>
      <c r="B1822" s="1019"/>
      <c r="C1822" s="1019"/>
      <c r="D1822" s="3188"/>
      <c r="E1822" s="1019"/>
      <c r="F1822" s="1019"/>
      <c r="G1822" s="1019"/>
      <c r="H1822" s="1019"/>
      <c r="I1822" s="1140"/>
    </row>
    <row r="1823" spans="1:9" x14ac:dyDescent="0.35">
      <c r="A1823" s="1019"/>
      <c r="B1823" s="1019"/>
      <c r="C1823" s="1019"/>
      <c r="D1823" s="3188"/>
      <c r="E1823" s="1019"/>
      <c r="F1823" s="1019"/>
      <c r="G1823" s="1019"/>
      <c r="H1823" s="1019"/>
      <c r="I1823" s="1140"/>
    </row>
    <row r="1824" spans="1:9" x14ac:dyDescent="0.35">
      <c r="A1824" s="1019"/>
      <c r="B1824" s="1019"/>
      <c r="C1824" s="1019"/>
      <c r="D1824" s="3188"/>
      <c r="E1824" s="1019"/>
      <c r="F1824" s="1019"/>
      <c r="G1824" s="1019"/>
      <c r="H1824" s="1019"/>
      <c r="I1824" s="1140"/>
    </row>
    <row r="1825" spans="1:9" x14ac:dyDescent="0.35">
      <c r="A1825" s="1019"/>
      <c r="B1825" s="1019"/>
      <c r="C1825" s="1019"/>
      <c r="D1825" s="3188"/>
      <c r="E1825" s="1019"/>
      <c r="F1825" s="1019"/>
      <c r="G1825" s="1019"/>
      <c r="H1825" s="1019"/>
      <c r="I1825" s="1140"/>
    </row>
    <row r="1826" spans="1:9" x14ac:dyDescent="0.35">
      <c r="A1826" s="1019"/>
      <c r="B1826" s="1019"/>
      <c r="C1826" s="1019"/>
      <c r="D1826" s="3188"/>
      <c r="E1826" s="1019"/>
      <c r="F1826" s="1019"/>
      <c r="G1826" s="1019"/>
      <c r="H1826" s="1019"/>
      <c r="I1826" s="1140"/>
    </row>
    <row r="1827" spans="1:9" x14ac:dyDescent="0.35">
      <c r="A1827" s="1019"/>
      <c r="B1827" s="1019"/>
      <c r="C1827" s="1019"/>
      <c r="D1827" s="3188"/>
      <c r="E1827" s="1019"/>
      <c r="F1827" s="1019"/>
      <c r="G1827" s="1019"/>
      <c r="H1827" s="1019"/>
      <c r="I1827" s="1140"/>
    </row>
    <row r="1828" spans="1:9" x14ac:dyDescent="0.35">
      <c r="A1828" s="1019"/>
      <c r="B1828" s="1019"/>
      <c r="C1828" s="1019"/>
      <c r="D1828" s="3188"/>
      <c r="E1828" s="1019"/>
      <c r="F1828" s="1019"/>
      <c r="G1828" s="1019"/>
      <c r="H1828" s="1019"/>
      <c r="I1828" s="1140"/>
    </row>
    <row r="1829" spans="1:9" x14ac:dyDescent="0.35">
      <c r="A1829" s="1019"/>
      <c r="B1829" s="1019"/>
      <c r="C1829" s="1019"/>
      <c r="D1829" s="3188"/>
      <c r="E1829" s="1019"/>
      <c r="F1829" s="1019"/>
      <c r="G1829" s="1019"/>
      <c r="H1829" s="1019"/>
      <c r="I1829" s="1140"/>
    </row>
    <row r="1830" spans="1:9" x14ac:dyDescent="0.35">
      <c r="A1830" s="1019"/>
      <c r="B1830" s="1019"/>
      <c r="C1830" s="1019"/>
      <c r="D1830" s="3188"/>
      <c r="E1830" s="1019"/>
      <c r="F1830" s="1019"/>
      <c r="G1830" s="1019"/>
      <c r="H1830" s="1019"/>
      <c r="I1830" s="1140"/>
    </row>
    <row r="1831" spans="1:9" x14ac:dyDescent="0.35">
      <c r="A1831" s="1019"/>
      <c r="B1831" s="1019"/>
      <c r="C1831" s="1019"/>
      <c r="D1831" s="3188"/>
      <c r="E1831" s="1019"/>
      <c r="F1831" s="1019"/>
      <c r="G1831" s="1019"/>
      <c r="H1831" s="1019"/>
      <c r="I1831" s="1140"/>
    </row>
    <row r="1832" spans="1:9" x14ac:dyDescent="0.35">
      <c r="A1832" s="1019"/>
      <c r="B1832" s="1019"/>
      <c r="C1832" s="1019"/>
      <c r="D1832" s="3188"/>
      <c r="E1832" s="1019"/>
      <c r="F1832" s="1019"/>
      <c r="G1832" s="1019"/>
      <c r="H1832" s="1019"/>
      <c r="I1832" s="1140"/>
    </row>
    <row r="1833" spans="1:9" x14ac:dyDescent="0.35">
      <c r="A1833" s="1019"/>
      <c r="B1833" s="1019"/>
      <c r="C1833" s="1019"/>
      <c r="D1833" s="3188"/>
      <c r="E1833" s="1019"/>
      <c r="F1833" s="1019"/>
      <c r="G1833" s="1019"/>
      <c r="H1833" s="1019"/>
      <c r="I1833" s="1140"/>
    </row>
    <row r="1834" spans="1:9" x14ac:dyDescent="0.35">
      <c r="A1834" s="1019"/>
      <c r="B1834" s="1019"/>
      <c r="C1834" s="1019"/>
      <c r="D1834" s="3188"/>
      <c r="E1834" s="1019"/>
      <c r="F1834" s="1019"/>
      <c r="G1834" s="1019"/>
      <c r="H1834" s="1019"/>
      <c r="I1834" s="1140"/>
    </row>
    <row r="1835" spans="1:9" x14ac:dyDescent="0.35">
      <c r="A1835" s="1019"/>
      <c r="B1835" s="1019"/>
      <c r="C1835" s="1019"/>
      <c r="D1835" s="3188"/>
      <c r="E1835" s="1019"/>
      <c r="F1835" s="1019"/>
      <c r="G1835" s="1019"/>
      <c r="H1835" s="1019"/>
      <c r="I1835" s="1140"/>
    </row>
    <row r="1836" spans="1:9" x14ac:dyDescent="0.35">
      <c r="A1836" s="1019"/>
      <c r="B1836" s="1019"/>
      <c r="C1836" s="1019"/>
      <c r="D1836" s="3188"/>
      <c r="E1836" s="1019"/>
      <c r="F1836" s="1019"/>
      <c r="G1836" s="1019"/>
      <c r="H1836" s="1019"/>
      <c r="I1836" s="1140"/>
    </row>
    <row r="1837" spans="1:9" x14ac:dyDescent="0.35">
      <c r="A1837" s="1019"/>
      <c r="B1837" s="1019"/>
      <c r="C1837" s="1019"/>
      <c r="D1837" s="3188"/>
      <c r="E1837" s="1019"/>
      <c r="F1837" s="1019"/>
      <c r="G1837" s="1019"/>
      <c r="H1837" s="1019"/>
      <c r="I1837" s="1140"/>
    </row>
    <row r="1838" spans="1:9" x14ac:dyDescent="0.35">
      <c r="A1838" s="1019"/>
      <c r="B1838" s="1019"/>
      <c r="C1838" s="1019"/>
      <c r="D1838" s="3188"/>
      <c r="E1838" s="1019"/>
      <c r="F1838" s="1019"/>
      <c r="G1838" s="1019"/>
      <c r="H1838" s="1019"/>
      <c r="I1838" s="1140"/>
    </row>
    <row r="1839" spans="1:9" x14ac:dyDescent="0.35">
      <c r="A1839" s="1019"/>
      <c r="B1839" s="1019"/>
      <c r="C1839" s="1019"/>
      <c r="D1839" s="3188"/>
      <c r="E1839" s="1019"/>
      <c r="F1839" s="1019"/>
      <c r="G1839" s="1019"/>
      <c r="H1839" s="1019"/>
      <c r="I1839" s="1140"/>
    </row>
    <row r="1840" spans="1:9" x14ac:dyDescent="0.35">
      <c r="A1840" s="1019"/>
      <c r="B1840" s="1019"/>
      <c r="C1840" s="1019"/>
      <c r="D1840" s="3188"/>
      <c r="E1840" s="1019"/>
      <c r="F1840" s="1019"/>
      <c r="G1840" s="1019"/>
      <c r="H1840" s="1019"/>
      <c r="I1840" s="1140"/>
    </row>
    <row r="1841" spans="1:9" x14ac:dyDescent="0.35">
      <c r="A1841" s="1019"/>
      <c r="B1841" s="1019"/>
      <c r="C1841" s="1019"/>
      <c r="D1841" s="3188"/>
      <c r="E1841" s="1019"/>
      <c r="F1841" s="1019"/>
      <c r="G1841" s="1019"/>
      <c r="H1841" s="1019"/>
      <c r="I1841" s="1140"/>
    </row>
    <row r="1842" spans="1:9" x14ac:dyDescent="0.35">
      <c r="A1842" s="1019"/>
      <c r="B1842" s="1019"/>
      <c r="C1842" s="1019"/>
      <c r="D1842" s="3188"/>
      <c r="E1842" s="1019"/>
      <c r="F1842" s="1019"/>
      <c r="G1842" s="1019"/>
      <c r="H1842" s="1019"/>
      <c r="I1842" s="1140"/>
    </row>
    <row r="1843" spans="1:9" x14ac:dyDescent="0.35">
      <c r="A1843" s="1019"/>
      <c r="B1843" s="1019"/>
      <c r="C1843" s="1019"/>
      <c r="D1843" s="3188"/>
      <c r="E1843" s="1019"/>
      <c r="F1843" s="1019"/>
      <c r="G1843" s="1019"/>
      <c r="H1843" s="1019"/>
      <c r="I1843" s="1140"/>
    </row>
    <row r="1844" spans="1:9" x14ac:dyDescent="0.35">
      <c r="A1844" s="1019"/>
      <c r="B1844" s="1019"/>
      <c r="C1844" s="1019"/>
      <c r="D1844" s="3188"/>
      <c r="E1844" s="1019"/>
      <c r="F1844" s="1019"/>
      <c r="G1844" s="1019"/>
      <c r="H1844" s="1019"/>
      <c r="I1844" s="1140"/>
    </row>
    <row r="1845" spans="1:9" x14ac:dyDescent="0.35">
      <c r="A1845" s="1019"/>
      <c r="B1845" s="1019"/>
      <c r="C1845" s="1019"/>
      <c r="D1845" s="3188"/>
      <c r="E1845" s="1019"/>
      <c r="F1845" s="1019"/>
      <c r="G1845" s="1019"/>
      <c r="H1845" s="1019"/>
      <c r="I1845" s="1140"/>
    </row>
    <row r="1846" spans="1:9" x14ac:dyDescent="0.35">
      <c r="A1846" s="1019"/>
      <c r="B1846" s="1019"/>
      <c r="C1846" s="1019"/>
      <c r="D1846" s="3188"/>
      <c r="E1846" s="1019"/>
      <c r="F1846" s="1019"/>
      <c r="G1846" s="1019"/>
      <c r="H1846" s="1019"/>
      <c r="I1846" s="1140"/>
    </row>
    <row r="1847" spans="1:9" x14ac:dyDescent="0.35">
      <c r="A1847" s="1019"/>
      <c r="B1847" s="1019"/>
      <c r="C1847" s="1019"/>
      <c r="D1847" s="3188"/>
      <c r="E1847" s="1019"/>
      <c r="F1847" s="1019"/>
      <c r="G1847" s="1019"/>
      <c r="H1847" s="1019"/>
      <c r="I1847" s="1140"/>
    </row>
    <row r="1848" spans="1:9" x14ac:dyDescent="0.35">
      <c r="A1848" s="1019"/>
      <c r="B1848" s="1019"/>
      <c r="C1848" s="1019"/>
      <c r="D1848" s="3188"/>
      <c r="E1848" s="1019"/>
      <c r="F1848" s="1019"/>
      <c r="G1848" s="1019"/>
      <c r="H1848" s="1019"/>
      <c r="I1848" s="1140"/>
    </row>
    <row r="1849" spans="1:9" x14ac:dyDescent="0.35">
      <c r="A1849" s="1019"/>
      <c r="B1849" s="1019"/>
      <c r="C1849" s="1019"/>
      <c r="D1849" s="3188"/>
      <c r="E1849" s="1019"/>
      <c r="F1849" s="1019"/>
      <c r="G1849" s="1019"/>
      <c r="H1849" s="1019"/>
      <c r="I1849" s="1140"/>
    </row>
    <row r="1850" spans="1:9" x14ac:dyDescent="0.35">
      <c r="A1850" s="1019"/>
      <c r="B1850" s="1019"/>
      <c r="C1850" s="1019"/>
      <c r="D1850" s="3188"/>
      <c r="E1850" s="1019"/>
      <c r="F1850" s="1019"/>
      <c r="G1850" s="1019"/>
      <c r="H1850" s="1019"/>
      <c r="I1850" s="1140"/>
    </row>
    <row r="1851" spans="1:9" x14ac:dyDescent="0.35">
      <c r="A1851" s="1019"/>
      <c r="B1851" s="1019"/>
      <c r="C1851" s="1019"/>
      <c r="D1851" s="3188"/>
      <c r="E1851" s="1019"/>
      <c r="F1851" s="1019"/>
      <c r="G1851" s="1019"/>
      <c r="H1851" s="1019"/>
      <c r="I1851" s="1140"/>
    </row>
    <row r="1852" spans="1:9" x14ac:dyDescent="0.35">
      <c r="A1852" s="1019"/>
      <c r="B1852" s="1019"/>
      <c r="C1852" s="1019"/>
      <c r="D1852" s="3188"/>
      <c r="E1852" s="1019"/>
      <c r="F1852" s="1019"/>
      <c r="G1852" s="1019"/>
      <c r="H1852" s="1019"/>
      <c r="I1852" s="1140"/>
    </row>
    <row r="1853" spans="1:9" x14ac:dyDescent="0.35">
      <c r="A1853" s="1019"/>
      <c r="B1853" s="1019"/>
      <c r="C1853" s="1019"/>
      <c r="D1853" s="3188"/>
      <c r="E1853" s="1019"/>
      <c r="F1853" s="1019"/>
      <c r="G1853" s="1019"/>
      <c r="H1853" s="1019"/>
      <c r="I1853" s="1140"/>
    </row>
    <row r="1854" spans="1:9" x14ac:dyDescent="0.35">
      <c r="A1854" s="1019"/>
      <c r="B1854" s="1019"/>
      <c r="C1854" s="1019"/>
      <c r="D1854" s="3188"/>
      <c r="E1854" s="1019"/>
      <c r="F1854" s="1019"/>
      <c r="G1854" s="1019"/>
      <c r="H1854" s="1019"/>
      <c r="I1854" s="1140"/>
    </row>
    <row r="1855" spans="1:9" x14ac:dyDescent="0.35">
      <c r="A1855" s="1019"/>
      <c r="B1855" s="1019"/>
      <c r="C1855" s="1019"/>
      <c r="D1855" s="3188"/>
      <c r="E1855" s="1019"/>
      <c r="F1855" s="1019"/>
      <c r="G1855" s="1019"/>
      <c r="H1855" s="1019"/>
      <c r="I1855" s="1140"/>
    </row>
    <row r="1856" spans="1:9" x14ac:dyDescent="0.35">
      <c r="A1856" s="1019"/>
      <c r="B1856" s="1019"/>
      <c r="C1856" s="1019"/>
      <c r="D1856" s="3188"/>
      <c r="E1856" s="1019"/>
      <c r="F1856" s="1019"/>
      <c r="G1856" s="1019"/>
      <c r="H1856" s="1019"/>
      <c r="I1856" s="1140"/>
    </row>
    <row r="1857" spans="1:9" x14ac:dyDescent="0.35">
      <c r="A1857" s="1019"/>
      <c r="B1857" s="1019"/>
      <c r="C1857" s="1019"/>
      <c r="D1857" s="3188"/>
      <c r="E1857" s="1019"/>
      <c r="F1857" s="1019"/>
      <c r="G1857" s="1019"/>
      <c r="H1857" s="1019"/>
      <c r="I1857" s="1140"/>
    </row>
    <row r="1858" spans="1:9" x14ac:dyDescent="0.35">
      <c r="A1858" s="1019"/>
      <c r="B1858" s="1019"/>
      <c r="C1858" s="1019"/>
      <c r="D1858" s="3188"/>
      <c r="E1858" s="1019"/>
      <c r="F1858" s="1019"/>
      <c r="G1858" s="1019"/>
      <c r="H1858" s="1019"/>
      <c r="I1858" s="1140"/>
    </row>
    <row r="1859" spans="1:9" x14ac:dyDescent="0.35">
      <c r="A1859" s="1019"/>
      <c r="B1859" s="1019"/>
      <c r="C1859" s="1019"/>
      <c r="D1859" s="3188"/>
      <c r="E1859" s="1019"/>
      <c r="F1859" s="1019"/>
      <c r="G1859" s="1019"/>
      <c r="H1859" s="1019"/>
      <c r="I1859" s="1140"/>
    </row>
    <row r="1860" spans="1:9" x14ac:dyDescent="0.35">
      <c r="A1860" s="1019"/>
      <c r="B1860" s="1019"/>
      <c r="C1860" s="1019"/>
      <c r="D1860" s="3188"/>
      <c r="E1860" s="1019"/>
      <c r="F1860" s="1019"/>
      <c r="G1860" s="1019"/>
      <c r="H1860" s="1019"/>
      <c r="I1860" s="1140"/>
    </row>
    <row r="1861" spans="1:9" x14ac:dyDescent="0.35">
      <c r="A1861" s="1019"/>
      <c r="B1861" s="1019"/>
      <c r="C1861" s="1019"/>
      <c r="D1861" s="3188"/>
      <c r="E1861" s="1019"/>
      <c r="F1861" s="1019"/>
      <c r="G1861" s="1019"/>
      <c r="H1861" s="1019"/>
      <c r="I1861" s="1140"/>
    </row>
    <row r="1862" spans="1:9" x14ac:dyDescent="0.35">
      <c r="A1862" s="1019"/>
      <c r="B1862" s="1019"/>
      <c r="C1862" s="1019"/>
      <c r="D1862" s="3188"/>
      <c r="E1862" s="1019"/>
      <c r="F1862" s="1019"/>
      <c r="G1862" s="1019"/>
      <c r="H1862" s="1019"/>
      <c r="I1862" s="1140"/>
    </row>
    <row r="1863" spans="1:9" x14ac:dyDescent="0.35">
      <c r="A1863" s="1019"/>
      <c r="B1863" s="1019"/>
      <c r="C1863" s="1019"/>
      <c r="D1863" s="3188"/>
      <c r="E1863" s="1019"/>
      <c r="F1863" s="1019"/>
      <c r="G1863" s="1019"/>
      <c r="H1863" s="1019"/>
      <c r="I1863" s="1140"/>
    </row>
    <row r="1864" spans="1:9" x14ac:dyDescent="0.35">
      <c r="A1864" s="1019"/>
      <c r="B1864" s="1019"/>
      <c r="C1864" s="1019"/>
      <c r="D1864" s="3188"/>
      <c r="E1864" s="1019"/>
      <c r="F1864" s="1019"/>
      <c r="G1864" s="1019"/>
      <c r="H1864" s="1019"/>
      <c r="I1864" s="1140"/>
    </row>
    <row r="1865" spans="1:9" x14ac:dyDescent="0.35">
      <c r="A1865" s="1019"/>
      <c r="B1865" s="1019"/>
      <c r="C1865" s="1019"/>
      <c r="D1865" s="3188"/>
      <c r="E1865" s="1019"/>
      <c r="F1865" s="1019"/>
      <c r="G1865" s="1019"/>
      <c r="H1865" s="1019"/>
      <c r="I1865" s="1140"/>
    </row>
    <row r="1866" spans="1:9" x14ac:dyDescent="0.35">
      <c r="A1866" s="1019"/>
      <c r="B1866" s="1019"/>
      <c r="C1866" s="1019"/>
      <c r="D1866" s="3188"/>
      <c r="E1866" s="1019"/>
      <c r="F1866" s="1019"/>
      <c r="G1866" s="1019"/>
      <c r="H1866" s="1019"/>
      <c r="I1866" s="1140"/>
    </row>
    <row r="1867" spans="1:9" x14ac:dyDescent="0.35">
      <c r="A1867" s="1019"/>
      <c r="B1867" s="1019"/>
      <c r="C1867" s="1019"/>
      <c r="D1867" s="3188"/>
      <c r="E1867" s="1019"/>
      <c r="F1867" s="1019"/>
      <c r="G1867" s="1019"/>
      <c r="H1867" s="1019"/>
      <c r="I1867" s="1140"/>
    </row>
    <row r="1868" spans="1:9" x14ac:dyDescent="0.35">
      <c r="A1868" s="1019"/>
      <c r="B1868" s="1019"/>
      <c r="C1868" s="1019"/>
      <c r="D1868" s="3188"/>
      <c r="E1868" s="1019"/>
      <c r="F1868" s="1019"/>
      <c r="G1868" s="1019"/>
      <c r="H1868" s="1019"/>
      <c r="I1868" s="1140"/>
    </row>
    <row r="1869" spans="1:9" x14ac:dyDescent="0.35">
      <c r="A1869" s="1019"/>
      <c r="B1869" s="1019"/>
      <c r="C1869" s="1019"/>
      <c r="D1869" s="3188"/>
      <c r="E1869" s="1019"/>
      <c r="F1869" s="1019"/>
      <c r="G1869" s="1019"/>
      <c r="H1869" s="1019"/>
      <c r="I1869" s="1140"/>
    </row>
    <row r="1870" spans="1:9" x14ac:dyDescent="0.35">
      <c r="A1870" s="1019"/>
      <c r="B1870" s="1019"/>
      <c r="C1870" s="1019"/>
      <c r="D1870" s="3188"/>
      <c r="E1870" s="1019"/>
      <c r="F1870" s="1019"/>
      <c r="G1870" s="1019"/>
      <c r="H1870" s="1019"/>
      <c r="I1870" s="1140"/>
    </row>
    <row r="1871" spans="1:9" x14ac:dyDescent="0.35">
      <c r="A1871" s="1019"/>
      <c r="B1871" s="1019"/>
      <c r="C1871" s="1019"/>
      <c r="D1871" s="3188"/>
      <c r="E1871" s="1019"/>
      <c r="F1871" s="1019"/>
      <c r="G1871" s="1019"/>
      <c r="H1871" s="1019"/>
      <c r="I1871" s="1140"/>
    </row>
    <row r="1872" spans="1:9" x14ac:dyDescent="0.35">
      <c r="A1872" s="1019"/>
      <c r="B1872" s="1019"/>
      <c r="C1872" s="1019"/>
      <c r="D1872" s="3188"/>
      <c r="E1872" s="1019"/>
      <c r="F1872" s="1019"/>
      <c r="G1872" s="1019"/>
      <c r="H1872" s="1019"/>
      <c r="I1872" s="1140"/>
    </row>
    <row r="1873" spans="1:9" x14ac:dyDescent="0.35">
      <c r="A1873" s="1019"/>
      <c r="B1873" s="1019"/>
      <c r="C1873" s="1019"/>
      <c r="D1873" s="3188"/>
      <c r="E1873" s="1019"/>
      <c r="F1873" s="1019"/>
      <c r="G1873" s="1019"/>
      <c r="H1873" s="1019"/>
      <c r="I1873" s="1140"/>
    </row>
    <row r="1874" spans="1:9" x14ac:dyDescent="0.35">
      <c r="A1874" s="1019"/>
      <c r="B1874" s="1019"/>
      <c r="C1874" s="1019"/>
      <c r="D1874" s="3188"/>
      <c r="E1874" s="1019"/>
      <c r="F1874" s="1019"/>
      <c r="G1874" s="1019"/>
      <c r="H1874" s="1019"/>
      <c r="I1874" s="1140"/>
    </row>
    <row r="1875" spans="1:9" x14ac:dyDescent="0.35">
      <c r="A1875" s="1019"/>
      <c r="B1875" s="1019"/>
      <c r="C1875" s="1019"/>
      <c r="D1875" s="3188"/>
      <c r="E1875" s="1019"/>
      <c r="F1875" s="1019"/>
      <c r="G1875" s="1019"/>
      <c r="H1875" s="1019"/>
      <c r="I1875" s="1140"/>
    </row>
    <row r="1876" spans="1:9" x14ac:dyDescent="0.35">
      <c r="A1876" s="1019"/>
      <c r="B1876" s="1019"/>
      <c r="C1876" s="1019"/>
      <c r="D1876" s="3188"/>
      <c r="E1876" s="1019"/>
      <c r="F1876" s="1019"/>
      <c r="G1876" s="1019"/>
      <c r="H1876" s="1019"/>
      <c r="I1876" s="1140"/>
    </row>
    <row r="1877" spans="1:9" x14ac:dyDescent="0.35">
      <c r="A1877" s="1019"/>
      <c r="B1877" s="1019"/>
      <c r="C1877" s="1019"/>
      <c r="D1877" s="3188"/>
      <c r="E1877" s="1019"/>
      <c r="F1877" s="1019"/>
      <c r="G1877" s="1019"/>
      <c r="H1877" s="1019"/>
      <c r="I1877" s="1140"/>
    </row>
    <row r="1878" spans="1:9" x14ac:dyDescent="0.35">
      <c r="A1878" s="1019"/>
      <c r="B1878" s="1019"/>
      <c r="C1878" s="1019"/>
      <c r="D1878" s="3188"/>
      <c r="E1878" s="1019"/>
      <c r="F1878" s="1019"/>
      <c r="G1878" s="1019"/>
      <c r="H1878" s="1019"/>
      <c r="I1878" s="1140"/>
    </row>
    <row r="1879" spans="1:9" x14ac:dyDescent="0.35">
      <c r="A1879" s="1019"/>
      <c r="B1879" s="1019"/>
      <c r="C1879" s="1019"/>
      <c r="D1879" s="3188"/>
      <c r="E1879" s="1019"/>
      <c r="F1879" s="1019"/>
      <c r="G1879" s="1019"/>
      <c r="H1879" s="1019"/>
      <c r="I1879" s="1140"/>
    </row>
    <row r="1880" spans="1:9" x14ac:dyDescent="0.35">
      <c r="A1880" s="1019"/>
      <c r="B1880" s="1019"/>
      <c r="C1880" s="1019"/>
      <c r="D1880" s="3188"/>
      <c r="E1880" s="1019"/>
      <c r="F1880" s="1019"/>
      <c r="G1880" s="1019"/>
      <c r="H1880" s="1019"/>
      <c r="I1880" s="1140"/>
    </row>
    <row r="1881" spans="1:9" x14ac:dyDescent="0.35">
      <c r="A1881" s="1019"/>
      <c r="B1881" s="1019"/>
      <c r="C1881" s="1019"/>
      <c r="D1881" s="3188"/>
      <c r="E1881" s="1019"/>
      <c r="F1881" s="1019"/>
      <c r="G1881" s="1019"/>
      <c r="H1881" s="1019"/>
      <c r="I1881" s="1140"/>
    </row>
    <row r="1882" spans="1:9" x14ac:dyDescent="0.35">
      <c r="A1882" s="1019"/>
      <c r="B1882" s="1019"/>
      <c r="C1882" s="1019"/>
      <c r="D1882" s="3188"/>
      <c r="E1882" s="1019"/>
      <c r="F1882" s="1019"/>
      <c r="G1882" s="1019"/>
      <c r="H1882" s="1019"/>
      <c r="I1882" s="1140"/>
    </row>
    <row r="1883" spans="1:9" x14ac:dyDescent="0.35">
      <c r="A1883" s="1019"/>
      <c r="B1883" s="1019"/>
      <c r="C1883" s="1019"/>
      <c r="D1883" s="3188"/>
      <c r="E1883" s="1019"/>
      <c r="F1883" s="1019"/>
      <c r="G1883" s="1019"/>
      <c r="H1883" s="1019"/>
      <c r="I1883" s="1140"/>
    </row>
    <row r="1884" spans="1:9" x14ac:dyDescent="0.35">
      <c r="A1884" s="1019"/>
      <c r="B1884" s="1019"/>
      <c r="C1884" s="1019"/>
      <c r="D1884" s="3188"/>
      <c r="E1884" s="1019"/>
      <c r="F1884" s="1019"/>
      <c r="G1884" s="1019"/>
      <c r="H1884" s="1019"/>
      <c r="I1884" s="1140"/>
    </row>
    <row r="1885" spans="1:9" x14ac:dyDescent="0.35">
      <c r="A1885" s="1019"/>
      <c r="B1885" s="1019"/>
      <c r="C1885" s="1019"/>
      <c r="D1885" s="3188"/>
      <c r="E1885" s="1019"/>
      <c r="F1885" s="1019"/>
      <c r="G1885" s="1019"/>
      <c r="H1885" s="1019"/>
      <c r="I1885" s="1140"/>
    </row>
    <row r="1886" spans="1:9" x14ac:dyDescent="0.35">
      <c r="A1886" s="1019"/>
      <c r="B1886" s="1019"/>
      <c r="C1886" s="1019"/>
      <c r="D1886" s="3188"/>
      <c r="E1886" s="1019"/>
      <c r="F1886" s="1019"/>
      <c r="G1886" s="1019"/>
      <c r="H1886" s="1019"/>
      <c r="I1886" s="1140"/>
    </row>
    <row r="1887" spans="1:9" x14ac:dyDescent="0.35">
      <c r="A1887" s="1019"/>
      <c r="B1887" s="1019"/>
      <c r="C1887" s="1019"/>
      <c r="D1887" s="3188"/>
      <c r="E1887" s="1019"/>
      <c r="F1887" s="1019"/>
      <c r="G1887" s="1019"/>
      <c r="H1887" s="1019"/>
      <c r="I1887" s="1140"/>
    </row>
    <row r="1888" spans="1:9" x14ac:dyDescent="0.35">
      <c r="A1888" s="1019"/>
      <c r="B1888" s="1019"/>
      <c r="C1888" s="1019"/>
      <c r="D1888" s="3188"/>
      <c r="E1888" s="1019"/>
      <c r="F1888" s="1019"/>
      <c r="G1888" s="1019"/>
      <c r="H1888" s="1019"/>
      <c r="I1888" s="1140"/>
    </row>
    <row r="1889" spans="1:9" x14ac:dyDescent="0.35">
      <c r="A1889" s="1019"/>
      <c r="B1889" s="1019"/>
      <c r="C1889" s="1019"/>
      <c r="D1889" s="3188"/>
      <c r="E1889" s="1019"/>
      <c r="F1889" s="1019"/>
      <c r="G1889" s="1019"/>
      <c r="H1889" s="1019"/>
      <c r="I1889" s="1140"/>
    </row>
    <row r="1890" spans="1:9" x14ac:dyDescent="0.35">
      <c r="A1890" s="1019"/>
      <c r="B1890" s="1019"/>
      <c r="C1890" s="1019"/>
      <c r="D1890" s="3188"/>
      <c r="E1890" s="1019"/>
      <c r="F1890" s="1019"/>
      <c r="G1890" s="1019"/>
      <c r="H1890" s="1019"/>
      <c r="I1890" s="1140"/>
    </row>
    <row r="1891" spans="1:9" x14ac:dyDescent="0.35">
      <c r="A1891" s="1019"/>
      <c r="B1891" s="1019"/>
      <c r="C1891" s="1019"/>
      <c r="D1891" s="3188"/>
      <c r="E1891" s="1019"/>
      <c r="F1891" s="1019"/>
      <c r="G1891" s="1019"/>
      <c r="H1891" s="1019"/>
      <c r="I1891" s="1140"/>
    </row>
    <row r="1892" spans="1:9" x14ac:dyDescent="0.35">
      <c r="A1892" s="1019"/>
      <c r="B1892" s="1019"/>
      <c r="C1892" s="1019"/>
      <c r="D1892" s="3188"/>
      <c r="E1892" s="1019"/>
      <c r="F1892" s="1019"/>
      <c r="G1892" s="1019"/>
      <c r="H1892" s="1019"/>
      <c r="I1892" s="1140"/>
    </row>
    <row r="1893" spans="1:9" x14ac:dyDescent="0.35">
      <c r="A1893" s="1019"/>
      <c r="B1893" s="1019"/>
      <c r="C1893" s="1019"/>
      <c r="D1893" s="3188"/>
      <c r="E1893" s="1019"/>
      <c r="F1893" s="1019"/>
      <c r="G1893" s="1019"/>
      <c r="H1893" s="1019"/>
      <c r="I1893" s="1140"/>
    </row>
    <row r="1894" spans="1:9" x14ac:dyDescent="0.35">
      <c r="A1894" s="1019"/>
      <c r="B1894" s="1019"/>
      <c r="C1894" s="1019"/>
      <c r="D1894" s="3188"/>
      <c r="E1894" s="1019"/>
      <c r="F1894" s="1019"/>
      <c r="G1894" s="1019"/>
      <c r="H1894" s="1019"/>
      <c r="I1894" s="1140"/>
    </row>
    <row r="1895" spans="1:9" x14ac:dyDescent="0.35">
      <c r="A1895" s="1019"/>
      <c r="B1895" s="1019"/>
      <c r="C1895" s="1019"/>
      <c r="D1895" s="3188"/>
      <c r="E1895" s="1019"/>
      <c r="F1895" s="1019"/>
      <c r="G1895" s="1019"/>
      <c r="H1895" s="1019"/>
      <c r="I1895" s="1140"/>
    </row>
    <row r="1896" spans="1:9" x14ac:dyDescent="0.35">
      <c r="A1896" s="1019"/>
      <c r="B1896" s="1019"/>
      <c r="C1896" s="1019"/>
      <c r="D1896" s="3188"/>
      <c r="E1896" s="1019"/>
      <c r="F1896" s="1019"/>
      <c r="G1896" s="1019"/>
      <c r="H1896" s="1019"/>
      <c r="I1896" s="1140"/>
    </row>
    <row r="1897" spans="1:9" x14ac:dyDescent="0.35">
      <c r="A1897" s="1019"/>
      <c r="B1897" s="1019"/>
      <c r="C1897" s="1019"/>
      <c r="D1897" s="3188"/>
      <c r="E1897" s="1019"/>
      <c r="F1897" s="1019"/>
      <c r="G1897" s="1019"/>
      <c r="H1897" s="1019"/>
      <c r="I1897" s="1140"/>
    </row>
    <row r="1898" spans="1:9" x14ac:dyDescent="0.35">
      <c r="A1898" s="1019"/>
      <c r="B1898" s="1019"/>
      <c r="C1898" s="1019"/>
      <c r="D1898" s="3188"/>
      <c r="E1898" s="1019"/>
      <c r="F1898" s="1019"/>
      <c r="G1898" s="1019"/>
      <c r="H1898" s="1019"/>
      <c r="I1898" s="1140"/>
    </row>
    <row r="1899" spans="1:9" x14ac:dyDescent="0.35">
      <c r="A1899" s="1019"/>
      <c r="B1899" s="1019"/>
      <c r="C1899" s="1019"/>
      <c r="D1899" s="3188"/>
      <c r="E1899" s="1019"/>
      <c r="F1899" s="1019"/>
      <c r="G1899" s="1019"/>
      <c r="H1899" s="1019"/>
      <c r="I1899" s="1140"/>
    </row>
    <row r="1900" spans="1:9" x14ac:dyDescent="0.35">
      <c r="A1900" s="1019"/>
      <c r="B1900" s="1019"/>
      <c r="C1900" s="1019"/>
      <c r="D1900" s="3188"/>
      <c r="E1900" s="1019"/>
      <c r="F1900" s="1019"/>
      <c r="G1900" s="1019"/>
      <c r="H1900" s="1019"/>
      <c r="I1900" s="1140"/>
    </row>
    <row r="1901" spans="1:9" x14ac:dyDescent="0.35">
      <c r="A1901" s="1019"/>
      <c r="B1901" s="1019"/>
      <c r="C1901" s="1019"/>
      <c r="D1901" s="3188"/>
      <c r="E1901" s="1019"/>
      <c r="F1901" s="1019"/>
      <c r="G1901" s="1019"/>
      <c r="H1901" s="1019"/>
      <c r="I1901" s="1140"/>
    </row>
    <row r="1902" spans="1:9" x14ac:dyDescent="0.35">
      <c r="A1902" s="1019"/>
      <c r="B1902" s="1019"/>
      <c r="C1902" s="1019"/>
      <c r="D1902" s="3188"/>
      <c r="E1902" s="1019"/>
      <c r="F1902" s="1019"/>
      <c r="G1902" s="1019"/>
      <c r="H1902" s="1019"/>
      <c r="I1902" s="1140"/>
    </row>
    <row r="1903" spans="1:9" x14ac:dyDescent="0.35">
      <c r="A1903" s="1019"/>
      <c r="B1903" s="1019"/>
      <c r="C1903" s="1019"/>
      <c r="D1903" s="3188"/>
      <c r="E1903" s="1019"/>
      <c r="F1903" s="1019"/>
      <c r="G1903" s="1019"/>
      <c r="H1903" s="1019"/>
      <c r="I1903" s="1140"/>
    </row>
    <row r="1904" spans="1:9" x14ac:dyDescent="0.35">
      <c r="A1904" s="1019"/>
      <c r="B1904" s="1019"/>
      <c r="C1904" s="1019"/>
      <c r="D1904" s="3188"/>
      <c r="E1904" s="1019"/>
      <c r="F1904" s="1019"/>
      <c r="G1904" s="1019"/>
      <c r="H1904" s="1019"/>
      <c r="I1904" s="1140"/>
    </row>
    <row r="1905" spans="1:9" x14ac:dyDescent="0.35">
      <c r="A1905" s="1019"/>
      <c r="B1905" s="1019"/>
      <c r="C1905" s="1019"/>
      <c r="D1905" s="3188"/>
      <c r="E1905" s="1019"/>
      <c r="F1905" s="1019"/>
      <c r="G1905" s="1019"/>
      <c r="H1905" s="1019"/>
      <c r="I1905" s="1140"/>
    </row>
    <row r="1906" spans="1:9" x14ac:dyDescent="0.35">
      <c r="A1906" s="1019"/>
      <c r="B1906" s="1019"/>
      <c r="C1906" s="1019"/>
      <c r="D1906" s="3188"/>
      <c r="E1906" s="1019"/>
      <c r="F1906" s="1019"/>
      <c r="G1906" s="1019"/>
      <c r="H1906" s="1019"/>
      <c r="I1906" s="1140"/>
    </row>
    <row r="1907" spans="1:9" x14ac:dyDescent="0.35">
      <c r="A1907" s="1019"/>
      <c r="B1907" s="1019"/>
      <c r="C1907" s="1019"/>
      <c r="D1907" s="3188"/>
      <c r="E1907" s="1019"/>
      <c r="F1907" s="1019"/>
      <c r="G1907" s="1019"/>
      <c r="H1907" s="1019"/>
      <c r="I1907" s="1140"/>
    </row>
    <row r="1908" spans="1:9" x14ac:dyDescent="0.35">
      <c r="A1908" s="1019"/>
      <c r="B1908" s="1019"/>
      <c r="C1908" s="1019"/>
      <c r="D1908" s="3188"/>
      <c r="E1908" s="1019"/>
      <c r="F1908" s="1019"/>
      <c r="G1908" s="1019"/>
      <c r="H1908" s="1019"/>
      <c r="I1908" s="1140"/>
    </row>
    <row r="1909" spans="1:9" x14ac:dyDescent="0.35">
      <c r="A1909" s="1019"/>
      <c r="B1909" s="1019"/>
      <c r="C1909" s="1019"/>
      <c r="D1909" s="3188"/>
      <c r="E1909" s="1019"/>
      <c r="F1909" s="1019"/>
      <c r="G1909" s="1019"/>
      <c r="H1909" s="1019"/>
      <c r="I1909" s="1140"/>
    </row>
    <row r="1910" spans="1:9" x14ac:dyDescent="0.35">
      <c r="A1910" s="1019"/>
      <c r="B1910" s="1019"/>
      <c r="C1910" s="1019"/>
      <c r="D1910" s="3188"/>
      <c r="E1910" s="1019"/>
      <c r="F1910" s="1019"/>
      <c r="G1910" s="1019"/>
      <c r="H1910" s="1019"/>
      <c r="I1910" s="1140"/>
    </row>
    <row r="1911" spans="1:9" x14ac:dyDescent="0.35">
      <c r="A1911" s="1019"/>
      <c r="B1911" s="1019"/>
      <c r="C1911" s="1019"/>
      <c r="D1911" s="3188"/>
      <c r="E1911" s="1019"/>
      <c r="F1911" s="1019"/>
      <c r="G1911" s="1019"/>
      <c r="H1911" s="1019"/>
      <c r="I1911" s="1140"/>
    </row>
    <row r="1912" spans="1:9" x14ac:dyDescent="0.35">
      <c r="A1912" s="1019"/>
      <c r="B1912" s="1019"/>
      <c r="C1912" s="1019"/>
      <c r="D1912" s="3188"/>
      <c r="E1912" s="1019"/>
      <c r="F1912" s="1019"/>
      <c r="G1912" s="1019"/>
      <c r="H1912" s="1019"/>
      <c r="I1912" s="1140"/>
    </row>
    <row r="1913" spans="1:9" x14ac:dyDescent="0.35">
      <c r="A1913" s="1019"/>
      <c r="B1913" s="1019"/>
      <c r="C1913" s="1019"/>
      <c r="D1913" s="3188"/>
      <c r="E1913" s="1019"/>
      <c r="F1913" s="1019"/>
      <c r="G1913" s="1019"/>
      <c r="H1913" s="1019"/>
      <c r="I1913" s="1140"/>
    </row>
    <row r="1914" spans="1:9" x14ac:dyDescent="0.35">
      <c r="A1914" s="1019"/>
      <c r="B1914" s="1019"/>
      <c r="C1914" s="1019"/>
      <c r="D1914" s="3188"/>
      <c r="E1914" s="1019"/>
      <c r="F1914" s="1019"/>
      <c r="G1914" s="1019"/>
      <c r="H1914" s="1019"/>
      <c r="I1914" s="1140"/>
    </row>
    <row r="1915" spans="1:9" x14ac:dyDescent="0.35">
      <c r="A1915" s="1019"/>
      <c r="B1915" s="1019"/>
      <c r="C1915" s="1019"/>
      <c r="D1915" s="3188"/>
      <c r="E1915" s="1019"/>
      <c r="F1915" s="1019"/>
      <c r="G1915" s="1019"/>
      <c r="H1915" s="1019"/>
      <c r="I1915" s="1140"/>
    </row>
    <row r="1916" spans="1:9" x14ac:dyDescent="0.35">
      <c r="A1916" s="1019"/>
      <c r="B1916" s="1019"/>
      <c r="C1916" s="1019"/>
      <c r="D1916" s="3188"/>
      <c r="E1916" s="1019"/>
      <c r="F1916" s="1019"/>
      <c r="G1916" s="1019"/>
      <c r="H1916" s="1019"/>
      <c r="I1916" s="1140"/>
    </row>
    <row r="1917" spans="1:9" x14ac:dyDescent="0.35">
      <c r="A1917" s="1019"/>
      <c r="B1917" s="1019"/>
      <c r="C1917" s="1019"/>
      <c r="D1917" s="3188"/>
      <c r="E1917" s="1019"/>
      <c r="F1917" s="1019"/>
      <c r="G1917" s="1019"/>
      <c r="H1917" s="1019"/>
      <c r="I1917" s="1140"/>
    </row>
    <row r="1918" spans="1:9" x14ac:dyDescent="0.35">
      <c r="A1918" s="1019"/>
      <c r="B1918" s="1019"/>
      <c r="C1918" s="1019"/>
      <c r="D1918" s="3188"/>
      <c r="E1918" s="1019"/>
      <c r="F1918" s="1019"/>
      <c r="G1918" s="1019"/>
      <c r="H1918" s="1019"/>
      <c r="I1918" s="1140"/>
    </row>
    <row r="1919" spans="1:9" x14ac:dyDescent="0.35">
      <c r="A1919" s="1019"/>
      <c r="B1919" s="1019"/>
      <c r="C1919" s="1019"/>
      <c r="D1919" s="3188"/>
      <c r="E1919" s="1019"/>
      <c r="F1919" s="1019"/>
      <c r="G1919" s="1019"/>
      <c r="H1919" s="1019"/>
      <c r="I1919" s="1140"/>
    </row>
    <row r="1920" spans="1:9" x14ac:dyDescent="0.35">
      <c r="A1920" s="1019"/>
      <c r="B1920" s="1019"/>
      <c r="C1920" s="1019"/>
      <c r="D1920" s="3188"/>
      <c r="E1920" s="1019"/>
      <c r="F1920" s="1019"/>
      <c r="G1920" s="1019"/>
      <c r="H1920" s="1019"/>
      <c r="I1920" s="1140"/>
    </row>
    <row r="1921" spans="1:9" x14ac:dyDescent="0.35">
      <c r="A1921" s="1019"/>
      <c r="B1921" s="1019"/>
      <c r="C1921" s="1019"/>
      <c r="D1921" s="3188"/>
      <c r="E1921" s="1019"/>
      <c r="F1921" s="1019"/>
      <c r="G1921" s="1019"/>
      <c r="H1921" s="1019"/>
      <c r="I1921" s="1140"/>
    </row>
    <row r="1922" spans="1:9" x14ac:dyDescent="0.35">
      <c r="A1922" s="1019"/>
      <c r="B1922" s="1019"/>
      <c r="C1922" s="1019"/>
      <c r="D1922" s="3188"/>
      <c r="E1922" s="1019"/>
      <c r="F1922" s="1019"/>
      <c r="G1922" s="1019"/>
      <c r="H1922" s="1019"/>
      <c r="I1922" s="1140"/>
    </row>
    <row r="1923" spans="1:9" x14ac:dyDescent="0.35">
      <c r="A1923" s="1019"/>
      <c r="B1923" s="1019"/>
      <c r="C1923" s="1019"/>
      <c r="D1923" s="3188"/>
      <c r="E1923" s="1019"/>
      <c r="F1923" s="1019"/>
      <c r="G1923" s="1019"/>
      <c r="H1923" s="1019"/>
      <c r="I1923" s="1140"/>
    </row>
    <row r="1924" spans="1:9" x14ac:dyDescent="0.35">
      <c r="A1924" s="1019"/>
      <c r="B1924" s="1019"/>
      <c r="C1924" s="1019"/>
      <c r="D1924" s="3188"/>
      <c r="E1924" s="1019"/>
      <c r="F1924" s="1019"/>
      <c r="G1924" s="1019"/>
      <c r="H1924" s="1019"/>
      <c r="I1924" s="1140"/>
    </row>
    <row r="1925" spans="1:9" x14ac:dyDescent="0.35">
      <c r="A1925" s="1019"/>
      <c r="B1925" s="1019"/>
      <c r="C1925" s="1019"/>
      <c r="D1925" s="3188"/>
      <c r="E1925" s="1019"/>
      <c r="F1925" s="1019"/>
      <c r="G1925" s="1019"/>
      <c r="H1925" s="1019"/>
      <c r="I1925" s="1140"/>
    </row>
    <row r="1926" spans="1:9" x14ac:dyDescent="0.35">
      <c r="A1926" s="1019"/>
      <c r="B1926" s="1019"/>
      <c r="C1926" s="1019"/>
      <c r="D1926" s="3188"/>
      <c r="E1926" s="1019"/>
      <c r="F1926" s="1019"/>
      <c r="G1926" s="1019"/>
      <c r="H1926" s="1019"/>
      <c r="I1926" s="1140"/>
    </row>
    <row r="1927" spans="1:9" x14ac:dyDescent="0.35">
      <c r="A1927" s="1019"/>
      <c r="B1927" s="1019"/>
      <c r="C1927" s="1019"/>
      <c r="D1927" s="3188"/>
      <c r="E1927" s="1019"/>
      <c r="F1927" s="1019"/>
      <c r="G1927" s="1019"/>
      <c r="H1927" s="1019"/>
      <c r="I1927" s="1140"/>
    </row>
    <row r="1928" spans="1:9" x14ac:dyDescent="0.35">
      <c r="A1928" s="1019"/>
      <c r="B1928" s="1019"/>
      <c r="C1928" s="1019"/>
      <c r="D1928" s="3188"/>
      <c r="E1928" s="1019"/>
      <c r="F1928" s="1019"/>
      <c r="G1928" s="1019"/>
      <c r="H1928" s="1019"/>
      <c r="I1928" s="1140"/>
    </row>
    <row r="1929" spans="1:9" x14ac:dyDescent="0.35">
      <c r="A1929" s="1019"/>
      <c r="B1929" s="1019"/>
      <c r="C1929" s="1019"/>
      <c r="D1929" s="3188"/>
      <c r="E1929" s="1019"/>
      <c r="F1929" s="1019"/>
      <c r="G1929" s="1019"/>
      <c r="H1929" s="1019"/>
      <c r="I1929" s="1140"/>
    </row>
    <row r="1930" spans="1:9" x14ac:dyDescent="0.35">
      <c r="A1930" s="1019"/>
      <c r="B1930" s="1019"/>
      <c r="C1930" s="1019"/>
      <c r="D1930" s="3188"/>
      <c r="E1930" s="1019"/>
      <c r="F1930" s="1019"/>
      <c r="G1930" s="1019"/>
      <c r="H1930" s="1019"/>
      <c r="I1930" s="1140"/>
    </row>
    <row r="1931" spans="1:9" x14ac:dyDescent="0.35">
      <c r="A1931" s="1019"/>
      <c r="B1931" s="1019"/>
      <c r="C1931" s="1019"/>
      <c r="D1931" s="3188"/>
      <c r="E1931" s="1019"/>
      <c r="F1931" s="1019"/>
      <c r="G1931" s="1019"/>
      <c r="H1931" s="1019"/>
      <c r="I1931" s="1140"/>
    </row>
    <row r="1932" spans="1:9" x14ac:dyDescent="0.35">
      <c r="A1932" s="1019"/>
      <c r="B1932" s="1019"/>
      <c r="C1932" s="1019"/>
      <c r="D1932" s="3188"/>
      <c r="E1932" s="1019"/>
      <c r="F1932" s="1019"/>
      <c r="G1932" s="1019"/>
      <c r="H1932" s="1019"/>
      <c r="I1932" s="1140"/>
    </row>
    <row r="1933" spans="1:9" x14ac:dyDescent="0.35">
      <c r="A1933" s="1019"/>
      <c r="B1933" s="1019"/>
      <c r="C1933" s="1019"/>
      <c r="D1933" s="3188"/>
      <c r="E1933" s="1019"/>
      <c r="F1933" s="1019"/>
      <c r="G1933" s="1019"/>
      <c r="H1933" s="1019"/>
      <c r="I1933" s="1140"/>
    </row>
    <row r="1934" spans="1:9" x14ac:dyDescent="0.35">
      <c r="A1934" s="1019"/>
      <c r="B1934" s="1019"/>
      <c r="C1934" s="1019"/>
      <c r="D1934" s="3188"/>
      <c r="E1934" s="1019"/>
      <c r="F1934" s="1019"/>
      <c r="G1934" s="1019"/>
      <c r="H1934" s="1019"/>
      <c r="I1934" s="1140"/>
    </row>
    <row r="1935" spans="1:9" x14ac:dyDescent="0.35">
      <c r="A1935" s="1019"/>
      <c r="B1935" s="1019"/>
      <c r="C1935" s="1019"/>
      <c r="D1935" s="3188"/>
      <c r="E1935" s="1019"/>
      <c r="F1935" s="1019"/>
      <c r="G1935" s="1019"/>
      <c r="H1935" s="1019"/>
      <c r="I1935" s="1140"/>
    </row>
    <row r="1936" spans="1:9" x14ac:dyDescent="0.35">
      <c r="A1936" s="1019"/>
      <c r="B1936" s="1019"/>
      <c r="C1936" s="1019"/>
      <c r="D1936" s="3188"/>
      <c r="E1936" s="1019"/>
      <c r="F1936" s="1019"/>
      <c r="G1936" s="1019"/>
      <c r="H1936" s="1019"/>
      <c r="I1936" s="1140"/>
    </row>
    <row r="1937" spans="1:9" x14ac:dyDescent="0.35">
      <c r="A1937" s="1019"/>
      <c r="B1937" s="1019"/>
      <c r="C1937" s="1019"/>
      <c r="D1937" s="3188"/>
      <c r="E1937" s="1019"/>
      <c r="F1937" s="1019"/>
      <c r="G1937" s="1019"/>
      <c r="H1937" s="1019"/>
      <c r="I1937" s="1140"/>
    </row>
    <row r="1938" spans="1:9" x14ac:dyDescent="0.35">
      <c r="A1938" s="1019"/>
      <c r="B1938" s="1019"/>
      <c r="C1938" s="1019"/>
      <c r="D1938" s="3188"/>
      <c r="E1938" s="1019"/>
      <c r="F1938" s="1019"/>
      <c r="G1938" s="1019"/>
      <c r="H1938" s="1019"/>
      <c r="I1938" s="1140"/>
    </row>
    <row r="1939" spans="1:9" x14ac:dyDescent="0.35">
      <c r="A1939" s="1019"/>
      <c r="B1939" s="1019"/>
      <c r="C1939" s="1019"/>
      <c r="D1939" s="3188"/>
      <c r="E1939" s="1019"/>
      <c r="F1939" s="1019"/>
      <c r="G1939" s="1019"/>
      <c r="H1939" s="1019"/>
      <c r="I1939" s="1140"/>
    </row>
    <row r="1940" spans="1:9" x14ac:dyDescent="0.35">
      <c r="A1940" s="1019"/>
      <c r="B1940" s="1019"/>
      <c r="C1940" s="1019"/>
      <c r="D1940" s="3188"/>
      <c r="E1940" s="1019"/>
      <c r="F1940" s="1019"/>
      <c r="G1940" s="1019"/>
      <c r="H1940" s="1019"/>
      <c r="I1940" s="1140"/>
    </row>
    <row r="1941" spans="1:9" x14ac:dyDescent="0.35">
      <c r="A1941" s="1019"/>
      <c r="B1941" s="1019"/>
      <c r="C1941" s="1019"/>
      <c r="D1941" s="3188"/>
      <c r="E1941" s="1019"/>
      <c r="F1941" s="1019"/>
      <c r="G1941" s="1019"/>
      <c r="H1941" s="1019"/>
      <c r="I1941" s="1140"/>
    </row>
    <row r="1942" spans="1:9" x14ac:dyDescent="0.35">
      <c r="A1942" s="1019"/>
      <c r="B1942" s="1019"/>
      <c r="C1942" s="1019"/>
      <c r="D1942" s="3188"/>
      <c r="E1942" s="1019"/>
      <c r="F1942" s="1019"/>
      <c r="G1942" s="1019"/>
      <c r="H1942" s="1019"/>
      <c r="I1942" s="1140"/>
    </row>
    <row r="1943" spans="1:9" x14ac:dyDescent="0.35">
      <c r="A1943" s="1019"/>
      <c r="B1943" s="1019"/>
      <c r="C1943" s="1019"/>
      <c r="D1943" s="3188"/>
      <c r="E1943" s="1019"/>
      <c r="F1943" s="1019"/>
      <c r="G1943" s="1019"/>
      <c r="H1943" s="1019"/>
      <c r="I1943" s="1140"/>
    </row>
    <row r="1944" spans="1:9" x14ac:dyDescent="0.35">
      <c r="A1944" s="1019"/>
      <c r="B1944" s="1019"/>
      <c r="C1944" s="1019"/>
      <c r="D1944" s="3188"/>
      <c r="E1944" s="1019"/>
      <c r="F1944" s="1019"/>
      <c r="G1944" s="1019"/>
      <c r="H1944" s="1019"/>
      <c r="I1944" s="1140"/>
    </row>
    <row r="1945" spans="1:9" x14ac:dyDescent="0.35">
      <c r="A1945" s="1019"/>
      <c r="B1945" s="1019"/>
      <c r="C1945" s="1019"/>
      <c r="D1945" s="3188"/>
      <c r="E1945" s="1019"/>
      <c r="F1945" s="1019"/>
      <c r="G1945" s="1019"/>
      <c r="H1945" s="1019"/>
      <c r="I1945" s="1140"/>
    </row>
    <row r="1946" spans="1:9" x14ac:dyDescent="0.35">
      <c r="A1946" s="1019"/>
      <c r="B1946" s="1019"/>
      <c r="C1946" s="1019"/>
      <c r="D1946" s="3188"/>
      <c r="E1946" s="1019"/>
      <c r="F1946" s="1019"/>
      <c r="G1946" s="1019"/>
      <c r="H1946" s="1019"/>
      <c r="I1946" s="1140"/>
    </row>
    <row r="1947" spans="1:9" x14ac:dyDescent="0.35">
      <c r="A1947" s="1019"/>
      <c r="B1947" s="1019"/>
      <c r="C1947" s="1019"/>
      <c r="D1947" s="3188"/>
      <c r="E1947" s="1019"/>
      <c r="F1947" s="1019"/>
      <c r="G1947" s="1019"/>
      <c r="H1947" s="1019"/>
      <c r="I1947" s="1140"/>
    </row>
    <row r="1948" spans="1:9" x14ac:dyDescent="0.35">
      <c r="A1948" s="1019"/>
      <c r="B1948" s="1019"/>
      <c r="C1948" s="1019"/>
      <c r="D1948" s="3188"/>
      <c r="E1948" s="1019"/>
      <c r="F1948" s="1019"/>
      <c r="G1948" s="1019"/>
      <c r="H1948" s="1019"/>
      <c r="I1948" s="1140"/>
    </row>
    <row r="1949" spans="1:9" x14ac:dyDescent="0.35">
      <c r="A1949" s="1019"/>
      <c r="B1949" s="1019"/>
      <c r="C1949" s="1019"/>
      <c r="D1949" s="3188"/>
      <c r="E1949" s="1019"/>
      <c r="F1949" s="1019"/>
      <c r="G1949" s="1019"/>
      <c r="H1949" s="1019"/>
      <c r="I1949" s="1140"/>
    </row>
    <row r="1950" spans="1:9" x14ac:dyDescent="0.35">
      <c r="A1950" s="1019"/>
      <c r="B1950" s="1019"/>
      <c r="C1950" s="1019"/>
      <c r="D1950" s="3188"/>
      <c r="E1950" s="1019"/>
      <c r="F1950" s="1019"/>
      <c r="G1950" s="1019"/>
      <c r="H1950" s="1019"/>
      <c r="I1950" s="1140"/>
    </row>
    <row r="1951" spans="1:9" x14ac:dyDescent="0.35">
      <c r="A1951" s="1019"/>
      <c r="B1951" s="1019"/>
      <c r="C1951" s="1019"/>
      <c r="D1951" s="3188"/>
      <c r="E1951" s="1019"/>
      <c r="F1951" s="1019"/>
      <c r="G1951" s="1019"/>
      <c r="H1951" s="1019"/>
      <c r="I1951" s="1140"/>
    </row>
    <row r="1952" spans="1:9" x14ac:dyDescent="0.35">
      <c r="A1952" s="1019"/>
      <c r="B1952" s="1019"/>
      <c r="C1952" s="1019"/>
      <c r="D1952" s="3188"/>
      <c r="E1952" s="1019"/>
      <c r="F1952" s="1019"/>
      <c r="G1952" s="1019"/>
      <c r="H1952" s="1019"/>
      <c r="I1952" s="1140"/>
    </row>
    <row r="1953" spans="1:9" x14ac:dyDescent="0.35">
      <c r="A1953" s="1019"/>
      <c r="B1953" s="1019"/>
      <c r="C1953" s="1019"/>
      <c r="D1953" s="3188"/>
      <c r="E1953" s="1019"/>
      <c r="F1953" s="1019"/>
      <c r="G1953" s="1019"/>
      <c r="H1953" s="1019"/>
      <c r="I1953" s="1140"/>
    </row>
    <row r="1954" spans="1:9" x14ac:dyDescent="0.35">
      <c r="A1954" s="1019"/>
      <c r="B1954" s="1019"/>
      <c r="C1954" s="1019"/>
      <c r="D1954" s="3188"/>
      <c r="E1954" s="1019"/>
      <c r="F1954" s="1019"/>
      <c r="G1954" s="1019"/>
      <c r="H1954" s="1019"/>
      <c r="I1954" s="1140"/>
    </row>
    <row r="1955" spans="1:9" x14ac:dyDescent="0.35">
      <c r="A1955" s="1019"/>
      <c r="B1955" s="1019"/>
      <c r="C1955" s="1019"/>
      <c r="D1955" s="3188"/>
      <c r="E1955" s="1019"/>
      <c r="F1955" s="1019"/>
      <c r="G1955" s="1019"/>
      <c r="H1955" s="1019"/>
      <c r="I1955" s="1140"/>
    </row>
    <row r="1956" spans="1:9" x14ac:dyDescent="0.35">
      <c r="A1956" s="1019"/>
      <c r="B1956" s="1019"/>
      <c r="C1956" s="1019"/>
      <c r="D1956" s="3188"/>
      <c r="E1956" s="1019"/>
      <c r="F1956" s="1019"/>
      <c r="G1956" s="1019"/>
      <c r="H1956" s="1019"/>
      <c r="I1956" s="1140"/>
    </row>
    <row r="1957" spans="1:9" x14ac:dyDescent="0.35">
      <c r="A1957" s="1019"/>
      <c r="B1957" s="1019"/>
      <c r="C1957" s="1019"/>
      <c r="D1957" s="3188"/>
      <c r="E1957" s="1019"/>
      <c r="F1957" s="1019"/>
      <c r="G1957" s="1019"/>
      <c r="H1957" s="1019"/>
      <c r="I1957" s="1140"/>
    </row>
    <row r="1958" spans="1:9" x14ac:dyDescent="0.35">
      <c r="A1958" s="1019"/>
      <c r="B1958" s="1019"/>
      <c r="C1958" s="1019"/>
      <c r="D1958" s="3188"/>
      <c r="E1958" s="1019"/>
      <c r="F1958" s="1019"/>
      <c r="G1958" s="1019"/>
      <c r="H1958" s="1019"/>
      <c r="I1958" s="1140"/>
    </row>
    <row r="1959" spans="1:9" x14ac:dyDescent="0.35">
      <c r="A1959" s="1019"/>
      <c r="B1959" s="1019"/>
      <c r="C1959" s="1019"/>
      <c r="D1959" s="3188"/>
      <c r="E1959" s="1019"/>
      <c r="F1959" s="1019"/>
      <c r="G1959" s="1019"/>
      <c r="H1959" s="1019"/>
      <c r="I1959" s="1140"/>
    </row>
    <row r="1960" spans="1:9" x14ac:dyDescent="0.35">
      <c r="A1960" s="1019"/>
      <c r="B1960" s="1019"/>
      <c r="C1960" s="1019"/>
      <c r="D1960" s="3188"/>
      <c r="E1960" s="1019"/>
      <c r="F1960" s="1019"/>
      <c r="G1960" s="1019"/>
      <c r="H1960" s="1019"/>
      <c r="I1960" s="1140"/>
    </row>
    <row r="1961" spans="1:9" x14ac:dyDescent="0.35">
      <c r="A1961" s="1019"/>
      <c r="B1961" s="1019"/>
      <c r="C1961" s="1019"/>
      <c r="D1961" s="3188"/>
      <c r="E1961" s="1019"/>
      <c r="F1961" s="1019"/>
      <c r="G1961" s="1019"/>
      <c r="H1961" s="1019"/>
      <c r="I1961" s="1140"/>
    </row>
    <row r="1962" spans="1:9" x14ac:dyDescent="0.35">
      <c r="A1962" s="1019"/>
      <c r="B1962" s="1019"/>
      <c r="C1962" s="1019"/>
      <c r="D1962" s="3188"/>
      <c r="E1962" s="1019"/>
      <c r="F1962" s="1019"/>
      <c r="G1962" s="1019"/>
      <c r="H1962" s="1019"/>
      <c r="I1962" s="1140"/>
    </row>
    <row r="1963" spans="1:9" x14ac:dyDescent="0.35">
      <c r="A1963" s="1019"/>
      <c r="B1963" s="1019"/>
      <c r="C1963" s="1019"/>
      <c r="D1963" s="3188"/>
      <c r="E1963" s="1019"/>
      <c r="F1963" s="1019"/>
      <c r="G1963" s="1019"/>
      <c r="H1963" s="1019"/>
      <c r="I1963" s="1140"/>
    </row>
    <row r="1964" spans="1:9" x14ac:dyDescent="0.35">
      <c r="A1964" s="1019"/>
      <c r="B1964" s="1019"/>
      <c r="C1964" s="1019"/>
      <c r="D1964" s="3188"/>
      <c r="E1964" s="1019"/>
      <c r="F1964" s="1019"/>
      <c r="G1964" s="1019"/>
      <c r="H1964" s="1019"/>
      <c r="I1964" s="1140"/>
    </row>
    <row r="1965" spans="1:9" x14ac:dyDescent="0.35">
      <c r="A1965" s="1019"/>
      <c r="B1965" s="1019"/>
      <c r="C1965" s="1019"/>
      <c r="D1965" s="3188"/>
      <c r="E1965" s="1019"/>
      <c r="F1965" s="1019"/>
      <c r="G1965" s="1019"/>
      <c r="H1965" s="1019"/>
      <c r="I1965" s="1140"/>
    </row>
    <row r="1966" spans="1:9" x14ac:dyDescent="0.35">
      <c r="A1966" s="1019"/>
      <c r="B1966" s="1019"/>
      <c r="C1966" s="1019"/>
      <c r="D1966" s="3188"/>
      <c r="E1966" s="1019"/>
      <c r="F1966" s="1019"/>
      <c r="G1966" s="1019"/>
      <c r="H1966" s="1019"/>
      <c r="I1966" s="1140"/>
    </row>
    <row r="1967" spans="1:9" x14ac:dyDescent="0.35">
      <c r="A1967" s="1019"/>
      <c r="B1967" s="1019"/>
      <c r="C1967" s="1019"/>
      <c r="D1967" s="3188"/>
      <c r="E1967" s="1019"/>
      <c r="F1967" s="1019"/>
      <c r="G1967" s="1019"/>
      <c r="H1967" s="1019"/>
      <c r="I1967" s="1140"/>
    </row>
    <row r="1968" spans="1:9" x14ac:dyDescent="0.35">
      <c r="A1968" s="1019"/>
      <c r="B1968" s="1019"/>
      <c r="C1968" s="1019"/>
      <c r="D1968" s="3188"/>
      <c r="E1968" s="1019"/>
      <c r="F1968" s="1019"/>
      <c r="G1968" s="1019"/>
      <c r="H1968" s="1019"/>
      <c r="I1968" s="1140"/>
    </row>
    <row r="1969" spans="1:9" x14ac:dyDescent="0.35">
      <c r="A1969" s="1019"/>
      <c r="B1969" s="1019"/>
      <c r="C1969" s="1019"/>
      <c r="D1969" s="3188"/>
      <c r="E1969" s="1019"/>
      <c r="F1969" s="1019"/>
      <c r="G1969" s="1019"/>
      <c r="H1969" s="1019"/>
      <c r="I1969" s="1140"/>
    </row>
    <row r="1970" spans="1:9" x14ac:dyDescent="0.35">
      <c r="A1970" s="1019"/>
      <c r="B1970" s="1019"/>
      <c r="C1970" s="1019"/>
      <c r="D1970" s="3188"/>
      <c r="E1970" s="1019"/>
      <c r="F1970" s="1019"/>
      <c r="G1970" s="1019"/>
      <c r="H1970" s="1019"/>
      <c r="I1970" s="1140"/>
    </row>
    <row r="1971" spans="1:9" x14ac:dyDescent="0.35">
      <c r="A1971" s="1019"/>
      <c r="B1971" s="1019"/>
      <c r="C1971" s="1019"/>
      <c r="D1971" s="3188"/>
      <c r="E1971" s="1019"/>
      <c r="F1971" s="1019"/>
      <c r="G1971" s="1019"/>
      <c r="H1971" s="1019"/>
      <c r="I1971" s="1140"/>
    </row>
    <row r="1972" spans="1:9" x14ac:dyDescent="0.35">
      <c r="A1972" s="1019"/>
      <c r="B1972" s="1019"/>
      <c r="C1972" s="1019"/>
      <c r="D1972" s="3188"/>
      <c r="E1972" s="1019"/>
      <c r="F1972" s="1019"/>
      <c r="G1972" s="1019"/>
      <c r="H1972" s="1019"/>
      <c r="I1972" s="1140"/>
    </row>
    <row r="1973" spans="1:9" x14ac:dyDescent="0.35">
      <c r="A1973" s="1019"/>
      <c r="B1973" s="1019"/>
      <c r="C1973" s="1019"/>
      <c r="D1973" s="3188"/>
      <c r="E1973" s="1019"/>
      <c r="F1973" s="1019"/>
      <c r="G1973" s="1019"/>
      <c r="H1973" s="1019"/>
      <c r="I1973" s="1140"/>
    </row>
    <row r="1974" spans="1:9" x14ac:dyDescent="0.35">
      <c r="A1974" s="1019"/>
      <c r="B1974" s="1019"/>
      <c r="C1974" s="1019"/>
      <c r="D1974" s="3188"/>
      <c r="E1974" s="1019"/>
      <c r="F1974" s="1019"/>
      <c r="G1974" s="1019"/>
      <c r="H1974" s="1019"/>
      <c r="I1974" s="1140"/>
    </row>
    <row r="1975" spans="1:9" x14ac:dyDescent="0.35">
      <c r="A1975" s="1019"/>
      <c r="B1975" s="1019"/>
      <c r="C1975" s="1019"/>
      <c r="D1975" s="3188"/>
      <c r="E1975" s="1019"/>
      <c r="F1975" s="1019"/>
      <c r="G1975" s="1019"/>
      <c r="H1975" s="1019"/>
      <c r="I1975" s="1140"/>
    </row>
    <row r="1976" spans="1:9" x14ac:dyDescent="0.35">
      <c r="A1976" s="1019"/>
      <c r="B1976" s="1019"/>
      <c r="C1976" s="1019"/>
      <c r="D1976" s="3188"/>
      <c r="E1976" s="1019"/>
      <c r="F1976" s="1019"/>
      <c r="G1976" s="1019"/>
      <c r="H1976" s="1019"/>
      <c r="I1976" s="1140"/>
    </row>
    <row r="1977" spans="1:9" x14ac:dyDescent="0.35">
      <c r="A1977" s="1019"/>
      <c r="B1977" s="1019"/>
      <c r="C1977" s="1019"/>
      <c r="D1977" s="3188"/>
      <c r="E1977" s="1019"/>
      <c r="F1977" s="1019"/>
      <c r="G1977" s="1019"/>
      <c r="H1977" s="1019"/>
      <c r="I1977" s="1140"/>
    </row>
    <row r="1978" spans="1:9" x14ac:dyDescent="0.35">
      <c r="A1978" s="1019"/>
      <c r="B1978" s="1019"/>
      <c r="C1978" s="1019"/>
      <c r="D1978" s="3188"/>
      <c r="E1978" s="1019"/>
      <c r="F1978" s="1019"/>
      <c r="G1978" s="1019"/>
      <c r="H1978" s="1019"/>
      <c r="I1978" s="1140"/>
    </row>
    <row r="1979" spans="1:9" x14ac:dyDescent="0.35">
      <c r="A1979" s="1019"/>
      <c r="B1979" s="1019"/>
      <c r="C1979" s="1019"/>
      <c r="D1979" s="3188"/>
      <c r="E1979" s="1019"/>
      <c r="F1979" s="1019"/>
      <c r="G1979" s="1019"/>
      <c r="H1979" s="1019"/>
      <c r="I1979" s="1140"/>
    </row>
    <row r="1980" spans="1:9" x14ac:dyDescent="0.35">
      <c r="A1980" s="1019"/>
      <c r="B1980" s="1019"/>
      <c r="C1980" s="1019"/>
      <c r="D1980" s="3188"/>
      <c r="E1980" s="1019"/>
      <c r="F1980" s="1019"/>
      <c r="G1980" s="1019"/>
      <c r="H1980" s="1019"/>
      <c r="I1980" s="1140"/>
    </row>
    <row r="1981" spans="1:9" x14ac:dyDescent="0.35">
      <c r="A1981" s="1019"/>
      <c r="B1981" s="1019"/>
      <c r="C1981" s="1019"/>
      <c r="D1981" s="3188"/>
      <c r="E1981" s="1019"/>
      <c r="F1981" s="1019"/>
      <c r="G1981" s="1019"/>
      <c r="H1981" s="1019"/>
      <c r="I1981" s="1140"/>
    </row>
    <row r="1982" spans="1:9" x14ac:dyDescent="0.35">
      <c r="A1982" s="1019"/>
      <c r="B1982" s="1019"/>
      <c r="C1982" s="1019"/>
      <c r="D1982" s="3188"/>
      <c r="E1982" s="1019"/>
      <c r="F1982" s="1019"/>
      <c r="G1982" s="1019"/>
      <c r="H1982" s="1019"/>
      <c r="I1982" s="1140"/>
    </row>
    <row r="1983" spans="1:9" x14ac:dyDescent="0.35">
      <c r="A1983" s="1019"/>
      <c r="B1983" s="1019"/>
      <c r="C1983" s="1019"/>
      <c r="D1983" s="3188"/>
      <c r="E1983" s="1019"/>
      <c r="F1983" s="1019"/>
      <c r="G1983" s="1019"/>
      <c r="H1983" s="1019"/>
      <c r="I1983" s="1140"/>
    </row>
    <row r="1984" spans="1:9" x14ac:dyDescent="0.35">
      <c r="A1984" s="1019"/>
      <c r="B1984" s="1019"/>
      <c r="C1984" s="1019"/>
      <c r="D1984" s="3188"/>
      <c r="E1984" s="1019"/>
      <c r="F1984" s="1019"/>
      <c r="G1984" s="1019"/>
      <c r="H1984" s="1019"/>
      <c r="I1984" s="1140"/>
    </row>
    <row r="1985" spans="1:9" x14ac:dyDescent="0.35">
      <c r="A1985" s="1019"/>
      <c r="B1985" s="1019"/>
      <c r="C1985" s="1019"/>
      <c r="D1985" s="3188"/>
      <c r="E1985" s="1019"/>
      <c r="F1985" s="1019"/>
      <c r="G1985" s="1019"/>
      <c r="H1985" s="1019"/>
      <c r="I1985" s="1140"/>
    </row>
    <row r="1986" spans="1:9" x14ac:dyDescent="0.35">
      <c r="A1986" s="1019"/>
      <c r="B1986" s="1019"/>
      <c r="C1986" s="1019"/>
      <c r="D1986" s="3188"/>
      <c r="E1986" s="1019"/>
      <c r="F1986" s="1019"/>
      <c r="G1986" s="1019"/>
      <c r="H1986" s="1019"/>
      <c r="I1986" s="1140"/>
    </row>
    <row r="1987" spans="1:9" x14ac:dyDescent="0.35">
      <c r="A1987" s="1019"/>
      <c r="B1987" s="1019"/>
      <c r="C1987" s="1019"/>
      <c r="D1987" s="3188"/>
      <c r="E1987" s="1019"/>
      <c r="F1987" s="1019"/>
      <c r="G1987" s="1019"/>
      <c r="H1987" s="1019"/>
      <c r="I1987" s="1140"/>
    </row>
    <row r="1988" spans="1:9" x14ac:dyDescent="0.35">
      <c r="A1988" s="1019"/>
      <c r="B1988" s="1019"/>
      <c r="C1988" s="1019"/>
      <c r="D1988" s="3188"/>
      <c r="E1988" s="1019"/>
      <c r="F1988" s="1019"/>
      <c r="G1988" s="1019"/>
      <c r="H1988" s="1019"/>
      <c r="I1988" s="1140"/>
    </row>
    <row r="1989" spans="1:9" x14ac:dyDescent="0.35">
      <c r="A1989" s="1019"/>
      <c r="B1989" s="1019"/>
      <c r="C1989" s="1019"/>
      <c r="D1989" s="3188"/>
      <c r="E1989" s="1019"/>
      <c r="F1989" s="1019"/>
      <c r="G1989" s="1019"/>
      <c r="H1989" s="1019"/>
      <c r="I1989" s="1140"/>
    </row>
    <row r="1990" spans="1:9" x14ac:dyDescent="0.35">
      <c r="A1990" s="1019"/>
      <c r="B1990" s="1019"/>
      <c r="C1990" s="1019"/>
      <c r="D1990" s="3188"/>
      <c r="E1990" s="1019"/>
      <c r="F1990" s="1019"/>
      <c r="G1990" s="1019"/>
      <c r="H1990" s="1019"/>
      <c r="I1990" s="1140"/>
    </row>
    <row r="1991" spans="1:9" x14ac:dyDescent="0.35">
      <c r="A1991" s="1019"/>
      <c r="B1991" s="1019"/>
      <c r="C1991" s="1019"/>
      <c r="D1991" s="3188"/>
      <c r="E1991" s="1019"/>
      <c r="F1991" s="1019"/>
      <c r="G1991" s="1019"/>
      <c r="H1991" s="1019"/>
      <c r="I1991" s="1140"/>
    </row>
    <row r="1992" spans="1:9" x14ac:dyDescent="0.35">
      <c r="A1992" s="1019"/>
      <c r="B1992" s="1019"/>
      <c r="C1992" s="1019"/>
      <c r="D1992" s="3188"/>
      <c r="E1992" s="1019"/>
      <c r="F1992" s="1019"/>
      <c r="G1992" s="1019"/>
      <c r="H1992" s="1019"/>
      <c r="I1992" s="1140"/>
    </row>
    <row r="1993" spans="1:9" x14ac:dyDescent="0.35">
      <c r="A1993" s="1019"/>
      <c r="B1993" s="1019"/>
      <c r="C1993" s="1019"/>
      <c r="D1993" s="3188"/>
      <c r="E1993" s="1019"/>
      <c r="F1993" s="1019"/>
      <c r="G1993" s="1019"/>
      <c r="H1993" s="1019"/>
      <c r="I1993" s="1140"/>
    </row>
    <row r="1994" spans="1:9" x14ac:dyDescent="0.35">
      <c r="A1994" s="1019"/>
      <c r="B1994" s="1019"/>
      <c r="C1994" s="1019"/>
      <c r="D1994" s="3188"/>
      <c r="E1994" s="1019"/>
      <c r="F1994" s="1019"/>
      <c r="G1994" s="1019"/>
      <c r="H1994" s="1019"/>
      <c r="I1994" s="1140"/>
    </row>
    <row r="1995" spans="1:9" x14ac:dyDescent="0.35">
      <c r="A1995" s="1019"/>
      <c r="B1995" s="1019"/>
      <c r="C1995" s="1019"/>
      <c r="D1995" s="3188"/>
      <c r="E1995" s="1019"/>
      <c r="F1995" s="1019"/>
      <c r="G1995" s="1019"/>
      <c r="H1995" s="1019"/>
      <c r="I1995" s="1140"/>
    </row>
    <row r="1996" spans="1:9" x14ac:dyDescent="0.35">
      <c r="A1996" s="1019"/>
      <c r="B1996" s="1019"/>
      <c r="C1996" s="1019"/>
      <c r="D1996" s="3188"/>
      <c r="E1996" s="1019"/>
      <c r="F1996" s="1019"/>
      <c r="G1996" s="1019"/>
      <c r="H1996" s="1019"/>
      <c r="I1996" s="1140"/>
    </row>
    <row r="1997" spans="1:9" x14ac:dyDescent="0.35">
      <c r="A1997" s="1019"/>
      <c r="B1997" s="1019"/>
      <c r="C1997" s="1019"/>
      <c r="D1997" s="3188"/>
      <c r="E1997" s="1019"/>
      <c r="F1997" s="1019"/>
      <c r="G1997" s="1019"/>
      <c r="H1997" s="1019"/>
      <c r="I1997" s="1140"/>
    </row>
    <row r="1998" spans="1:9" x14ac:dyDescent="0.35">
      <c r="A1998" s="1019"/>
      <c r="B1998" s="1019"/>
      <c r="C1998" s="1019"/>
      <c r="D1998" s="3188"/>
      <c r="E1998" s="1019"/>
      <c r="F1998" s="1019"/>
      <c r="G1998" s="1019"/>
      <c r="H1998" s="1019"/>
      <c r="I1998" s="1140"/>
    </row>
    <row r="1999" spans="1:9" x14ac:dyDescent="0.35">
      <c r="A1999" s="1019"/>
      <c r="B1999" s="1019"/>
      <c r="C1999" s="1019"/>
      <c r="D1999" s="3188"/>
      <c r="E1999" s="1019"/>
      <c r="F1999" s="1019"/>
      <c r="G1999" s="1019"/>
      <c r="H1999" s="1019"/>
      <c r="I1999" s="1140"/>
    </row>
    <row r="2000" spans="1:9" x14ac:dyDescent="0.35">
      <c r="A2000" s="1019"/>
      <c r="B2000" s="1019"/>
      <c r="C2000" s="1019"/>
      <c r="D2000" s="3188"/>
      <c r="E2000" s="1019"/>
      <c r="F2000" s="1019"/>
      <c r="G2000" s="1019"/>
      <c r="H2000" s="1019"/>
      <c r="I2000" s="1140"/>
    </row>
    <row r="2001" spans="1:9" x14ac:dyDescent="0.35">
      <c r="A2001" s="1019"/>
      <c r="B2001" s="1019"/>
      <c r="C2001" s="1019"/>
      <c r="D2001" s="3188"/>
      <c r="E2001" s="1019"/>
      <c r="F2001" s="1019"/>
      <c r="G2001" s="1019"/>
      <c r="H2001" s="1019"/>
      <c r="I2001" s="1140"/>
    </row>
    <row r="2002" spans="1:9" x14ac:dyDescent="0.35">
      <c r="A2002" s="1019"/>
      <c r="B2002" s="1019"/>
      <c r="C2002" s="1019"/>
      <c r="D2002" s="3188"/>
      <c r="E2002" s="1019"/>
      <c r="F2002" s="1019"/>
      <c r="G2002" s="1019"/>
      <c r="H2002" s="1019"/>
      <c r="I2002" s="1140"/>
    </row>
    <row r="2003" spans="1:9" x14ac:dyDescent="0.35">
      <c r="A2003" s="1019"/>
      <c r="B2003" s="1019"/>
      <c r="C2003" s="1019"/>
      <c r="D2003" s="3188"/>
      <c r="E2003" s="1019"/>
      <c r="F2003" s="1019"/>
      <c r="G2003" s="1019"/>
      <c r="H2003" s="1019"/>
      <c r="I2003" s="1140"/>
    </row>
    <row r="2004" spans="1:9" x14ac:dyDescent="0.35">
      <c r="A2004" s="1019"/>
      <c r="B2004" s="1019"/>
      <c r="C2004" s="1019"/>
      <c r="D2004" s="3188"/>
      <c r="E2004" s="1019"/>
      <c r="F2004" s="1019"/>
      <c r="G2004" s="1019"/>
      <c r="H2004" s="1019"/>
      <c r="I2004" s="1140"/>
    </row>
    <row r="2005" spans="1:9" x14ac:dyDescent="0.35">
      <c r="A2005" s="1019"/>
      <c r="B2005" s="1019"/>
      <c r="C2005" s="1019"/>
      <c r="D2005" s="3188"/>
      <c r="E2005" s="1019"/>
      <c r="F2005" s="1019"/>
      <c r="G2005" s="1019"/>
      <c r="H2005" s="1019"/>
      <c r="I2005" s="1140"/>
    </row>
    <row r="2006" spans="1:9" x14ac:dyDescent="0.35">
      <c r="A2006" s="1019"/>
      <c r="B2006" s="1019"/>
      <c r="C2006" s="1019"/>
      <c r="D2006" s="3188"/>
      <c r="E2006" s="1019"/>
      <c r="F2006" s="1019"/>
      <c r="G2006" s="1019"/>
      <c r="H2006" s="1019"/>
      <c r="I2006" s="1140"/>
    </row>
    <row r="2007" spans="1:9" x14ac:dyDescent="0.35">
      <c r="A2007" s="1019"/>
      <c r="B2007" s="1019"/>
      <c r="C2007" s="1019"/>
      <c r="D2007" s="3188"/>
      <c r="E2007" s="1019"/>
      <c r="F2007" s="1019"/>
      <c r="G2007" s="1019"/>
      <c r="H2007" s="1019"/>
      <c r="I2007" s="1140"/>
    </row>
    <row r="2008" spans="1:9" x14ac:dyDescent="0.35">
      <c r="A2008" s="1019"/>
      <c r="B2008" s="1019"/>
      <c r="C2008" s="1019"/>
      <c r="D2008" s="3188"/>
      <c r="E2008" s="1019"/>
      <c r="F2008" s="1019"/>
      <c r="G2008" s="1019"/>
      <c r="H2008" s="1019"/>
      <c r="I2008" s="1140"/>
    </row>
    <row r="2009" spans="1:9" x14ac:dyDescent="0.35">
      <c r="A2009" s="1019"/>
      <c r="B2009" s="1019"/>
      <c r="C2009" s="1019"/>
      <c r="D2009" s="3188"/>
      <c r="E2009" s="1019"/>
      <c r="F2009" s="1019"/>
      <c r="G2009" s="1019"/>
      <c r="H2009" s="1019"/>
      <c r="I2009" s="1140"/>
    </row>
    <row r="2010" spans="1:9" x14ac:dyDescent="0.35">
      <c r="A2010" s="1019"/>
      <c r="B2010" s="1019"/>
      <c r="C2010" s="1019"/>
      <c r="D2010" s="3188"/>
      <c r="E2010" s="1019"/>
      <c r="F2010" s="1019"/>
      <c r="G2010" s="1019"/>
      <c r="H2010" s="1019"/>
      <c r="I2010" s="1140"/>
    </row>
    <row r="2011" spans="1:9" x14ac:dyDescent="0.35">
      <c r="A2011" s="1019"/>
      <c r="B2011" s="1019"/>
      <c r="C2011" s="1019"/>
      <c r="D2011" s="3188"/>
      <c r="E2011" s="1019"/>
      <c r="F2011" s="1019"/>
      <c r="G2011" s="1019"/>
      <c r="H2011" s="1019"/>
      <c r="I2011" s="1140"/>
    </row>
    <row r="2012" spans="1:9" x14ac:dyDescent="0.35">
      <c r="A2012" s="1019"/>
      <c r="B2012" s="1019"/>
      <c r="C2012" s="1019"/>
      <c r="D2012" s="3188"/>
      <c r="E2012" s="1019"/>
      <c r="F2012" s="1019"/>
      <c r="G2012" s="1019"/>
      <c r="H2012" s="1019"/>
      <c r="I2012" s="1140"/>
    </row>
    <row r="2013" spans="1:9" x14ac:dyDescent="0.35">
      <c r="A2013" s="1019"/>
      <c r="B2013" s="1019"/>
      <c r="C2013" s="1019"/>
      <c r="D2013" s="3188"/>
      <c r="E2013" s="1019"/>
      <c r="F2013" s="1019"/>
      <c r="G2013" s="1019"/>
      <c r="H2013" s="1019"/>
      <c r="I2013" s="1140"/>
    </row>
    <row r="2014" spans="1:9" x14ac:dyDescent="0.35">
      <c r="A2014" s="1019"/>
      <c r="B2014" s="1019"/>
      <c r="C2014" s="1019"/>
      <c r="D2014" s="3188"/>
      <c r="E2014" s="1019"/>
      <c r="F2014" s="1019"/>
      <c r="G2014" s="1019"/>
      <c r="H2014" s="1019"/>
      <c r="I2014" s="1140"/>
    </row>
    <row r="2015" spans="1:9" x14ac:dyDescent="0.35">
      <c r="A2015" s="1019"/>
      <c r="B2015" s="1019"/>
      <c r="C2015" s="1019"/>
      <c r="D2015" s="3188"/>
      <c r="E2015" s="1019"/>
      <c r="F2015" s="1019"/>
      <c r="G2015" s="1019"/>
      <c r="H2015" s="1019"/>
      <c r="I2015" s="1140"/>
    </row>
    <row r="2016" spans="1:9" x14ac:dyDescent="0.35">
      <c r="A2016" s="1019"/>
      <c r="B2016" s="1019"/>
      <c r="C2016" s="1019"/>
      <c r="D2016" s="3188"/>
      <c r="E2016" s="1019"/>
      <c r="F2016" s="1019"/>
      <c r="G2016" s="1019"/>
      <c r="H2016" s="1019"/>
      <c r="I2016" s="1140"/>
    </row>
    <row r="2017" spans="1:9" x14ac:dyDescent="0.35">
      <c r="A2017" s="1019"/>
      <c r="B2017" s="1019"/>
      <c r="C2017" s="1019"/>
      <c r="D2017" s="3188"/>
      <c r="E2017" s="1019"/>
      <c r="F2017" s="1019"/>
      <c r="G2017" s="1019"/>
      <c r="H2017" s="1019"/>
      <c r="I2017" s="1140"/>
    </row>
    <row r="2018" spans="1:9" x14ac:dyDescent="0.35">
      <c r="A2018" s="1019"/>
      <c r="B2018" s="1019"/>
      <c r="C2018" s="1019"/>
      <c r="D2018" s="3188"/>
      <c r="E2018" s="1019"/>
      <c r="F2018" s="1019"/>
      <c r="G2018" s="1019"/>
      <c r="H2018" s="1019"/>
      <c r="I2018" s="1140"/>
    </row>
    <row r="2019" spans="1:9" x14ac:dyDescent="0.35">
      <c r="A2019" s="1019"/>
      <c r="B2019" s="1019"/>
      <c r="C2019" s="1019"/>
      <c r="D2019" s="3188"/>
      <c r="E2019" s="1019"/>
      <c r="F2019" s="1019"/>
      <c r="G2019" s="1019"/>
      <c r="H2019" s="1019"/>
      <c r="I2019" s="1140"/>
    </row>
    <row r="2020" spans="1:9" x14ac:dyDescent="0.35">
      <c r="A2020" s="1019"/>
      <c r="B2020" s="1019"/>
      <c r="C2020" s="1019"/>
      <c r="D2020" s="3188"/>
      <c r="E2020" s="1019"/>
      <c r="F2020" s="1019"/>
      <c r="G2020" s="1019"/>
      <c r="H2020" s="1019"/>
      <c r="I2020" s="1140"/>
    </row>
    <row r="2021" spans="1:9" x14ac:dyDescent="0.35">
      <c r="A2021" s="1019"/>
      <c r="B2021" s="1019"/>
      <c r="C2021" s="1019"/>
      <c r="D2021" s="3188"/>
      <c r="E2021" s="1019"/>
      <c r="F2021" s="1019"/>
      <c r="G2021" s="1019"/>
      <c r="H2021" s="1019"/>
      <c r="I2021" s="1140"/>
    </row>
    <row r="2022" spans="1:9" x14ac:dyDescent="0.35">
      <c r="A2022" s="1019"/>
      <c r="B2022" s="1019"/>
      <c r="C2022" s="1019"/>
      <c r="D2022" s="3188"/>
      <c r="E2022" s="1019"/>
      <c r="F2022" s="1019"/>
      <c r="G2022" s="1019"/>
      <c r="H2022" s="1019"/>
      <c r="I2022" s="1140"/>
    </row>
    <row r="2023" spans="1:9" x14ac:dyDescent="0.35">
      <c r="A2023" s="1019"/>
      <c r="B2023" s="1019"/>
      <c r="C2023" s="1019"/>
      <c r="D2023" s="3188"/>
      <c r="E2023" s="1019"/>
      <c r="F2023" s="1019"/>
      <c r="G2023" s="1019"/>
      <c r="H2023" s="1019"/>
      <c r="I2023" s="1140"/>
    </row>
    <row r="2024" spans="1:9" x14ac:dyDescent="0.35">
      <c r="A2024" s="1019"/>
      <c r="B2024" s="1019"/>
      <c r="C2024" s="1019"/>
      <c r="D2024" s="3188"/>
      <c r="E2024" s="1019"/>
      <c r="F2024" s="1019"/>
      <c r="G2024" s="1019"/>
      <c r="H2024" s="1019"/>
      <c r="I2024" s="1140"/>
    </row>
    <row r="2025" spans="1:9" x14ac:dyDescent="0.35">
      <c r="A2025" s="1019"/>
      <c r="B2025" s="1019"/>
      <c r="C2025" s="1019"/>
      <c r="D2025" s="3188"/>
      <c r="E2025" s="1019"/>
      <c r="F2025" s="1019"/>
      <c r="G2025" s="1019"/>
      <c r="H2025" s="1019"/>
      <c r="I2025" s="1140"/>
    </row>
    <row r="2026" spans="1:9" x14ac:dyDescent="0.35">
      <c r="A2026" s="1019"/>
      <c r="B2026" s="1019"/>
      <c r="C2026" s="1019"/>
      <c r="D2026" s="3188"/>
      <c r="E2026" s="1019"/>
      <c r="F2026" s="1019"/>
      <c r="G2026" s="1019"/>
      <c r="H2026" s="1019"/>
      <c r="I2026" s="1140"/>
    </row>
    <row r="2027" spans="1:9" x14ac:dyDescent="0.35">
      <c r="A2027" s="1019"/>
      <c r="B2027" s="1019"/>
      <c r="C2027" s="1019"/>
      <c r="D2027" s="3188"/>
      <c r="E2027" s="1019"/>
      <c r="F2027" s="1019"/>
      <c r="G2027" s="1019"/>
      <c r="H2027" s="1019"/>
      <c r="I2027" s="1140"/>
    </row>
    <row r="2028" spans="1:9" x14ac:dyDescent="0.35">
      <c r="A2028" s="1019"/>
      <c r="B2028" s="1019"/>
      <c r="C2028" s="1019"/>
      <c r="D2028" s="3188"/>
      <c r="E2028" s="1019"/>
      <c r="F2028" s="1019"/>
      <c r="G2028" s="1019"/>
      <c r="H2028" s="1019"/>
      <c r="I2028" s="1140"/>
    </row>
    <row r="2029" spans="1:9" x14ac:dyDescent="0.35">
      <c r="A2029" s="1019"/>
      <c r="B2029" s="1019"/>
      <c r="C2029" s="1019"/>
      <c r="D2029" s="3188"/>
      <c r="E2029" s="1019"/>
      <c r="F2029" s="1019"/>
      <c r="G2029" s="1019"/>
      <c r="H2029" s="1019"/>
      <c r="I2029" s="1140"/>
    </row>
    <row r="2030" spans="1:9" x14ac:dyDescent="0.35">
      <c r="A2030" s="1019"/>
      <c r="B2030" s="1019"/>
      <c r="C2030" s="1019"/>
      <c r="D2030" s="3188"/>
      <c r="E2030" s="1019"/>
      <c r="F2030" s="1019"/>
      <c r="G2030" s="1019"/>
      <c r="H2030" s="1019"/>
      <c r="I2030" s="1140"/>
    </row>
    <row r="2031" spans="1:9" x14ac:dyDescent="0.35">
      <c r="A2031" s="1019"/>
      <c r="B2031" s="1019"/>
      <c r="C2031" s="1019"/>
      <c r="D2031" s="3188"/>
      <c r="E2031" s="1019"/>
      <c r="F2031" s="1019"/>
      <c r="G2031" s="1019"/>
      <c r="H2031" s="1019"/>
      <c r="I2031" s="1140"/>
    </row>
    <row r="2032" spans="1:9" x14ac:dyDescent="0.35">
      <c r="A2032" s="1019"/>
      <c r="B2032" s="1019"/>
      <c r="C2032" s="1019"/>
      <c r="D2032" s="3188"/>
      <c r="E2032" s="1019"/>
      <c r="F2032" s="1019"/>
      <c r="G2032" s="1019"/>
      <c r="H2032" s="1019"/>
      <c r="I2032" s="1140"/>
    </row>
    <row r="2033" spans="1:9" x14ac:dyDescent="0.35">
      <c r="A2033" s="1019"/>
      <c r="B2033" s="1019"/>
      <c r="C2033" s="1019"/>
      <c r="D2033" s="3188"/>
      <c r="E2033" s="1019"/>
      <c r="F2033" s="1019"/>
      <c r="G2033" s="1019"/>
      <c r="H2033" s="1019"/>
      <c r="I2033" s="1140"/>
    </row>
    <row r="2034" spans="1:9" x14ac:dyDescent="0.35">
      <c r="A2034" s="1019"/>
      <c r="B2034" s="1019"/>
      <c r="C2034" s="1019"/>
      <c r="D2034" s="3188"/>
      <c r="E2034" s="1019"/>
      <c r="F2034" s="1019"/>
      <c r="G2034" s="1019"/>
      <c r="H2034" s="1019"/>
      <c r="I2034" s="1140"/>
    </row>
    <row r="2035" spans="1:9" x14ac:dyDescent="0.35">
      <c r="A2035" s="1019"/>
      <c r="B2035" s="1019"/>
      <c r="C2035" s="1019"/>
      <c r="D2035" s="3188"/>
      <c r="E2035" s="1019"/>
      <c r="F2035" s="1019"/>
      <c r="G2035" s="1019"/>
      <c r="H2035" s="1019"/>
      <c r="I2035" s="1140"/>
    </row>
    <row r="2036" spans="1:9" x14ac:dyDescent="0.35">
      <c r="A2036" s="1019"/>
      <c r="B2036" s="1019"/>
      <c r="C2036" s="1019"/>
      <c r="D2036" s="3188"/>
      <c r="E2036" s="1019"/>
      <c r="F2036" s="1019"/>
      <c r="G2036" s="1019"/>
      <c r="H2036" s="1019"/>
      <c r="I2036" s="1140"/>
    </row>
    <row r="2037" spans="1:9" x14ac:dyDescent="0.35">
      <c r="A2037" s="1019"/>
      <c r="B2037" s="1019"/>
      <c r="C2037" s="1019"/>
      <c r="D2037" s="3188"/>
      <c r="E2037" s="1019"/>
      <c r="F2037" s="1019"/>
      <c r="G2037" s="1019"/>
      <c r="H2037" s="1019"/>
      <c r="I2037" s="1140"/>
    </row>
    <row r="2038" spans="1:9" x14ac:dyDescent="0.35">
      <c r="A2038" s="1019"/>
      <c r="B2038" s="1019"/>
      <c r="C2038" s="1019"/>
      <c r="D2038" s="3188"/>
      <c r="E2038" s="1019"/>
      <c r="F2038" s="1019"/>
      <c r="G2038" s="1019"/>
      <c r="H2038" s="1019"/>
      <c r="I2038" s="1140"/>
    </row>
    <row r="2039" spans="1:9" x14ac:dyDescent="0.35">
      <c r="A2039" s="1019"/>
      <c r="B2039" s="1019"/>
      <c r="C2039" s="1019"/>
      <c r="D2039" s="3188"/>
      <c r="E2039" s="1019"/>
      <c r="F2039" s="1019"/>
      <c r="G2039" s="1019"/>
      <c r="H2039" s="1019"/>
      <c r="I2039" s="1140"/>
    </row>
    <row r="2040" spans="1:9" x14ac:dyDescent="0.35">
      <c r="A2040" s="1019"/>
      <c r="B2040" s="1019"/>
      <c r="C2040" s="1019"/>
      <c r="D2040" s="3188"/>
      <c r="E2040" s="1019"/>
      <c r="F2040" s="1019"/>
      <c r="G2040" s="1019"/>
      <c r="H2040" s="1019"/>
      <c r="I2040" s="1140"/>
    </row>
    <row r="2041" spans="1:9" x14ac:dyDescent="0.35">
      <c r="A2041" s="1019"/>
      <c r="B2041" s="1019"/>
      <c r="C2041" s="1019"/>
      <c r="D2041" s="3188"/>
      <c r="E2041" s="1019"/>
      <c r="F2041" s="1019"/>
      <c r="G2041" s="1019"/>
      <c r="H2041" s="1019"/>
      <c r="I2041" s="1140"/>
    </row>
    <row r="2042" spans="1:9" x14ac:dyDescent="0.35">
      <c r="A2042" s="1019"/>
      <c r="B2042" s="1019"/>
      <c r="C2042" s="1019"/>
      <c r="D2042" s="3188"/>
      <c r="E2042" s="1019"/>
      <c r="F2042" s="1019"/>
      <c r="G2042" s="1019"/>
      <c r="H2042" s="1019"/>
      <c r="I2042" s="1140"/>
    </row>
    <row r="2043" spans="1:9" x14ac:dyDescent="0.35">
      <c r="A2043" s="1019"/>
      <c r="B2043" s="1019"/>
      <c r="C2043" s="1019"/>
      <c r="D2043" s="3188"/>
      <c r="E2043" s="1019"/>
      <c r="F2043" s="1019"/>
      <c r="G2043" s="1019"/>
      <c r="H2043" s="1019"/>
      <c r="I2043" s="1140"/>
    </row>
    <row r="2044" spans="1:9" x14ac:dyDescent="0.35">
      <c r="A2044" s="1019"/>
      <c r="B2044" s="1019"/>
      <c r="C2044" s="1019"/>
      <c r="D2044" s="3188"/>
      <c r="E2044" s="1019"/>
      <c r="F2044" s="1019"/>
      <c r="G2044" s="1019"/>
      <c r="H2044" s="1019"/>
      <c r="I2044" s="1140"/>
    </row>
    <row r="2045" spans="1:9" x14ac:dyDescent="0.35">
      <c r="A2045" s="1019"/>
      <c r="B2045" s="1019"/>
      <c r="C2045" s="1019"/>
      <c r="D2045" s="3188"/>
      <c r="E2045" s="1019"/>
      <c r="F2045" s="1019"/>
      <c r="G2045" s="1019"/>
      <c r="H2045" s="1019"/>
      <c r="I2045" s="1140"/>
    </row>
    <row r="2046" spans="1:9" x14ac:dyDescent="0.35">
      <c r="A2046" s="1019"/>
      <c r="B2046" s="1019"/>
      <c r="C2046" s="1019"/>
      <c r="D2046" s="3188"/>
      <c r="E2046" s="1019"/>
      <c r="F2046" s="1019"/>
      <c r="G2046" s="1019"/>
      <c r="H2046" s="1019"/>
      <c r="I2046" s="1140"/>
    </row>
    <row r="2047" spans="1:9" x14ac:dyDescent="0.35">
      <c r="A2047" s="1019"/>
      <c r="B2047" s="1019"/>
      <c r="C2047" s="1019"/>
      <c r="D2047" s="3188"/>
      <c r="E2047" s="1019"/>
      <c r="F2047" s="1019"/>
      <c r="G2047" s="1019"/>
      <c r="H2047" s="1019"/>
      <c r="I2047" s="1140"/>
    </row>
    <row r="2048" spans="1:9" x14ac:dyDescent="0.35">
      <c r="A2048" s="1019"/>
      <c r="B2048" s="1019"/>
      <c r="C2048" s="1019"/>
      <c r="D2048" s="3188"/>
      <c r="E2048" s="1019"/>
      <c r="F2048" s="1019"/>
      <c r="G2048" s="1019"/>
      <c r="H2048" s="1019"/>
      <c r="I2048" s="1140"/>
    </row>
    <row r="2049" spans="1:9" x14ac:dyDescent="0.35">
      <c r="A2049" s="1019"/>
      <c r="B2049" s="1019"/>
      <c r="C2049" s="1019"/>
      <c r="D2049" s="3188"/>
      <c r="E2049" s="1019"/>
      <c r="F2049" s="1019"/>
      <c r="G2049" s="1019"/>
      <c r="H2049" s="1019"/>
      <c r="I2049" s="1140"/>
    </row>
    <row r="2050" spans="1:9" x14ac:dyDescent="0.35">
      <c r="A2050" s="1019"/>
      <c r="B2050" s="1019"/>
      <c r="C2050" s="1019"/>
      <c r="D2050" s="3188"/>
      <c r="E2050" s="1019"/>
      <c r="F2050" s="1019"/>
      <c r="G2050" s="1019"/>
      <c r="H2050" s="1019"/>
      <c r="I2050" s="1140"/>
    </row>
    <row r="2051" spans="1:9" x14ac:dyDescent="0.35">
      <c r="A2051" s="1019"/>
      <c r="B2051" s="1019"/>
      <c r="C2051" s="1019"/>
      <c r="D2051" s="3188"/>
      <c r="E2051" s="1019"/>
      <c r="F2051" s="1019"/>
      <c r="G2051" s="1019"/>
      <c r="H2051" s="1019"/>
      <c r="I2051" s="1140"/>
    </row>
    <row r="2052" spans="1:9" x14ac:dyDescent="0.35">
      <c r="A2052" s="1019"/>
      <c r="B2052" s="1019"/>
      <c r="C2052" s="1019"/>
      <c r="D2052" s="3188"/>
      <c r="E2052" s="1019"/>
      <c r="F2052" s="1019"/>
      <c r="G2052" s="1019"/>
      <c r="H2052" s="1019"/>
      <c r="I2052" s="1140"/>
    </row>
    <row r="2053" spans="1:9" x14ac:dyDescent="0.35">
      <c r="A2053" s="1019"/>
      <c r="B2053" s="1019"/>
      <c r="C2053" s="1019"/>
      <c r="D2053" s="3188"/>
      <c r="E2053" s="1019"/>
      <c r="F2053" s="1019"/>
      <c r="G2053" s="1019"/>
      <c r="H2053" s="1019"/>
      <c r="I2053" s="1140"/>
    </row>
    <row r="2054" spans="1:9" x14ac:dyDescent="0.35">
      <c r="A2054" s="1019"/>
      <c r="B2054" s="1019"/>
      <c r="C2054" s="1019"/>
      <c r="D2054" s="3188"/>
      <c r="E2054" s="1019"/>
      <c r="F2054" s="1019"/>
      <c r="G2054" s="1019"/>
      <c r="H2054" s="1019"/>
      <c r="I2054" s="1140"/>
    </row>
    <row r="2055" spans="1:9" x14ac:dyDescent="0.35">
      <c r="A2055" s="1019"/>
      <c r="B2055" s="1019"/>
      <c r="C2055" s="1019"/>
      <c r="D2055" s="3188"/>
      <c r="E2055" s="1019"/>
      <c r="F2055" s="1019"/>
      <c r="G2055" s="1019"/>
      <c r="H2055" s="1019"/>
      <c r="I2055" s="1140"/>
    </row>
    <row r="2056" spans="1:9" x14ac:dyDescent="0.35">
      <c r="A2056" s="1019"/>
      <c r="B2056" s="1019"/>
      <c r="C2056" s="1019"/>
      <c r="D2056" s="3188"/>
      <c r="E2056" s="1019"/>
      <c r="F2056" s="1019"/>
      <c r="G2056" s="1019"/>
      <c r="H2056" s="1019"/>
      <c r="I2056" s="1140"/>
    </row>
    <row r="2057" spans="1:9" x14ac:dyDescent="0.35">
      <c r="A2057" s="1019"/>
      <c r="B2057" s="1019"/>
      <c r="C2057" s="1019"/>
      <c r="D2057" s="3188"/>
      <c r="E2057" s="1019"/>
      <c r="F2057" s="1019"/>
      <c r="G2057" s="1019"/>
      <c r="H2057" s="1019"/>
      <c r="I2057" s="1140"/>
    </row>
    <row r="2058" spans="1:9" x14ac:dyDescent="0.35">
      <c r="A2058" s="1019"/>
      <c r="B2058" s="1019"/>
      <c r="C2058" s="1019"/>
      <c r="D2058" s="3188"/>
      <c r="E2058" s="1019"/>
      <c r="F2058" s="1019"/>
      <c r="G2058" s="1019"/>
      <c r="H2058" s="1019"/>
      <c r="I2058" s="1140"/>
    </row>
    <row r="2059" spans="1:9" x14ac:dyDescent="0.35">
      <c r="A2059" s="1019"/>
      <c r="B2059" s="1019"/>
      <c r="C2059" s="1019"/>
      <c r="D2059" s="3188"/>
      <c r="E2059" s="1019"/>
      <c r="F2059" s="1019"/>
      <c r="G2059" s="1019"/>
      <c r="H2059" s="1019"/>
      <c r="I2059" s="1140"/>
    </row>
    <row r="2060" spans="1:9" x14ac:dyDescent="0.35">
      <c r="A2060" s="1019"/>
      <c r="B2060" s="1019"/>
      <c r="C2060" s="1019"/>
      <c r="D2060" s="3188"/>
      <c r="E2060" s="1019"/>
      <c r="F2060" s="1019"/>
      <c r="G2060" s="1019"/>
      <c r="H2060" s="1019"/>
      <c r="I2060" s="1140"/>
    </row>
    <row r="2061" spans="1:9" x14ac:dyDescent="0.35">
      <c r="A2061" s="1019"/>
      <c r="B2061" s="1019"/>
      <c r="C2061" s="1019"/>
      <c r="D2061" s="3188"/>
      <c r="E2061" s="1019"/>
      <c r="F2061" s="1019"/>
      <c r="G2061" s="1019"/>
      <c r="H2061" s="1019"/>
      <c r="I2061" s="1140"/>
    </row>
    <row r="2062" spans="1:9" x14ac:dyDescent="0.35">
      <c r="A2062" s="1019"/>
      <c r="B2062" s="1019"/>
      <c r="C2062" s="1019"/>
      <c r="D2062" s="3188"/>
      <c r="E2062" s="1019"/>
      <c r="F2062" s="1019"/>
      <c r="G2062" s="1019"/>
      <c r="H2062" s="1019"/>
      <c r="I2062" s="1140"/>
    </row>
    <row r="2063" spans="1:9" x14ac:dyDescent="0.35">
      <c r="A2063" s="1019"/>
      <c r="B2063" s="1019"/>
      <c r="C2063" s="1019"/>
      <c r="D2063" s="3188"/>
      <c r="E2063" s="1019"/>
      <c r="F2063" s="1019"/>
      <c r="G2063" s="1019"/>
      <c r="H2063" s="1019"/>
      <c r="I2063" s="1140"/>
    </row>
    <row r="2064" spans="1:9" x14ac:dyDescent="0.35">
      <c r="A2064" s="1019"/>
      <c r="B2064" s="1019"/>
      <c r="C2064" s="1019"/>
      <c r="D2064" s="3188"/>
      <c r="E2064" s="1019"/>
      <c r="F2064" s="1019"/>
      <c r="G2064" s="1019"/>
      <c r="H2064" s="1019"/>
      <c r="I2064" s="1140"/>
    </row>
    <row r="2065" spans="1:9" x14ac:dyDescent="0.35">
      <c r="A2065" s="1019"/>
      <c r="B2065" s="1019"/>
      <c r="C2065" s="1019"/>
      <c r="D2065" s="3188"/>
      <c r="E2065" s="1019"/>
      <c r="F2065" s="1019"/>
      <c r="G2065" s="1019"/>
      <c r="H2065" s="1019"/>
      <c r="I2065" s="1140"/>
    </row>
    <row r="2066" spans="1:9" x14ac:dyDescent="0.35">
      <c r="A2066" s="1019"/>
      <c r="B2066" s="1019"/>
      <c r="C2066" s="1019"/>
      <c r="D2066" s="3188"/>
      <c r="E2066" s="1019"/>
      <c r="F2066" s="1019"/>
      <c r="G2066" s="1019"/>
      <c r="H2066" s="1019"/>
      <c r="I2066" s="1140"/>
    </row>
    <row r="2067" spans="1:9" x14ac:dyDescent="0.35">
      <c r="A2067" s="1019"/>
      <c r="B2067" s="1019"/>
      <c r="C2067" s="1019"/>
      <c r="D2067" s="3188"/>
      <c r="E2067" s="1019"/>
      <c r="F2067" s="1019"/>
      <c r="G2067" s="1019"/>
      <c r="H2067" s="1019"/>
      <c r="I2067" s="1140"/>
    </row>
    <row r="2068" spans="1:9" x14ac:dyDescent="0.35">
      <c r="A2068" s="1019"/>
      <c r="B2068" s="1019"/>
      <c r="C2068" s="1019"/>
      <c r="D2068" s="3188"/>
      <c r="E2068" s="1019"/>
      <c r="F2068" s="1019"/>
      <c r="G2068" s="1019"/>
      <c r="H2068" s="1019"/>
      <c r="I2068" s="1140"/>
    </row>
    <row r="2069" spans="1:9" x14ac:dyDescent="0.35">
      <c r="A2069" s="1019"/>
      <c r="B2069" s="1019"/>
      <c r="C2069" s="1019"/>
      <c r="D2069" s="3188"/>
      <c r="E2069" s="1019"/>
      <c r="F2069" s="1019"/>
      <c r="G2069" s="1019"/>
      <c r="H2069" s="1019"/>
      <c r="I2069" s="1140"/>
    </row>
    <row r="2070" spans="1:9" x14ac:dyDescent="0.35">
      <c r="A2070" s="1019"/>
      <c r="B2070" s="1019"/>
      <c r="C2070" s="1019"/>
      <c r="D2070" s="3188"/>
      <c r="E2070" s="1019"/>
      <c r="F2070" s="1019"/>
      <c r="G2070" s="1019"/>
      <c r="H2070" s="1019"/>
      <c r="I2070" s="1140"/>
    </row>
    <row r="2071" spans="1:9" x14ac:dyDescent="0.35">
      <c r="A2071" s="1019"/>
      <c r="B2071" s="1019"/>
      <c r="C2071" s="1019"/>
      <c r="D2071" s="3188"/>
      <c r="E2071" s="1019"/>
      <c r="F2071" s="1019"/>
      <c r="G2071" s="1019"/>
      <c r="H2071" s="1019"/>
      <c r="I2071" s="1140"/>
    </row>
    <row r="2072" spans="1:9" x14ac:dyDescent="0.35">
      <c r="A2072" s="1019"/>
      <c r="B2072" s="1019"/>
      <c r="C2072" s="1019"/>
      <c r="D2072" s="3188"/>
      <c r="E2072" s="1019"/>
      <c r="F2072" s="1019"/>
      <c r="G2072" s="1019"/>
      <c r="H2072" s="1019"/>
      <c r="I2072" s="1140"/>
    </row>
    <row r="2073" spans="1:9" x14ac:dyDescent="0.35">
      <c r="A2073" s="1019"/>
      <c r="B2073" s="1019"/>
      <c r="C2073" s="1019"/>
      <c r="D2073" s="3188"/>
      <c r="E2073" s="1019"/>
      <c r="F2073" s="1019"/>
      <c r="G2073" s="1019"/>
      <c r="H2073" s="1019"/>
      <c r="I2073" s="1140"/>
    </row>
    <row r="2074" spans="1:9" x14ac:dyDescent="0.35">
      <c r="A2074" s="1019"/>
      <c r="B2074" s="1019"/>
      <c r="C2074" s="1019"/>
      <c r="D2074" s="3188"/>
      <c r="E2074" s="1019"/>
      <c r="F2074" s="1019"/>
      <c r="G2074" s="1019"/>
      <c r="H2074" s="1019"/>
      <c r="I2074" s="1140"/>
    </row>
    <row r="2075" spans="1:9" x14ac:dyDescent="0.35">
      <c r="A2075" s="1019"/>
      <c r="B2075" s="1019"/>
      <c r="C2075" s="1019"/>
      <c r="D2075" s="3188"/>
      <c r="E2075" s="1019"/>
      <c r="F2075" s="1019"/>
      <c r="G2075" s="1019"/>
      <c r="H2075" s="1019"/>
      <c r="I2075" s="1140"/>
    </row>
    <row r="2076" spans="1:9" x14ac:dyDescent="0.35">
      <c r="A2076" s="1019"/>
      <c r="B2076" s="1019"/>
      <c r="C2076" s="1019"/>
      <c r="D2076" s="3188"/>
      <c r="E2076" s="1019"/>
      <c r="F2076" s="1019"/>
      <c r="G2076" s="1019"/>
      <c r="H2076" s="1019"/>
      <c r="I2076" s="1140"/>
    </row>
    <row r="2077" spans="1:9" x14ac:dyDescent="0.35">
      <c r="A2077" s="1019"/>
      <c r="B2077" s="1019"/>
      <c r="C2077" s="1019"/>
      <c r="D2077" s="3188"/>
      <c r="E2077" s="1019"/>
      <c r="F2077" s="1019"/>
      <c r="G2077" s="1019"/>
      <c r="H2077" s="1019"/>
      <c r="I2077" s="1140"/>
    </row>
    <row r="2078" spans="1:9" x14ac:dyDescent="0.35">
      <c r="A2078" s="1019"/>
      <c r="B2078" s="1019"/>
      <c r="C2078" s="1019"/>
      <c r="D2078" s="3188"/>
      <c r="E2078" s="1019"/>
      <c r="F2078" s="1019"/>
      <c r="G2078" s="1019"/>
      <c r="H2078" s="1019"/>
      <c r="I2078" s="1140"/>
    </row>
    <row r="2079" spans="1:9" x14ac:dyDescent="0.35">
      <c r="A2079" s="1019"/>
      <c r="B2079" s="1019"/>
      <c r="C2079" s="1019"/>
      <c r="D2079" s="3188"/>
      <c r="E2079" s="1019"/>
      <c r="F2079" s="1019"/>
      <c r="G2079" s="1019"/>
      <c r="H2079" s="1019"/>
      <c r="I2079" s="1140"/>
    </row>
    <row r="2080" spans="1:9" x14ac:dyDescent="0.35">
      <c r="A2080" s="1019"/>
      <c r="B2080" s="1019"/>
      <c r="C2080" s="1019"/>
      <c r="D2080" s="3188"/>
      <c r="E2080" s="1019"/>
      <c r="F2080" s="1019"/>
      <c r="G2080" s="1019"/>
      <c r="H2080" s="1019"/>
      <c r="I2080" s="1140"/>
    </row>
    <row r="2081" spans="1:9" x14ac:dyDescent="0.35">
      <c r="A2081" s="1019"/>
      <c r="B2081" s="1019"/>
      <c r="C2081" s="1019"/>
      <c r="D2081" s="3188"/>
      <c r="E2081" s="1019"/>
      <c r="F2081" s="1019"/>
      <c r="G2081" s="1019"/>
      <c r="H2081" s="1019"/>
      <c r="I2081" s="1140"/>
    </row>
    <row r="2082" spans="1:9" x14ac:dyDescent="0.35">
      <c r="A2082" s="1019"/>
      <c r="B2082" s="1019"/>
      <c r="C2082" s="1019"/>
      <c r="D2082" s="3188"/>
      <c r="E2082" s="1019"/>
      <c r="F2082" s="1019"/>
      <c r="G2082" s="1019"/>
      <c r="H2082" s="1019"/>
      <c r="I2082" s="1140"/>
    </row>
    <row r="2083" spans="1:9" x14ac:dyDescent="0.35">
      <c r="A2083" s="1019"/>
      <c r="B2083" s="1019"/>
      <c r="C2083" s="1019"/>
      <c r="D2083" s="3188"/>
      <c r="E2083" s="1019"/>
      <c r="F2083" s="1019"/>
      <c r="G2083" s="1019"/>
      <c r="H2083" s="1019"/>
      <c r="I2083" s="1140"/>
    </row>
    <row r="2084" spans="1:9" x14ac:dyDescent="0.35">
      <c r="A2084" s="1019"/>
      <c r="B2084" s="1019"/>
      <c r="C2084" s="1019"/>
      <c r="D2084" s="3188"/>
      <c r="E2084" s="1019"/>
      <c r="F2084" s="1019"/>
      <c r="G2084" s="1019"/>
      <c r="H2084" s="1019"/>
      <c r="I2084" s="1140"/>
    </row>
    <row r="2085" spans="1:9" x14ac:dyDescent="0.35">
      <c r="A2085" s="1019"/>
      <c r="B2085" s="1019"/>
      <c r="C2085" s="1019"/>
      <c r="D2085" s="3188"/>
      <c r="E2085" s="1019"/>
      <c r="F2085" s="1019"/>
      <c r="G2085" s="1019"/>
      <c r="H2085" s="1019"/>
      <c r="I2085" s="1140"/>
    </row>
    <row r="2086" spans="1:9" x14ac:dyDescent="0.35">
      <c r="A2086" s="1019"/>
      <c r="B2086" s="1019"/>
      <c r="C2086" s="1019"/>
      <c r="D2086" s="3188"/>
      <c r="E2086" s="1019"/>
      <c r="F2086" s="1019"/>
      <c r="G2086" s="1019"/>
      <c r="H2086" s="1019"/>
      <c r="I2086" s="1140"/>
    </row>
    <row r="2087" spans="1:9" x14ac:dyDescent="0.35">
      <c r="A2087" s="1019"/>
      <c r="B2087" s="1019"/>
      <c r="C2087" s="1019"/>
      <c r="D2087" s="3188"/>
      <c r="E2087" s="1019"/>
      <c r="F2087" s="1019"/>
      <c r="G2087" s="1019"/>
      <c r="H2087" s="1019"/>
      <c r="I2087" s="1140"/>
    </row>
    <row r="2088" spans="1:9" x14ac:dyDescent="0.35">
      <c r="A2088" s="1019"/>
      <c r="B2088" s="1019"/>
      <c r="C2088" s="1019"/>
      <c r="D2088" s="3188"/>
      <c r="E2088" s="1019"/>
      <c r="F2088" s="1019"/>
      <c r="G2088" s="1019"/>
      <c r="H2088" s="1019"/>
      <c r="I2088" s="1140"/>
    </row>
    <row r="2089" spans="1:9" x14ac:dyDescent="0.35">
      <c r="A2089" s="1019"/>
      <c r="B2089" s="1019"/>
      <c r="C2089" s="1019"/>
      <c r="D2089" s="3188"/>
      <c r="E2089" s="1019"/>
      <c r="F2089" s="1019"/>
      <c r="G2089" s="1019"/>
      <c r="H2089" s="1019"/>
      <c r="I2089" s="1140"/>
    </row>
    <row r="2090" spans="1:9" x14ac:dyDescent="0.35">
      <c r="A2090" s="1019"/>
      <c r="B2090" s="1019"/>
      <c r="C2090" s="1019"/>
      <c r="D2090" s="3188"/>
      <c r="E2090" s="1019"/>
      <c r="F2090" s="1019"/>
      <c r="G2090" s="1019"/>
      <c r="H2090" s="1019"/>
      <c r="I2090" s="1140"/>
    </row>
    <row r="2091" spans="1:9" x14ac:dyDescent="0.35">
      <c r="A2091" s="1019"/>
      <c r="B2091" s="1019"/>
      <c r="C2091" s="1019"/>
      <c r="D2091" s="3188"/>
      <c r="E2091" s="1019"/>
      <c r="F2091" s="1019"/>
      <c r="G2091" s="1019"/>
      <c r="H2091" s="1019"/>
      <c r="I2091" s="1140"/>
    </row>
    <row r="2092" spans="1:9" x14ac:dyDescent="0.35">
      <c r="A2092" s="1019"/>
      <c r="B2092" s="1019"/>
      <c r="C2092" s="1019"/>
      <c r="D2092" s="3188"/>
      <c r="E2092" s="1019"/>
      <c r="F2092" s="1019"/>
      <c r="G2092" s="1019"/>
      <c r="H2092" s="1019"/>
      <c r="I2092" s="1140"/>
    </row>
    <row r="2093" spans="1:9" x14ac:dyDescent="0.35">
      <c r="A2093" s="1019"/>
      <c r="B2093" s="1019"/>
      <c r="C2093" s="1019"/>
      <c r="D2093" s="3188"/>
      <c r="E2093" s="1019"/>
      <c r="F2093" s="1019"/>
      <c r="G2093" s="1019"/>
      <c r="H2093" s="1019"/>
      <c r="I2093" s="1140"/>
    </row>
    <row r="2094" spans="1:9" x14ac:dyDescent="0.35">
      <c r="A2094" s="1019"/>
      <c r="B2094" s="1019"/>
      <c r="C2094" s="1019"/>
      <c r="D2094" s="3188"/>
      <c r="E2094" s="1019"/>
      <c r="F2094" s="1019"/>
      <c r="G2094" s="1019"/>
      <c r="H2094" s="1019"/>
      <c r="I2094" s="1140"/>
    </row>
    <row r="2095" spans="1:9" x14ac:dyDescent="0.35">
      <c r="A2095" s="1019"/>
      <c r="B2095" s="1019"/>
      <c r="C2095" s="1019"/>
      <c r="D2095" s="3188"/>
      <c r="E2095" s="1019"/>
      <c r="F2095" s="1019"/>
      <c r="G2095" s="1019"/>
      <c r="H2095" s="1019"/>
      <c r="I2095" s="1140"/>
    </row>
    <row r="2096" spans="1:9" x14ac:dyDescent="0.35">
      <c r="A2096" s="1019"/>
      <c r="B2096" s="1019"/>
      <c r="C2096" s="1019"/>
      <c r="D2096" s="3188"/>
      <c r="E2096" s="1019"/>
      <c r="F2096" s="1019"/>
      <c r="G2096" s="1019"/>
      <c r="H2096" s="1019"/>
      <c r="I2096" s="1140"/>
    </row>
    <row r="2097" spans="1:9" x14ac:dyDescent="0.35">
      <c r="A2097" s="1019"/>
      <c r="B2097" s="1019"/>
      <c r="C2097" s="1019"/>
      <c r="D2097" s="3188"/>
      <c r="E2097" s="1019"/>
      <c r="F2097" s="1019"/>
      <c r="G2097" s="1019"/>
      <c r="H2097" s="1019"/>
      <c r="I2097" s="1140"/>
    </row>
    <row r="2098" spans="1:9" x14ac:dyDescent="0.35">
      <c r="A2098" s="1019"/>
      <c r="B2098" s="1019"/>
      <c r="C2098" s="1019"/>
      <c r="D2098" s="3188"/>
      <c r="E2098" s="1019"/>
      <c r="F2098" s="1019"/>
      <c r="G2098" s="1019"/>
      <c r="H2098" s="1019"/>
      <c r="I2098" s="1140"/>
    </row>
    <row r="2099" spans="1:9" x14ac:dyDescent="0.35">
      <c r="A2099" s="1019"/>
      <c r="B2099" s="1019"/>
      <c r="C2099" s="1019"/>
      <c r="D2099" s="3188"/>
      <c r="E2099" s="1019"/>
      <c r="F2099" s="1019"/>
      <c r="G2099" s="1019"/>
      <c r="H2099" s="1019"/>
      <c r="I2099" s="1140"/>
    </row>
    <row r="2100" spans="1:9" x14ac:dyDescent="0.35">
      <c r="A2100" s="1019"/>
      <c r="B2100" s="1019"/>
      <c r="C2100" s="1019"/>
      <c r="D2100" s="3188"/>
      <c r="E2100" s="1019"/>
      <c r="F2100" s="1019"/>
      <c r="G2100" s="1019"/>
      <c r="H2100" s="1019"/>
      <c r="I2100" s="1140"/>
    </row>
    <row r="2101" spans="1:9" x14ac:dyDescent="0.35">
      <c r="A2101" s="1019"/>
      <c r="B2101" s="1019"/>
      <c r="C2101" s="1019"/>
      <c r="D2101" s="3188"/>
      <c r="E2101" s="1019"/>
      <c r="F2101" s="1019"/>
      <c r="G2101" s="1019"/>
      <c r="H2101" s="1019"/>
      <c r="I2101" s="1140"/>
    </row>
    <row r="2102" spans="1:9" x14ac:dyDescent="0.35">
      <c r="A2102" s="1019"/>
      <c r="B2102" s="1019"/>
      <c r="C2102" s="1019"/>
      <c r="D2102" s="3188"/>
      <c r="E2102" s="1019"/>
      <c r="F2102" s="1019"/>
      <c r="G2102" s="1019"/>
      <c r="H2102" s="1019"/>
      <c r="I2102" s="1140"/>
    </row>
    <row r="2103" spans="1:9" x14ac:dyDescent="0.35">
      <c r="A2103" s="1019"/>
      <c r="B2103" s="1019"/>
      <c r="C2103" s="1019"/>
      <c r="D2103" s="3188"/>
      <c r="E2103" s="1019"/>
      <c r="F2103" s="1019"/>
      <c r="G2103" s="1019"/>
      <c r="H2103" s="1019"/>
      <c r="I2103" s="1140"/>
    </row>
    <row r="2104" spans="1:9" x14ac:dyDescent="0.35">
      <c r="A2104" s="1019"/>
      <c r="B2104" s="1019"/>
      <c r="C2104" s="1019"/>
      <c r="D2104" s="3188"/>
      <c r="E2104" s="1019"/>
      <c r="F2104" s="1019"/>
      <c r="G2104" s="1019"/>
      <c r="H2104" s="1019"/>
      <c r="I2104" s="1140"/>
    </row>
    <row r="2105" spans="1:9" x14ac:dyDescent="0.35">
      <c r="A2105" s="1019"/>
      <c r="B2105" s="1019"/>
      <c r="C2105" s="1019"/>
      <c r="D2105" s="3188"/>
      <c r="E2105" s="1019"/>
      <c r="F2105" s="1019"/>
      <c r="G2105" s="1019"/>
      <c r="H2105" s="1019"/>
      <c r="I2105" s="1140"/>
    </row>
    <row r="2106" spans="1:9" x14ac:dyDescent="0.35">
      <c r="A2106" s="1019"/>
      <c r="B2106" s="1019"/>
      <c r="C2106" s="1019"/>
      <c r="D2106" s="3188"/>
      <c r="E2106" s="1019"/>
      <c r="F2106" s="1019"/>
      <c r="G2106" s="1019"/>
      <c r="H2106" s="1019"/>
      <c r="I2106" s="1140"/>
    </row>
    <row r="2107" spans="1:9" x14ac:dyDescent="0.35">
      <c r="A2107" s="1019"/>
      <c r="B2107" s="1019"/>
      <c r="C2107" s="1019"/>
      <c r="D2107" s="3188"/>
      <c r="E2107" s="1019"/>
      <c r="F2107" s="1019"/>
      <c r="G2107" s="1019"/>
      <c r="H2107" s="1019"/>
      <c r="I2107" s="1140"/>
    </row>
    <row r="2108" spans="1:9" x14ac:dyDescent="0.35">
      <c r="A2108" s="1019"/>
      <c r="B2108" s="1019"/>
      <c r="C2108" s="1019"/>
      <c r="D2108" s="3188"/>
      <c r="E2108" s="1019"/>
      <c r="F2108" s="1019"/>
      <c r="G2108" s="1019"/>
      <c r="H2108" s="1019"/>
      <c r="I2108" s="1140"/>
    </row>
    <row r="2109" spans="1:9" x14ac:dyDescent="0.35">
      <c r="A2109" s="1019"/>
      <c r="B2109" s="1019"/>
      <c r="C2109" s="1019"/>
      <c r="D2109" s="3188"/>
      <c r="E2109" s="1019"/>
      <c r="F2109" s="1019"/>
      <c r="G2109" s="1019"/>
      <c r="H2109" s="1019"/>
      <c r="I2109" s="1140"/>
    </row>
    <row r="2110" spans="1:9" x14ac:dyDescent="0.35">
      <c r="A2110" s="1019"/>
      <c r="B2110" s="1019"/>
      <c r="C2110" s="1019"/>
      <c r="D2110" s="3188"/>
      <c r="E2110" s="1019"/>
      <c r="F2110" s="1019"/>
      <c r="G2110" s="1019"/>
      <c r="H2110" s="1019"/>
      <c r="I2110" s="1140"/>
    </row>
    <row r="2111" spans="1:9" x14ac:dyDescent="0.35">
      <c r="A2111" s="1019"/>
      <c r="B2111" s="1019"/>
      <c r="C2111" s="1019"/>
      <c r="D2111" s="3188"/>
      <c r="E2111" s="1019"/>
      <c r="F2111" s="1019"/>
      <c r="G2111" s="1019"/>
      <c r="H2111" s="1019"/>
      <c r="I2111" s="1140"/>
    </row>
    <row r="2112" spans="1:9" x14ac:dyDescent="0.35">
      <c r="A2112" s="1019"/>
      <c r="B2112" s="1019"/>
      <c r="C2112" s="1019"/>
      <c r="D2112" s="3188"/>
      <c r="E2112" s="1019"/>
      <c r="F2112" s="1019"/>
      <c r="G2112" s="1019"/>
      <c r="H2112" s="1019"/>
      <c r="I2112" s="1140"/>
    </row>
    <row r="2113" spans="1:9" x14ac:dyDescent="0.35">
      <c r="A2113" s="1019"/>
      <c r="B2113" s="1019"/>
      <c r="C2113" s="1019"/>
      <c r="D2113" s="3188"/>
      <c r="E2113" s="1019"/>
      <c r="F2113" s="1019"/>
      <c r="G2113" s="1019"/>
      <c r="H2113" s="1019"/>
      <c r="I2113" s="1140"/>
    </row>
    <row r="2114" spans="1:9" x14ac:dyDescent="0.35">
      <c r="A2114" s="1019"/>
      <c r="B2114" s="1019"/>
      <c r="C2114" s="1019"/>
      <c r="D2114" s="3188"/>
      <c r="E2114" s="1019"/>
      <c r="F2114" s="1019"/>
      <c r="G2114" s="1019"/>
      <c r="H2114" s="1019"/>
      <c r="I2114" s="1140"/>
    </row>
    <row r="2115" spans="1:9" x14ac:dyDescent="0.35">
      <c r="A2115" s="1019"/>
      <c r="B2115" s="1019"/>
      <c r="C2115" s="1019"/>
      <c r="D2115" s="3188"/>
      <c r="E2115" s="1019"/>
      <c r="F2115" s="1019"/>
      <c r="G2115" s="1019"/>
      <c r="H2115" s="1019"/>
      <c r="I2115" s="1140"/>
    </row>
    <row r="2116" spans="1:9" x14ac:dyDescent="0.35">
      <c r="A2116" s="1019"/>
      <c r="B2116" s="1019"/>
      <c r="C2116" s="1019"/>
      <c r="D2116" s="3188"/>
      <c r="E2116" s="1019"/>
      <c r="F2116" s="1019"/>
      <c r="G2116" s="1019"/>
      <c r="H2116" s="1019"/>
      <c r="I2116" s="1140"/>
    </row>
    <row r="2117" spans="1:9" x14ac:dyDescent="0.35">
      <c r="A2117" s="1019"/>
      <c r="B2117" s="1019"/>
      <c r="C2117" s="1019"/>
      <c r="D2117" s="3188"/>
      <c r="E2117" s="1019"/>
      <c r="F2117" s="1019"/>
      <c r="G2117" s="1019"/>
      <c r="H2117" s="1019"/>
      <c r="I2117" s="1140"/>
    </row>
    <row r="2118" spans="1:9" x14ac:dyDescent="0.35">
      <c r="A2118" s="1019"/>
      <c r="B2118" s="1019"/>
      <c r="C2118" s="1019"/>
      <c r="D2118" s="3188"/>
      <c r="E2118" s="1019"/>
      <c r="F2118" s="1019"/>
      <c r="G2118" s="1019"/>
      <c r="H2118" s="1019"/>
      <c r="I2118" s="1140"/>
    </row>
    <row r="2119" spans="1:9" x14ac:dyDescent="0.35">
      <c r="A2119" s="1019"/>
      <c r="B2119" s="1019"/>
      <c r="C2119" s="1019"/>
      <c r="D2119" s="3188"/>
      <c r="E2119" s="1019"/>
      <c r="F2119" s="1019"/>
      <c r="G2119" s="1019"/>
      <c r="H2119" s="1019"/>
      <c r="I2119" s="1140"/>
    </row>
    <row r="2120" spans="1:9" x14ac:dyDescent="0.35">
      <c r="A2120" s="1019"/>
      <c r="B2120" s="1019"/>
      <c r="C2120" s="1019"/>
      <c r="D2120" s="3188"/>
      <c r="E2120" s="1019"/>
      <c r="F2120" s="1019"/>
      <c r="G2120" s="1019"/>
      <c r="H2120" s="1019"/>
      <c r="I2120" s="1140"/>
    </row>
    <row r="2121" spans="1:9" x14ac:dyDescent="0.35">
      <c r="A2121" s="1019"/>
      <c r="B2121" s="1019"/>
      <c r="C2121" s="1019"/>
      <c r="D2121" s="3188"/>
      <c r="E2121" s="1019"/>
      <c r="F2121" s="1019"/>
      <c r="G2121" s="1019"/>
      <c r="H2121" s="1019"/>
      <c r="I2121" s="1140"/>
    </row>
    <row r="2122" spans="1:9" x14ac:dyDescent="0.35">
      <c r="A2122" s="1019"/>
      <c r="B2122" s="1019"/>
      <c r="C2122" s="1019"/>
      <c r="D2122" s="3188"/>
      <c r="E2122" s="1019"/>
      <c r="F2122" s="1019"/>
      <c r="G2122" s="1019"/>
      <c r="H2122" s="1019"/>
      <c r="I2122" s="1140"/>
    </row>
    <row r="2123" spans="1:9" x14ac:dyDescent="0.35">
      <c r="A2123" s="1019"/>
      <c r="B2123" s="1019"/>
      <c r="C2123" s="1019"/>
      <c r="D2123" s="3188"/>
      <c r="E2123" s="1019"/>
      <c r="F2123" s="1019"/>
      <c r="G2123" s="1019"/>
      <c r="H2123" s="1019"/>
      <c r="I2123" s="1140"/>
    </row>
    <row r="2124" spans="1:9" x14ac:dyDescent="0.35">
      <c r="A2124" s="1019"/>
      <c r="B2124" s="1019"/>
      <c r="C2124" s="1019"/>
      <c r="D2124" s="3188"/>
      <c r="E2124" s="1019"/>
      <c r="F2124" s="1019"/>
      <c r="G2124" s="1019"/>
      <c r="H2124" s="1019"/>
      <c r="I2124" s="1140"/>
    </row>
    <row r="2125" spans="1:9" x14ac:dyDescent="0.35">
      <c r="A2125" s="1019"/>
      <c r="B2125" s="1019"/>
      <c r="C2125" s="1019"/>
      <c r="D2125" s="3188"/>
      <c r="E2125" s="1019"/>
      <c r="F2125" s="1019"/>
      <c r="G2125" s="1019"/>
      <c r="H2125" s="1019"/>
      <c r="I2125" s="1140"/>
    </row>
    <row r="2126" spans="1:9" x14ac:dyDescent="0.35">
      <c r="A2126" s="1019"/>
      <c r="B2126" s="1019"/>
      <c r="C2126" s="1019"/>
      <c r="D2126" s="3188"/>
      <c r="E2126" s="1019"/>
      <c r="F2126" s="1019"/>
      <c r="G2126" s="1019"/>
      <c r="H2126" s="1019"/>
      <c r="I2126" s="1140"/>
    </row>
    <row r="2127" spans="1:9" x14ac:dyDescent="0.35">
      <c r="A2127" s="1019"/>
      <c r="B2127" s="1019"/>
      <c r="C2127" s="1019"/>
      <c r="D2127" s="3188"/>
      <c r="E2127" s="1019"/>
      <c r="F2127" s="1019"/>
      <c r="G2127" s="1019"/>
      <c r="H2127" s="1019"/>
      <c r="I2127" s="1140"/>
    </row>
    <row r="2128" spans="1:9" x14ac:dyDescent="0.35">
      <c r="A2128" s="1019"/>
      <c r="B2128" s="1019"/>
      <c r="C2128" s="1019"/>
      <c r="D2128" s="3188"/>
      <c r="E2128" s="1019"/>
      <c r="F2128" s="1019"/>
      <c r="G2128" s="1019"/>
      <c r="H2128" s="1019"/>
      <c r="I2128" s="1140"/>
    </row>
    <row r="2129" spans="1:9" x14ac:dyDescent="0.35">
      <c r="A2129" s="1019"/>
      <c r="B2129" s="1019"/>
      <c r="C2129" s="1019"/>
      <c r="D2129" s="3188"/>
      <c r="E2129" s="1019"/>
      <c r="F2129" s="1019"/>
      <c r="G2129" s="1019"/>
      <c r="H2129" s="1019"/>
      <c r="I2129" s="1140"/>
    </row>
    <row r="2130" spans="1:9" x14ac:dyDescent="0.35">
      <c r="A2130" s="1019"/>
      <c r="B2130" s="1019"/>
      <c r="C2130" s="1019"/>
      <c r="D2130" s="3188"/>
      <c r="E2130" s="1019"/>
      <c r="F2130" s="1019"/>
      <c r="G2130" s="1019"/>
      <c r="H2130" s="1019"/>
      <c r="I2130" s="1140"/>
    </row>
    <row r="2131" spans="1:9" x14ac:dyDescent="0.35">
      <c r="A2131" s="1019"/>
      <c r="B2131" s="1019"/>
      <c r="C2131" s="1019"/>
      <c r="D2131" s="3188"/>
      <c r="E2131" s="1019"/>
      <c r="F2131" s="1019"/>
      <c r="G2131" s="1019"/>
      <c r="H2131" s="1019"/>
      <c r="I2131" s="1140"/>
    </row>
    <row r="2132" spans="1:9" x14ac:dyDescent="0.35">
      <c r="A2132" s="1019"/>
      <c r="B2132" s="1019"/>
      <c r="C2132" s="1019"/>
      <c r="D2132" s="3188"/>
      <c r="E2132" s="1019"/>
      <c r="F2132" s="1019"/>
      <c r="G2132" s="1019"/>
      <c r="H2132" s="1019"/>
      <c r="I2132" s="1140"/>
    </row>
    <row r="2133" spans="1:9" x14ac:dyDescent="0.35">
      <c r="A2133" s="1019"/>
      <c r="B2133" s="1019"/>
      <c r="C2133" s="1019"/>
      <c r="D2133" s="3188"/>
      <c r="E2133" s="1019"/>
      <c r="F2133" s="1019"/>
      <c r="G2133" s="1019"/>
      <c r="H2133" s="1019"/>
      <c r="I2133" s="1140"/>
    </row>
    <row r="2134" spans="1:9" x14ac:dyDescent="0.35">
      <c r="A2134" s="1019"/>
      <c r="B2134" s="1019"/>
      <c r="C2134" s="1019"/>
      <c r="D2134" s="3188"/>
      <c r="E2134" s="1019"/>
      <c r="F2134" s="1019"/>
      <c r="G2134" s="1019"/>
      <c r="H2134" s="1019"/>
      <c r="I2134" s="1140"/>
    </row>
    <row r="2135" spans="1:9" x14ac:dyDescent="0.35">
      <c r="A2135" s="1019"/>
      <c r="B2135" s="1019"/>
      <c r="C2135" s="1019"/>
      <c r="D2135" s="3188"/>
      <c r="E2135" s="1019"/>
      <c r="F2135" s="1019"/>
      <c r="G2135" s="1019"/>
      <c r="H2135" s="1019"/>
      <c r="I2135" s="1140"/>
    </row>
    <row r="2136" spans="1:9" x14ac:dyDescent="0.35">
      <c r="A2136" s="1019"/>
      <c r="B2136" s="1019"/>
      <c r="C2136" s="1019"/>
      <c r="D2136" s="3188"/>
      <c r="E2136" s="1019"/>
      <c r="F2136" s="1019"/>
      <c r="G2136" s="1019"/>
      <c r="H2136" s="1019"/>
      <c r="I2136" s="1140"/>
    </row>
    <row r="2137" spans="1:9" x14ac:dyDescent="0.35">
      <c r="A2137" s="1019"/>
      <c r="B2137" s="1019"/>
      <c r="C2137" s="1019"/>
      <c r="D2137" s="3188"/>
      <c r="E2137" s="1019"/>
      <c r="F2137" s="1019"/>
      <c r="G2137" s="1019"/>
      <c r="H2137" s="1019"/>
      <c r="I2137" s="1140"/>
    </row>
    <row r="2138" spans="1:9" x14ac:dyDescent="0.35">
      <c r="A2138" s="1019"/>
      <c r="B2138" s="1019"/>
      <c r="C2138" s="1019"/>
      <c r="D2138" s="3188"/>
      <c r="E2138" s="1019"/>
      <c r="F2138" s="1019"/>
      <c r="G2138" s="1019"/>
      <c r="H2138" s="1019"/>
      <c r="I2138" s="1140"/>
    </row>
    <row r="2139" spans="1:9" x14ac:dyDescent="0.35">
      <c r="A2139" s="1019"/>
      <c r="B2139" s="1019"/>
      <c r="C2139" s="1019"/>
      <c r="D2139" s="3188"/>
      <c r="E2139" s="1019"/>
      <c r="F2139" s="1019"/>
      <c r="G2139" s="1019"/>
      <c r="H2139" s="1019"/>
      <c r="I2139" s="1140"/>
    </row>
    <row r="2140" spans="1:9" x14ac:dyDescent="0.35">
      <c r="A2140" s="1019"/>
      <c r="B2140" s="1019"/>
      <c r="C2140" s="1019"/>
      <c r="D2140" s="3188"/>
      <c r="E2140" s="1019"/>
      <c r="F2140" s="1019"/>
      <c r="G2140" s="1019"/>
      <c r="H2140" s="1019"/>
      <c r="I2140" s="1140"/>
    </row>
    <row r="2141" spans="1:9" x14ac:dyDescent="0.35">
      <c r="A2141" s="1019"/>
      <c r="B2141" s="1019"/>
      <c r="C2141" s="1019"/>
      <c r="D2141" s="3188"/>
      <c r="E2141" s="1019"/>
      <c r="F2141" s="1019"/>
      <c r="G2141" s="1019"/>
      <c r="H2141" s="1019"/>
      <c r="I2141" s="1140"/>
    </row>
    <row r="2142" spans="1:9" x14ac:dyDescent="0.35">
      <c r="A2142" s="1019"/>
      <c r="B2142" s="1019"/>
      <c r="C2142" s="1019"/>
      <c r="D2142" s="3188"/>
      <c r="E2142" s="1019"/>
      <c r="F2142" s="1019"/>
      <c r="G2142" s="1019"/>
      <c r="H2142" s="1019"/>
      <c r="I2142" s="1140"/>
    </row>
    <row r="2143" spans="1:9" x14ac:dyDescent="0.35">
      <c r="A2143" s="1019"/>
      <c r="B2143" s="1019"/>
      <c r="C2143" s="1019"/>
      <c r="D2143" s="3188"/>
      <c r="E2143" s="1019"/>
      <c r="F2143" s="1019"/>
      <c r="G2143" s="1019"/>
      <c r="H2143" s="1019"/>
      <c r="I2143" s="1140"/>
    </row>
    <row r="2144" spans="1:9" x14ac:dyDescent="0.35">
      <c r="A2144" s="1019"/>
      <c r="B2144" s="1019"/>
      <c r="C2144" s="1019"/>
      <c r="D2144" s="3188"/>
      <c r="E2144" s="1019"/>
      <c r="F2144" s="1019"/>
      <c r="G2144" s="1019"/>
      <c r="H2144" s="1019"/>
      <c r="I2144" s="1140"/>
    </row>
    <row r="2145" spans="1:9" x14ac:dyDescent="0.35">
      <c r="A2145" s="1019"/>
      <c r="B2145" s="1019"/>
      <c r="C2145" s="1019"/>
      <c r="D2145" s="3188"/>
      <c r="E2145" s="1019"/>
      <c r="F2145" s="1019"/>
      <c r="G2145" s="1019"/>
      <c r="H2145" s="1019"/>
      <c r="I2145" s="1140"/>
    </row>
    <row r="2146" spans="1:9" x14ac:dyDescent="0.35">
      <c r="A2146" s="1019"/>
      <c r="B2146" s="1019"/>
      <c r="C2146" s="1019"/>
      <c r="D2146" s="3188"/>
      <c r="E2146" s="1019"/>
      <c r="F2146" s="1019"/>
      <c r="G2146" s="1019"/>
      <c r="H2146" s="1019"/>
      <c r="I2146" s="1140"/>
    </row>
    <row r="2147" spans="1:9" x14ac:dyDescent="0.35">
      <c r="A2147" s="1019"/>
      <c r="B2147" s="1019"/>
      <c r="C2147" s="1019"/>
      <c r="D2147" s="3188"/>
      <c r="E2147" s="1019"/>
      <c r="F2147" s="1019"/>
      <c r="G2147" s="1019"/>
      <c r="H2147" s="1019"/>
      <c r="I2147" s="1140"/>
    </row>
    <row r="2148" spans="1:9" x14ac:dyDescent="0.35">
      <c r="A2148" s="1019"/>
      <c r="B2148" s="1019"/>
      <c r="C2148" s="1019"/>
      <c r="D2148" s="3188"/>
      <c r="E2148" s="1019"/>
      <c r="F2148" s="1019"/>
      <c r="G2148" s="1019"/>
      <c r="H2148" s="1019"/>
      <c r="I2148" s="1140"/>
    </row>
    <row r="2149" spans="1:9" x14ac:dyDescent="0.35">
      <c r="A2149" s="1019"/>
      <c r="B2149" s="1019"/>
      <c r="C2149" s="1019"/>
      <c r="D2149" s="3188"/>
      <c r="E2149" s="1019"/>
      <c r="F2149" s="1019"/>
      <c r="G2149" s="1019"/>
      <c r="H2149" s="1019"/>
      <c r="I2149" s="1140"/>
    </row>
    <row r="2150" spans="1:9" x14ac:dyDescent="0.35">
      <c r="A2150" s="1019"/>
      <c r="B2150" s="1019"/>
      <c r="C2150" s="1019"/>
      <c r="D2150" s="3188"/>
      <c r="E2150" s="1019"/>
      <c r="F2150" s="1019"/>
      <c r="G2150" s="1019"/>
      <c r="H2150" s="1019"/>
      <c r="I2150" s="1140"/>
    </row>
    <row r="2151" spans="1:9" x14ac:dyDescent="0.35">
      <c r="A2151" s="1019"/>
      <c r="B2151" s="1019"/>
      <c r="C2151" s="1019"/>
      <c r="D2151" s="3188"/>
      <c r="E2151" s="1019"/>
      <c r="F2151" s="1019"/>
      <c r="G2151" s="1019"/>
      <c r="H2151" s="1019"/>
      <c r="I2151" s="1140"/>
    </row>
    <row r="2152" spans="1:9" x14ac:dyDescent="0.35">
      <c r="A2152" s="1019"/>
      <c r="B2152" s="1019"/>
      <c r="C2152" s="1019"/>
      <c r="D2152" s="3188"/>
      <c r="E2152" s="1019"/>
      <c r="F2152" s="1019"/>
      <c r="G2152" s="1019"/>
      <c r="H2152" s="1019"/>
      <c r="I2152" s="1140"/>
    </row>
    <row r="2153" spans="1:9" x14ac:dyDescent="0.35">
      <c r="A2153" s="1019"/>
      <c r="B2153" s="1019"/>
      <c r="C2153" s="1019"/>
      <c r="D2153" s="3188"/>
      <c r="E2153" s="1019"/>
      <c r="F2153" s="1019"/>
      <c r="G2153" s="1019"/>
      <c r="H2153" s="1019"/>
      <c r="I2153" s="1140"/>
    </row>
    <row r="2154" spans="1:9" x14ac:dyDescent="0.35">
      <c r="A2154" s="1019"/>
      <c r="B2154" s="1019"/>
      <c r="C2154" s="1019"/>
      <c r="D2154" s="3188"/>
      <c r="E2154" s="1019"/>
      <c r="F2154" s="1019"/>
      <c r="G2154" s="1019"/>
      <c r="H2154" s="1019"/>
      <c r="I2154" s="1140"/>
    </row>
    <row r="2155" spans="1:9" x14ac:dyDescent="0.35">
      <c r="A2155" s="1019"/>
      <c r="B2155" s="1019"/>
      <c r="C2155" s="1019"/>
      <c r="D2155" s="3188"/>
      <c r="E2155" s="1019"/>
      <c r="F2155" s="1019"/>
      <c r="G2155" s="1019"/>
      <c r="H2155" s="1019"/>
      <c r="I2155" s="1140"/>
    </row>
    <row r="2156" spans="1:9" x14ac:dyDescent="0.35">
      <c r="A2156" s="1019"/>
      <c r="B2156" s="1019"/>
      <c r="C2156" s="1019"/>
      <c r="D2156" s="3188"/>
      <c r="E2156" s="1019"/>
      <c r="F2156" s="1019"/>
      <c r="G2156" s="1019"/>
      <c r="H2156" s="1019"/>
      <c r="I2156" s="1140"/>
    </row>
    <row r="2157" spans="1:9" x14ac:dyDescent="0.35">
      <c r="A2157" s="1019"/>
      <c r="B2157" s="1019"/>
      <c r="C2157" s="1019"/>
      <c r="D2157" s="3188"/>
      <c r="E2157" s="1019"/>
      <c r="F2157" s="1019"/>
      <c r="G2157" s="1019"/>
      <c r="H2157" s="1019"/>
      <c r="I2157" s="1140"/>
    </row>
    <row r="2158" spans="1:9" x14ac:dyDescent="0.35">
      <c r="A2158" s="1019"/>
      <c r="B2158" s="1019"/>
      <c r="C2158" s="1019"/>
      <c r="D2158" s="3188"/>
      <c r="E2158" s="1019"/>
      <c r="F2158" s="1019"/>
      <c r="G2158" s="1019"/>
      <c r="H2158" s="1019"/>
      <c r="I2158" s="1140"/>
    </row>
    <row r="2159" spans="1:9" x14ac:dyDescent="0.35">
      <c r="A2159" s="1019"/>
      <c r="B2159" s="1019"/>
      <c r="C2159" s="1019"/>
      <c r="D2159" s="3188"/>
      <c r="E2159" s="1019"/>
      <c r="F2159" s="1019"/>
      <c r="G2159" s="1019"/>
      <c r="H2159" s="1019"/>
      <c r="I2159" s="1140"/>
    </row>
    <row r="2160" spans="1:9" x14ac:dyDescent="0.35">
      <c r="A2160" s="1019"/>
      <c r="B2160" s="1019"/>
      <c r="C2160" s="1019"/>
      <c r="D2160" s="3188"/>
      <c r="E2160" s="1019"/>
      <c r="F2160" s="1019"/>
      <c r="G2160" s="1019"/>
      <c r="H2160" s="1019"/>
      <c r="I2160" s="1140"/>
    </row>
    <row r="2161" spans="1:9" x14ac:dyDescent="0.35">
      <c r="A2161" s="1019"/>
      <c r="B2161" s="1019"/>
      <c r="C2161" s="1019"/>
      <c r="D2161" s="3188"/>
      <c r="E2161" s="1019"/>
      <c r="F2161" s="1019"/>
      <c r="G2161" s="1019"/>
      <c r="H2161" s="1019"/>
      <c r="I2161" s="1140"/>
    </row>
    <row r="2162" spans="1:9" x14ac:dyDescent="0.35">
      <c r="A2162" s="1019"/>
      <c r="B2162" s="1019"/>
      <c r="C2162" s="1019"/>
      <c r="D2162" s="3188"/>
      <c r="E2162" s="1019"/>
      <c r="F2162" s="1019"/>
      <c r="G2162" s="1019"/>
      <c r="H2162" s="1019"/>
      <c r="I2162" s="1140"/>
    </row>
    <row r="2163" spans="1:9" x14ac:dyDescent="0.35">
      <c r="A2163" s="1019"/>
      <c r="B2163" s="1019"/>
      <c r="C2163" s="1019"/>
      <c r="D2163" s="3188"/>
      <c r="E2163" s="1019"/>
      <c r="F2163" s="1019"/>
      <c r="G2163" s="1019"/>
      <c r="H2163" s="1019"/>
      <c r="I2163" s="1140"/>
    </row>
    <row r="2164" spans="1:9" x14ac:dyDescent="0.35">
      <c r="A2164" s="1019"/>
      <c r="B2164" s="1019"/>
      <c r="C2164" s="1019"/>
      <c r="D2164" s="3188"/>
      <c r="E2164" s="1019"/>
      <c r="F2164" s="1019"/>
      <c r="G2164" s="1019"/>
      <c r="H2164" s="1019"/>
      <c r="I2164" s="1140"/>
    </row>
    <row r="2165" spans="1:9" x14ac:dyDescent="0.35">
      <c r="A2165" s="1019"/>
      <c r="B2165" s="1019"/>
      <c r="C2165" s="1019"/>
      <c r="D2165" s="3188"/>
      <c r="E2165" s="1019"/>
      <c r="F2165" s="1019"/>
      <c r="G2165" s="1019"/>
      <c r="H2165" s="1019"/>
      <c r="I2165" s="1140"/>
    </row>
    <row r="2166" spans="1:9" x14ac:dyDescent="0.35">
      <c r="A2166" s="1019"/>
      <c r="B2166" s="1019"/>
      <c r="C2166" s="1019"/>
      <c r="D2166" s="3188"/>
      <c r="E2166" s="1019"/>
      <c r="F2166" s="1019"/>
      <c r="G2166" s="1019"/>
      <c r="H2166" s="1019"/>
      <c r="I2166" s="1140"/>
    </row>
    <row r="2167" spans="1:9" x14ac:dyDescent="0.35">
      <c r="A2167" s="1019"/>
      <c r="B2167" s="1019"/>
      <c r="C2167" s="1019"/>
      <c r="D2167" s="3188"/>
      <c r="E2167" s="1019"/>
      <c r="F2167" s="1019"/>
      <c r="G2167" s="1019"/>
      <c r="H2167" s="1019"/>
      <c r="I2167" s="1140"/>
    </row>
    <row r="2168" spans="1:9" x14ac:dyDescent="0.35">
      <c r="A2168" s="1019"/>
      <c r="B2168" s="1019"/>
      <c r="C2168" s="1019"/>
      <c r="D2168" s="3188"/>
      <c r="E2168" s="1019"/>
      <c r="F2168" s="1019"/>
      <c r="G2168" s="1019"/>
      <c r="H2168" s="1019"/>
      <c r="I2168" s="1140"/>
    </row>
    <row r="2169" spans="1:9" x14ac:dyDescent="0.35">
      <c r="A2169" s="1019"/>
      <c r="B2169" s="1019"/>
      <c r="C2169" s="1019"/>
      <c r="D2169" s="3188"/>
      <c r="E2169" s="1019"/>
      <c r="F2169" s="1019"/>
      <c r="G2169" s="1019"/>
      <c r="H2169" s="1019"/>
      <c r="I2169" s="1140"/>
    </row>
    <row r="2170" spans="1:9" x14ac:dyDescent="0.35">
      <c r="A2170" s="1019"/>
      <c r="B2170" s="1019"/>
      <c r="C2170" s="1019"/>
      <c r="D2170" s="3188"/>
      <c r="E2170" s="1019"/>
      <c r="F2170" s="1019"/>
      <c r="G2170" s="1019"/>
      <c r="H2170" s="1019"/>
      <c r="I2170" s="1140"/>
    </row>
    <row r="2171" spans="1:9" x14ac:dyDescent="0.35">
      <c r="A2171" s="1019"/>
      <c r="B2171" s="1019"/>
      <c r="C2171" s="1019"/>
      <c r="D2171" s="3188"/>
      <c r="E2171" s="1019"/>
      <c r="F2171" s="1019"/>
      <c r="G2171" s="1019"/>
      <c r="H2171" s="1019"/>
      <c r="I2171" s="1140"/>
    </row>
    <row r="2172" spans="1:9" x14ac:dyDescent="0.35">
      <c r="A2172" s="1019"/>
      <c r="B2172" s="1019"/>
      <c r="C2172" s="1019"/>
      <c r="D2172" s="3188"/>
      <c r="E2172" s="1019"/>
      <c r="F2172" s="1019"/>
      <c r="G2172" s="1019"/>
      <c r="H2172" s="1019"/>
      <c r="I2172" s="1140"/>
    </row>
    <row r="2173" spans="1:9" x14ac:dyDescent="0.35">
      <c r="A2173" s="1019"/>
      <c r="B2173" s="1019"/>
      <c r="C2173" s="1019"/>
      <c r="D2173" s="3188"/>
      <c r="E2173" s="1019"/>
      <c r="F2173" s="1019"/>
      <c r="G2173" s="1019"/>
      <c r="H2173" s="1019"/>
      <c r="I2173" s="1140"/>
    </row>
    <row r="2174" spans="1:9" x14ac:dyDescent="0.35">
      <c r="A2174" s="1019"/>
      <c r="B2174" s="1019"/>
      <c r="C2174" s="1019"/>
      <c r="D2174" s="3188"/>
      <c r="E2174" s="1019"/>
      <c r="F2174" s="1019"/>
      <c r="G2174" s="1019"/>
      <c r="H2174" s="1019"/>
      <c r="I2174" s="1140"/>
    </row>
    <row r="2175" spans="1:9" x14ac:dyDescent="0.35">
      <c r="A2175" s="1019"/>
      <c r="B2175" s="1019"/>
      <c r="C2175" s="1019"/>
      <c r="D2175" s="3188"/>
      <c r="E2175" s="1019"/>
      <c r="F2175" s="1019"/>
      <c r="G2175" s="1019"/>
      <c r="H2175" s="1019"/>
      <c r="I2175" s="1140"/>
    </row>
    <row r="2176" spans="1:9" x14ac:dyDescent="0.35">
      <c r="A2176" s="1019"/>
      <c r="B2176" s="1019"/>
      <c r="C2176" s="1019"/>
      <c r="D2176" s="3188"/>
      <c r="E2176" s="1019"/>
      <c r="F2176" s="1019"/>
      <c r="G2176" s="1019"/>
      <c r="H2176" s="1019"/>
      <c r="I2176" s="1140"/>
    </row>
    <row r="2177" spans="1:9" x14ac:dyDescent="0.35">
      <c r="A2177" s="1019"/>
      <c r="B2177" s="1019"/>
      <c r="C2177" s="1019"/>
      <c r="D2177" s="3188"/>
      <c r="E2177" s="1019"/>
      <c r="F2177" s="1019"/>
      <c r="G2177" s="1019"/>
      <c r="H2177" s="1019"/>
      <c r="I2177" s="1140"/>
    </row>
    <row r="2178" spans="1:9" x14ac:dyDescent="0.35">
      <c r="A2178" s="1019"/>
      <c r="B2178" s="1019"/>
      <c r="C2178" s="1019"/>
      <c r="D2178" s="3188"/>
      <c r="E2178" s="1019"/>
      <c r="F2178" s="1019"/>
      <c r="G2178" s="1019"/>
      <c r="H2178" s="1019"/>
      <c r="I2178" s="1140"/>
    </row>
    <row r="2179" spans="1:9" x14ac:dyDescent="0.35">
      <c r="A2179" s="1019"/>
      <c r="B2179" s="1019"/>
      <c r="C2179" s="1019"/>
      <c r="D2179" s="3188"/>
      <c r="E2179" s="1019"/>
      <c r="F2179" s="1019"/>
      <c r="G2179" s="1019"/>
      <c r="H2179" s="1019"/>
      <c r="I2179" s="1140"/>
    </row>
    <row r="2180" spans="1:9" x14ac:dyDescent="0.35">
      <c r="A2180" s="1019"/>
      <c r="B2180" s="1019"/>
      <c r="C2180" s="1019"/>
      <c r="D2180" s="3188"/>
      <c r="E2180" s="1019"/>
      <c r="F2180" s="1019"/>
      <c r="G2180" s="1019"/>
      <c r="H2180" s="1019"/>
      <c r="I2180" s="1140"/>
    </row>
    <row r="2181" spans="1:9" x14ac:dyDescent="0.35">
      <c r="A2181" s="1019"/>
      <c r="B2181" s="1019"/>
      <c r="C2181" s="1019"/>
      <c r="D2181" s="3188"/>
      <c r="E2181" s="1019"/>
      <c r="F2181" s="1019"/>
      <c r="G2181" s="1019"/>
      <c r="H2181" s="1019"/>
      <c r="I2181" s="1140"/>
    </row>
    <row r="2182" spans="1:9" x14ac:dyDescent="0.35">
      <c r="A2182" s="1019"/>
      <c r="B2182" s="1019"/>
      <c r="C2182" s="1019"/>
      <c r="D2182" s="3188"/>
      <c r="E2182" s="1019"/>
      <c r="F2182" s="1019"/>
      <c r="G2182" s="1019"/>
      <c r="H2182" s="1019"/>
      <c r="I2182" s="1140"/>
    </row>
    <row r="2183" spans="1:9" x14ac:dyDescent="0.35">
      <c r="A2183" s="1019"/>
      <c r="B2183" s="1019"/>
      <c r="C2183" s="1019"/>
      <c r="D2183" s="3188"/>
      <c r="E2183" s="1019"/>
      <c r="F2183" s="1019"/>
      <c r="G2183" s="1019"/>
      <c r="H2183" s="1019"/>
      <c r="I2183" s="1140"/>
    </row>
    <row r="2184" spans="1:9" x14ac:dyDescent="0.35">
      <c r="A2184" s="1019"/>
      <c r="B2184" s="1019"/>
      <c r="C2184" s="1019"/>
      <c r="D2184" s="3188"/>
      <c r="E2184" s="1019"/>
      <c r="F2184" s="1019"/>
      <c r="G2184" s="1019"/>
      <c r="H2184" s="1019"/>
      <c r="I2184" s="1140"/>
    </row>
    <row r="2185" spans="1:9" x14ac:dyDescent="0.35">
      <c r="A2185" s="1019"/>
      <c r="B2185" s="1019"/>
      <c r="C2185" s="1019"/>
      <c r="D2185" s="3188"/>
      <c r="E2185" s="1019"/>
      <c r="F2185" s="1019"/>
      <c r="G2185" s="1019"/>
      <c r="H2185" s="1019"/>
      <c r="I2185" s="1140"/>
    </row>
    <row r="2186" spans="1:9" x14ac:dyDescent="0.35">
      <c r="A2186" s="1019"/>
      <c r="B2186" s="1019"/>
      <c r="C2186" s="1019"/>
      <c r="D2186" s="3188"/>
      <c r="E2186" s="1019"/>
      <c r="F2186" s="1019"/>
      <c r="G2186" s="1019"/>
      <c r="H2186" s="1019"/>
      <c r="I2186" s="1140"/>
    </row>
    <row r="2187" spans="1:9" x14ac:dyDescent="0.35">
      <c r="A2187" s="1019"/>
      <c r="B2187" s="1019"/>
      <c r="C2187" s="1019"/>
      <c r="D2187" s="3188"/>
      <c r="E2187" s="1019"/>
      <c r="F2187" s="1019"/>
      <c r="G2187" s="1019"/>
      <c r="H2187" s="1019"/>
      <c r="I2187" s="1140"/>
    </row>
    <row r="2188" spans="1:9" x14ac:dyDescent="0.35">
      <c r="A2188" s="1019"/>
      <c r="B2188" s="1019"/>
      <c r="C2188" s="1019"/>
      <c r="D2188" s="3188"/>
      <c r="E2188" s="1019"/>
      <c r="F2188" s="1019"/>
      <c r="G2188" s="1019"/>
      <c r="H2188" s="1019"/>
      <c r="I2188" s="1140"/>
    </row>
    <row r="2189" spans="1:9" x14ac:dyDescent="0.35">
      <c r="A2189" s="1019"/>
      <c r="B2189" s="1019"/>
      <c r="C2189" s="1019"/>
      <c r="D2189" s="3188"/>
      <c r="E2189" s="1019"/>
      <c r="F2189" s="1019"/>
      <c r="G2189" s="1019"/>
      <c r="H2189" s="1019"/>
      <c r="I2189" s="1140"/>
    </row>
    <row r="2190" spans="1:9" x14ac:dyDescent="0.35">
      <c r="A2190" s="1019"/>
      <c r="B2190" s="1019"/>
      <c r="C2190" s="1019"/>
      <c r="D2190" s="3188"/>
      <c r="E2190" s="1019"/>
      <c r="F2190" s="1019"/>
      <c r="G2190" s="1019"/>
      <c r="H2190" s="1019"/>
      <c r="I2190" s="1140"/>
    </row>
    <row r="2191" spans="1:9" x14ac:dyDescent="0.35">
      <c r="A2191" s="1019"/>
      <c r="B2191" s="1019"/>
      <c r="C2191" s="1019"/>
      <c r="D2191" s="3188"/>
      <c r="E2191" s="1019"/>
      <c r="F2191" s="1019"/>
      <c r="G2191" s="1019"/>
      <c r="H2191" s="1019"/>
      <c r="I2191" s="1140"/>
    </row>
    <row r="2192" spans="1:9" x14ac:dyDescent="0.35">
      <c r="A2192" s="1019"/>
      <c r="B2192" s="1019"/>
      <c r="C2192" s="1019"/>
      <c r="D2192" s="3188"/>
      <c r="E2192" s="1019"/>
      <c r="F2192" s="1019"/>
      <c r="G2192" s="1019"/>
      <c r="H2192" s="1019"/>
      <c r="I2192" s="1140"/>
    </row>
    <row r="2193" spans="1:9" x14ac:dyDescent="0.35">
      <c r="A2193" s="1019"/>
      <c r="B2193" s="1019"/>
      <c r="C2193" s="1019"/>
      <c r="D2193" s="3188"/>
      <c r="E2193" s="1019"/>
      <c r="F2193" s="1019"/>
      <c r="G2193" s="1019"/>
      <c r="H2193" s="1019"/>
      <c r="I2193" s="1140"/>
    </row>
    <row r="2194" spans="1:9" x14ac:dyDescent="0.35">
      <c r="A2194" s="1019"/>
      <c r="B2194" s="1019"/>
      <c r="C2194" s="1019"/>
      <c r="D2194" s="3188"/>
      <c r="E2194" s="1019"/>
      <c r="F2194" s="1019"/>
      <c r="G2194" s="1019"/>
      <c r="H2194" s="1019"/>
      <c r="I2194" s="1140"/>
    </row>
    <row r="2195" spans="1:9" x14ac:dyDescent="0.35">
      <c r="A2195" s="1019"/>
      <c r="B2195" s="1019"/>
      <c r="C2195" s="1019"/>
      <c r="D2195" s="3188"/>
      <c r="E2195" s="1019"/>
      <c r="F2195" s="1019"/>
      <c r="G2195" s="1019"/>
      <c r="H2195" s="1019"/>
      <c r="I2195" s="1140"/>
    </row>
    <row r="2196" spans="1:9" x14ac:dyDescent="0.35">
      <c r="A2196" s="1019"/>
      <c r="B2196" s="1019"/>
      <c r="C2196" s="1019"/>
      <c r="D2196" s="3188"/>
      <c r="E2196" s="1019"/>
      <c r="F2196" s="1019"/>
      <c r="G2196" s="1019"/>
      <c r="H2196" s="1019"/>
      <c r="I2196" s="1140"/>
    </row>
    <row r="2197" spans="1:9" x14ac:dyDescent="0.35">
      <c r="A2197" s="1019"/>
      <c r="B2197" s="1019"/>
      <c r="C2197" s="1019"/>
      <c r="D2197" s="3188"/>
      <c r="E2197" s="1019"/>
      <c r="F2197" s="1019"/>
      <c r="G2197" s="1019"/>
      <c r="H2197" s="1019"/>
      <c r="I2197" s="1140"/>
    </row>
    <row r="2198" spans="1:9" x14ac:dyDescent="0.35">
      <c r="A2198" s="1019"/>
      <c r="B2198" s="1019"/>
      <c r="C2198" s="1019"/>
      <c r="D2198" s="3188"/>
      <c r="E2198" s="1019"/>
      <c r="F2198" s="1019"/>
      <c r="G2198" s="1019"/>
      <c r="H2198" s="1019"/>
      <c r="I2198" s="1140"/>
    </row>
    <row r="2199" spans="1:9" x14ac:dyDescent="0.35">
      <c r="A2199" s="1019"/>
      <c r="B2199" s="1019"/>
      <c r="C2199" s="1019"/>
      <c r="D2199" s="3188"/>
      <c r="E2199" s="1019"/>
      <c r="F2199" s="1019"/>
      <c r="G2199" s="1019"/>
      <c r="H2199" s="1019"/>
      <c r="I2199" s="1140"/>
    </row>
    <row r="2200" spans="1:9" x14ac:dyDescent="0.35">
      <c r="A2200" s="1019"/>
      <c r="B2200" s="1019"/>
      <c r="C2200" s="1019"/>
      <c r="D2200" s="3188"/>
      <c r="E2200" s="1019"/>
      <c r="F2200" s="1019"/>
      <c r="G2200" s="1019"/>
      <c r="H2200" s="1019"/>
      <c r="I2200" s="1140"/>
    </row>
    <row r="2201" spans="1:9" x14ac:dyDescent="0.35">
      <c r="A2201" s="1019"/>
      <c r="B2201" s="1019"/>
      <c r="C2201" s="1019"/>
      <c r="D2201" s="3188"/>
      <c r="E2201" s="1019"/>
      <c r="F2201" s="1019"/>
      <c r="G2201" s="1019"/>
      <c r="H2201" s="1019"/>
      <c r="I2201" s="1140"/>
    </row>
    <row r="2202" spans="1:9" x14ac:dyDescent="0.35">
      <c r="A2202" s="1019"/>
      <c r="B2202" s="1019"/>
      <c r="C2202" s="1019"/>
      <c r="D2202" s="3188"/>
      <c r="E2202" s="1019"/>
      <c r="F2202" s="1019"/>
      <c r="G2202" s="1019"/>
      <c r="H2202" s="1019"/>
      <c r="I2202" s="1140"/>
    </row>
    <row r="2203" spans="1:9" x14ac:dyDescent="0.35">
      <c r="A2203" s="1019"/>
      <c r="B2203" s="1019"/>
      <c r="C2203" s="1019"/>
      <c r="D2203" s="3188"/>
      <c r="E2203" s="1019"/>
      <c r="F2203" s="1019"/>
      <c r="G2203" s="1019"/>
      <c r="H2203" s="1019"/>
      <c r="I2203" s="1140"/>
    </row>
    <row r="2204" spans="1:9" x14ac:dyDescent="0.35">
      <c r="A2204" s="1019"/>
      <c r="B2204" s="1019"/>
      <c r="C2204" s="1019"/>
      <c r="D2204" s="3188"/>
      <c r="E2204" s="1019"/>
      <c r="F2204" s="1019"/>
      <c r="G2204" s="1019"/>
      <c r="H2204" s="1019"/>
      <c r="I2204" s="1140"/>
    </row>
    <row r="2205" spans="1:9" x14ac:dyDescent="0.35">
      <c r="A2205" s="1019"/>
      <c r="B2205" s="1019"/>
      <c r="C2205" s="1019"/>
      <c r="D2205" s="3188"/>
      <c r="E2205" s="1019"/>
      <c r="F2205" s="1019"/>
      <c r="G2205" s="1019"/>
      <c r="H2205" s="1019"/>
      <c r="I2205" s="1140"/>
    </row>
    <row r="2206" spans="1:9" x14ac:dyDescent="0.35">
      <c r="A2206" s="1019"/>
      <c r="B2206" s="1019"/>
      <c r="C2206" s="1019"/>
      <c r="D2206" s="3188"/>
      <c r="E2206" s="1019"/>
      <c r="F2206" s="1019"/>
      <c r="G2206" s="1019"/>
      <c r="H2206" s="1019"/>
      <c r="I2206" s="1140"/>
    </row>
    <row r="2207" spans="1:9" x14ac:dyDescent="0.35">
      <c r="A2207" s="1019"/>
      <c r="B2207" s="1019"/>
      <c r="C2207" s="1019"/>
      <c r="D2207" s="3188"/>
      <c r="E2207" s="1019"/>
      <c r="F2207" s="1019"/>
      <c r="G2207" s="1019"/>
      <c r="H2207" s="1019"/>
      <c r="I2207" s="1140"/>
    </row>
    <row r="2208" spans="1:9" x14ac:dyDescent="0.35">
      <c r="A2208" s="1019"/>
      <c r="B2208" s="1019"/>
      <c r="C2208" s="1019"/>
      <c r="D2208" s="3188"/>
      <c r="E2208" s="1019"/>
      <c r="F2208" s="1019"/>
      <c r="G2208" s="1019"/>
      <c r="H2208" s="1019"/>
      <c r="I2208" s="1140"/>
    </row>
    <row r="2209" spans="1:9" x14ac:dyDescent="0.35">
      <c r="A2209" s="1019"/>
      <c r="B2209" s="1019"/>
      <c r="C2209" s="1019"/>
      <c r="D2209" s="3188"/>
      <c r="E2209" s="1019"/>
      <c r="F2209" s="1019"/>
      <c r="G2209" s="1019"/>
      <c r="H2209" s="1019"/>
      <c r="I2209" s="1140"/>
    </row>
    <row r="2210" spans="1:9" x14ac:dyDescent="0.35">
      <c r="A2210" s="1019"/>
      <c r="B2210" s="1019"/>
      <c r="C2210" s="1019"/>
      <c r="D2210" s="3188"/>
      <c r="E2210" s="1019"/>
      <c r="F2210" s="1019"/>
      <c r="G2210" s="1019"/>
      <c r="H2210" s="1019"/>
      <c r="I2210" s="1140"/>
    </row>
    <row r="2211" spans="1:9" x14ac:dyDescent="0.35">
      <c r="A2211" s="1019"/>
      <c r="B2211" s="1019"/>
      <c r="C2211" s="1019"/>
      <c r="D2211" s="3188"/>
      <c r="E2211" s="1019"/>
      <c r="F2211" s="1019"/>
      <c r="G2211" s="1019"/>
      <c r="H2211" s="1019"/>
      <c r="I2211" s="1140"/>
    </row>
    <row r="2212" spans="1:9" x14ac:dyDescent="0.35">
      <c r="A2212" s="1019"/>
      <c r="B2212" s="1019"/>
      <c r="C2212" s="1019"/>
      <c r="D2212" s="3188"/>
      <c r="E2212" s="1019"/>
      <c r="F2212" s="1019"/>
      <c r="G2212" s="1019"/>
      <c r="H2212" s="1019"/>
      <c r="I2212" s="1140"/>
    </row>
    <row r="2213" spans="1:9" x14ac:dyDescent="0.35">
      <c r="A2213" s="1019"/>
      <c r="B2213" s="1019"/>
      <c r="C2213" s="1019"/>
      <c r="D2213" s="3188"/>
      <c r="E2213" s="1019"/>
      <c r="F2213" s="1019"/>
      <c r="G2213" s="1019"/>
      <c r="H2213" s="1019"/>
      <c r="I2213" s="1140"/>
    </row>
    <row r="2214" spans="1:9" x14ac:dyDescent="0.35">
      <c r="A2214" s="1019"/>
      <c r="B2214" s="1019"/>
      <c r="C2214" s="1019"/>
      <c r="D2214" s="3188"/>
      <c r="E2214" s="1019"/>
      <c r="F2214" s="1019"/>
      <c r="G2214" s="1019"/>
      <c r="H2214" s="1019"/>
      <c r="I2214" s="1140"/>
    </row>
    <row r="2215" spans="1:9" x14ac:dyDescent="0.35">
      <c r="A2215" s="1019"/>
      <c r="B2215" s="1019"/>
      <c r="C2215" s="1019"/>
      <c r="D2215" s="3188"/>
      <c r="E2215" s="1019"/>
      <c r="F2215" s="1019"/>
      <c r="G2215" s="1019"/>
      <c r="H2215" s="1019"/>
      <c r="I2215" s="1140"/>
    </row>
    <row r="2216" spans="1:9" x14ac:dyDescent="0.35">
      <c r="A2216" s="1019"/>
      <c r="B2216" s="1019"/>
      <c r="C2216" s="1019"/>
      <c r="D2216" s="3188"/>
      <c r="E2216" s="1019"/>
      <c r="F2216" s="1019"/>
      <c r="G2216" s="1019"/>
      <c r="H2216" s="1019"/>
      <c r="I2216" s="1140"/>
    </row>
    <row r="2217" spans="1:9" x14ac:dyDescent="0.35">
      <c r="A2217" s="1019"/>
      <c r="B2217" s="1019"/>
      <c r="C2217" s="1019"/>
      <c r="D2217" s="3188"/>
      <c r="E2217" s="1019"/>
      <c r="F2217" s="1019"/>
      <c r="G2217" s="1019"/>
      <c r="H2217" s="1019"/>
      <c r="I2217" s="1140"/>
    </row>
    <row r="2218" spans="1:9" x14ac:dyDescent="0.35">
      <c r="A2218" s="1019"/>
      <c r="B2218" s="1019"/>
      <c r="C2218" s="1019"/>
      <c r="D2218" s="3188"/>
      <c r="E2218" s="1019"/>
      <c r="F2218" s="1019"/>
      <c r="G2218" s="1019"/>
      <c r="H2218" s="1019"/>
      <c r="I2218" s="1140"/>
    </row>
    <row r="2219" spans="1:9" x14ac:dyDescent="0.35">
      <c r="A2219" s="1019"/>
      <c r="B2219" s="1019"/>
      <c r="C2219" s="1019"/>
      <c r="D2219" s="3188"/>
      <c r="E2219" s="1019"/>
      <c r="F2219" s="1019"/>
      <c r="G2219" s="1019"/>
      <c r="H2219" s="1019"/>
      <c r="I2219" s="1140"/>
    </row>
    <row r="2220" spans="1:9" x14ac:dyDescent="0.35">
      <c r="A2220" s="1019"/>
      <c r="B2220" s="1019"/>
      <c r="C2220" s="1019"/>
      <c r="D2220" s="3188"/>
      <c r="E2220" s="1019"/>
      <c r="F2220" s="1019"/>
      <c r="G2220" s="1019"/>
      <c r="H2220" s="1019"/>
      <c r="I2220" s="1140"/>
    </row>
    <row r="2221" spans="1:9" x14ac:dyDescent="0.35">
      <c r="A2221" s="1019"/>
      <c r="B2221" s="1019"/>
      <c r="C2221" s="1019"/>
      <c r="D2221" s="3188"/>
      <c r="E2221" s="1019"/>
      <c r="F2221" s="1019"/>
      <c r="G2221" s="1019"/>
      <c r="H2221" s="1019"/>
      <c r="I2221" s="1140"/>
    </row>
    <row r="2222" spans="1:9" x14ac:dyDescent="0.35">
      <c r="A2222" s="1019"/>
      <c r="B2222" s="1019"/>
      <c r="C2222" s="1019"/>
      <c r="D2222" s="3188"/>
      <c r="E2222" s="1019"/>
      <c r="F2222" s="1019"/>
      <c r="G2222" s="1019"/>
      <c r="H2222" s="1019"/>
      <c r="I2222" s="1140"/>
    </row>
    <row r="2223" spans="1:9" x14ac:dyDescent="0.35">
      <c r="A2223" s="1019"/>
      <c r="B2223" s="1019"/>
      <c r="C2223" s="1019"/>
      <c r="D2223" s="3188"/>
      <c r="E2223" s="1019"/>
      <c r="F2223" s="1019"/>
      <c r="G2223" s="1019"/>
      <c r="H2223" s="1019"/>
      <c r="I2223" s="1140"/>
    </row>
    <row r="2224" spans="1:9" x14ac:dyDescent="0.35">
      <c r="A2224" s="1019"/>
      <c r="B2224" s="1019"/>
      <c r="C2224" s="1019"/>
      <c r="D2224" s="3188"/>
      <c r="E2224" s="1019"/>
      <c r="F2224" s="1019"/>
      <c r="G2224" s="1019"/>
      <c r="H2224" s="1019"/>
      <c r="I2224" s="1140"/>
    </row>
    <row r="2225" spans="1:9" x14ac:dyDescent="0.35">
      <c r="A2225" s="1019"/>
      <c r="B2225" s="1019"/>
      <c r="C2225" s="1019"/>
      <c r="D2225" s="3188"/>
      <c r="E2225" s="1019"/>
      <c r="F2225" s="1019"/>
      <c r="G2225" s="1019"/>
      <c r="H2225" s="1019"/>
      <c r="I2225" s="1140"/>
    </row>
    <row r="2226" spans="1:9" x14ac:dyDescent="0.35">
      <c r="A2226" s="1019"/>
      <c r="B2226" s="1019"/>
      <c r="C2226" s="1019"/>
      <c r="D2226" s="3188"/>
      <c r="E2226" s="1019"/>
      <c r="F2226" s="1019"/>
      <c r="G2226" s="1019"/>
      <c r="H2226" s="1019"/>
      <c r="I2226" s="1140"/>
    </row>
    <row r="2227" spans="1:9" x14ac:dyDescent="0.35">
      <c r="A2227" s="1019"/>
      <c r="B2227" s="1019"/>
      <c r="C2227" s="1019"/>
      <c r="D2227" s="3188"/>
      <c r="E2227" s="1019"/>
      <c r="F2227" s="1019"/>
      <c r="G2227" s="1019"/>
      <c r="H2227" s="1019"/>
      <c r="I2227" s="1140"/>
    </row>
    <row r="2228" spans="1:9" x14ac:dyDescent="0.35">
      <c r="A2228" s="1019"/>
      <c r="B2228" s="1019"/>
      <c r="C2228" s="1019"/>
      <c r="D2228" s="3188"/>
      <c r="E2228" s="1019"/>
      <c r="F2228" s="1019"/>
      <c r="G2228" s="1019"/>
      <c r="H2228" s="1019"/>
      <c r="I2228" s="1140"/>
    </row>
    <row r="2229" spans="1:9" x14ac:dyDescent="0.35">
      <c r="A2229" s="1019"/>
      <c r="B2229" s="1019"/>
      <c r="C2229" s="1019"/>
      <c r="D2229" s="3188"/>
      <c r="E2229" s="1019"/>
      <c r="F2229" s="1019"/>
      <c r="G2229" s="1019"/>
      <c r="H2229" s="1019"/>
      <c r="I2229" s="1140"/>
    </row>
    <row r="2230" spans="1:9" x14ac:dyDescent="0.35">
      <c r="A2230" s="1019"/>
      <c r="B2230" s="1019"/>
      <c r="C2230" s="1019"/>
      <c r="D2230" s="3188"/>
      <c r="E2230" s="1019"/>
      <c r="F2230" s="1019"/>
      <c r="G2230" s="1019"/>
      <c r="H2230" s="1019"/>
      <c r="I2230" s="1140"/>
    </row>
    <row r="2231" spans="1:9" x14ac:dyDescent="0.35">
      <c r="A2231" s="1019"/>
      <c r="B2231" s="1019"/>
      <c r="C2231" s="1019"/>
      <c r="D2231" s="3188"/>
      <c r="E2231" s="1019"/>
      <c r="F2231" s="1019"/>
      <c r="G2231" s="1019"/>
      <c r="H2231" s="1019"/>
      <c r="I2231" s="1140"/>
    </row>
    <row r="2232" spans="1:9" x14ac:dyDescent="0.35">
      <c r="A2232" s="1019"/>
      <c r="B2232" s="1019"/>
      <c r="C2232" s="1019"/>
      <c r="D2232" s="3188"/>
      <c r="E2232" s="1019"/>
      <c r="F2232" s="1019"/>
      <c r="G2232" s="1019"/>
      <c r="H2232" s="1019"/>
      <c r="I2232" s="1140"/>
    </row>
    <row r="2233" spans="1:9" x14ac:dyDescent="0.35">
      <c r="A2233" s="1019"/>
      <c r="B2233" s="1019"/>
      <c r="C2233" s="1019"/>
      <c r="D2233" s="3188"/>
      <c r="E2233" s="1019"/>
      <c r="F2233" s="1019"/>
      <c r="G2233" s="1019"/>
      <c r="H2233" s="1019"/>
      <c r="I2233" s="1140"/>
    </row>
    <row r="2234" spans="1:9" x14ac:dyDescent="0.35">
      <c r="A2234" s="1019"/>
      <c r="B2234" s="1019"/>
      <c r="C2234" s="1019"/>
      <c r="D2234" s="3188"/>
      <c r="E2234" s="1019"/>
      <c r="F2234" s="1019"/>
      <c r="G2234" s="1019"/>
      <c r="H2234" s="1019"/>
      <c r="I2234" s="1140"/>
    </row>
    <row r="2235" spans="1:9" x14ac:dyDescent="0.35">
      <c r="A2235" s="1019"/>
      <c r="B2235" s="1019"/>
      <c r="C2235" s="1019"/>
      <c r="D2235" s="3188"/>
      <c r="E2235" s="1019"/>
      <c r="F2235" s="1019"/>
      <c r="G2235" s="1019"/>
      <c r="H2235" s="1019"/>
      <c r="I2235" s="1140"/>
    </row>
    <row r="2236" spans="1:9" x14ac:dyDescent="0.35">
      <c r="A2236" s="1019"/>
      <c r="B2236" s="1019"/>
      <c r="C2236" s="1019"/>
      <c r="D2236" s="3188"/>
      <c r="E2236" s="1019"/>
      <c r="F2236" s="1019"/>
      <c r="G2236" s="1019"/>
      <c r="H2236" s="1019"/>
      <c r="I2236" s="1140"/>
    </row>
    <row r="2237" spans="1:9" x14ac:dyDescent="0.35">
      <c r="A2237" s="1019"/>
      <c r="B2237" s="1019"/>
      <c r="C2237" s="1019"/>
      <c r="D2237" s="3188"/>
      <c r="E2237" s="1019"/>
      <c r="F2237" s="1019"/>
      <c r="G2237" s="1019"/>
      <c r="H2237" s="1019"/>
      <c r="I2237" s="1140"/>
    </row>
    <row r="2238" spans="1:9" x14ac:dyDescent="0.35">
      <c r="A2238" s="1019"/>
      <c r="B2238" s="1019"/>
      <c r="C2238" s="1019"/>
      <c r="D2238" s="3188"/>
      <c r="E2238" s="1019"/>
      <c r="F2238" s="1019"/>
      <c r="G2238" s="1019"/>
      <c r="H2238" s="1019"/>
      <c r="I2238" s="1140"/>
    </row>
    <row r="2239" spans="1:9" x14ac:dyDescent="0.35">
      <c r="A2239" s="1019"/>
      <c r="B2239" s="1019"/>
      <c r="C2239" s="1019"/>
      <c r="D2239" s="3188"/>
      <c r="E2239" s="1019"/>
      <c r="F2239" s="1019"/>
      <c r="G2239" s="1019"/>
      <c r="H2239" s="1019"/>
      <c r="I2239" s="1140"/>
    </row>
    <row r="2240" spans="1:9" x14ac:dyDescent="0.35">
      <c r="A2240" s="1019"/>
      <c r="B2240" s="1019"/>
      <c r="C2240" s="1019"/>
      <c r="D2240" s="3188"/>
      <c r="E2240" s="1019"/>
      <c r="F2240" s="1019"/>
      <c r="G2240" s="1019"/>
      <c r="H2240" s="1019"/>
      <c r="I2240" s="1140"/>
    </row>
    <row r="2241" spans="1:9" x14ac:dyDescent="0.35">
      <c r="A2241" s="1019"/>
      <c r="B2241" s="1019"/>
      <c r="C2241" s="1019"/>
      <c r="D2241" s="3188"/>
      <c r="E2241" s="1019"/>
      <c r="F2241" s="1019"/>
      <c r="G2241" s="1019"/>
      <c r="H2241" s="1019"/>
      <c r="I2241" s="1140"/>
    </row>
    <row r="2242" spans="1:9" x14ac:dyDescent="0.35">
      <c r="A2242" s="1019"/>
      <c r="B2242" s="1019"/>
      <c r="C2242" s="1019"/>
      <c r="D2242" s="3188"/>
      <c r="E2242" s="1019"/>
      <c r="F2242" s="1019"/>
      <c r="G2242" s="1019"/>
      <c r="H2242" s="1019"/>
      <c r="I2242" s="1140"/>
    </row>
    <row r="2243" spans="1:9" x14ac:dyDescent="0.35">
      <c r="A2243" s="1019"/>
      <c r="B2243" s="1019"/>
      <c r="C2243" s="1019"/>
      <c r="D2243" s="3188"/>
      <c r="E2243" s="1019"/>
      <c r="F2243" s="1019"/>
      <c r="G2243" s="1019"/>
      <c r="H2243" s="1019"/>
      <c r="I2243" s="1140"/>
    </row>
    <row r="2244" spans="1:9" x14ac:dyDescent="0.35">
      <c r="A2244" s="1019"/>
      <c r="B2244" s="1019"/>
      <c r="C2244" s="1019"/>
      <c r="D2244" s="3188"/>
      <c r="E2244" s="1019"/>
      <c r="F2244" s="1019"/>
      <c r="G2244" s="1019"/>
      <c r="H2244" s="1019"/>
      <c r="I2244" s="1140"/>
    </row>
    <row r="2245" spans="1:9" x14ac:dyDescent="0.35">
      <c r="A2245" s="1019"/>
      <c r="B2245" s="1019"/>
      <c r="C2245" s="1019"/>
      <c r="D2245" s="3188"/>
      <c r="E2245" s="1019"/>
      <c r="F2245" s="1019"/>
      <c r="G2245" s="1019"/>
      <c r="H2245" s="1019"/>
      <c r="I2245" s="1140"/>
    </row>
    <row r="2246" spans="1:9" x14ac:dyDescent="0.35">
      <c r="A2246" s="1019"/>
      <c r="B2246" s="1019"/>
      <c r="C2246" s="1019"/>
      <c r="D2246" s="3188"/>
      <c r="E2246" s="1019"/>
      <c r="F2246" s="1019"/>
      <c r="G2246" s="1019"/>
      <c r="H2246" s="1019"/>
      <c r="I2246" s="1140"/>
    </row>
    <row r="2247" spans="1:9" x14ac:dyDescent="0.35">
      <c r="A2247" s="1019"/>
      <c r="B2247" s="1019"/>
      <c r="C2247" s="1019"/>
      <c r="D2247" s="3188"/>
      <c r="E2247" s="1019"/>
      <c r="F2247" s="1019"/>
      <c r="G2247" s="1019"/>
      <c r="H2247" s="1019"/>
      <c r="I2247" s="1140"/>
    </row>
    <row r="2248" spans="1:9" x14ac:dyDescent="0.35">
      <c r="A2248" s="1019"/>
      <c r="B2248" s="1019"/>
      <c r="C2248" s="1019"/>
      <c r="D2248" s="3188"/>
      <c r="E2248" s="1019"/>
      <c r="F2248" s="1019"/>
      <c r="G2248" s="1019"/>
      <c r="H2248" s="1019"/>
      <c r="I2248" s="1140"/>
    </row>
    <row r="2249" spans="1:9" x14ac:dyDescent="0.35">
      <c r="A2249" s="1019"/>
      <c r="B2249" s="1019"/>
      <c r="C2249" s="1019"/>
      <c r="D2249" s="3188"/>
      <c r="E2249" s="1019"/>
      <c r="F2249" s="1019"/>
      <c r="G2249" s="1019"/>
      <c r="H2249" s="1019"/>
      <c r="I2249" s="1140"/>
    </row>
    <row r="2250" spans="1:9" x14ac:dyDescent="0.35">
      <c r="A2250" s="1019"/>
      <c r="B2250" s="1019"/>
      <c r="C2250" s="1019"/>
      <c r="D2250" s="3188"/>
      <c r="E2250" s="1019"/>
      <c r="F2250" s="1019"/>
      <c r="G2250" s="1019"/>
      <c r="H2250" s="1019"/>
      <c r="I2250" s="1140"/>
    </row>
    <row r="2251" spans="1:9" x14ac:dyDescent="0.35">
      <c r="A2251" s="1019"/>
      <c r="B2251" s="1019"/>
      <c r="C2251" s="1019"/>
      <c r="D2251" s="3188"/>
      <c r="E2251" s="1019"/>
      <c r="F2251" s="1019"/>
      <c r="G2251" s="1019"/>
      <c r="H2251" s="1019"/>
      <c r="I2251" s="1140"/>
    </row>
    <row r="2252" spans="1:9" x14ac:dyDescent="0.35">
      <c r="A2252" s="1019"/>
      <c r="B2252" s="1019"/>
      <c r="C2252" s="1019"/>
      <c r="D2252" s="3188"/>
      <c r="E2252" s="1019"/>
      <c r="F2252" s="1019"/>
      <c r="G2252" s="1019"/>
      <c r="H2252" s="1019"/>
      <c r="I2252" s="1140"/>
    </row>
    <row r="2253" spans="1:9" x14ac:dyDescent="0.35">
      <c r="A2253" s="1019"/>
      <c r="B2253" s="1019"/>
      <c r="C2253" s="1019"/>
      <c r="D2253" s="3188"/>
      <c r="E2253" s="1019"/>
      <c r="F2253" s="1019"/>
      <c r="G2253" s="1019"/>
      <c r="H2253" s="1019"/>
      <c r="I2253" s="1140"/>
    </row>
    <row r="2254" spans="1:9" x14ac:dyDescent="0.35">
      <c r="A2254" s="1019"/>
      <c r="B2254" s="1019"/>
      <c r="C2254" s="1019"/>
      <c r="D2254" s="3188"/>
      <c r="E2254" s="1019"/>
      <c r="F2254" s="1019"/>
      <c r="G2254" s="1019"/>
      <c r="H2254" s="1019"/>
      <c r="I2254" s="1140"/>
    </row>
    <row r="2255" spans="1:9" x14ac:dyDescent="0.35">
      <c r="A2255" s="1019"/>
      <c r="B2255" s="1019"/>
      <c r="C2255" s="1019"/>
      <c r="D2255" s="3188"/>
      <c r="E2255" s="1019"/>
      <c r="F2255" s="1019"/>
      <c r="G2255" s="1019"/>
      <c r="H2255" s="1019"/>
      <c r="I2255" s="1140"/>
    </row>
    <row r="2256" spans="1:9" x14ac:dyDescent="0.35">
      <c r="A2256" s="1019"/>
      <c r="B2256" s="1019"/>
      <c r="C2256" s="1019"/>
      <c r="D2256" s="3188"/>
      <c r="E2256" s="1019"/>
      <c r="F2256" s="1019"/>
      <c r="G2256" s="1019"/>
      <c r="H2256" s="1019"/>
      <c r="I2256" s="1140"/>
    </row>
    <row r="2257" spans="1:9" x14ac:dyDescent="0.35">
      <c r="A2257" s="1019"/>
      <c r="B2257" s="1019"/>
      <c r="C2257" s="1019"/>
      <c r="D2257" s="3188"/>
      <c r="E2257" s="1019"/>
      <c r="F2257" s="1019"/>
      <c r="G2257" s="1019"/>
      <c r="H2257" s="1019"/>
      <c r="I2257" s="1140"/>
    </row>
    <row r="2258" spans="1:9" x14ac:dyDescent="0.35">
      <c r="A2258" s="1019"/>
      <c r="B2258" s="1019"/>
      <c r="C2258" s="1019"/>
      <c r="D2258" s="3188"/>
      <c r="E2258" s="1019"/>
      <c r="F2258" s="1019"/>
      <c r="G2258" s="1019"/>
      <c r="H2258" s="1019"/>
      <c r="I2258" s="1140"/>
    </row>
    <row r="2259" spans="1:9" x14ac:dyDescent="0.35">
      <c r="A2259" s="1019"/>
      <c r="B2259" s="1019"/>
      <c r="C2259" s="1019"/>
      <c r="D2259" s="3188"/>
      <c r="E2259" s="1019"/>
      <c r="F2259" s="1019"/>
      <c r="G2259" s="1019"/>
      <c r="H2259" s="1019"/>
      <c r="I2259" s="1140"/>
    </row>
    <row r="2260" spans="1:9" x14ac:dyDescent="0.35">
      <c r="A2260" s="1019"/>
      <c r="B2260" s="1019"/>
      <c r="C2260" s="1019"/>
      <c r="D2260" s="3188"/>
      <c r="E2260" s="1019"/>
      <c r="F2260" s="1019"/>
      <c r="G2260" s="1019"/>
      <c r="H2260" s="1019"/>
      <c r="I2260" s="1140"/>
    </row>
    <row r="2261" spans="1:9" x14ac:dyDescent="0.35">
      <c r="A2261" s="1019"/>
      <c r="B2261" s="1019"/>
      <c r="C2261" s="1019"/>
      <c r="D2261" s="3188"/>
      <c r="E2261" s="1019"/>
      <c r="F2261" s="1019"/>
      <c r="G2261" s="1019"/>
      <c r="H2261" s="1019"/>
      <c r="I2261" s="1140"/>
    </row>
    <row r="2262" spans="1:9" x14ac:dyDescent="0.35">
      <c r="A2262" s="1019"/>
      <c r="B2262" s="1019"/>
      <c r="C2262" s="1019"/>
      <c r="D2262" s="3188"/>
      <c r="E2262" s="1019"/>
      <c r="F2262" s="1019"/>
      <c r="G2262" s="1019"/>
      <c r="H2262" s="1019"/>
      <c r="I2262" s="1140"/>
    </row>
    <row r="2263" spans="1:9" x14ac:dyDescent="0.35">
      <c r="A2263" s="1019"/>
      <c r="B2263" s="1019"/>
      <c r="C2263" s="1019"/>
      <c r="D2263" s="3188"/>
      <c r="E2263" s="1019"/>
      <c r="F2263" s="1019"/>
      <c r="G2263" s="1019"/>
      <c r="H2263" s="1019"/>
      <c r="I2263" s="1140"/>
    </row>
    <row r="2264" spans="1:9" x14ac:dyDescent="0.35">
      <c r="A2264" s="1019"/>
      <c r="B2264" s="1019"/>
      <c r="C2264" s="1019"/>
      <c r="D2264" s="3188"/>
      <c r="E2264" s="1019"/>
      <c r="F2264" s="1019"/>
      <c r="G2264" s="1019"/>
      <c r="H2264" s="1019"/>
      <c r="I2264" s="1140"/>
    </row>
    <row r="2265" spans="1:9" x14ac:dyDescent="0.35">
      <c r="A2265" s="1019"/>
      <c r="B2265" s="1019"/>
      <c r="C2265" s="1019"/>
      <c r="D2265" s="3188"/>
      <c r="E2265" s="1019"/>
      <c r="F2265" s="1019"/>
      <c r="G2265" s="1019"/>
      <c r="H2265" s="1019"/>
      <c r="I2265" s="1140"/>
    </row>
    <row r="2266" spans="1:9" x14ac:dyDescent="0.35">
      <c r="A2266" s="1019"/>
      <c r="B2266" s="1019"/>
      <c r="C2266" s="1019"/>
      <c r="D2266" s="3188"/>
      <c r="E2266" s="1019"/>
      <c r="F2266" s="1019"/>
      <c r="G2266" s="1019"/>
      <c r="H2266" s="1019"/>
      <c r="I2266" s="1140"/>
    </row>
    <row r="2267" spans="1:9" x14ac:dyDescent="0.35">
      <c r="A2267" s="1019"/>
      <c r="B2267" s="1019"/>
      <c r="C2267" s="1019"/>
      <c r="D2267" s="3188"/>
      <c r="E2267" s="1019"/>
      <c r="F2267" s="1019"/>
      <c r="G2267" s="1019"/>
      <c r="H2267" s="1019"/>
      <c r="I2267" s="1140"/>
    </row>
    <row r="2268" spans="1:9" x14ac:dyDescent="0.35">
      <c r="A2268" s="1019"/>
      <c r="B2268" s="1019"/>
      <c r="C2268" s="1019"/>
      <c r="D2268" s="3188"/>
      <c r="E2268" s="1019"/>
      <c r="F2268" s="1019"/>
      <c r="G2268" s="1019"/>
      <c r="H2268" s="1019"/>
      <c r="I2268" s="1140"/>
    </row>
    <row r="2269" spans="1:9" x14ac:dyDescent="0.35">
      <c r="A2269" s="1019"/>
      <c r="B2269" s="1019"/>
      <c r="C2269" s="1019"/>
      <c r="D2269" s="3188"/>
      <c r="E2269" s="1019"/>
      <c r="F2269" s="1019"/>
      <c r="G2269" s="1019"/>
      <c r="H2269" s="1019"/>
      <c r="I2269" s="1140"/>
    </row>
    <row r="2270" spans="1:9" x14ac:dyDescent="0.35">
      <c r="A2270" s="1019"/>
      <c r="B2270" s="1019"/>
      <c r="C2270" s="1019"/>
      <c r="D2270" s="3188"/>
      <c r="E2270" s="1019"/>
      <c r="F2270" s="1019"/>
      <c r="G2270" s="1019"/>
      <c r="H2270" s="1019"/>
      <c r="I2270" s="1140"/>
    </row>
    <row r="2271" spans="1:9" x14ac:dyDescent="0.35">
      <c r="A2271" s="1019"/>
      <c r="B2271" s="1019"/>
      <c r="C2271" s="1019"/>
      <c r="D2271" s="3188"/>
      <c r="E2271" s="1019"/>
      <c r="F2271" s="1019"/>
      <c r="G2271" s="1019"/>
      <c r="H2271" s="1019"/>
      <c r="I2271" s="1140"/>
    </row>
    <row r="2272" spans="1:9" x14ac:dyDescent="0.35">
      <c r="A2272" s="1019"/>
      <c r="B2272" s="1019"/>
      <c r="C2272" s="1019"/>
      <c r="D2272" s="3188"/>
      <c r="E2272" s="1019"/>
      <c r="F2272" s="1019"/>
      <c r="G2272" s="1019"/>
      <c r="H2272" s="1019"/>
      <c r="I2272" s="1140"/>
    </row>
    <row r="2273" spans="1:9" x14ac:dyDescent="0.35">
      <c r="A2273" s="1019"/>
      <c r="B2273" s="1019"/>
      <c r="C2273" s="1019"/>
      <c r="D2273" s="3188"/>
      <c r="E2273" s="1019"/>
      <c r="F2273" s="1019"/>
      <c r="G2273" s="1019"/>
      <c r="H2273" s="1019"/>
      <c r="I2273" s="1140"/>
    </row>
    <row r="2274" spans="1:9" x14ac:dyDescent="0.35">
      <c r="A2274" s="1019"/>
      <c r="B2274" s="1019"/>
      <c r="C2274" s="1019"/>
      <c r="D2274" s="3188"/>
      <c r="E2274" s="1019"/>
      <c r="F2274" s="1019"/>
      <c r="G2274" s="1019"/>
      <c r="H2274" s="1019"/>
      <c r="I2274" s="1140"/>
    </row>
    <row r="2275" spans="1:9" x14ac:dyDescent="0.35">
      <c r="A2275" s="1019"/>
      <c r="B2275" s="1019"/>
      <c r="C2275" s="1019"/>
      <c r="D2275" s="3188"/>
      <c r="E2275" s="1019"/>
      <c r="F2275" s="1019"/>
      <c r="G2275" s="1019"/>
      <c r="H2275" s="1019"/>
      <c r="I2275" s="1140"/>
    </row>
    <row r="2276" spans="1:9" x14ac:dyDescent="0.35">
      <c r="A2276" s="1019"/>
      <c r="B2276" s="1019"/>
      <c r="C2276" s="1019"/>
      <c r="D2276" s="3188"/>
      <c r="E2276" s="1019"/>
      <c r="F2276" s="1019"/>
      <c r="G2276" s="1019"/>
      <c r="H2276" s="1019"/>
      <c r="I2276" s="1140"/>
    </row>
    <row r="2277" spans="1:9" x14ac:dyDescent="0.35">
      <c r="A2277" s="1019"/>
      <c r="B2277" s="1019"/>
      <c r="C2277" s="1019"/>
      <c r="D2277" s="3188"/>
      <c r="E2277" s="1019"/>
      <c r="F2277" s="1019"/>
      <c r="G2277" s="1019"/>
      <c r="H2277" s="1019"/>
      <c r="I2277" s="1140"/>
    </row>
    <row r="2278" spans="1:9" x14ac:dyDescent="0.35">
      <c r="A2278" s="1019"/>
      <c r="B2278" s="1019"/>
      <c r="C2278" s="1019"/>
      <c r="D2278" s="3188"/>
      <c r="E2278" s="1019"/>
      <c r="F2278" s="1019"/>
      <c r="G2278" s="1019"/>
      <c r="H2278" s="1019"/>
      <c r="I2278" s="1140"/>
    </row>
    <row r="2279" spans="1:9" x14ac:dyDescent="0.35">
      <c r="A2279" s="1019"/>
      <c r="B2279" s="1019"/>
      <c r="C2279" s="1019"/>
      <c r="D2279" s="3188"/>
      <c r="E2279" s="1019"/>
      <c r="F2279" s="1019"/>
      <c r="G2279" s="1019"/>
      <c r="H2279" s="1019"/>
      <c r="I2279" s="1140"/>
    </row>
    <row r="2280" spans="1:9" x14ac:dyDescent="0.35">
      <c r="A2280" s="1019"/>
      <c r="B2280" s="1019"/>
      <c r="C2280" s="1019"/>
      <c r="D2280" s="3188"/>
      <c r="E2280" s="1019"/>
      <c r="F2280" s="1019"/>
      <c r="G2280" s="1019"/>
      <c r="H2280" s="1019"/>
      <c r="I2280" s="1140"/>
    </row>
    <row r="2281" spans="1:9" x14ac:dyDescent="0.35">
      <c r="A2281" s="1019"/>
      <c r="B2281" s="1019"/>
      <c r="C2281" s="1019"/>
      <c r="D2281" s="3188"/>
      <c r="E2281" s="1019"/>
      <c r="F2281" s="1019"/>
      <c r="G2281" s="1019"/>
      <c r="H2281" s="1019"/>
      <c r="I2281" s="1140"/>
    </row>
    <row r="2282" spans="1:9" x14ac:dyDescent="0.35">
      <c r="A2282" s="1019"/>
      <c r="B2282" s="1019"/>
      <c r="C2282" s="1019"/>
      <c r="D2282" s="3188"/>
      <c r="E2282" s="1019"/>
      <c r="F2282" s="1019"/>
      <c r="G2282" s="1019"/>
      <c r="H2282" s="1019"/>
      <c r="I2282" s="1140"/>
    </row>
    <row r="2283" spans="1:9" x14ac:dyDescent="0.35">
      <c r="A2283" s="1019"/>
      <c r="B2283" s="1019"/>
      <c r="C2283" s="1019"/>
      <c r="D2283" s="3188"/>
      <c r="E2283" s="1019"/>
      <c r="F2283" s="1019"/>
      <c r="G2283" s="1019"/>
      <c r="H2283" s="1019"/>
      <c r="I2283" s="1140"/>
    </row>
    <row r="2284" spans="1:9" x14ac:dyDescent="0.35">
      <c r="A2284" s="1019"/>
      <c r="B2284" s="1019"/>
      <c r="C2284" s="1019"/>
      <c r="D2284" s="3188"/>
      <c r="E2284" s="1019"/>
      <c r="F2284" s="1019"/>
      <c r="G2284" s="1019"/>
      <c r="H2284" s="1019"/>
      <c r="I2284" s="1140"/>
    </row>
    <row r="2285" spans="1:9" x14ac:dyDescent="0.35">
      <c r="A2285" s="1019"/>
      <c r="B2285" s="1019"/>
      <c r="C2285" s="1019"/>
      <c r="D2285" s="3188"/>
      <c r="E2285" s="1019"/>
      <c r="F2285" s="1019"/>
      <c r="G2285" s="1019"/>
      <c r="H2285" s="1019"/>
      <c r="I2285" s="1140"/>
    </row>
    <row r="2286" spans="1:9" x14ac:dyDescent="0.35">
      <c r="A2286" s="1019"/>
      <c r="B2286" s="1019"/>
      <c r="C2286" s="1019"/>
      <c r="D2286" s="3188"/>
      <c r="E2286" s="1019"/>
      <c r="F2286" s="1019"/>
      <c r="G2286" s="1019"/>
      <c r="H2286" s="1019"/>
      <c r="I2286" s="1140"/>
    </row>
    <row r="2287" spans="1:9" x14ac:dyDescent="0.35">
      <c r="A2287" s="1019"/>
      <c r="B2287" s="1019"/>
      <c r="C2287" s="1019"/>
      <c r="D2287" s="3188"/>
      <c r="E2287" s="1019"/>
      <c r="F2287" s="1019"/>
      <c r="G2287" s="1019"/>
      <c r="H2287" s="1019"/>
      <c r="I2287" s="1140"/>
    </row>
    <row r="2288" spans="1:9" x14ac:dyDescent="0.35">
      <c r="A2288" s="1019"/>
      <c r="B2288" s="1019"/>
      <c r="C2288" s="1019"/>
      <c r="D2288" s="3188"/>
      <c r="E2288" s="1019"/>
      <c r="F2288" s="1019"/>
      <c r="G2288" s="1019"/>
      <c r="H2288" s="1019"/>
      <c r="I2288" s="1140"/>
    </row>
    <row r="2289" spans="1:9" x14ac:dyDescent="0.35">
      <c r="A2289" s="1019"/>
      <c r="B2289" s="1019"/>
      <c r="C2289" s="1019"/>
      <c r="D2289" s="3188"/>
      <c r="E2289" s="1019"/>
      <c r="F2289" s="1019"/>
      <c r="G2289" s="1019"/>
      <c r="H2289" s="1019"/>
      <c r="I2289" s="1140"/>
    </row>
    <row r="2290" spans="1:9" x14ac:dyDescent="0.35">
      <c r="A2290" s="1019"/>
      <c r="B2290" s="1019"/>
      <c r="C2290" s="1019"/>
      <c r="D2290" s="3188"/>
      <c r="E2290" s="1019"/>
      <c r="F2290" s="1019"/>
      <c r="G2290" s="1019"/>
      <c r="H2290" s="1019"/>
      <c r="I2290" s="1140"/>
    </row>
    <row r="2291" spans="1:9" x14ac:dyDescent="0.35">
      <c r="A2291" s="1019"/>
      <c r="B2291" s="1019"/>
      <c r="C2291" s="1019"/>
      <c r="D2291" s="3188"/>
      <c r="E2291" s="1019"/>
      <c r="F2291" s="1019"/>
      <c r="G2291" s="1019"/>
      <c r="H2291" s="1019"/>
      <c r="I2291" s="1140"/>
    </row>
    <row r="2292" spans="1:9" x14ac:dyDescent="0.35">
      <c r="A2292" s="1019"/>
      <c r="B2292" s="1019"/>
      <c r="C2292" s="1019"/>
      <c r="D2292" s="3188"/>
      <c r="E2292" s="1019"/>
      <c r="F2292" s="1019"/>
      <c r="G2292" s="1019"/>
      <c r="H2292" s="1019"/>
      <c r="I2292" s="1140"/>
    </row>
    <row r="2293" spans="1:9" x14ac:dyDescent="0.35">
      <c r="A2293" s="1019"/>
      <c r="B2293" s="1019"/>
      <c r="C2293" s="1019"/>
      <c r="D2293" s="3188"/>
      <c r="E2293" s="1019"/>
      <c r="F2293" s="1019"/>
      <c r="G2293" s="1019"/>
      <c r="H2293" s="1019"/>
      <c r="I2293" s="1140"/>
    </row>
    <row r="2294" spans="1:9" x14ac:dyDescent="0.35">
      <c r="A2294" s="1019"/>
      <c r="B2294" s="1019"/>
      <c r="C2294" s="1019"/>
      <c r="D2294" s="3188"/>
      <c r="E2294" s="1019"/>
      <c r="F2294" s="1019"/>
      <c r="G2294" s="1019"/>
      <c r="H2294" s="1019"/>
      <c r="I2294" s="1140"/>
    </row>
    <row r="2295" spans="1:9" x14ac:dyDescent="0.35">
      <c r="A2295" s="1019"/>
      <c r="B2295" s="1019"/>
      <c r="C2295" s="1019"/>
      <c r="D2295" s="3188"/>
      <c r="E2295" s="1019"/>
      <c r="F2295" s="1019"/>
      <c r="G2295" s="1019"/>
      <c r="H2295" s="1019"/>
      <c r="I2295" s="1140"/>
    </row>
    <row r="2296" spans="1:9" x14ac:dyDescent="0.35">
      <c r="A2296" s="1019"/>
      <c r="B2296" s="1019"/>
      <c r="C2296" s="1019"/>
      <c r="D2296" s="3188"/>
      <c r="E2296" s="1019"/>
      <c r="F2296" s="1019"/>
      <c r="G2296" s="1019"/>
      <c r="H2296" s="1019"/>
      <c r="I2296" s="1140"/>
    </row>
    <row r="2297" spans="1:9" x14ac:dyDescent="0.35">
      <c r="A2297" s="1019"/>
      <c r="B2297" s="1019"/>
      <c r="C2297" s="1019"/>
      <c r="D2297" s="3188"/>
      <c r="E2297" s="1019"/>
      <c r="F2297" s="1019"/>
      <c r="G2297" s="1019"/>
      <c r="H2297" s="1019"/>
      <c r="I2297" s="1140"/>
    </row>
    <row r="2298" spans="1:9" x14ac:dyDescent="0.35">
      <c r="A2298" s="1019"/>
      <c r="B2298" s="1019"/>
      <c r="C2298" s="1019"/>
      <c r="D2298" s="3188"/>
      <c r="E2298" s="1019"/>
      <c r="F2298" s="1019"/>
      <c r="G2298" s="1019"/>
      <c r="H2298" s="1019"/>
      <c r="I2298" s="1140"/>
    </row>
    <row r="2299" spans="1:9" x14ac:dyDescent="0.35">
      <c r="A2299" s="1019"/>
      <c r="B2299" s="1019"/>
      <c r="C2299" s="1019"/>
      <c r="D2299" s="3188"/>
      <c r="E2299" s="1019"/>
      <c r="F2299" s="1019"/>
      <c r="G2299" s="1019"/>
      <c r="H2299" s="1019"/>
      <c r="I2299" s="1140"/>
    </row>
    <row r="2300" spans="1:9" x14ac:dyDescent="0.35">
      <c r="A2300" s="1019"/>
      <c r="B2300" s="1019"/>
      <c r="C2300" s="1019"/>
      <c r="D2300" s="3188"/>
      <c r="E2300" s="1019"/>
      <c r="F2300" s="1019"/>
      <c r="G2300" s="1019"/>
      <c r="H2300" s="1019"/>
      <c r="I2300" s="1140"/>
    </row>
    <row r="2301" spans="1:9" x14ac:dyDescent="0.35">
      <c r="A2301" s="1019"/>
      <c r="B2301" s="1019"/>
      <c r="C2301" s="1019"/>
      <c r="D2301" s="3188"/>
      <c r="E2301" s="1019"/>
      <c r="F2301" s="1019"/>
      <c r="G2301" s="1019"/>
      <c r="H2301" s="1019"/>
      <c r="I2301" s="1140"/>
    </row>
    <row r="2302" spans="1:9" x14ac:dyDescent="0.35">
      <c r="A2302" s="1019"/>
      <c r="B2302" s="1019"/>
      <c r="C2302" s="1019"/>
      <c r="D2302" s="3188"/>
      <c r="E2302" s="1019"/>
      <c r="F2302" s="1019"/>
      <c r="G2302" s="1019"/>
      <c r="H2302" s="1019"/>
      <c r="I2302" s="1140"/>
    </row>
    <row r="2303" spans="1:9" x14ac:dyDescent="0.35">
      <c r="A2303" s="1019"/>
      <c r="B2303" s="1019"/>
      <c r="C2303" s="1019"/>
      <c r="D2303" s="3188"/>
      <c r="E2303" s="1019"/>
      <c r="F2303" s="1019"/>
      <c r="G2303" s="1019"/>
      <c r="H2303" s="1019"/>
      <c r="I2303" s="1140"/>
    </row>
    <row r="2304" spans="1:9" x14ac:dyDescent="0.35">
      <c r="A2304" s="1019"/>
      <c r="B2304" s="1019"/>
      <c r="C2304" s="1019"/>
      <c r="D2304" s="3188"/>
      <c r="E2304" s="1019"/>
      <c r="F2304" s="1019"/>
      <c r="G2304" s="1019"/>
      <c r="H2304" s="1019"/>
      <c r="I2304" s="1140"/>
    </row>
    <row r="2305" spans="1:9" x14ac:dyDescent="0.35">
      <c r="A2305" s="1019"/>
      <c r="B2305" s="1019"/>
      <c r="C2305" s="1019"/>
      <c r="D2305" s="3188"/>
      <c r="E2305" s="1019"/>
      <c r="F2305" s="1019"/>
      <c r="G2305" s="1019"/>
      <c r="H2305" s="1019"/>
      <c r="I2305" s="1140"/>
    </row>
    <row r="2306" spans="1:9" x14ac:dyDescent="0.35">
      <c r="A2306" s="1019"/>
      <c r="B2306" s="1019"/>
      <c r="C2306" s="1019"/>
      <c r="D2306" s="3188"/>
      <c r="E2306" s="1019"/>
      <c r="F2306" s="1019"/>
      <c r="G2306" s="1019"/>
      <c r="H2306" s="1019"/>
      <c r="I2306" s="1140"/>
    </row>
    <row r="2307" spans="1:9" x14ac:dyDescent="0.35">
      <c r="A2307" s="1019"/>
      <c r="B2307" s="1019"/>
      <c r="C2307" s="1019"/>
      <c r="D2307" s="3188"/>
      <c r="E2307" s="1019"/>
      <c r="F2307" s="1019"/>
      <c r="G2307" s="1019"/>
      <c r="H2307" s="1019"/>
      <c r="I2307" s="1140"/>
    </row>
    <row r="2308" spans="1:9" x14ac:dyDescent="0.35">
      <c r="A2308" s="1019"/>
      <c r="B2308" s="1019"/>
      <c r="C2308" s="1019"/>
      <c r="D2308" s="3188"/>
      <c r="E2308" s="1019"/>
      <c r="F2308" s="1019"/>
      <c r="G2308" s="1019"/>
      <c r="H2308" s="1019"/>
      <c r="I2308" s="1140"/>
    </row>
    <row r="2309" spans="1:9" x14ac:dyDescent="0.35">
      <c r="A2309" s="1019"/>
      <c r="B2309" s="1019"/>
      <c r="C2309" s="1019"/>
      <c r="D2309" s="3188"/>
      <c r="E2309" s="1019"/>
      <c r="F2309" s="1019"/>
      <c r="G2309" s="1019"/>
      <c r="H2309" s="1019"/>
      <c r="I2309" s="1140"/>
    </row>
    <row r="2310" spans="1:9" x14ac:dyDescent="0.35">
      <c r="A2310" s="1019"/>
      <c r="B2310" s="1019"/>
      <c r="C2310" s="1019"/>
      <c r="D2310" s="3188"/>
      <c r="E2310" s="1019"/>
      <c r="F2310" s="1019"/>
      <c r="G2310" s="1019"/>
      <c r="H2310" s="1019"/>
      <c r="I2310" s="1140"/>
    </row>
    <row r="2311" spans="1:9" x14ac:dyDescent="0.35">
      <c r="A2311" s="1019"/>
      <c r="B2311" s="1019"/>
      <c r="C2311" s="1019"/>
      <c r="D2311" s="3188"/>
      <c r="E2311" s="1019"/>
      <c r="F2311" s="1019"/>
      <c r="G2311" s="1019"/>
      <c r="H2311" s="1019"/>
      <c r="I2311" s="1140"/>
    </row>
    <row r="2312" spans="1:9" x14ac:dyDescent="0.35">
      <c r="A2312" s="1019"/>
      <c r="B2312" s="1019"/>
      <c r="C2312" s="1019"/>
      <c r="D2312" s="3188"/>
      <c r="E2312" s="1019"/>
      <c r="F2312" s="1019"/>
      <c r="G2312" s="1019"/>
      <c r="H2312" s="1019"/>
      <c r="I2312" s="1140"/>
    </row>
    <row r="2313" spans="1:9" x14ac:dyDescent="0.35">
      <c r="A2313" s="1019"/>
      <c r="B2313" s="1019"/>
      <c r="C2313" s="1019"/>
      <c r="D2313" s="3188"/>
      <c r="E2313" s="1019"/>
      <c r="F2313" s="1019"/>
      <c r="G2313" s="1019"/>
      <c r="H2313" s="1019"/>
      <c r="I2313" s="1140"/>
    </row>
    <row r="2314" spans="1:9" x14ac:dyDescent="0.35">
      <c r="A2314" s="1019"/>
      <c r="B2314" s="1019"/>
      <c r="C2314" s="1019"/>
      <c r="D2314" s="3188"/>
      <c r="E2314" s="1019"/>
      <c r="F2314" s="1019"/>
      <c r="G2314" s="1019"/>
      <c r="H2314" s="1019"/>
      <c r="I2314" s="1140"/>
    </row>
    <row r="2315" spans="1:9" x14ac:dyDescent="0.35">
      <c r="A2315" s="1019"/>
      <c r="B2315" s="1019"/>
      <c r="C2315" s="1019"/>
      <c r="D2315" s="3188"/>
      <c r="E2315" s="1019"/>
      <c r="F2315" s="1019"/>
      <c r="G2315" s="1019"/>
      <c r="H2315" s="1019"/>
      <c r="I2315" s="1140"/>
    </row>
    <row r="2316" spans="1:9" x14ac:dyDescent="0.35">
      <c r="A2316" s="1019"/>
      <c r="B2316" s="1019"/>
      <c r="C2316" s="1019"/>
      <c r="D2316" s="3188"/>
      <c r="E2316" s="1019"/>
      <c r="F2316" s="1019"/>
      <c r="G2316" s="1019"/>
      <c r="H2316" s="1019"/>
      <c r="I2316" s="1140"/>
    </row>
    <row r="2317" spans="1:9" x14ac:dyDescent="0.35">
      <c r="A2317" s="1019"/>
      <c r="B2317" s="1019"/>
      <c r="C2317" s="1019"/>
      <c r="D2317" s="3188"/>
      <c r="E2317" s="1019"/>
      <c r="F2317" s="1019"/>
      <c r="G2317" s="1019"/>
      <c r="H2317" s="1019"/>
      <c r="I2317" s="1140"/>
    </row>
    <row r="2318" spans="1:9" x14ac:dyDescent="0.35">
      <c r="A2318" s="1019"/>
      <c r="B2318" s="1019"/>
      <c r="C2318" s="1019"/>
      <c r="D2318" s="3188"/>
      <c r="E2318" s="1019"/>
      <c r="F2318" s="1019"/>
      <c r="G2318" s="1019"/>
      <c r="H2318" s="1019"/>
      <c r="I2318" s="1140"/>
    </row>
    <row r="2319" spans="1:9" x14ac:dyDescent="0.35">
      <c r="A2319" s="1019"/>
      <c r="B2319" s="1019"/>
      <c r="C2319" s="1019"/>
      <c r="D2319" s="3188"/>
      <c r="E2319" s="1019"/>
      <c r="F2319" s="1019"/>
      <c r="G2319" s="1019"/>
      <c r="H2319" s="1019"/>
      <c r="I2319" s="1140"/>
    </row>
    <row r="2320" spans="1:9" x14ac:dyDescent="0.35">
      <c r="A2320" s="1019"/>
      <c r="B2320" s="1019"/>
      <c r="C2320" s="1019"/>
      <c r="D2320" s="3188"/>
      <c r="E2320" s="1019"/>
      <c r="F2320" s="1019"/>
      <c r="G2320" s="1019"/>
      <c r="H2320" s="1019"/>
      <c r="I2320" s="1140"/>
    </row>
    <row r="2321" spans="1:9" x14ac:dyDescent="0.35">
      <c r="A2321" s="1019"/>
      <c r="B2321" s="1019"/>
      <c r="C2321" s="1019"/>
      <c r="D2321" s="3188"/>
      <c r="E2321" s="1019"/>
      <c r="F2321" s="1019"/>
      <c r="G2321" s="1019"/>
      <c r="H2321" s="1019"/>
      <c r="I2321" s="1140"/>
    </row>
    <row r="2322" spans="1:9" x14ac:dyDescent="0.35">
      <c r="A2322" s="1019"/>
      <c r="B2322" s="1019"/>
      <c r="C2322" s="1019"/>
      <c r="D2322" s="3188"/>
      <c r="E2322" s="1019"/>
      <c r="F2322" s="1019"/>
      <c r="G2322" s="1019"/>
      <c r="H2322" s="1019"/>
      <c r="I2322" s="1140"/>
    </row>
    <row r="2323" spans="1:9" x14ac:dyDescent="0.35">
      <c r="A2323" s="1019"/>
      <c r="B2323" s="1019"/>
      <c r="C2323" s="1019"/>
      <c r="D2323" s="3188"/>
      <c r="E2323" s="1019"/>
      <c r="F2323" s="1019"/>
      <c r="G2323" s="1019"/>
      <c r="H2323" s="1019"/>
      <c r="I2323" s="1140"/>
    </row>
    <row r="2324" spans="1:9" x14ac:dyDescent="0.35">
      <c r="A2324" s="1019"/>
      <c r="B2324" s="1019"/>
      <c r="C2324" s="1019"/>
      <c r="D2324" s="3188"/>
      <c r="E2324" s="1019"/>
      <c r="F2324" s="1019"/>
      <c r="G2324" s="1019"/>
      <c r="H2324" s="1019"/>
      <c r="I2324" s="1140"/>
    </row>
    <row r="2325" spans="1:9" x14ac:dyDescent="0.35">
      <c r="A2325" s="1019"/>
      <c r="B2325" s="1019"/>
      <c r="C2325" s="1019"/>
      <c r="D2325" s="3188"/>
      <c r="E2325" s="1019"/>
      <c r="F2325" s="1019"/>
      <c r="G2325" s="1019"/>
      <c r="H2325" s="1019"/>
      <c r="I2325" s="1140"/>
    </row>
    <row r="2326" spans="1:9" x14ac:dyDescent="0.35">
      <c r="A2326" s="1019"/>
      <c r="B2326" s="1019"/>
      <c r="C2326" s="1019"/>
      <c r="D2326" s="3188"/>
      <c r="E2326" s="1019"/>
      <c r="F2326" s="1019"/>
      <c r="G2326" s="1019"/>
      <c r="H2326" s="1019"/>
      <c r="I2326" s="1140"/>
    </row>
    <row r="2327" spans="1:9" x14ac:dyDescent="0.35">
      <c r="A2327" s="1019"/>
      <c r="B2327" s="1019"/>
      <c r="C2327" s="1019"/>
      <c r="D2327" s="3188"/>
      <c r="E2327" s="1019"/>
      <c r="F2327" s="1019"/>
      <c r="G2327" s="1019"/>
      <c r="H2327" s="1019"/>
      <c r="I2327" s="1140"/>
    </row>
    <row r="2328" spans="1:9" x14ac:dyDescent="0.35">
      <c r="A2328" s="1019"/>
      <c r="B2328" s="1019"/>
      <c r="C2328" s="1019"/>
      <c r="D2328" s="3188"/>
      <c r="E2328" s="1019"/>
      <c r="F2328" s="1019"/>
      <c r="G2328" s="1019"/>
      <c r="H2328" s="1019"/>
      <c r="I2328" s="1140"/>
    </row>
    <row r="2329" spans="1:9" x14ac:dyDescent="0.35">
      <c r="A2329" s="1019"/>
      <c r="B2329" s="1019"/>
      <c r="C2329" s="1019"/>
      <c r="D2329" s="3188"/>
      <c r="E2329" s="1019"/>
      <c r="F2329" s="1019"/>
      <c r="G2329" s="1019"/>
      <c r="H2329" s="1019"/>
      <c r="I2329" s="1140"/>
    </row>
    <row r="2330" spans="1:9" x14ac:dyDescent="0.35">
      <c r="A2330" s="1019"/>
      <c r="B2330" s="1019"/>
      <c r="C2330" s="1019"/>
      <c r="D2330" s="3188"/>
      <c r="E2330" s="1019"/>
      <c r="F2330" s="1019"/>
      <c r="G2330" s="1019"/>
      <c r="H2330" s="1019"/>
      <c r="I2330" s="1140"/>
    </row>
    <row r="2331" spans="1:9" x14ac:dyDescent="0.35">
      <c r="A2331" s="1019"/>
      <c r="B2331" s="1019"/>
      <c r="C2331" s="1019"/>
      <c r="D2331" s="3188"/>
      <c r="E2331" s="1019"/>
      <c r="F2331" s="1019"/>
      <c r="G2331" s="1019"/>
      <c r="H2331" s="1019"/>
      <c r="I2331" s="1140"/>
    </row>
    <row r="2332" spans="1:9" x14ac:dyDescent="0.35">
      <c r="A2332" s="1019"/>
      <c r="B2332" s="1019"/>
      <c r="C2332" s="1019"/>
      <c r="D2332" s="3188"/>
      <c r="E2332" s="1019"/>
      <c r="F2332" s="1019"/>
      <c r="G2332" s="1019"/>
      <c r="H2332" s="1019"/>
      <c r="I2332" s="1140"/>
    </row>
    <row r="2333" spans="1:9" x14ac:dyDescent="0.35">
      <c r="A2333" s="1019"/>
      <c r="B2333" s="1019"/>
      <c r="C2333" s="1019"/>
      <c r="D2333" s="3188"/>
      <c r="E2333" s="1019"/>
      <c r="F2333" s="1019"/>
      <c r="G2333" s="1019"/>
      <c r="H2333" s="1019"/>
      <c r="I2333" s="1140"/>
    </row>
    <row r="2334" spans="1:9" x14ac:dyDescent="0.35">
      <c r="A2334" s="1019"/>
      <c r="B2334" s="1019"/>
      <c r="C2334" s="1019"/>
      <c r="D2334" s="3188"/>
      <c r="E2334" s="1019"/>
      <c r="F2334" s="1019"/>
      <c r="G2334" s="1019"/>
      <c r="H2334" s="1019"/>
      <c r="I2334" s="1140"/>
    </row>
    <row r="2335" spans="1:9" x14ac:dyDescent="0.35">
      <c r="A2335" s="1019"/>
      <c r="B2335" s="1019"/>
      <c r="C2335" s="1019"/>
      <c r="D2335" s="3188"/>
      <c r="E2335" s="1019"/>
      <c r="F2335" s="1019"/>
      <c r="G2335" s="1019"/>
      <c r="H2335" s="1019"/>
      <c r="I2335" s="1140"/>
    </row>
    <row r="2336" spans="1:9" x14ac:dyDescent="0.35">
      <c r="A2336" s="1019"/>
      <c r="B2336" s="1019"/>
      <c r="C2336" s="1019"/>
      <c r="D2336" s="3188"/>
      <c r="E2336" s="1019"/>
      <c r="F2336" s="1019"/>
      <c r="G2336" s="1019"/>
      <c r="H2336" s="1019"/>
      <c r="I2336" s="1140"/>
    </row>
    <row r="2337" spans="1:9" x14ac:dyDescent="0.35">
      <c r="A2337" s="1019"/>
      <c r="B2337" s="1019"/>
      <c r="C2337" s="1019"/>
      <c r="D2337" s="3188"/>
      <c r="E2337" s="1019"/>
      <c r="F2337" s="1019"/>
      <c r="G2337" s="1019"/>
      <c r="H2337" s="1019"/>
      <c r="I2337" s="1140"/>
    </row>
    <row r="2338" spans="1:9" x14ac:dyDescent="0.35">
      <c r="A2338" s="1019"/>
      <c r="B2338" s="1019"/>
      <c r="C2338" s="1019"/>
      <c r="D2338" s="3188"/>
      <c r="E2338" s="1019"/>
      <c r="F2338" s="1019"/>
      <c r="G2338" s="1019"/>
      <c r="H2338" s="1019"/>
      <c r="I2338" s="1140"/>
    </row>
    <row r="2339" spans="1:9" x14ac:dyDescent="0.35">
      <c r="A2339" s="1019"/>
      <c r="B2339" s="1019"/>
      <c r="C2339" s="1019"/>
      <c r="D2339" s="3188"/>
      <c r="E2339" s="1019"/>
      <c r="F2339" s="1019"/>
      <c r="G2339" s="1019"/>
      <c r="H2339" s="1019"/>
      <c r="I2339" s="1140"/>
    </row>
    <row r="2340" spans="1:9" x14ac:dyDescent="0.35">
      <c r="A2340" s="1019"/>
      <c r="B2340" s="1019"/>
      <c r="C2340" s="1019"/>
      <c r="D2340" s="3188"/>
      <c r="E2340" s="1019"/>
      <c r="F2340" s="1019"/>
      <c r="G2340" s="1019"/>
      <c r="H2340" s="1019"/>
      <c r="I2340" s="1140"/>
    </row>
    <row r="2341" spans="1:9" x14ac:dyDescent="0.35">
      <c r="A2341" s="1019"/>
      <c r="B2341" s="1019"/>
      <c r="C2341" s="1019"/>
      <c r="D2341" s="3188"/>
      <c r="E2341" s="1019"/>
      <c r="F2341" s="1019"/>
      <c r="G2341" s="1019"/>
      <c r="H2341" s="1019"/>
      <c r="I2341" s="1140"/>
    </row>
    <row r="2342" spans="1:9" x14ac:dyDescent="0.35">
      <c r="A2342" s="1019"/>
      <c r="B2342" s="1019"/>
      <c r="C2342" s="1019"/>
      <c r="D2342" s="3188"/>
      <c r="E2342" s="1019"/>
      <c r="F2342" s="1019"/>
      <c r="G2342" s="1019"/>
      <c r="H2342" s="1019"/>
      <c r="I2342" s="1140"/>
    </row>
    <row r="2343" spans="1:9" x14ac:dyDescent="0.35">
      <c r="A2343" s="1019"/>
      <c r="B2343" s="1019"/>
      <c r="C2343" s="1019"/>
      <c r="D2343" s="3188"/>
      <c r="E2343" s="1019"/>
      <c r="F2343" s="1019"/>
      <c r="G2343" s="1019"/>
      <c r="H2343" s="1019"/>
      <c r="I2343" s="1140"/>
    </row>
    <row r="2344" spans="1:9" x14ac:dyDescent="0.35">
      <c r="A2344" s="1019"/>
      <c r="B2344" s="1019"/>
      <c r="C2344" s="1019"/>
      <c r="D2344" s="3188"/>
      <c r="E2344" s="1019"/>
      <c r="F2344" s="1019"/>
      <c r="G2344" s="1019"/>
      <c r="H2344" s="1019"/>
      <c r="I2344" s="1140"/>
    </row>
    <row r="2345" spans="1:9" x14ac:dyDescent="0.35">
      <c r="A2345" s="1019"/>
      <c r="B2345" s="1019"/>
      <c r="C2345" s="1019"/>
      <c r="D2345" s="3188"/>
      <c r="E2345" s="1019"/>
      <c r="F2345" s="1019"/>
      <c r="G2345" s="1019"/>
      <c r="H2345" s="1019"/>
      <c r="I2345" s="1140"/>
    </row>
    <row r="2346" spans="1:9" x14ac:dyDescent="0.35">
      <c r="A2346" s="1019"/>
      <c r="B2346" s="1019"/>
      <c r="C2346" s="1019"/>
      <c r="D2346" s="3188"/>
      <c r="E2346" s="1019"/>
      <c r="F2346" s="1019"/>
      <c r="G2346" s="1019"/>
      <c r="H2346" s="1019"/>
      <c r="I2346" s="1140"/>
    </row>
    <row r="2347" spans="1:9" x14ac:dyDescent="0.35">
      <c r="A2347" s="1019"/>
      <c r="B2347" s="1019"/>
      <c r="C2347" s="1019"/>
      <c r="D2347" s="3188"/>
      <c r="E2347" s="1019"/>
      <c r="F2347" s="1019"/>
      <c r="G2347" s="1019"/>
      <c r="H2347" s="1019"/>
      <c r="I2347" s="1140"/>
    </row>
    <row r="2348" spans="1:9" x14ac:dyDescent="0.35">
      <c r="A2348" s="1019"/>
      <c r="B2348" s="1019"/>
      <c r="C2348" s="1019"/>
      <c r="D2348" s="3188"/>
      <c r="E2348" s="1019"/>
      <c r="F2348" s="1019"/>
      <c r="G2348" s="1019"/>
      <c r="H2348" s="1019"/>
      <c r="I2348" s="1140"/>
    </row>
    <row r="2349" spans="1:9" x14ac:dyDescent="0.35">
      <c r="A2349" s="1019"/>
      <c r="B2349" s="1019"/>
      <c r="C2349" s="1019"/>
      <c r="D2349" s="3188"/>
      <c r="E2349" s="1019"/>
      <c r="F2349" s="1019"/>
      <c r="G2349" s="1019"/>
      <c r="H2349" s="1019"/>
      <c r="I2349" s="1140"/>
    </row>
    <row r="2350" spans="1:9" x14ac:dyDescent="0.35">
      <c r="A2350" s="1019"/>
      <c r="B2350" s="1019"/>
      <c r="C2350" s="1019"/>
      <c r="D2350" s="3188"/>
      <c r="E2350" s="1019"/>
      <c r="F2350" s="1019"/>
      <c r="G2350" s="1019"/>
      <c r="H2350" s="1019"/>
      <c r="I2350" s="1140"/>
    </row>
    <row r="2351" spans="1:9" x14ac:dyDescent="0.35">
      <c r="A2351" s="1019"/>
      <c r="B2351" s="1019"/>
      <c r="C2351" s="1019"/>
      <c r="D2351" s="3188"/>
      <c r="E2351" s="1019"/>
      <c r="F2351" s="1019"/>
      <c r="G2351" s="1019"/>
      <c r="H2351" s="1019"/>
      <c r="I2351" s="1140"/>
    </row>
    <row r="2352" spans="1:9" x14ac:dyDescent="0.35">
      <c r="A2352" s="1019"/>
      <c r="B2352" s="1019"/>
      <c r="C2352" s="1019"/>
      <c r="D2352" s="3188"/>
      <c r="E2352" s="1019"/>
      <c r="F2352" s="1019"/>
      <c r="G2352" s="1019"/>
      <c r="H2352" s="1019"/>
      <c r="I2352" s="1140"/>
    </row>
    <row r="2353" spans="1:9" x14ac:dyDescent="0.35">
      <c r="A2353" s="1019"/>
      <c r="B2353" s="1019"/>
      <c r="C2353" s="1019"/>
      <c r="D2353" s="3188"/>
      <c r="E2353" s="1019"/>
      <c r="F2353" s="1019"/>
      <c r="G2353" s="1019"/>
      <c r="H2353" s="1019"/>
      <c r="I2353" s="1140"/>
    </row>
    <row r="2354" spans="1:9" x14ac:dyDescent="0.35">
      <c r="A2354" s="1019"/>
      <c r="B2354" s="1019"/>
      <c r="C2354" s="1019"/>
      <c r="D2354" s="3188"/>
      <c r="E2354" s="1019"/>
      <c r="F2354" s="1019"/>
      <c r="G2354" s="1019"/>
      <c r="H2354" s="1019"/>
      <c r="I2354" s="1140"/>
    </row>
    <row r="2355" spans="1:9" x14ac:dyDescent="0.35">
      <c r="A2355" s="1019"/>
      <c r="B2355" s="1019"/>
      <c r="C2355" s="1019"/>
      <c r="D2355" s="3188"/>
      <c r="E2355" s="1019"/>
      <c r="F2355" s="1019"/>
      <c r="G2355" s="1019"/>
      <c r="H2355" s="1019"/>
      <c r="I2355" s="1140"/>
    </row>
    <row r="2356" spans="1:9" x14ac:dyDescent="0.35">
      <c r="A2356" s="1019"/>
      <c r="B2356" s="1019"/>
      <c r="C2356" s="1019"/>
      <c r="D2356" s="3188"/>
      <c r="E2356" s="1019"/>
      <c r="F2356" s="1019"/>
      <c r="G2356" s="1019"/>
      <c r="H2356" s="1019"/>
      <c r="I2356" s="1140"/>
    </row>
    <row r="2357" spans="1:9" x14ac:dyDescent="0.35">
      <c r="A2357" s="1019"/>
      <c r="B2357" s="1019"/>
      <c r="C2357" s="1019"/>
      <c r="D2357" s="3188"/>
      <c r="E2357" s="1019"/>
      <c r="F2357" s="1019"/>
      <c r="G2357" s="1019"/>
      <c r="H2357" s="1019"/>
      <c r="I2357" s="1140"/>
    </row>
    <row r="2358" spans="1:9" x14ac:dyDescent="0.35">
      <c r="A2358" s="1019"/>
      <c r="B2358" s="1019"/>
      <c r="C2358" s="1019"/>
      <c r="D2358" s="3188"/>
      <c r="E2358" s="1019"/>
      <c r="F2358" s="1019"/>
      <c r="G2358" s="1019"/>
      <c r="H2358" s="1019"/>
      <c r="I2358" s="1140"/>
    </row>
    <row r="2359" spans="1:9" x14ac:dyDescent="0.35">
      <c r="A2359" s="1019"/>
      <c r="B2359" s="1019"/>
      <c r="C2359" s="1019"/>
      <c r="D2359" s="3188"/>
      <c r="E2359" s="1019"/>
      <c r="F2359" s="1019"/>
      <c r="G2359" s="1019"/>
      <c r="H2359" s="1019"/>
      <c r="I2359" s="1140"/>
    </row>
    <row r="2360" spans="1:9" x14ac:dyDescent="0.35">
      <c r="A2360" s="1019"/>
      <c r="B2360" s="1019"/>
      <c r="C2360" s="1019"/>
      <c r="D2360" s="3188"/>
      <c r="E2360" s="1019"/>
      <c r="F2360" s="1019"/>
      <c r="G2360" s="1019"/>
      <c r="H2360" s="1019"/>
      <c r="I2360" s="1140"/>
    </row>
    <row r="2361" spans="1:9" x14ac:dyDescent="0.35">
      <c r="A2361" s="1019"/>
      <c r="B2361" s="1019"/>
      <c r="C2361" s="1019"/>
      <c r="D2361" s="3188"/>
      <c r="E2361" s="1019"/>
      <c r="F2361" s="1019"/>
      <c r="G2361" s="1019"/>
      <c r="H2361" s="1019"/>
      <c r="I2361" s="1140"/>
    </row>
    <row r="2362" spans="1:9" x14ac:dyDescent="0.35">
      <c r="A2362" s="1019"/>
      <c r="B2362" s="1019"/>
      <c r="C2362" s="1019"/>
      <c r="D2362" s="3188"/>
      <c r="E2362" s="1019"/>
      <c r="F2362" s="1019"/>
      <c r="G2362" s="1019"/>
      <c r="H2362" s="1019"/>
      <c r="I2362" s="1140"/>
    </row>
    <row r="2363" spans="1:9" x14ac:dyDescent="0.35">
      <c r="A2363" s="1019"/>
      <c r="B2363" s="1019"/>
      <c r="C2363" s="1019"/>
      <c r="D2363" s="3188"/>
      <c r="E2363" s="1019"/>
      <c r="F2363" s="1019"/>
      <c r="G2363" s="1019"/>
      <c r="H2363" s="1019"/>
      <c r="I2363" s="1140"/>
    </row>
    <row r="2364" spans="1:9" x14ac:dyDescent="0.35">
      <c r="A2364" s="1019"/>
      <c r="B2364" s="1019"/>
      <c r="C2364" s="1019"/>
      <c r="D2364" s="3188"/>
      <c r="E2364" s="1019"/>
      <c r="F2364" s="1019"/>
      <c r="G2364" s="1019"/>
      <c r="H2364" s="1019"/>
      <c r="I2364" s="1140"/>
    </row>
    <row r="2365" spans="1:9" x14ac:dyDescent="0.35">
      <c r="A2365" s="1019"/>
      <c r="B2365" s="1019"/>
      <c r="C2365" s="1019"/>
      <c r="D2365" s="3188"/>
      <c r="E2365" s="1019"/>
      <c r="F2365" s="1019"/>
      <c r="G2365" s="1019"/>
      <c r="H2365" s="1019"/>
      <c r="I2365" s="1140"/>
    </row>
    <row r="2366" spans="1:9" x14ac:dyDescent="0.35">
      <c r="A2366" s="1019"/>
      <c r="B2366" s="1019"/>
      <c r="C2366" s="1019"/>
      <c r="D2366" s="3188"/>
      <c r="E2366" s="1019"/>
      <c r="F2366" s="1019"/>
      <c r="G2366" s="1019"/>
      <c r="H2366" s="1019"/>
      <c r="I2366" s="1140"/>
    </row>
    <row r="2367" spans="1:9" x14ac:dyDescent="0.35">
      <c r="A2367" s="1019"/>
      <c r="B2367" s="1019"/>
      <c r="C2367" s="1019"/>
      <c r="D2367" s="3188"/>
      <c r="E2367" s="1019"/>
      <c r="F2367" s="1019"/>
      <c r="G2367" s="1019"/>
      <c r="H2367" s="1019"/>
      <c r="I2367" s="1140"/>
    </row>
    <row r="2368" spans="1:9" x14ac:dyDescent="0.35">
      <c r="A2368" s="1019"/>
      <c r="B2368" s="1019"/>
      <c r="C2368" s="1019"/>
      <c r="D2368" s="3188"/>
      <c r="E2368" s="1019"/>
      <c r="F2368" s="1019"/>
      <c r="G2368" s="1019"/>
      <c r="H2368" s="1019"/>
      <c r="I2368" s="1140"/>
    </row>
    <row r="2369" spans="1:9" x14ac:dyDescent="0.35">
      <c r="A2369" s="1019"/>
      <c r="B2369" s="1019"/>
      <c r="C2369" s="1019"/>
      <c r="D2369" s="3188"/>
      <c r="E2369" s="1019"/>
      <c r="F2369" s="1019"/>
      <c r="G2369" s="1019"/>
      <c r="H2369" s="1019"/>
      <c r="I2369" s="1140"/>
    </row>
    <row r="2370" spans="1:9" x14ac:dyDescent="0.35">
      <c r="A2370" s="1019"/>
      <c r="B2370" s="1019"/>
      <c r="C2370" s="1019"/>
      <c r="D2370" s="3188"/>
      <c r="E2370" s="1019"/>
      <c r="F2370" s="1019"/>
      <c r="G2370" s="1019"/>
      <c r="H2370" s="1019"/>
      <c r="I2370" s="1140"/>
    </row>
    <row r="2371" spans="1:9" x14ac:dyDescent="0.35">
      <c r="A2371" s="1019"/>
      <c r="B2371" s="1019"/>
      <c r="C2371" s="1019"/>
      <c r="D2371" s="3188"/>
      <c r="E2371" s="1019"/>
      <c r="F2371" s="1019"/>
      <c r="G2371" s="1019"/>
      <c r="H2371" s="1019"/>
      <c r="I2371" s="1140"/>
    </row>
    <row r="2372" spans="1:9" x14ac:dyDescent="0.35">
      <c r="A2372" s="1019"/>
      <c r="B2372" s="1019"/>
      <c r="C2372" s="1019"/>
      <c r="D2372" s="3188"/>
      <c r="E2372" s="1019"/>
      <c r="F2372" s="1019"/>
      <c r="G2372" s="1019"/>
      <c r="H2372" s="1019"/>
      <c r="I2372" s="1140"/>
    </row>
    <row r="2373" spans="1:9" x14ac:dyDescent="0.35">
      <c r="A2373" s="1019"/>
      <c r="B2373" s="1019"/>
      <c r="C2373" s="1019"/>
      <c r="D2373" s="3188"/>
      <c r="E2373" s="1019"/>
      <c r="F2373" s="1019"/>
      <c r="G2373" s="1019"/>
      <c r="H2373" s="1019"/>
      <c r="I2373" s="1140"/>
    </row>
    <row r="2374" spans="1:9" x14ac:dyDescent="0.35">
      <c r="A2374" s="1019"/>
      <c r="B2374" s="1019"/>
      <c r="C2374" s="1019"/>
      <c r="D2374" s="3188"/>
      <c r="E2374" s="1019"/>
      <c r="F2374" s="1019"/>
      <c r="G2374" s="1019"/>
      <c r="H2374" s="1019"/>
      <c r="I2374" s="1140"/>
    </row>
    <row r="2375" spans="1:9" x14ac:dyDescent="0.35">
      <c r="A2375" s="1019"/>
      <c r="B2375" s="1019"/>
      <c r="C2375" s="1019"/>
      <c r="D2375" s="3188"/>
      <c r="E2375" s="1019"/>
      <c r="F2375" s="1019"/>
      <c r="G2375" s="1019"/>
      <c r="H2375" s="1019"/>
      <c r="I2375" s="1140"/>
    </row>
    <row r="2376" spans="1:9" x14ac:dyDescent="0.35">
      <c r="A2376" s="1019"/>
      <c r="B2376" s="1019"/>
      <c r="C2376" s="1019"/>
      <c r="D2376" s="3188"/>
      <c r="E2376" s="1019"/>
      <c r="F2376" s="1019"/>
      <c r="G2376" s="1019"/>
      <c r="H2376" s="1019"/>
      <c r="I2376" s="1140"/>
    </row>
    <row r="2377" spans="1:9" x14ac:dyDescent="0.35">
      <c r="A2377" s="1019"/>
      <c r="B2377" s="1019"/>
      <c r="C2377" s="1019"/>
      <c r="D2377" s="3188"/>
      <c r="E2377" s="1019"/>
      <c r="F2377" s="1019"/>
      <c r="G2377" s="1019"/>
      <c r="H2377" s="1019"/>
      <c r="I2377" s="1140"/>
    </row>
    <row r="2378" spans="1:9" x14ac:dyDescent="0.35">
      <c r="A2378" s="1019"/>
      <c r="B2378" s="1019"/>
      <c r="C2378" s="1019"/>
      <c r="D2378" s="3188"/>
      <c r="E2378" s="1019"/>
      <c r="F2378" s="1019"/>
      <c r="G2378" s="1019"/>
      <c r="H2378" s="1019"/>
      <c r="I2378" s="1140"/>
    </row>
    <row r="2379" spans="1:9" x14ac:dyDescent="0.35">
      <c r="A2379" s="1019"/>
      <c r="B2379" s="1019"/>
      <c r="C2379" s="1019"/>
      <c r="D2379" s="3188"/>
      <c r="E2379" s="1019"/>
      <c r="F2379" s="1019"/>
      <c r="G2379" s="1019"/>
      <c r="H2379" s="1019"/>
      <c r="I2379" s="1140"/>
    </row>
    <row r="2380" spans="1:9" x14ac:dyDescent="0.35">
      <c r="A2380" s="1019"/>
      <c r="B2380" s="1019"/>
      <c r="C2380" s="1019"/>
      <c r="D2380" s="3188"/>
      <c r="E2380" s="1019"/>
      <c r="F2380" s="1019"/>
      <c r="G2380" s="1019"/>
      <c r="H2380" s="1019"/>
      <c r="I2380" s="1140"/>
    </row>
    <row r="2381" spans="1:9" x14ac:dyDescent="0.35">
      <c r="A2381" s="1019"/>
      <c r="B2381" s="1019"/>
      <c r="C2381" s="1019"/>
      <c r="D2381" s="3188"/>
      <c r="E2381" s="1019"/>
      <c r="F2381" s="1019"/>
      <c r="G2381" s="1019"/>
      <c r="H2381" s="1019"/>
      <c r="I2381" s="1140"/>
    </row>
    <row r="2382" spans="1:9" x14ac:dyDescent="0.35">
      <c r="A2382" s="1019"/>
      <c r="B2382" s="1019"/>
      <c r="C2382" s="1019"/>
      <c r="D2382" s="3188"/>
      <c r="E2382" s="1019"/>
      <c r="F2382" s="1019"/>
      <c r="G2382" s="1019"/>
      <c r="H2382" s="1019"/>
      <c r="I2382" s="1140"/>
    </row>
    <row r="2383" spans="1:9" x14ac:dyDescent="0.35">
      <c r="A2383" s="1019"/>
      <c r="B2383" s="1019"/>
      <c r="C2383" s="1019"/>
      <c r="D2383" s="3188"/>
      <c r="E2383" s="1019"/>
      <c r="F2383" s="1019"/>
      <c r="G2383" s="1019"/>
      <c r="H2383" s="1019"/>
      <c r="I2383" s="1140"/>
    </row>
    <row r="2384" spans="1:9" x14ac:dyDescent="0.35">
      <c r="A2384" s="1019"/>
      <c r="B2384" s="1019"/>
      <c r="C2384" s="1019"/>
      <c r="D2384" s="3188"/>
      <c r="E2384" s="1019"/>
      <c r="F2384" s="1019"/>
      <c r="G2384" s="1019"/>
      <c r="H2384" s="1019"/>
      <c r="I2384" s="1140"/>
    </row>
    <row r="2385" spans="1:9" x14ac:dyDescent="0.35">
      <c r="A2385" s="1019"/>
      <c r="B2385" s="1019"/>
      <c r="C2385" s="1019"/>
      <c r="D2385" s="3188"/>
      <c r="E2385" s="1019"/>
      <c r="F2385" s="1019"/>
      <c r="G2385" s="1019"/>
      <c r="H2385" s="1019"/>
      <c r="I2385" s="1140"/>
    </row>
    <row r="2386" spans="1:9" x14ac:dyDescent="0.35">
      <c r="A2386" s="1019"/>
      <c r="B2386" s="1019"/>
      <c r="C2386" s="1019"/>
      <c r="D2386" s="3188"/>
      <c r="E2386" s="1019"/>
      <c r="F2386" s="1019"/>
      <c r="G2386" s="1019"/>
      <c r="H2386" s="1019"/>
      <c r="I2386" s="1140"/>
    </row>
    <row r="2387" spans="1:9" x14ac:dyDescent="0.35">
      <c r="A2387" s="1019"/>
      <c r="B2387" s="1019"/>
      <c r="C2387" s="1019"/>
      <c r="D2387" s="3188"/>
      <c r="E2387" s="1019"/>
      <c r="F2387" s="1019"/>
      <c r="G2387" s="1019"/>
      <c r="H2387" s="1019"/>
      <c r="I2387" s="1140"/>
    </row>
    <row r="2388" spans="1:9" x14ac:dyDescent="0.35">
      <c r="A2388" s="1019"/>
      <c r="B2388" s="1019"/>
      <c r="C2388" s="1019"/>
      <c r="D2388" s="3188"/>
      <c r="E2388" s="1019"/>
      <c r="F2388" s="1019"/>
      <c r="G2388" s="1019"/>
      <c r="H2388" s="1019"/>
      <c r="I2388" s="1140"/>
    </row>
    <row r="2389" spans="1:9" x14ac:dyDescent="0.35">
      <c r="A2389" s="1019"/>
      <c r="B2389" s="1019"/>
      <c r="C2389" s="1019"/>
      <c r="D2389" s="3188"/>
      <c r="E2389" s="1019"/>
      <c r="F2389" s="1019"/>
      <c r="G2389" s="1019"/>
      <c r="H2389" s="1019"/>
      <c r="I2389" s="1140"/>
    </row>
    <row r="2390" spans="1:9" x14ac:dyDescent="0.35">
      <c r="A2390" s="1019"/>
      <c r="B2390" s="1019"/>
      <c r="C2390" s="1019"/>
      <c r="D2390" s="3188"/>
      <c r="E2390" s="1019"/>
      <c r="F2390" s="1019"/>
      <c r="G2390" s="1019"/>
      <c r="H2390" s="1019"/>
      <c r="I2390" s="1140"/>
    </row>
    <row r="2391" spans="1:9" x14ac:dyDescent="0.35">
      <c r="A2391" s="1019"/>
      <c r="B2391" s="1019"/>
      <c r="C2391" s="1019"/>
      <c r="D2391" s="3188"/>
      <c r="E2391" s="1019"/>
      <c r="F2391" s="1019"/>
      <c r="G2391" s="1019"/>
      <c r="H2391" s="1019"/>
      <c r="I2391" s="1140"/>
    </row>
    <row r="2392" spans="1:9" x14ac:dyDescent="0.35">
      <c r="A2392" s="1019"/>
      <c r="B2392" s="1019"/>
      <c r="C2392" s="1019"/>
      <c r="D2392" s="3188"/>
      <c r="E2392" s="1019"/>
      <c r="F2392" s="1019"/>
      <c r="G2392" s="1019"/>
      <c r="H2392" s="1019"/>
      <c r="I2392" s="1140"/>
    </row>
    <row r="2393" spans="1:9" x14ac:dyDescent="0.35">
      <c r="A2393" s="1019"/>
      <c r="B2393" s="1019"/>
      <c r="C2393" s="1019"/>
      <c r="D2393" s="3188"/>
      <c r="E2393" s="1019"/>
      <c r="F2393" s="1019"/>
      <c r="G2393" s="1019"/>
      <c r="H2393" s="1019"/>
      <c r="I2393" s="1140"/>
    </row>
    <row r="2394" spans="1:9" x14ac:dyDescent="0.35">
      <c r="A2394" s="1019"/>
      <c r="B2394" s="1019"/>
      <c r="C2394" s="1019"/>
      <c r="D2394" s="3188"/>
      <c r="E2394" s="1019"/>
      <c r="F2394" s="1019"/>
      <c r="G2394" s="1019"/>
      <c r="H2394" s="1019"/>
      <c r="I2394" s="1140"/>
    </row>
    <row r="2395" spans="1:9" x14ac:dyDescent="0.35">
      <c r="A2395" s="1019"/>
      <c r="B2395" s="1019"/>
      <c r="C2395" s="1019"/>
      <c r="D2395" s="3188"/>
      <c r="E2395" s="1019"/>
      <c r="F2395" s="1019"/>
      <c r="G2395" s="1019"/>
      <c r="H2395" s="1019"/>
      <c r="I2395" s="1140"/>
    </row>
    <row r="2396" spans="1:9" x14ac:dyDescent="0.35">
      <c r="A2396" s="1019"/>
      <c r="B2396" s="1019"/>
      <c r="C2396" s="1019"/>
      <c r="D2396" s="3188"/>
      <c r="E2396" s="1019"/>
      <c r="F2396" s="1019"/>
      <c r="G2396" s="1019"/>
      <c r="H2396" s="1019"/>
      <c r="I2396" s="1140"/>
    </row>
    <row r="2397" spans="1:9" x14ac:dyDescent="0.35">
      <c r="A2397" s="1019"/>
      <c r="B2397" s="1019"/>
      <c r="C2397" s="1019"/>
      <c r="D2397" s="3188"/>
      <c r="E2397" s="1019"/>
      <c r="F2397" s="1019"/>
      <c r="G2397" s="1019"/>
      <c r="H2397" s="1019"/>
      <c r="I2397" s="1140"/>
    </row>
    <row r="2398" spans="1:9" x14ac:dyDescent="0.35">
      <c r="A2398" s="1019"/>
      <c r="B2398" s="1019"/>
      <c r="C2398" s="1019"/>
      <c r="D2398" s="3188"/>
      <c r="E2398" s="1019"/>
      <c r="F2398" s="1019"/>
      <c r="G2398" s="1019"/>
      <c r="H2398" s="1019"/>
      <c r="I2398" s="1140"/>
    </row>
    <row r="2399" spans="1:9" x14ac:dyDescent="0.35">
      <c r="A2399" s="1019"/>
      <c r="B2399" s="1019"/>
      <c r="C2399" s="1019"/>
      <c r="D2399" s="3188"/>
      <c r="E2399" s="1019"/>
      <c r="F2399" s="1019"/>
      <c r="G2399" s="1019"/>
      <c r="H2399" s="1019"/>
      <c r="I2399" s="1140"/>
    </row>
    <row r="2400" spans="1:9" x14ac:dyDescent="0.35">
      <c r="A2400" s="1019"/>
      <c r="B2400" s="1019"/>
      <c r="C2400" s="1019"/>
      <c r="D2400" s="3188"/>
      <c r="E2400" s="1019"/>
      <c r="F2400" s="1019"/>
      <c r="G2400" s="1019"/>
      <c r="H2400" s="1019"/>
      <c r="I2400" s="1140"/>
    </row>
    <row r="2401" spans="1:9" x14ac:dyDescent="0.35">
      <c r="A2401" s="1019"/>
      <c r="B2401" s="1019"/>
      <c r="C2401" s="1019"/>
      <c r="D2401" s="3188"/>
      <c r="E2401" s="1019"/>
      <c r="F2401" s="1019"/>
      <c r="G2401" s="1019"/>
      <c r="H2401" s="1019"/>
      <c r="I2401" s="1140"/>
    </row>
    <row r="2402" spans="1:9" x14ac:dyDescent="0.35">
      <c r="A2402" s="1019"/>
      <c r="B2402" s="1019"/>
      <c r="C2402" s="1019"/>
      <c r="D2402" s="3188"/>
      <c r="E2402" s="1019"/>
      <c r="F2402" s="1019"/>
      <c r="G2402" s="1019"/>
      <c r="H2402" s="1019"/>
      <c r="I2402" s="1140"/>
    </row>
    <row r="2403" spans="1:9" x14ac:dyDescent="0.35">
      <c r="A2403" s="1019"/>
      <c r="B2403" s="1019"/>
      <c r="C2403" s="1019"/>
      <c r="D2403" s="3188"/>
      <c r="E2403" s="1019"/>
      <c r="F2403" s="1019"/>
      <c r="G2403" s="1019"/>
      <c r="H2403" s="1019"/>
      <c r="I2403" s="1140"/>
    </row>
    <row r="2404" spans="1:9" x14ac:dyDescent="0.35">
      <c r="A2404" s="1019"/>
      <c r="B2404" s="1019"/>
      <c r="C2404" s="1019"/>
      <c r="D2404" s="3188"/>
      <c r="E2404" s="1019"/>
      <c r="F2404" s="1019"/>
      <c r="G2404" s="1019"/>
      <c r="H2404" s="1019"/>
      <c r="I2404" s="1140"/>
    </row>
    <row r="2405" spans="1:9" x14ac:dyDescent="0.35">
      <c r="A2405" s="1019"/>
      <c r="B2405" s="1019"/>
      <c r="C2405" s="1019"/>
      <c r="D2405" s="3188"/>
      <c r="E2405" s="1019"/>
      <c r="F2405" s="1019"/>
      <c r="G2405" s="1019"/>
      <c r="H2405" s="1019"/>
      <c r="I2405" s="1140"/>
    </row>
    <row r="2406" spans="1:9" x14ac:dyDescent="0.35">
      <c r="A2406" s="1019"/>
      <c r="B2406" s="1019"/>
      <c r="C2406" s="1019"/>
      <c r="D2406" s="3188"/>
      <c r="E2406" s="1019"/>
      <c r="F2406" s="1019"/>
      <c r="G2406" s="1019"/>
      <c r="H2406" s="1019"/>
      <c r="I2406" s="1140"/>
    </row>
    <row r="2407" spans="1:9" x14ac:dyDescent="0.35">
      <c r="A2407" s="1019"/>
      <c r="B2407" s="1019"/>
      <c r="C2407" s="1019"/>
      <c r="D2407" s="3188"/>
      <c r="E2407" s="1019"/>
      <c r="F2407" s="1019"/>
      <c r="G2407" s="1019"/>
      <c r="H2407" s="1019"/>
      <c r="I2407" s="1140"/>
    </row>
    <row r="2408" spans="1:9" x14ac:dyDescent="0.35">
      <c r="A2408" s="1019"/>
      <c r="B2408" s="1019"/>
      <c r="C2408" s="1019"/>
      <c r="D2408" s="3188"/>
      <c r="E2408" s="1019"/>
      <c r="F2408" s="1019"/>
      <c r="G2408" s="1019"/>
      <c r="H2408" s="1019"/>
      <c r="I2408" s="1140"/>
    </row>
    <row r="2409" spans="1:9" x14ac:dyDescent="0.35">
      <c r="A2409" s="1019"/>
      <c r="B2409" s="1019"/>
      <c r="C2409" s="1019"/>
      <c r="D2409" s="3188"/>
      <c r="E2409" s="1019"/>
      <c r="F2409" s="1019"/>
      <c r="G2409" s="1019"/>
      <c r="H2409" s="1019"/>
      <c r="I2409" s="1140"/>
    </row>
    <row r="2410" spans="1:9" x14ac:dyDescent="0.35">
      <c r="A2410" s="1019"/>
      <c r="B2410" s="1019"/>
      <c r="C2410" s="1019"/>
      <c r="D2410" s="3188"/>
      <c r="E2410" s="1019"/>
      <c r="F2410" s="1019"/>
      <c r="G2410" s="1019"/>
      <c r="H2410" s="1019"/>
      <c r="I2410" s="1140"/>
    </row>
    <row r="2411" spans="1:9" x14ac:dyDescent="0.35">
      <c r="A2411" s="1019"/>
      <c r="B2411" s="1019"/>
      <c r="C2411" s="1019"/>
      <c r="D2411" s="3188"/>
      <c r="E2411" s="1019"/>
      <c r="F2411" s="1019"/>
      <c r="G2411" s="1019"/>
      <c r="H2411" s="1019"/>
      <c r="I2411" s="1140"/>
    </row>
    <row r="2412" spans="1:9" x14ac:dyDescent="0.35">
      <c r="A2412" s="1019"/>
      <c r="B2412" s="1019"/>
      <c r="C2412" s="1019"/>
      <c r="D2412" s="3188"/>
      <c r="E2412" s="1019"/>
      <c r="F2412" s="1019"/>
      <c r="G2412" s="1019"/>
      <c r="H2412" s="1019"/>
      <c r="I2412" s="1140"/>
    </row>
    <row r="2413" spans="1:9" x14ac:dyDescent="0.35">
      <c r="A2413" s="1019"/>
      <c r="B2413" s="1019"/>
      <c r="C2413" s="1019"/>
      <c r="D2413" s="3188"/>
      <c r="E2413" s="1019"/>
      <c r="F2413" s="1019"/>
      <c r="G2413" s="1019"/>
      <c r="H2413" s="1019"/>
      <c r="I2413" s="1140"/>
    </row>
    <row r="2414" spans="1:9" x14ac:dyDescent="0.35">
      <c r="A2414" s="1019"/>
      <c r="B2414" s="1019"/>
      <c r="C2414" s="1019"/>
      <c r="D2414" s="3188"/>
      <c r="E2414" s="1019"/>
      <c r="F2414" s="1019"/>
      <c r="G2414" s="1019"/>
      <c r="H2414" s="1019"/>
      <c r="I2414" s="1140"/>
    </row>
    <row r="2415" spans="1:9" x14ac:dyDescent="0.35">
      <c r="A2415" s="1019"/>
      <c r="B2415" s="1019"/>
      <c r="C2415" s="1019"/>
      <c r="D2415" s="3188"/>
      <c r="E2415" s="1019"/>
      <c r="F2415" s="1019"/>
      <c r="G2415" s="1019"/>
      <c r="H2415" s="1019"/>
      <c r="I2415" s="1140"/>
    </row>
    <row r="2416" spans="1:9" x14ac:dyDescent="0.35">
      <c r="A2416" s="1019"/>
      <c r="B2416" s="1019"/>
      <c r="C2416" s="1019"/>
      <c r="D2416" s="3188"/>
      <c r="E2416" s="1019"/>
      <c r="F2416" s="1019"/>
      <c r="G2416" s="1019"/>
      <c r="H2416" s="1019"/>
      <c r="I2416" s="1140"/>
    </row>
    <row r="2417" spans="1:9" x14ac:dyDescent="0.35">
      <c r="A2417" s="1019"/>
      <c r="B2417" s="1019"/>
      <c r="C2417" s="1019"/>
      <c r="D2417" s="3188"/>
      <c r="E2417" s="1019"/>
      <c r="F2417" s="1019"/>
      <c r="G2417" s="1019"/>
      <c r="H2417" s="1019"/>
      <c r="I2417" s="1140"/>
    </row>
    <row r="2418" spans="1:9" x14ac:dyDescent="0.35">
      <c r="A2418" s="1019"/>
      <c r="B2418" s="1019"/>
      <c r="C2418" s="1019"/>
      <c r="D2418" s="3188"/>
      <c r="E2418" s="1019"/>
      <c r="F2418" s="1019"/>
      <c r="G2418" s="1019"/>
      <c r="H2418" s="1019"/>
      <c r="I2418" s="1140"/>
    </row>
    <row r="2419" spans="1:9" x14ac:dyDescent="0.35">
      <c r="A2419" s="1019"/>
      <c r="B2419" s="1019"/>
      <c r="C2419" s="1019"/>
      <c r="D2419" s="3188"/>
      <c r="E2419" s="1019"/>
      <c r="F2419" s="1019"/>
      <c r="G2419" s="1019"/>
      <c r="H2419" s="1019"/>
      <c r="I2419" s="1140"/>
    </row>
    <row r="2420" spans="1:9" x14ac:dyDescent="0.35">
      <c r="A2420" s="1019"/>
      <c r="B2420" s="1019"/>
      <c r="C2420" s="1019"/>
      <c r="D2420" s="3188"/>
      <c r="E2420" s="1019"/>
      <c r="F2420" s="1019"/>
      <c r="G2420" s="1019"/>
      <c r="H2420" s="1019"/>
      <c r="I2420" s="1140"/>
    </row>
    <row r="2421" spans="1:9" x14ac:dyDescent="0.35">
      <c r="A2421" s="1019"/>
      <c r="B2421" s="1019"/>
      <c r="C2421" s="1019"/>
      <c r="D2421" s="3188"/>
      <c r="E2421" s="1019"/>
      <c r="F2421" s="1019"/>
      <c r="G2421" s="1019"/>
      <c r="H2421" s="1019"/>
      <c r="I2421" s="1140"/>
    </row>
    <row r="2422" spans="1:9" x14ac:dyDescent="0.35">
      <c r="A2422" s="1019"/>
      <c r="B2422" s="1019"/>
      <c r="C2422" s="1019"/>
      <c r="D2422" s="3188"/>
      <c r="E2422" s="1019"/>
      <c r="F2422" s="1019"/>
      <c r="G2422" s="1019"/>
      <c r="H2422" s="1019"/>
      <c r="I2422" s="1140"/>
    </row>
    <row r="2423" spans="1:9" x14ac:dyDescent="0.35">
      <c r="A2423" s="1019"/>
      <c r="B2423" s="1019"/>
      <c r="C2423" s="1019"/>
      <c r="D2423" s="3188"/>
      <c r="E2423" s="1019"/>
      <c r="F2423" s="1019"/>
      <c r="G2423" s="1019"/>
      <c r="H2423" s="1019"/>
      <c r="I2423" s="1140"/>
    </row>
    <row r="2424" spans="1:9" x14ac:dyDescent="0.35">
      <c r="A2424" s="1019"/>
      <c r="B2424" s="1019"/>
      <c r="C2424" s="1019"/>
      <c r="D2424" s="3188"/>
      <c r="E2424" s="1019"/>
      <c r="F2424" s="1019"/>
      <c r="G2424" s="1019"/>
      <c r="H2424" s="1019"/>
      <c r="I2424" s="1140"/>
    </row>
    <row r="2425" spans="1:9" x14ac:dyDescent="0.35">
      <c r="A2425" s="1019"/>
      <c r="B2425" s="1019"/>
      <c r="C2425" s="1019"/>
      <c r="D2425" s="3188"/>
      <c r="E2425" s="1019"/>
      <c r="F2425" s="1019"/>
      <c r="G2425" s="1019"/>
      <c r="H2425" s="1019"/>
      <c r="I2425" s="1140"/>
    </row>
    <row r="2426" spans="1:9" x14ac:dyDescent="0.35">
      <c r="A2426" s="1019"/>
      <c r="B2426" s="1019"/>
      <c r="C2426" s="1019"/>
      <c r="D2426" s="3188"/>
      <c r="E2426" s="1019"/>
      <c r="F2426" s="1019"/>
      <c r="G2426" s="1019"/>
      <c r="H2426" s="1019"/>
      <c r="I2426" s="1140"/>
    </row>
    <row r="2427" spans="1:9" x14ac:dyDescent="0.35">
      <c r="A2427" s="1019"/>
      <c r="B2427" s="1019"/>
      <c r="C2427" s="1019"/>
      <c r="D2427" s="3188"/>
      <c r="E2427" s="1019"/>
      <c r="F2427" s="1019"/>
      <c r="G2427" s="1019"/>
      <c r="H2427" s="1019"/>
      <c r="I2427" s="1140"/>
    </row>
    <row r="2428" spans="1:9" x14ac:dyDescent="0.35">
      <c r="A2428" s="1019"/>
      <c r="B2428" s="1019"/>
      <c r="C2428" s="1019"/>
      <c r="D2428" s="3188"/>
      <c r="E2428" s="1019"/>
      <c r="F2428" s="1019"/>
      <c r="G2428" s="1019"/>
      <c r="H2428" s="1019"/>
      <c r="I2428" s="1140"/>
    </row>
    <row r="2429" spans="1:9" x14ac:dyDescent="0.35">
      <c r="A2429" s="1019"/>
      <c r="B2429" s="1019"/>
      <c r="C2429" s="1019"/>
      <c r="D2429" s="3188"/>
      <c r="E2429" s="1019"/>
      <c r="F2429" s="1019"/>
      <c r="G2429" s="1019"/>
      <c r="H2429" s="1019"/>
      <c r="I2429" s="1140"/>
    </row>
    <row r="2430" spans="1:9" x14ac:dyDescent="0.35">
      <c r="A2430" s="1019"/>
      <c r="B2430" s="1019"/>
      <c r="C2430" s="1019"/>
      <c r="D2430" s="3188"/>
      <c r="E2430" s="1019"/>
      <c r="F2430" s="1019"/>
      <c r="G2430" s="1019"/>
      <c r="H2430" s="1019"/>
      <c r="I2430" s="1140"/>
    </row>
    <row r="2431" spans="1:9" x14ac:dyDescent="0.35">
      <c r="A2431" s="1019"/>
      <c r="B2431" s="1019"/>
      <c r="C2431" s="1019"/>
      <c r="D2431" s="3188"/>
      <c r="E2431" s="1019"/>
      <c r="F2431" s="1019"/>
      <c r="G2431" s="1019"/>
      <c r="H2431" s="1019"/>
      <c r="I2431" s="1140"/>
    </row>
    <row r="2432" spans="1:9" x14ac:dyDescent="0.35">
      <c r="A2432" s="1019"/>
      <c r="B2432" s="1019"/>
      <c r="C2432" s="1019"/>
      <c r="D2432" s="3188"/>
      <c r="E2432" s="1019"/>
      <c r="F2432" s="1019"/>
      <c r="G2432" s="1019"/>
      <c r="H2432" s="1019"/>
      <c r="I2432" s="1140"/>
    </row>
    <row r="2433" spans="1:9" x14ac:dyDescent="0.35">
      <c r="A2433" s="1019"/>
      <c r="B2433" s="1019"/>
      <c r="C2433" s="1019"/>
      <c r="D2433" s="3188"/>
      <c r="E2433" s="1019"/>
      <c r="F2433" s="1019"/>
      <c r="G2433" s="1019"/>
      <c r="H2433" s="1019"/>
      <c r="I2433" s="1140"/>
    </row>
    <row r="2434" spans="1:9" x14ac:dyDescent="0.35">
      <c r="A2434" s="1019"/>
      <c r="B2434" s="1019"/>
      <c r="C2434" s="1019"/>
      <c r="D2434" s="3188"/>
      <c r="E2434" s="1019"/>
      <c r="F2434" s="1019"/>
      <c r="G2434" s="1019"/>
      <c r="H2434" s="1019"/>
      <c r="I2434" s="1140"/>
    </row>
    <row r="2435" spans="1:9" x14ac:dyDescent="0.35">
      <c r="A2435" s="1019"/>
      <c r="B2435" s="1019"/>
      <c r="C2435" s="1019"/>
      <c r="D2435" s="3188"/>
      <c r="E2435" s="1019"/>
      <c r="F2435" s="1019"/>
      <c r="G2435" s="1019"/>
      <c r="H2435" s="1019"/>
      <c r="I2435" s="1140"/>
    </row>
    <row r="2436" spans="1:9" x14ac:dyDescent="0.35">
      <c r="A2436" s="1019"/>
      <c r="B2436" s="1019"/>
      <c r="C2436" s="1019"/>
      <c r="D2436" s="3188"/>
      <c r="E2436" s="1019"/>
      <c r="F2436" s="1019"/>
      <c r="G2436" s="1019"/>
      <c r="H2436" s="1019"/>
      <c r="I2436" s="1140"/>
    </row>
    <row r="2437" spans="1:9" x14ac:dyDescent="0.35">
      <c r="A2437" s="1019"/>
      <c r="B2437" s="1019"/>
      <c r="C2437" s="1019"/>
      <c r="D2437" s="3188"/>
      <c r="E2437" s="1019"/>
      <c r="F2437" s="1019"/>
      <c r="G2437" s="1019"/>
      <c r="H2437" s="1019"/>
      <c r="I2437" s="1140"/>
    </row>
    <row r="2438" spans="1:9" x14ac:dyDescent="0.35">
      <c r="A2438" s="1019"/>
      <c r="B2438" s="1019"/>
      <c r="C2438" s="1019"/>
      <c r="D2438" s="3188"/>
      <c r="E2438" s="1019"/>
      <c r="F2438" s="1019"/>
      <c r="G2438" s="1019"/>
      <c r="H2438" s="1019"/>
      <c r="I2438" s="1140"/>
    </row>
    <row r="2439" spans="1:9" x14ac:dyDescent="0.35">
      <c r="A2439" s="1019"/>
      <c r="B2439" s="1019"/>
      <c r="C2439" s="1019"/>
      <c r="D2439" s="3188"/>
      <c r="E2439" s="1019"/>
      <c r="F2439" s="1019"/>
      <c r="G2439" s="1019"/>
      <c r="H2439" s="1019"/>
      <c r="I2439" s="1140"/>
    </row>
    <row r="2440" spans="1:9" x14ac:dyDescent="0.35">
      <c r="A2440" s="1019"/>
      <c r="B2440" s="1019"/>
      <c r="C2440" s="1019"/>
      <c r="D2440" s="3188"/>
      <c r="E2440" s="1019"/>
      <c r="F2440" s="1019"/>
      <c r="G2440" s="1019"/>
      <c r="H2440" s="1019"/>
      <c r="I2440" s="1140"/>
    </row>
    <row r="2441" spans="1:9" x14ac:dyDescent="0.35">
      <c r="A2441" s="1019"/>
      <c r="B2441" s="1019"/>
      <c r="C2441" s="1019"/>
      <c r="D2441" s="3188"/>
      <c r="E2441" s="1019"/>
      <c r="F2441" s="1019"/>
      <c r="G2441" s="1019"/>
      <c r="H2441" s="1019"/>
      <c r="I2441" s="1140"/>
    </row>
    <row r="2442" spans="1:9" x14ac:dyDescent="0.35">
      <c r="A2442" s="1019"/>
      <c r="B2442" s="1019"/>
      <c r="C2442" s="1019"/>
      <c r="D2442" s="3188"/>
      <c r="E2442" s="1019"/>
      <c r="F2442" s="1019"/>
      <c r="G2442" s="1019"/>
      <c r="H2442" s="1019"/>
      <c r="I2442" s="1140"/>
    </row>
    <row r="2443" spans="1:9" x14ac:dyDescent="0.35">
      <c r="A2443" s="1019"/>
      <c r="B2443" s="1019"/>
      <c r="C2443" s="1019"/>
      <c r="D2443" s="3188"/>
      <c r="E2443" s="1019"/>
      <c r="F2443" s="1019"/>
      <c r="G2443" s="1019"/>
      <c r="H2443" s="1019"/>
      <c r="I2443" s="1140"/>
    </row>
    <row r="2444" spans="1:9" x14ac:dyDescent="0.35">
      <c r="A2444" s="1019"/>
      <c r="B2444" s="1019"/>
      <c r="C2444" s="1019"/>
      <c r="D2444" s="3188"/>
      <c r="E2444" s="1019"/>
      <c r="F2444" s="1019"/>
      <c r="G2444" s="1019"/>
      <c r="H2444" s="1019"/>
      <c r="I2444" s="1140"/>
    </row>
    <row r="2445" spans="1:9" x14ac:dyDescent="0.35">
      <c r="A2445" s="1019"/>
      <c r="B2445" s="1019"/>
      <c r="C2445" s="1019"/>
      <c r="D2445" s="3188"/>
      <c r="E2445" s="1019"/>
      <c r="F2445" s="1019"/>
      <c r="G2445" s="1019"/>
      <c r="H2445" s="1019"/>
      <c r="I2445" s="1140"/>
    </row>
    <row r="2446" spans="1:9" x14ac:dyDescent="0.35">
      <c r="A2446" s="1019"/>
      <c r="B2446" s="1019"/>
      <c r="C2446" s="1019"/>
      <c r="D2446" s="3188"/>
      <c r="E2446" s="1019"/>
      <c r="F2446" s="1019"/>
      <c r="G2446" s="1019"/>
      <c r="H2446" s="1019"/>
      <c r="I2446" s="1140"/>
    </row>
    <row r="2447" spans="1:9" x14ac:dyDescent="0.35">
      <c r="A2447" s="1019"/>
      <c r="B2447" s="1019"/>
      <c r="C2447" s="1019"/>
      <c r="D2447" s="3188"/>
      <c r="E2447" s="1019"/>
      <c r="F2447" s="1019"/>
      <c r="G2447" s="1019"/>
      <c r="H2447" s="1019"/>
      <c r="I2447" s="1140"/>
    </row>
    <row r="2448" spans="1:9" x14ac:dyDescent="0.35">
      <c r="A2448" s="1019"/>
      <c r="B2448" s="1019"/>
      <c r="C2448" s="1019"/>
      <c r="D2448" s="3188"/>
      <c r="E2448" s="1019"/>
      <c r="F2448" s="1019"/>
      <c r="G2448" s="1019"/>
      <c r="H2448" s="1019"/>
      <c r="I2448" s="1140"/>
    </row>
    <row r="2449" spans="1:9" x14ac:dyDescent="0.35">
      <c r="A2449" s="1019"/>
      <c r="B2449" s="1019"/>
      <c r="C2449" s="1019"/>
      <c r="D2449" s="3188"/>
      <c r="E2449" s="1019"/>
      <c r="F2449" s="1019"/>
      <c r="G2449" s="1019"/>
      <c r="H2449" s="1019"/>
      <c r="I2449" s="1140"/>
    </row>
    <row r="2450" spans="1:9" x14ac:dyDescent="0.35">
      <c r="A2450" s="1019"/>
      <c r="B2450" s="1019"/>
      <c r="C2450" s="1019"/>
      <c r="D2450" s="3188"/>
      <c r="E2450" s="1019"/>
      <c r="F2450" s="1019"/>
      <c r="G2450" s="1019"/>
      <c r="H2450" s="1019"/>
      <c r="I2450" s="1140"/>
    </row>
    <row r="2451" spans="1:9" x14ac:dyDescent="0.35">
      <c r="A2451" s="1019"/>
      <c r="B2451" s="1019"/>
      <c r="C2451" s="1019"/>
      <c r="D2451" s="3188"/>
      <c r="E2451" s="1019"/>
      <c r="F2451" s="1019"/>
      <c r="G2451" s="1019"/>
      <c r="H2451" s="1019"/>
      <c r="I2451" s="1140"/>
    </row>
    <row r="2452" spans="1:9" x14ac:dyDescent="0.35">
      <c r="A2452" s="1019"/>
      <c r="B2452" s="1019"/>
      <c r="C2452" s="1019"/>
      <c r="D2452" s="3188"/>
      <c r="E2452" s="1019"/>
      <c r="F2452" s="1019"/>
      <c r="G2452" s="1019"/>
      <c r="H2452" s="1019"/>
      <c r="I2452" s="1140"/>
    </row>
    <row r="2453" spans="1:9" x14ac:dyDescent="0.35">
      <c r="A2453" s="1019"/>
      <c r="B2453" s="1019"/>
      <c r="C2453" s="1019"/>
      <c r="D2453" s="3188"/>
      <c r="E2453" s="1019"/>
      <c r="F2453" s="1019"/>
      <c r="G2453" s="1019"/>
      <c r="H2453" s="1019"/>
      <c r="I2453" s="1140"/>
    </row>
    <row r="2454" spans="1:9" x14ac:dyDescent="0.35">
      <c r="A2454" s="1019"/>
      <c r="B2454" s="1019"/>
      <c r="C2454" s="1019"/>
      <c r="D2454" s="3188"/>
      <c r="E2454" s="1019"/>
      <c r="F2454" s="1019"/>
      <c r="G2454" s="1019"/>
      <c r="H2454" s="1019"/>
      <c r="I2454" s="1140"/>
    </row>
    <row r="2455" spans="1:9" x14ac:dyDescent="0.35">
      <c r="A2455" s="1019"/>
      <c r="B2455" s="1019"/>
      <c r="C2455" s="1019"/>
      <c r="D2455" s="3188"/>
      <c r="E2455" s="1019"/>
      <c r="F2455" s="1019"/>
      <c r="G2455" s="1019"/>
      <c r="H2455" s="1019"/>
      <c r="I2455" s="1140"/>
    </row>
    <row r="2456" spans="1:9" x14ac:dyDescent="0.35">
      <c r="A2456" s="1019"/>
      <c r="B2456" s="1019"/>
      <c r="C2456" s="1019"/>
      <c r="D2456" s="3188"/>
      <c r="E2456" s="1019"/>
      <c r="F2456" s="1019"/>
      <c r="G2456" s="1019"/>
      <c r="H2456" s="1019"/>
      <c r="I2456" s="1140"/>
    </row>
    <row r="2457" spans="1:9" x14ac:dyDescent="0.35">
      <c r="A2457" s="1019"/>
      <c r="B2457" s="1019"/>
      <c r="C2457" s="1019"/>
      <c r="D2457" s="3188"/>
      <c r="E2457" s="1019"/>
      <c r="F2457" s="1019"/>
      <c r="G2457" s="1019"/>
      <c r="H2457" s="1019"/>
      <c r="I2457" s="1140"/>
    </row>
    <row r="2458" spans="1:9" x14ac:dyDescent="0.35">
      <c r="A2458" s="1019"/>
      <c r="B2458" s="1019"/>
      <c r="C2458" s="1019"/>
      <c r="D2458" s="3188"/>
      <c r="E2458" s="1019"/>
      <c r="F2458" s="1019"/>
      <c r="G2458" s="1019"/>
      <c r="H2458" s="1019"/>
      <c r="I2458" s="1140"/>
    </row>
    <row r="2459" spans="1:9" x14ac:dyDescent="0.35">
      <c r="A2459" s="1019"/>
      <c r="B2459" s="1019"/>
      <c r="C2459" s="1019"/>
      <c r="D2459" s="3188"/>
      <c r="E2459" s="1019"/>
      <c r="F2459" s="1019"/>
      <c r="G2459" s="1019"/>
      <c r="H2459" s="1019"/>
      <c r="I2459" s="1140"/>
    </row>
    <row r="2460" spans="1:9" x14ac:dyDescent="0.35">
      <c r="A2460" s="1019"/>
      <c r="B2460" s="1019"/>
      <c r="C2460" s="1019"/>
      <c r="D2460" s="3188"/>
      <c r="E2460" s="1019"/>
      <c r="F2460" s="1019"/>
      <c r="G2460" s="1019"/>
      <c r="H2460" s="1019"/>
      <c r="I2460" s="1140"/>
    </row>
    <row r="2461" spans="1:9" x14ac:dyDescent="0.35">
      <c r="A2461" s="1019"/>
      <c r="B2461" s="1019"/>
      <c r="C2461" s="1019"/>
      <c r="D2461" s="3188"/>
      <c r="E2461" s="1019"/>
      <c r="F2461" s="1019"/>
      <c r="G2461" s="1019"/>
      <c r="H2461" s="1019"/>
      <c r="I2461" s="1140"/>
    </row>
    <row r="2462" spans="1:9" x14ac:dyDescent="0.35">
      <c r="A2462" s="1019"/>
      <c r="B2462" s="1019"/>
      <c r="C2462" s="1019"/>
      <c r="D2462" s="3188"/>
      <c r="E2462" s="1019"/>
      <c r="F2462" s="1019"/>
      <c r="G2462" s="1019"/>
      <c r="H2462" s="1019"/>
      <c r="I2462" s="1140"/>
    </row>
    <row r="2463" spans="1:9" x14ac:dyDescent="0.35">
      <c r="A2463" s="1019"/>
      <c r="B2463" s="1019"/>
      <c r="C2463" s="1019"/>
      <c r="D2463" s="3188"/>
      <c r="E2463" s="1019"/>
      <c r="F2463" s="1019"/>
      <c r="G2463" s="1019"/>
      <c r="H2463" s="1019"/>
      <c r="I2463" s="1140"/>
    </row>
    <row r="2464" spans="1:9" x14ac:dyDescent="0.35">
      <c r="A2464" s="1019"/>
      <c r="B2464" s="1019"/>
      <c r="C2464" s="1019"/>
      <c r="D2464" s="3188"/>
      <c r="E2464" s="1019"/>
      <c r="F2464" s="1019"/>
      <c r="G2464" s="1019"/>
      <c r="H2464" s="1019"/>
      <c r="I2464" s="1140"/>
    </row>
    <row r="2465" spans="1:9" x14ac:dyDescent="0.35">
      <c r="A2465" s="1019"/>
      <c r="B2465" s="1019"/>
      <c r="C2465" s="1019"/>
      <c r="D2465" s="3188"/>
      <c r="E2465" s="1019"/>
      <c r="F2465" s="1019"/>
      <c r="G2465" s="1019"/>
      <c r="H2465" s="1019"/>
      <c r="I2465" s="1140"/>
    </row>
    <row r="2466" spans="1:9" x14ac:dyDescent="0.35">
      <c r="A2466" s="1019"/>
      <c r="B2466" s="1019"/>
      <c r="C2466" s="1019"/>
      <c r="D2466" s="3188"/>
      <c r="E2466" s="1019"/>
      <c r="F2466" s="1019"/>
      <c r="G2466" s="1019"/>
      <c r="H2466" s="1019"/>
      <c r="I2466" s="1140"/>
    </row>
    <row r="2467" spans="1:9" x14ac:dyDescent="0.35">
      <c r="A2467" s="1019"/>
      <c r="B2467" s="1019"/>
      <c r="C2467" s="1019"/>
      <c r="D2467" s="3188"/>
      <c r="E2467" s="1019"/>
      <c r="F2467" s="1019"/>
      <c r="G2467" s="1019"/>
      <c r="H2467" s="1019"/>
      <c r="I2467" s="1140"/>
    </row>
    <row r="2468" spans="1:9" x14ac:dyDescent="0.35">
      <c r="A2468" s="1019"/>
      <c r="B2468" s="1019"/>
      <c r="C2468" s="1019"/>
      <c r="D2468" s="3188"/>
      <c r="E2468" s="1019"/>
      <c r="F2468" s="1019"/>
      <c r="G2468" s="1019"/>
      <c r="H2468" s="1019"/>
      <c r="I2468" s="1140"/>
    </row>
    <row r="2469" spans="1:9" x14ac:dyDescent="0.35">
      <c r="A2469" s="1019"/>
      <c r="B2469" s="1019"/>
      <c r="C2469" s="1019"/>
      <c r="D2469" s="3188"/>
      <c r="E2469" s="1019"/>
      <c r="F2469" s="1019"/>
      <c r="G2469" s="1019"/>
      <c r="H2469" s="1019"/>
      <c r="I2469" s="1140"/>
    </row>
    <row r="2470" spans="1:9" x14ac:dyDescent="0.35">
      <c r="A2470" s="1019"/>
      <c r="B2470" s="1019"/>
      <c r="C2470" s="1019"/>
      <c r="D2470" s="3188"/>
      <c r="E2470" s="1019"/>
      <c r="F2470" s="1019"/>
      <c r="G2470" s="1019"/>
      <c r="H2470" s="1019"/>
      <c r="I2470" s="1140"/>
    </row>
    <row r="2471" spans="1:9" x14ac:dyDescent="0.35">
      <c r="A2471" s="1019"/>
      <c r="B2471" s="1019"/>
      <c r="C2471" s="1019"/>
      <c r="D2471" s="3188"/>
      <c r="E2471" s="1019"/>
      <c r="F2471" s="1019"/>
      <c r="G2471" s="1019"/>
      <c r="H2471" s="1019"/>
      <c r="I2471" s="1140"/>
    </row>
    <row r="2472" spans="1:9" x14ac:dyDescent="0.35">
      <c r="A2472" s="1019"/>
      <c r="B2472" s="1019"/>
      <c r="C2472" s="1019"/>
      <c r="D2472" s="3188"/>
      <c r="E2472" s="1019"/>
      <c r="F2472" s="1019"/>
      <c r="G2472" s="1019"/>
      <c r="H2472" s="1019"/>
      <c r="I2472" s="1140"/>
    </row>
    <row r="2473" spans="1:9" x14ac:dyDescent="0.35">
      <c r="A2473" s="1019"/>
      <c r="B2473" s="1019"/>
      <c r="C2473" s="1019"/>
      <c r="D2473" s="3188"/>
      <c r="E2473" s="1019"/>
      <c r="F2473" s="1019"/>
      <c r="G2473" s="1019"/>
      <c r="H2473" s="1019"/>
      <c r="I2473" s="1140"/>
    </row>
    <row r="2474" spans="1:9" x14ac:dyDescent="0.35">
      <c r="A2474" s="1019"/>
      <c r="B2474" s="1019"/>
      <c r="C2474" s="1019"/>
      <c r="D2474" s="3188"/>
      <c r="E2474" s="1019"/>
      <c r="F2474" s="1019"/>
      <c r="G2474" s="1019"/>
      <c r="H2474" s="1019"/>
      <c r="I2474" s="1140"/>
    </row>
    <row r="2475" spans="1:9" x14ac:dyDescent="0.35">
      <c r="A2475" s="1019"/>
      <c r="B2475" s="1019"/>
      <c r="C2475" s="1019"/>
      <c r="D2475" s="3188"/>
      <c r="E2475" s="1019"/>
      <c r="F2475" s="1019"/>
      <c r="G2475" s="1019"/>
      <c r="H2475" s="1019"/>
      <c r="I2475" s="1140"/>
    </row>
    <row r="2476" spans="1:9" x14ac:dyDescent="0.35">
      <c r="A2476" s="1019"/>
      <c r="B2476" s="1019"/>
      <c r="C2476" s="1019"/>
      <c r="D2476" s="3188"/>
      <c r="E2476" s="1019"/>
      <c r="F2476" s="1019"/>
      <c r="G2476" s="1019"/>
      <c r="H2476" s="1019"/>
      <c r="I2476" s="1140"/>
    </row>
    <row r="2477" spans="1:9" x14ac:dyDescent="0.35">
      <c r="A2477" s="1019"/>
      <c r="B2477" s="1019"/>
      <c r="C2477" s="1019"/>
      <c r="D2477" s="3188"/>
      <c r="E2477" s="1019"/>
      <c r="F2477" s="1019"/>
      <c r="G2477" s="1019"/>
      <c r="H2477" s="1019"/>
      <c r="I2477" s="1140"/>
    </row>
    <row r="2478" spans="1:9" x14ac:dyDescent="0.35">
      <c r="A2478" s="1019"/>
      <c r="B2478" s="1019"/>
      <c r="C2478" s="1019"/>
      <c r="D2478" s="3188"/>
      <c r="E2478" s="1019"/>
      <c r="F2478" s="1019"/>
      <c r="G2478" s="1019"/>
      <c r="H2478" s="1019"/>
      <c r="I2478" s="1140"/>
    </row>
    <row r="2479" spans="1:9" x14ac:dyDescent="0.35">
      <c r="A2479" s="1019"/>
      <c r="B2479" s="1019"/>
      <c r="C2479" s="1019"/>
      <c r="D2479" s="3188"/>
      <c r="E2479" s="1019"/>
      <c r="F2479" s="1019"/>
      <c r="G2479" s="1019"/>
      <c r="H2479" s="1019"/>
      <c r="I2479" s="1140"/>
    </row>
    <row r="2480" spans="1:9" x14ac:dyDescent="0.35">
      <c r="A2480" s="1019"/>
      <c r="B2480" s="1019"/>
      <c r="C2480" s="1019"/>
      <c r="D2480" s="3188"/>
      <c r="E2480" s="1019"/>
      <c r="F2480" s="1019"/>
      <c r="G2480" s="1019"/>
      <c r="H2480" s="1019"/>
      <c r="I2480" s="1140"/>
    </row>
    <row r="2481" spans="1:9" x14ac:dyDescent="0.35">
      <c r="A2481" s="1019"/>
      <c r="B2481" s="1019"/>
      <c r="C2481" s="1019"/>
      <c r="D2481" s="3188"/>
      <c r="E2481" s="1019"/>
      <c r="F2481" s="1019"/>
      <c r="G2481" s="1019"/>
      <c r="H2481" s="1019"/>
      <c r="I2481" s="1140"/>
    </row>
    <row r="2482" spans="1:9" x14ac:dyDescent="0.35">
      <c r="A2482" s="1019"/>
      <c r="B2482" s="1019"/>
      <c r="C2482" s="1019"/>
      <c r="D2482" s="3188"/>
      <c r="E2482" s="1019"/>
      <c r="F2482" s="1019"/>
      <c r="G2482" s="1019"/>
      <c r="H2482" s="1019"/>
      <c r="I2482" s="1140"/>
    </row>
    <row r="2483" spans="1:9" x14ac:dyDescent="0.35">
      <c r="A2483" s="1019"/>
      <c r="B2483" s="1019"/>
      <c r="C2483" s="1019"/>
      <c r="D2483" s="3188"/>
      <c r="E2483" s="1019"/>
      <c r="F2483" s="1019"/>
      <c r="G2483" s="1019"/>
      <c r="H2483" s="1019"/>
      <c r="I2483" s="1140"/>
    </row>
    <row r="2484" spans="1:9" x14ac:dyDescent="0.35">
      <c r="A2484" s="1019"/>
      <c r="B2484" s="1019"/>
      <c r="C2484" s="1019"/>
      <c r="D2484" s="3188"/>
      <c r="E2484" s="1019"/>
      <c r="F2484" s="1019"/>
      <c r="G2484" s="1019"/>
      <c r="H2484" s="1019"/>
      <c r="I2484" s="1140"/>
    </row>
    <row r="2485" spans="1:9" x14ac:dyDescent="0.35">
      <c r="A2485" s="1019"/>
      <c r="B2485" s="1019"/>
      <c r="C2485" s="1019"/>
      <c r="D2485" s="3188"/>
      <c r="E2485" s="1019"/>
      <c r="F2485" s="1019"/>
      <c r="G2485" s="1019"/>
      <c r="H2485" s="1019"/>
      <c r="I2485" s="1140"/>
    </row>
    <row r="2486" spans="1:9" x14ac:dyDescent="0.35">
      <c r="A2486" s="1019"/>
      <c r="B2486" s="1019"/>
      <c r="C2486" s="1019"/>
      <c r="D2486" s="3188"/>
      <c r="E2486" s="1019"/>
      <c r="F2486" s="1019"/>
      <c r="G2486" s="1019"/>
      <c r="H2486" s="1019"/>
      <c r="I2486" s="1140"/>
    </row>
    <row r="2487" spans="1:9" x14ac:dyDescent="0.35">
      <c r="A2487" s="1019"/>
      <c r="B2487" s="1019"/>
      <c r="C2487" s="1019"/>
      <c r="D2487" s="3188"/>
      <c r="E2487" s="1019"/>
      <c r="F2487" s="1019"/>
      <c r="G2487" s="1019"/>
      <c r="H2487" s="1019"/>
      <c r="I2487" s="1140"/>
    </row>
    <row r="2488" spans="1:9" x14ac:dyDescent="0.35">
      <c r="A2488" s="1019"/>
      <c r="B2488" s="1019"/>
      <c r="C2488" s="1019"/>
      <c r="D2488" s="3188"/>
      <c r="E2488" s="1019"/>
      <c r="F2488" s="1019"/>
      <c r="G2488" s="1019"/>
      <c r="H2488" s="1019"/>
      <c r="I2488" s="1140"/>
    </row>
    <row r="2489" spans="1:9" x14ac:dyDescent="0.35">
      <c r="A2489" s="1019"/>
      <c r="B2489" s="1019"/>
      <c r="C2489" s="1019"/>
      <c r="D2489" s="3188"/>
      <c r="E2489" s="1019"/>
      <c r="F2489" s="1019"/>
      <c r="G2489" s="1019"/>
      <c r="H2489" s="1019"/>
      <c r="I2489" s="1140"/>
    </row>
    <row r="2490" spans="1:9" x14ac:dyDescent="0.35">
      <c r="A2490" s="1019"/>
      <c r="B2490" s="1019"/>
      <c r="C2490" s="1019"/>
      <c r="D2490" s="3188"/>
      <c r="E2490" s="1019"/>
      <c r="F2490" s="1019"/>
      <c r="G2490" s="1019"/>
      <c r="H2490" s="1019"/>
      <c r="I2490" s="1140"/>
    </row>
    <row r="2491" spans="1:9" x14ac:dyDescent="0.35">
      <c r="A2491" s="1019"/>
      <c r="B2491" s="1019"/>
      <c r="C2491" s="1019"/>
      <c r="D2491" s="3188"/>
      <c r="E2491" s="1019"/>
      <c r="F2491" s="1019"/>
      <c r="G2491" s="1019"/>
      <c r="H2491" s="1019"/>
      <c r="I2491" s="1140"/>
    </row>
    <row r="2492" spans="1:9" x14ac:dyDescent="0.35">
      <c r="A2492" s="1019"/>
      <c r="B2492" s="1019"/>
      <c r="C2492" s="1019"/>
      <c r="D2492" s="3188"/>
      <c r="E2492" s="1019"/>
      <c r="F2492" s="1019"/>
      <c r="G2492" s="1019"/>
      <c r="H2492" s="1019"/>
      <c r="I2492" s="1140"/>
    </row>
    <row r="2493" spans="1:9" x14ac:dyDescent="0.35">
      <c r="A2493" s="1019"/>
      <c r="B2493" s="1019"/>
      <c r="C2493" s="1019"/>
      <c r="D2493" s="3188"/>
      <c r="E2493" s="1019"/>
      <c r="F2493" s="1019"/>
      <c r="G2493" s="1019"/>
      <c r="H2493" s="1019"/>
      <c r="I2493" s="1140"/>
    </row>
    <row r="2494" spans="1:9" x14ac:dyDescent="0.35">
      <c r="A2494" s="1019"/>
      <c r="B2494" s="1019"/>
      <c r="C2494" s="1019"/>
      <c r="D2494" s="3188"/>
      <c r="E2494" s="1019"/>
      <c r="F2494" s="1019"/>
      <c r="G2494" s="1019"/>
      <c r="H2494" s="1019"/>
      <c r="I2494" s="1140"/>
    </row>
    <row r="2495" spans="1:9" x14ac:dyDescent="0.35">
      <c r="A2495" s="1019"/>
      <c r="B2495" s="1019"/>
      <c r="C2495" s="1019"/>
      <c r="D2495" s="3188"/>
      <c r="E2495" s="1019"/>
      <c r="F2495" s="1019"/>
      <c r="G2495" s="1019"/>
      <c r="H2495" s="1019"/>
      <c r="I2495" s="1140"/>
    </row>
    <row r="2496" spans="1:9" x14ac:dyDescent="0.35">
      <c r="A2496" s="1019"/>
      <c r="B2496" s="1019"/>
      <c r="C2496" s="1019"/>
      <c r="D2496" s="3188"/>
      <c r="E2496" s="1019"/>
      <c r="F2496" s="1019"/>
      <c r="G2496" s="1019"/>
      <c r="H2496" s="1019"/>
      <c r="I2496" s="1140"/>
    </row>
    <row r="2497" spans="1:9" x14ac:dyDescent="0.35">
      <c r="A2497" s="1019"/>
      <c r="B2497" s="1019"/>
      <c r="C2497" s="1019"/>
      <c r="D2497" s="3188"/>
      <c r="E2497" s="1019"/>
      <c r="F2497" s="1019"/>
      <c r="G2497" s="1019"/>
      <c r="H2497" s="1019"/>
      <c r="I2497" s="1140"/>
    </row>
    <row r="2498" spans="1:9" x14ac:dyDescent="0.35">
      <c r="A2498" s="1019"/>
      <c r="B2498" s="1019"/>
      <c r="C2498" s="1019"/>
      <c r="D2498" s="3188"/>
      <c r="E2498" s="1019"/>
      <c r="F2498" s="1019"/>
      <c r="G2498" s="1019"/>
      <c r="H2498" s="1019"/>
      <c r="I2498" s="1140"/>
    </row>
    <row r="2499" spans="1:9" x14ac:dyDescent="0.35">
      <c r="A2499" s="1019"/>
      <c r="B2499" s="1019"/>
      <c r="C2499" s="1019"/>
      <c r="D2499" s="3188"/>
      <c r="E2499" s="1019"/>
      <c r="F2499" s="1019"/>
      <c r="G2499" s="1019"/>
      <c r="H2499" s="1019"/>
      <c r="I2499" s="1140"/>
    </row>
    <row r="2500" spans="1:9" x14ac:dyDescent="0.35">
      <c r="A2500" s="1019"/>
      <c r="B2500" s="1019"/>
      <c r="C2500" s="1019"/>
      <c r="D2500" s="3188"/>
      <c r="E2500" s="1019"/>
      <c r="F2500" s="1019"/>
      <c r="G2500" s="1019"/>
      <c r="H2500" s="1019"/>
      <c r="I2500" s="1140"/>
    </row>
    <row r="2501" spans="1:9" x14ac:dyDescent="0.35">
      <c r="A2501" s="1019"/>
      <c r="B2501" s="1019"/>
      <c r="C2501" s="1019"/>
      <c r="D2501" s="3188"/>
      <c r="E2501" s="1019"/>
      <c r="F2501" s="1019"/>
      <c r="G2501" s="1019"/>
      <c r="H2501" s="1019"/>
      <c r="I2501" s="1140"/>
    </row>
    <row r="2502" spans="1:9" x14ac:dyDescent="0.35">
      <c r="A2502" s="1019"/>
      <c r="B2502" s="1019"/>
      <c r="C2502" s="1019"/>
      <c r="D2502" s="3188"/>
      <c r="E2502" s="1019"/>
      <c r="F2502" s="1019"/>
      <c r="G2502" s="1019"/>
      <c r="H2502" s="1019"/>
      <c r="I2502" s="1140"/>
    </row>
    <row r="2503" spans="1:9" x14ac:dyDescent="0.35">
      <c r="A2503" s="1019"/>
      <c r="B2503" s="1019"/>
      <c r="C2503" s="1019"/>
      <c r="D2503" s="3188"/>
      <c r="E2503" s="1019"/>
      <c r="F2503" s="1019"/>
      <c r="G2503" s="1019"/>
      <c r="H2503" s="1019"/>
      <c r="I2503" s="1140"/>
    </row>
    <row r="2504" spans="1:9" x14ac:dyDescent="0.35">
      <c r="A2504" s="1019"/>
      <c r="B2504" s="1019"/>
      <c r="C2504" s="1019"/>
      <c r="D2504" s="3188"/>
      <c r="E2504" s="1019"/>
      <c r="F2504" s="1019"/>
      <c r="G2504" s="1019"/>
      <c r="H2504" s="1019"/>
      <c r="I2504" s="1140"/>
    </row>
    <row r="2505" spans="1:9" x14ac:dyDescent="0.35">
      <c r="A2505" s="1019"/>
      <c r="B2505" s="1019"/>
      <c r="C2505" s="1019"/>
      <c r="D2505" s="3188"/>
      <c r="E2505" s="1019"/>
      <c r="F2505" s="1019"/>
      <c r="G2505" s="1019"/>
      <c r="H2505" s="1019"/>
      <c r="I2505" s="1140"/>
    </row>
    <row r="2506" spans="1:9" x14ac:dyDescent="0.35">
      <c r="A2506" s="1019"/>
      <c r="B2506" s="1019"/>
      <c r="C2506" s="1019"/>
      <c r="D2506" s="3188"/>
      <c r="E2506" s="1019"/>
      <c r="F2506" s="1019"/>
      <c r="G2506" s="1019"/>
      <c r="H2506" s="1019"/>
      <c r="I2506" s="1140"/>
    </row>
    <row r="2507" spans="1:9" x14ac:dyDescent="0.35">
      <c r="A2507" s="1019"/>
      <c r="B2507" s="1019"/>
      <c r="C2507" s="1019"/>
      <c r="D2507" s="3188"/>
      <c r="E2507" s="1019"/>
      <c r="F2507" s="1019"/>
      <c r="G2507" s="1019"/>
      <c r="H2507" s="1019"/>
      <c r="I2507" s="1140"/>
    </row>
    <row r="2508" spans="1:9" x14ac:dyDescent="0.35">
      <c r="A2508" s="1019"/>
      <c r="B2508" s="1019"/>
      <c r="C2508" s="1019"/>
      <c r="D2508" s="3188"/>
      <c r="E2508" s="1019"/>
      <c r="F2508" s="1019"/>
      <c r="G2508" s="1019"/>
      <c r="H2508" s="1019"/>
      <c r="I2508" s="1140"/>
    </row>
    <row r="2509" spans="1:9" x14ac:dyDescent="0.35">
      <c r="A2509" s="1019"/>
      <c r="B2509" s="1019"/>
      <c r="C2509" s="1019"/>
      <c r="D2509" s="3188"/>
      <c r="E2509" s="1019"/>
      <c r="F2509" s="1019"/>
      <c r="G2509" s="1019"/>
      <c r="H2509" s="1019"/>
      <c r="I2509" s="1140"/>
    </row>
    <row r="2510" spans="1:9" x14ac:dyDescent="0.35">
      <c r="A2510" s="1019"/>
      <c r="B2510" s="1019"/>
      <c r="C2510" s="1019"/>
      <c r="D2510" s="3188"/>
      <c r="E2510" s="1019"/>
      <c r="F2510" s="1019"/>
      <c r="G2510" s="1019"/>
      <c r="H2510" s="1019"/>
      <c r="I2510" s="1140"/>
    </row>
    <row r="2511" spans="1:9" x14ac:dyDescent="0.35">
      <c r="A2511" s="1019"/>
      <c r="B2511" s="1019"/>
      <c r="C2511" s="1019"/>
      <c r="D2511" s="3188"/>
      <c r="E2511" s="1019"/>
      <c r="F2511" s="1019"/>
      <c r="G2511" s="1019"/>
      <c r="H2511" s="1019"/>
      <c r="I2511" s="1140"/>
    </row>
    <row r="2512" spans="1:9" x14ac:dyDescent="0.35">
      <c r="A2512" s="1019"/>
      <c r="B2512" s="1019"/>
      <c r="C2512" s="1019"/>
      <c r="D2512" s="3188"/>
      <c r="E2512" s="1019"/>
      <c r="F2512" s="1019"/>
      <c r="G2512" s="1019"/>
      <c r="H2512" s="1019"/>
      <c r="I2512" s="1140"/>
    </row>
    <row r="2513" spans="1:9" x14ac:dyDescent="0.35">
      <c r="A2513" s="1019"/>
      <c r="B2513" s="1019"/>
      <c r="C2513" s="1019"/>
      <c r="D2513" s="3188"/>
      <c r="E2513" s="1019"/>
      <c r="F2513" s="1019"/>
      <c r="G2513" s="1019"/>
      <c r="H2513" s="1019"/>
      <c r="I2513" s="1140"/>
    </row>
    <row r="2514" spans="1:9" x14ac:dyDescent="0.35">
      <c r="A2514" s="1019"/>
      <c r="B2514" s="1019"/>
      <c r="C2514" s="1019"/>
      <c r="D2514" s="3188"/>
      <c r="E2514" s="1019"/>
      <c r="F2514" s="1019"/>
      <c r="G2514" s="1019"/>
      <c r="H2514" s="1019"/>
      <c r="I2514" s="1140"/>
    </row>
    <row r="2515" spans="1:9" x14ac:dyDescent="0.35">
      <c r="A2515" s="1019"/>
      <c r="B2515" s="1019"/>
      <c r="C2515" s="1019"/>
      <c r="D2515" s="3188"/>
      <c r="E2515" s="1019"/>
      <c r="F2515" s="1019"/>
      <c r="G2515" s="1019"/>
      <c r="H2515" s="1019"/>
      <c r="I2515" s="1140"/>
    </row>
    <row r="2516" spans="1:9" x14ac:dyDescent="0.35">
      <c r="A2516" s="1019"/>
      <c r="B2516" s="1019"/>
      <c r="C2516" s="1019"/>
      <c r="D2516" s="3188"/>
      <c r="E2516" s="1019"/>
      <c r="F2516" s="1019"/>
      <c r="G2516" s="1019"/>
      <c r="H2516" s="1019"/>
      <c r="I2516" s="1140"/>
    </row>
    <row r="2517" spans="1:9" x14ac:dyDescent="0.35">
      <c r="A2517" s="1019"/>
      <c r="B2517" s="1019"/>
      <c r="C2517" s="1019"/>
      <c r="D2517" s="3188"/>
      <c r="E2517" s="1019"/>
      <c r="F2517" s="1019"/>
      <c r="G2517" s="1019"/>
      <c r="H2517" s="1019"/>
      <c r="I2517" s="1140"/>
    </row>
    <row r="2518" spans="1:9" x14ac:dyDescent="0.35">
      <c r="A2518" s="1019"/>
      <c r="B2518" s="1019"/>
      <c r="C2518" s="1019"/>
      <c r="D2518" s="3188"/>
      <c r="E2518" s="1019"/>
      <c r="F2518" s="1019"/>
      <c r="G2518" s="1019"/>
      <c r="H2518" s="1019"/>
      <c r="I2518" s="1140"/>
    </row>
    <row r="2519" spans="1:9" x14ac:dyDescent="0.35">
      <c r="A2519" s="1019"/>
      <c r="B2519" s="1019"/>
      <c r="C2519" s="1019"/>
      <c r="D2519" s="3188"/>
      <c r="E2519" s="1019"/>
      <c r="F2519" s="1019"/>
      <c r="G2519" s="1019"/>
      <c r="H2519" s="1019"/>
      <c r="I2519" s="1140"/>
    </row>
    <row r="2520" spans="1:9" x14ac:dyDescent="0.35">
      <c r="A2520" s="1019"/>
      <c r="B2520" s="1019"/>
      <c r="C2520" s="1019"/>
      <c r="D2520" s="3188"/>
      <c r="E2520" s="1019"/>
      <c r="F2520" s="1019"/>
      <c r="G2520" s="1019"/>
      <c r="H2520" s="1019"/>
      <c r="I2520" s="1140"/>
    </row>
    <row r="2521" spans="1:9" x14ac:dyDescent="0.35">
      <c r="A2521" s="1019"/>
      <c r="B2521" s="1019"/>
      <c r="C2521" s="1019"/>
      <c r="D2521" s="3188"/>
      <c r="E2521" s="1019"/>
      <c r="F2521" s="1019"/>
      <c r="G2521" s="1019"/>
      <c r="H2521" s="1019"/>
      <c r="I2521" s="1140"/>
    </row>
    <row r="2522" spans="1:9" x14ac:dyDescent="0.35">
      <c r="A2522" s="1019"/>
      <c r="B2522" s="1019"/>
      <c r="C2522" s="1019"/>
      <c r="D2522" s="3188"/>
      <c r="E2522" s="1019"/>
      <c r="F2522" s="1019"/>
      <c r="G2522" s="1019"/>
      <c r="H2522" s="1019"/>
      <c r="I2522" s="1140"/>
    </row>
    <row r="2523" spans="1:9" x14ac:dyDescent="0.35">
      <c r="A2523" s="1019"/>
      <c r="B2523" s="1019"/>
      <c r="C2523" s="1019"/>
      <c r="D2523" s="3188"/>
      <c r="E2523" s="1019"/>
      <c r="F2523" s="1019"/>
      <c r="G2523" s="1019"/>
      <c r="H2523" s="1019"/>
      <c r="I2523" s="1140"/>
    </row>
    <row r="2524" spans="1:9" x14ac:dyDescent="0.35">
      <c r="A2524" s="1019"/>
      <c r="B2524" s="1019"/>
      <c r="C2524" s="1019"/>
      <c r="D2524" s="3188"/>
      <c r="E2524" s="1019"/>
      <c r="F2524" s="1019"/>
      <c r="G2524" s="1019"/>
      <c r="H2524" s="1019"/>
      <c r="I2524" s="1140"/>
    </row>
    <row r="2525" spans="1:9" x14ac:dyDescent="0.35">
      <c r="A2525" s="1019"/>
      <c r="B2525" s="1019"/>
      <c r="C2525" s="1019"/>
      <c r="D2525" s="3188"/>
      <c r="E2525" s="1019"/>
      <c r="F2525" s="1019"/>
      <c r="G2525" s="1019"/>
      <c r="H2525" s="1019"/>
      <c r="I2525" s="1140"/>
    </row>
    <row r="2526" spans="1:9" x14ac:dyDescent="0.35">
      <c r="A2526" s="1019"/>
      <c r="B2526" s="1019"/>
      <c r="C2526" s="1019"/>
      <c r="D2526" s="3188"/>
      <c r="E2526" s="1019"/>
      <c r="F2526" s="1019"/>
      <c r="G2526" s="1019"/>
      <c r="H2526" s="1019"/>
      <c r="I2526" s="1140"/>
    </row>
    <row r="2527" spans="1:9" x14ac:dyDescent="0.35">
      <c r="A2527" s="1019"/>
      <c r="B2527" s="1019"/>
      <c r="C2527" s="1019"/>
      <c r="D2527" s="3188"/>
      <c r="E2527" s="1019"/>
      <c r="F2527" s="1019"/>
      <c r="G2527" s="1019"/>
      <c r="H2527" s="1019"/>
      <c r="I2527" s="1140"/>
    </row>
    <row r="2528" spans="1:9" x14ac:dyDescent="0.35">
      <c r="A2528" s="1019"/>
      <c r="B2528" s="1019"/>
      <c r="C2528" s="1019"/>
      <c r="D2528" s="3188"/>
      <c r="E2528" s="1019"/>
      <c r="F2528" s="1019"/>
      <c r="G2528" s="1019"/>
      <c r="H2528" s="1019"/>
      <c r="I2528" s="1140"/>
    </row>
    <row r="2529" spans="1:9" x14ac:dyDescent="0.35">
      <c r="A2529" s="1019"/>
      <c r="B2529" s="1019"/>
      <c r="C2529" s="1019"/>
      <c r="D2529" s="3188"/>
      <c r="E2529" s="1019"/>
      <c r="F2529" s="1019"/>
      <c r="G2529" s="1019"/>
      <c r="H2529" s="1019"/>
      <c r="I2529" s="1140"/>
    </row>
    <row r="2530" spans="1:9" x14ac:dyDescent="0.35">
      <c r="A2530" s="1019"/>
      <c r="B2530" s="1019"/>
      <c r="C2530" s="1019"/>
      <c r="D2530" s="3188"/>
      <c r="E2530" s="1019"/>
      <c r="F2530" s="1019"/>
      <c r="G2530" s="1019"/>
      <c r="H2530" s="1019"/>
      <c r="I2530" s="1140"/>
    </row>
    <row r="2534" spans="1:9" x14ac:dyDescent="0.35">
      <c r="A2534" s="1019"/>
      <c r="B2534" s="1019"/>
      <c r="C2534" s="1019"/>
      <c r="D2534" s="3188"/>
      <c r="E2534" s="1019"/>
      <c r="F2534" s="1019"/>
      <c r="G2534" s="1019"/>
      <c r="H2534" s="1019"/>
      <c r="I2534" s="1019"/>
    </row>
    <row r="2535" spans="1:9" x14ac:dyDescent="0.35">
      <c r="A2535" s="1019"/>
      <c r="B2535" s="1019"/>
      <c r="C2535" s="1019"/>
      <c r="D2535" s="3188"/>
      <c r="E2535" s="1019"/>
      <c r="F2535" s="1019"/>
      <c r="G2535" s="1019"/>
      <c r="H2535" s="1019"/>
      <c r="I2535" s="1019"/>
    </row>
    <row r="2536" spans="1:9" x14ac:dyDescent="0.35">
      <c r="A2536" s="1019"/>
      <c r="B2536" s="1019"/>
      <c r="C2536" s="1019"/>
      <c r="D2536" s="3188"/>
      <c r="E2536" s="1019"/>
      <c r="F2536" s="1019"/>
      <c r="G2536" s="1019"/>
      <c r="H2536" s="1019"/>
      <c r="I2536" s="1019"/>
    </row>
    <row r="2537" spans="1:9" x14ac:dyDescent="0.35">
      <c r="A2537" s="1019"/>
      <c r="B2537" s="1019"/>
      <c r="C2537" s="1019"/>
      <c r="D2537" s="3188"/>
      <c r="E2537" s="1019"/>
      <c r="F2537" s="1019"/>
      <c r="G2537" s="1019"/>
      <c r="H2537" s="1019"/>
      <c r="I2537" s="1019"/>
    </row>
    <row r="2538" spans="1:9" x14ac:dyDescent="0.35">
      <c r="A2538" s="1019"/>
      <c r="B2538" s="1019"/>
      <c r="C2538" s="1019"/>
      <c r="D2538" s="3188"/>
      <c r="E2538" s="1019"/>
      <c r="F2538" s="1019"/>
      <c r="G2538" s="1019"/>
      <c r="H2538" s="1019"/>
      <c r="I2538" s="1019"/>
    </row>
    <row r="2539" spans="1:9" x14ac:dyDescent="0.35">
      <c r="A2539" s="1019"/>
      <c r="B2539" s="1019"/>
      <c r="C2539" s="1019"/>
      <c r="D2539" s="3188"/>
      <c r="E2539" s="1019"/>
      <c r="F2539" s="1019"/>
      <c r="G2539" s="1019"/>
      <c r="H2539" s="1019"/>
      <c r="I2539" s="1019"/>
    </row>
    <row r="2540" spans="1:9" x14ac:dyDescent="0.35">
      <c r="A2540" s="1019"/>
      <c r="B2540" s="1019"/>
      <c r="C2540" s="1019"/>
      <c r="D2540" s="3188"/>
      <c r="E2540" s="1019"/>
      <c r="F2540" s="1019"/>
      <c r="G2540" s="1019"/>
      <c r="H2540" s="1019"/>
      <c r="I2540" s="1019"/>
    </row>
    <row r="2541" spans="1:9" x14ac:dyDescent="0.35">
      <c r="A2541" s="1019"/>
      <c r="B2541" s="1019"/>
      <c r="C2541" s="1019"/>
      <c r="D2541" s="3188"/>
      <c r="E2541" s="1019"/>
      <c r="F2541" s="1019"/>
      <c r="G2541" s="1019"/>
      <c r="H2541" s="1019"/>
      <c r="I2541" s="1019"/>
    </row>
    <row r="2542" spans="1:9" x14ac:dyDescent="0.35">
      <c r="A2542" s="1019"/>
      <c r="B2542" s="1019"/>
      <c r="C2542" s="1019"/>
      <c r="D2542" s="3188"/>
      <c r="E2542" s="1019"/>
      <c r="F2542" s="1019"/>
      <c r="G2542" s="1019"/>
      <c r="H2542" s="1019"/>
      <c r="I2542" s="1019"/>
    </row>
    <row r="2543" spans="1:9" x14ac:dyDescent="0.35">
      <c r="A2543" s="1019"/>
      <c r="B2543" s="1019"/>
      <c r="C2543" s="1019"/>
      <c r="D2543" s="3188"/>
      <c r="E2543" s="1019"/>
      <c r="F2543" s="1019"/>
      <c r="G2543" s="1019"/>
      <c r="H2543" s="1019"/>
      <c r="I2543" s="1019"/>
    </row>
    <row r="2544" spans="1:9" x14ac:dyDescent="0.35">
      <c r="A2544" s="1019"/>
      <c r="B2544" s="1019"/>
      <c r="C2544" s="1019"/>
      <c r="D2544" s="3188"/>
      <c r="E2544" s="1019"/>
      <c r="F2544" s="1019"/>
      <c r="G2544" s="1019"/>
      <c r="H2544" s="1019"/>
      <c r="I2544" s="1019"/>
    </row>
    <row r="2545" spans="1:9" x14ac:dyDescent="0.35">
      <c r="A2545" s="1019"/>
      <c r="B2545" s="1019"/>
      <c r="C2545" s="1019"/>
      <c r="D2545" s="3188"/>
      <c r="E2545" s="1019"/>
      <c r="F2545" s="1019"/>
      <c r="G2545" s="1019"/>
      <c r="H2545" s="1019"/>
      <c r="I2545" s="1019"/>
    </row>
    <row r="2546" spans="1:9" x14ac:dyDescent="0.35">
      <c r="A2546" s="1019"/>
      <c r="B2546" s="1019"/>
      <c r="C2546" s="1019"/>
      <c r="D2546" s="3188"/>
      <c r="E2546" s="1019"/>
      <c r="F2546" s="1019"/>
      <c r="G2546" s="1019"/>
      <c r="H2546" s="1019"/>
      <c r="I2546" s="1019"/>
    </row>
    <row r="2547" spans="1:9" x14ac:dyDescent="0.35">
      <c r="A2547" s="1019"/>
      <c r="B2547" s="1019"/>
      <c r="C2547" s="1019"/>
      <c r="D2547" s="3188"/>
      <c r="E2547" s="1019"/>
      <c r="F2547" s="1019"/>
      <c r="G2547" s="1019"/>
      <c r="H2547" s="1019"/>
      <c r="I2547" s="1019"/>
    </row>
    <row r="2548" spans="1:9" x14ac:dyDescent="0.35">
      <c r="A2548" s="1019"/>
      <c r="B2548" s="1019"/>
      <c r="C2548" s="1019"/>
      <c r="D2548" s="3188"/>
      <c r="E2548" s="1019"/>
      <c r="F2548" s="1019"/>
      <c r="G2548" s="1019"/>
      <c r="H2548" s="1019"/>
      <c r="I2548" s="1019"/>
    </row>
    <row r="2549" spans="1:9" x14ac:dyDescent="0.35">
      <c r="A2549" s="1019"/>
      <c r="B2549" s="1019"/>
      <c r="C2549" s="1019"/>
      <c r="D2549" s="3188"/>
      <c r="E2549" s="1019"/>
      <c r="F2549" s="1019"/>
      <c r="G2549" s="1019"/>
      <c r="H2549" s="1019"/>
      <c r="I2549" s="1019"/>
    </row>
    <row r="2550" spans="1:9" x14ac:dyDescent="0.35">
      <c r="A2550" s="1019"/>
      <c r="B2550" s="1019"/>
      <c r="C2550" s="1019"/>
      <c r="D2550" s="3188"/>
      <c r="E2550" s="1019"/>
      <c r="F2550" s="1019"/>
      <c r="G2550" s="1019"/>
      <c r="H2550" s="1019"/>
      <c r="I2550" s="1019"/>
    </row>
    <row r="2551" spans="1:9" x14ac:dyDescent="0.35">
      <c r="A2551" s="1019"/>
      <c r="B2551" s="1019"/>
      <c r="C2551" s="1019"/>
      <c r="D2551" s="3188"/>
      <c r="E2551" s="1019"/>
      <c r="F2551" s="1019"/>
      <c r="G2551" s="1019"/>
      <c r="H2551" s="1019"/>
      <c r="I2551" s="1019"/>
    </row>
    <row r="2552" spans="1:9" x14ac:dyDescent="0.35">
      <c r="A2552" s="1019"/>
      <c r="B2552" s="1019"/>
      <c r="C2552" s="1019"/>
      <c r="D2552" s="3188"/>
      <c r="E2552" s="1019"/>
      <c r="F2552" s="1019"/>
      <c r="G2552" s="1019"/>
      <c r="H2552" s="1019"/>
      <c r="I2552" s="1019"/>
    </row>
    <row r="2553" spans="1:9" x14ac:dyDescent="0.35">
      <c r="A2553" s="1019"/>
      <c r="B2553" s="1019"/>
      <c r="C2553" s="1019"/>
      <c r="D2553" s="3188"/>
      <c r="E2553" s="1019"/>
      <c r="F2553" s="1019"/>
      <c r="G2553" s="1019"/>
      <c r="H2553" s="1019"/>
      <c r="I2553" s="1019"/>
    </row>
    <row r="2554" spans="1:9" x14ac:dyDescent="0.35">
      <c r="A2554" s="1019"/>
      <c r="B2554" s="1019"/>
      <c r="C2554" s="1019"/>
      <c r="D2554" s="3188"/>
      <c r="E2554" s="1019"/>
      <c r="F2554" s="1019"/>
      <c r="G2554" s="1019"/>
      <c r="H2554" s="1019"/>
      <c r="I2554" s="1019"/>
    </row>
    <row r="2555" spans="1:9" x14ac:dyDescent="0.35">
      <c r="A2555" s="1019"/>
      <c r="B2555" s="1019"/>
      <c r="C2555" s="1019"/>
      <c r="D2555" s="3188"/>
      <c r="E2555" s="1019"/>
      <c r="F2555" s="1019"/>
      <c r="G2555" s="1019"/>
      <c r="H2555" s="1019"/>
      <c r="I2555" s="1019"/>
    </row>
    <row r="2556" spans="1:9" x14ac:dyDescent="0.35">
      <c r="A2556" s="1019"/>
      <c r="B2556" s="1019"/>
      <c r="C2556" s="1019"/>
      <c r="D2556" s="3188"/>
      <c r="E2556" s="1019"/>
      <c r="F2556" s="1019"/>
      <c r="G2556" s="1019"/>
      <c r="H2556" s="1019"/>
      <c r="I2556" s="1019"/>
    </row>
    <row r="2557" spans="1:9" x14ac:dyDescent="0.35">
      <c r="A2557" s="1019"/>
      <c r="B2557" s="1019"/>
      <c r="C2557" s="1019"/>
      <c r="D2557" s="3188"/>
      <c r="E2557" s="1019"/>
      <c r="F2557" s="1019"/>
      <c r="G2557" s="1019"/>
      <c r="H2557" s="1019"/>
      <c r="I2557" s="1019"/>
    </row>
    <row r="2558" spans="1:9" x14ac:dyDescent="0.35">
      <c r="A2558" s="1019"/>
      <c r="B2558" s="1019"/>
      <c r="C2558" s="1019"/>
      <c r="D2558" s="3188"/>
      <c r="E2558" s="1019"/>
      <c r="F2558" s="1019"/>
      <c r="G2558" s="1019"/>
      <c r="H2558" s="1019"/>
      <c r="I2558" s="1019"/>
    </row>
    <row r="2559" spans="1:9" x14ac:dyDescent="0.35">
      <c r="A2559" s="1019"/>
      <c r="B2559" s="1019"/>
      <c r="C2559" s="1019"/>
      <c r="D2559" s="3188"/>
      <c r="E2559" s="1019"/>
      <c r="F2559" s="1019"/>
      <c r="G2559" s="1019"/>
      <c r="H2559" s="1019"/>
      <c r="I2559" s="1019"/>
    </row>
    <row r="2560" spans="1:9" x14ac:dyDescent="0.35">
      <c r="A2560" s="1019"/>
      <c r="B2560" s="1019"/>
      <c r="C2560" s="1019"/>
      <c r="D2560" s="3188"/>
      <c r="E2560" s="1019"/>
      <c r="F2560" s="1019"/>
      <c r="G2560" s="1019"/>
      <c r="H2560" s="1019"/>
      <c r="I2560" s="1019"/>
    </row>
    <row r="2561" spans="1:9" x14ac:dyDescent="0.35">
      <c r="A2561" s="1019"/>
      <c r="B2561" s="1019"/>
      <c r="C2561" s="1019"/>
      <c r="D2561" s="3188"/>
      <c r="E2561" s="1019"/>
      <c r="F2561" s="1019"/>
      <c r="G2561" s="1019"/>
      <c r="H2561" s="1019"/>
      <c r="I2561" s="1019"/>
    </row>
    <row r="2562" spans="1:9" x14ac:dyDescent="0.35">
      <c r="A2562" s="1019"/>
      <c r="B2562" s="1019"/>
      <c r="C2562" s="1019"/>
      <c r="D2562" s="3188"/>
      <c r="E2562" s="1019"/>
      <c r="F2562" s="1019"/>
      <c r="G2562" s="1019"/>
      <c r="H2562" s="1019"/>
      <c r="I2562" s="1019"/>
    </row>
    <row r="2563" spans="1:9" x14ac:dyDescent="0.35">
      <c r="A2563" s="1019"/>
      <c r="B2563" s="1019"/>
      <c r="C2563" s="1019"/>
      <c r="D2563" s="3188"/>
      <c r="E2563" s="1019"/>
      <c r="F2563" s="1019"/>
      <c r="G2563" s="1019"/>
      <c r="H2563" s="1019"/>
      <c r="I2563" s="1019"/>
    </row>
    <row r="2564" spans="1:9" x14ac:dyDescent="0.35">
      <c r="A2564" s="1019"/>
      <c r="B2564" s="1019"/>
      <c r="C2564" s="1019"/>
      <c r="D2564" s="3188"/>
      <c r="E2564" s="1019"/>
      <c r="F2564" s="1019"/>
      <c r="G2564" s="1019"/>
      <c r="H2564" s="1019"/>
      <c r="I2564" s="1019"/>
    </row>
    <row r="2565" spans="1:9" x14ac:dyDescent="0.35">
      <c r="A2565" s="1019"/>
      <c r="B2565" s="1019"/>
      <c r="C2565" s="1019"/>
      <c r="D2565" s="3188"/>
      <c r="E2565" s="1019"/>
      <c r="F2565" s="1019"/>
      <c r="G2565" s="1019"/>
      <c r="H2565" s="1019"/>
      <c r="I2565" s="1019"/>
    </row>
    <row r="2566" spans="1:9" x14ac:dyDescent="0.35">
      <c r="A2566" s="1019"/>
      <c r="B2566" s="1019"/>
      <c r="C2566" s="1019"/>
      <c r="D2566" s="3188"/>
      <c r="E2566" s="1019"/>
      <c r="F2566" s="1019"/>
      <c r="G2566" s="1019"/>
      <c r="H2566" s="1019"/>
      <c r="I2566" s="1019"/>
    </row>
    <row r="2567" spans="1:9" x14ac:dyDescent="0.35">
      <c r="A2567" s="1019"/>
      <c r="B2567" s="1019"/>
      <c r="C2567" s="1019"/>
      <c r="D2567" s="3188"/>
      <c r="E2567" s="1019"/>
      <c r="F2567" s="1019"/>
      <c r="G2567" s="1019"/>
      <c r="H2567" s="1019"/>
      <c r="I2567" s="1019"/>
    </row>
    <row r="2568" spans="1:9" x14ac:dyDescent="0.35">
      <c r="A2568" s="1019"/>
      <c r="B2568" s="1019"/>
      <c r="C2568" s="1019"/>
      <c r="D2568" s="3188"/>
      <c r="E2568" s="1019"/>
      <c r="F2568" s="1019"/>
      <c r="G2568" s="1019"/>
      <c r="H2568" s="1019"/>
      <c r="I2568" s="1019"/>
    </row>
    <row r="2569" spans="1:9" x14ac:dyDescent="0.35">
      <c r="A2569" s="1019"/>
      <c r="B2569" s="1019"/>
      <c r="C2569" s="1019"/>
      <c r="D2569" s="3188"/>
      <c r="E2569" s="1019"/>
      <c r="F2569" s="1019"/>
      <c r="G2569" s="1019"/>
      <c r="H2569" s="1019"/>
      <c r="I2569" s="1019"/>
    </row>
    <row r="2570" spans="1:9" x14ac:dyDescent="0.35">
      <c r="A2570" s="1019"/>
      <c r="B2570" s="1019"/>
      <c r="C2570" s="1019"/>
      <c r="D2570" s="3188"/>
      <c r="E2570" s="1019"/>
      <c r="F2570" s="1019"/>
      <c r="G2570" s="1019"/>
      <c r="H2570" s="1019"/>
      <c r="I2570" s="1019"/>
    </row>
    <row r="2571" spans="1:9" x14ac:dyDescent="0.35">
      <c r="A2571" s="1019"/>
      <c r="B2571" s="1019"/>
      <c r="C2571" s="1019"/>
      <c r="D2571" s="3188"/>
      <c r="E2571" s="1019"/>
      <c r="F2571" s="1019"/>
      <c r="G2571" s="1019"/>
      <c r="H2571" s="1019"/>
      <c r="I2571" s="1019"/>
    </row>
    <row r="2572" spans="1:9" x14ac:dyDescent="0.35">
      <c r="A2572" s="1019"/>
      <c r="B2572" s="1019"/>
      <c r="C2572" s="1019"/>
      <c r="D2572" s="3188"/>
      <c r="E2572" s="1019"/>
      <c r="F2572" s="1019"/>
      <c r="G2572" s="1019"/>
      <c r="H2572" s="1019"/>
      <c r="I2572" s="1019"/>
    </row>
    <row r="2573" spans="1:9" x14ac:dyDescent="0.35">
      <c r="A2573" s="1019"/>
      <c r="B2573" s="1019"/>
      <c r="C2573" s="1019"/>
      <c r="D2573" s="3188"/>
      <c r="E2573" s="1019"/>
      <c r="F2573" s="1019"/>
      <c r="G2573" s="1019"/>
      <c r="H2573" s="1019"/>
      <c r="I2573" s="1019"/>
    </row>
    <row r="2574" spans="1:9" x14ac:dyDescent="0.35">
      <c r="A2574" s="1019"/>
      <c r="B2574" s="1019"/>
      <c r="C2574" s="1019"/>
      <c r="D2574" s="3188"/>
      <c r="E2574" s="1019"/>
      <c r="F2574" s="1019"/>
      <c r="G2574" s="1019"/>
      <c r="H2574" s="1019"/>
      <c r="I2574" s="1019"/>
    </row>
    <row r="2575" spans="1:9" x14ac:dyDescent="0.35">
      <c r="A2575" s="1019"/>
      <c r="B2575" s="1019"/>
      <c r="C2575" s="1019"/>
      <c r="D2575" s="3188"/>
      <c r="E2575" s="1019"/>
      <c r="F2575" s="1019"/>
      <c r="G2575" s="1019"/>
      <c r="H2575" s="1019"/>
      <c r="I2575" s="1019"/>
    </row>
    <row r="2576" spans="1:9" x14ac:dyDescent="0.35">
      <c r="A2576" s="1019"/>
      <c r="B2576" s="1019"/>
      <c r="C2576" s="1019"/>
      <c r="D2576" s="3188"/>
      <c r="E2576" s="1019"/>
      <c r="F2576" s="1019"/>
      <c r="G2576" s="1019"/>
      <c r="H2576" s="1019"/>
      <c r="I2576" s="1019"/>
    </row>
    <row r="2577" spans="1:9" x14ac:dyDescent="0.35">
      <c r="A2577" s="1019"/>
      <c r="B2577" s="1019"/>
      <c r="C2577" s="1019"/>
      <c r="D2577" s="3188"/>
      <c r="E2577" s="1019"/>
      <c r="F2577" s="1019"/>
      <c r="G2577" s="1019"/>
      <c r="H2577" s="1019"/>
      <c r="I2577" s="1019"/>
    </row>
    <row r="2578" spans="1:9" x14ac:dyDescent="0.35">
      <c r="A2578" s="1019"/>
      <c r="B2578" s="1019"/>
      <c r="C2578" s="1019"/>
      <c r="D2578" s="3188"/>
      <c r="E2578" s="1019"/>
      <c r="F2578" s="1019"/>
      <c r="G2578" s="1019"/>
      <c r="H2578" s="1019"/>
      <c r="I2578" s="1019"/>
    </row>
    <row r="2579" spans="1:9" x14ac:dyDescent="0.35">
      <c r="A2579" s="1019"/>
      <c r="B2579" s="1019"/>
      <c r="C2579" s="1019"/>
      <c r="D2579" s="3188"/>
      <c r="E2579" s="1019"/>
      <c r="F2579" s="1019"/>
      <c r="G2579" s="1019"/>
      <c r="H2579" s="1019"/>
      <c r="I2579" s="1019"/>
    </row>
    <row r="2580" spans="1:9" x14ac:dyDescent="0.35">
      <c r="A2580" s="1019"/>
      <c r="B2580" s="1019"/>
      <c r="C2580" s="1019"/>
      <c r="D2580" s="3188"/>
      <c r="E2580" s="1019"/>
      <c r="F2580" s="1019"/>
      <c r="G2580" s="1019"/>
      <c r="H2580" s="1019"/>
      <c r="I2580" s="1019"/>
    </row>
    <row r="2581" spans="1:9" x14ac:dyDescent="0.35">
      <c r="A2581" s="1019"/>
      <c r="B2581" s="1019"/>
      <c r="C2581" s="1019"/>
      <c r="D2581" s="3188"/>
      <c r="E2581" s="1019"/>
      <c r="F2581" s="1019"/>
      <c r="G2581" s="1019"/>
      <c r="H2581" s="1019"/>
      <c r="I2581" s="1019"/>
    </row>
    <row r="2582" spans="1:9" x14ac:dyDescent="0.35">
      <c r="A2582" s="1019"/>
      <c r="B2582" s="1019"/>
      <c r="C2582" s="1019"/>
      <c r="D2582" s="3188"/>
      <c r="E2582" s="1019"/>
      <c r="F2582" s="1019"/>
      <c r="G2582" s="1019"/>
      <c r="H2582" s="1019"/>
      <c r="I2582" s="1019"/>
    </row>
    <row r="2583" spans="1:9" x14ac:dyDescent="0.35">
      <c r="A2583" s="1019"/>
      <c r="B2583" s="1019"/>
      <c r="C2583" s="1019"/>
      <c r="D2583" s="3188"/>
      <c r="E2583" s="1019"/>
      <c r="F2583" s="1019"/>
      <c r="G2583" s="1019"/>
      <c r="H2583" s="1019"/>
      <c r="I2583" s="1019"/>
    </row>
    <row r="2584" spans="1:9" x14ac:dyDescent="0.35">
      <c r="A2584" s="1019"/>
      <c r="B2584" s="1019"/>
      <c r="C2584" s="1019"/>
      <c r="D2584" s="3188"/>
      <c r="E2584" s="1019"/>
      <c r="F2584" s="1019"/>
      <c r="G2584" s="1019"/>
      <c r="H2584" s="1019"/>
      <c r="I2584" s="1019"/>
    </row>
    <row r="2585" spans="1:9" x14ac:dyDescent="0.35">
      <c r="A2585" s="1019"/>
      <c r="B2585" s="1019"/>
      <c r="C2585" s="1019"/>
      <c r="D2585" s="3188"/>
      <c r="E2585" s="1019"/>
      <c r="F2585" s="1019"/>
      <c r="G2585" s="1019"/>
      <c r="H2585" s="1019"/>
      <c r="I2585" s="1019"/>
    </row>
    <row r="2586" spans="1:9" x14ac:dyDescent="0.35">
      <c r="A2586" s="1019"/>
      <c r="B2586" s="1019"/>
      <c r="C2586" s="1019"/>
      <c r="D2586" s="3188"/>
      <c r="E2586" s="1019"/>
      <c r="F2586" s="1019"/>
      <c r="G2586" s="1019"/>
      <c r="H2586" s="1019"/>
      <c r="I2586" s="1019"/>
    </row>
    <row r="2587" spans="1:9" x14ac:dyDescent="0.35">
      <c r="A2587" s="1019"/>
      <c r="B2587" s="1019"/>
      <c r="C2587" s="1019"/>
      <c r="D2587" s="3188"/>
      <c r="E2587" s="1019"/>
      <c r="F2587" s="1019"/>
      <c r="G2587" s="1019"/>
      <c r="H2587" s="1019"/>
      <c r="I2587" s="1019"/>
    </row>
    <row r="2588" spans="1:9" x14ac:dyDescent="0.35">
      <c r="A2588" s="1019"/>
      <c r="B2588" s="1019"/>
      <c r="C2588" s="1019"/>
      <c r="D2588" s="3188"/>
      <c r="E2588" s="1019"/>
      <c r="F2588" s="1019"/>
      <c r="G2588" s="1019"/>
      <c r="H2588" s="1019"/>
      <c r="I2588" s="1019"/>
    </row>
    <row r="2589" spans="1:9" x14ac:dyDescent="0.35">
      <c r="A2589" s="1019"/>
      <c r="B2589" s="1019"/>
      <c r="C2589" s="1019"/>
      <c r="D2589" s="3188"/>
      <c r="E2589" s="1019"/>
      <c r="F2589" s="1019"/>
      <c r="G2589" s="1019"/>
      <c r="H2589" s="1019"/>
      <c r="I2589" s="1019"/>
    </row>
    <row r="2590" spans="1:9" x14ac:dyDescent="0.35">
      <c r="A2590" s="1019"/>
      <c r="B2590" s="1019"/>
      <c r="C2590" s="1019"/>
      <c r="D2590" s="3188"/>
      <c r="E2590" s="1019"/>
      <c r="F2590" s="1019"/>
      <c r="G2590" s="1019"/>
      <c r="H2590" s="1019"/>
      <c r="I2590" s="1019"/>
    </row>
    <row r="2591" spans="1:9" x14ac:dyDescent="0.35">
      <c r="A2591" s="1019"/>
      <c r="B2591" s="1019"/>
      <c r="C2591" s="1019"/>
      <c r="D2591" s="3188"/>
      <c r="E2591" s="1019"/>
      <c r="F2591" s="1019"/>
      <c r="G2591" s="1019"/>
      <c r="H2591" s="1019"/>
      <c r="I2591" s="1019"/>
    </row>
    <row r="2592" spans="1:9" x14ac:dyDescent="0.35">
      <c r="A2592" s="1019"/>
      <c r="B2592" s="1019"/>
      <c r="C2592" s="1019"/>
      <c r="D2592" s="3188"/>
      <c r="E2592" s="1019"/>
      <c r="F2592" s="1019"/>
      <c r="G2592" s="1019"/>
      <c r="H2592" s="1019"/>
      <c r="I2592" s="1019"/>
    </row>
    <row r="2593" spans="1:9" x14ac:dyDescent="0.35">
      <c r="A2593" s="1019"/>
      <c r="B2593" s="1019"/>
      <c r="C2593" s="1019"/>
      <c r="D2593" s="3188"/>
      <c r="E2593" s="1019"/>
      <c r="F2593" s="1019"/>
      <c r="G2593" s="1019"/>
      <c r="H2593" s="1019"/>
      <c r="I2593" s="1019"/>
    </row>
    <row r="2594" spans="1:9" x14ac:dyDescent="0.35">
      <c r="A2594" s="1019"/>
      <c r="B2594" s="1019"/>
      <c r="C2594" s="1019"/>
      <c r="D2594" s="3188"/>
      <c r="E2594" s="1019"/>
      <c r="F2594" s="1019"/>
      <c r="G2594" s="1019"/>
      <c r="H2594" s="1019"/>
      <c r="I2594" s="1019"/>
    </row>
    <row r="2595" spans="1:9" x14ac:dyDescent="0.35">
      <c r="A2595" s="1019"/>
      <c r="B2595" s="1019"/>
      <c r="C2595" s="1019"/>
      <c r="D2595" s="3188"/>
      <c r="E2595" s="1019"/>
      <c r="F2595" s="1019"/>
      <c r="G2595" s="1019"/>
      <c r="H2595" s="1019"/>
      <c r="I2595" s="1019"/>
    </row>
    <row r="2596" spans="1:9" x14ac:dyDescent="0.35">
      <c r="A2596" s="1019"/>
      <c r="B2596" s="1019"/>
      <c r="C2596" s="1019"/>
      <c r="D2596" s="3188"/>
      <c r="E2596" s="1019"/>
      <c r="F2596" s="1019"/>
      <c r="G2596" s="1019"/>
      <c r="H2596" s="1019"/>
      <c r="I2596" s="1019"/>
    </row>
    <row r="2597" spans="1:9" x14ac:dyDescent="0.35">
      <c r="A2597" s="1019"/>
      <c r="B2597" s="1019"/>
      <c r="C2597" s="1019"/>
      <c r="D2597" s="3188"/>
      <c r="E2597" s="1019"/>
      <c r="F2597" s="1019"/>
      <c r="G2597" s="1019"/>
      <c r="H2597" s="1019"/>
      <c r="I2597" s="1019"/>
    </row>
    <row r="2598" spans="1:9" x14ac:dyDescent="0.35">
      <c r="A2598" s="1019"/>
      <c r="B2598" s="1019"/>
      <c r="C2598" s="1019"/>
      <c r="D2598" s="3188"/>
      <c r="E2598" s="1019"/>
      <c r="F2598" s="1019"/>
      <c r="G2598" s="1019"/>
      <c r="H2598" s="1019"/>
      <c r="I2598" s="1019"/>
    </row>
    <row r="2599" spans="1:9" x14ac:dyDescent="0.35">
      <c r="A2599" s="1019"/>
      <c r="B2599" s="1019"/>
      <c r="C2599" s="1019"/>
      <c r="D2599" s="3188"/>
      <c r="E2599" s="1019"/>
      <c r="F2599" s="1019"/>
      <c r="G2599" s="1019"/>
      <c r="H2599" s="1019"/>
      <c r="I2599" s="1019"/>
    </row>
    <row r="2600" spans="1:9" x14ac:dyDescent="0.35">
      <c r="A2600" s="1019"/>
      <c r="B2600" s="1019"/>
      <c r="C2600" s="1019"/>
      <c r="D2600" s="3188"/>
      <c r="E2600" s="1019"/>
      <c r="F2600" s="1019"/>
      <c r="G2600" s="1019"/>
      <c r="H2600" s="1019"/>
      <c r="I2600" s="1019"/>
    </row>
    <row r="2601" spans="1:9" x14ac:dyDescent="0.35">
      <c r="A2601" s="1019"/>
      <c r="B2601" s="1019"/>
      <c r="C2601" s="1019"/>
      <c r="D2601" s="3188"/>
      <c r="E2601" s="1019"/>
      <c r="F2601" s="1019"/>
      <c r="G2601" s="1019"/>
      <c r="H2601" s="1019"/>
      <c r="I2601" s="1019"/>
    </row>
    <row r="2602" spans="1:9" x14ac:dyDescent="0.35">
      <c r="A2602" s="1019"/>
      <c r="B2602" s="1019"/>
      <c r="C2602" s="1019"/>
      <c r="D2602" s="3188"/>
      <c r="E2602" s="1019"/>
      <c r="F2602" s="1019"/>
      <c r="G2602" s="1019"/>
      <c r="H2602" s="1019"/>
      <c r="I2602" s="1019"/>
    </row>
    <row r="2603" spans="1:9" x14ac:dyDescent="0.35">
      <c r="A2603" s="1019"/>
      <c r="B2603" s="1019"/>
      <c r="C2603" s="1019"/>
      <c r="D2603" s="3188"/>
      <c r="E2603" s="1019"/>
      <c r="F2603" s="1019"/>
      <c r="G2603" s="1019"/>
      <c r="H2603" s="1019"/>
      <c r="I2603" s="1019"/>
    </row>
    <row r="2604" spans="1:9" x14ac:dyDescent="0.35">
      <c r="A2604" s="1019"/>
      <c r="B2604" s="1019"/>
      <c r="C2604" s="1019"/>
      <c r="D2604" s="3188"/>
      <c r="E2604" s="1019"/>
      <c r="F2604" s="1019"/>
      <c r="G2604" s="1019"/>
      <c r="H2604" s="1019"/>
      <c r="I2604" s="1019"/>
    </row>
    <row r="2605" spans="1:9" x14ac:dyDescent="0.35">
      <c r="A2605" s="1019"/>
      <c r="B2605" s="1019"/>
      <c r="C2605" s="1019"/>
      <c r="D2605" s="3188"/>
      <c r="E2605" s="1019"/>
      <c r="F2605" s="1019"/>
      <c r="G2605" s="1019"/>
      <c r="H2605" s="1019"/>
      <c r="I2605" s="1019"/>
    </row>
    <row r="2606" spans="1:9" x14ac:dyDescent="0.35">
      <c r="A2606" s="1019"/>
      <c r="B2606" s="1019"/>
      <c r="C2606" s="1019"/>
      <c r="D2606" s="3188"/>
      <c r="E2606" s="1019"/>
      <c r="F2606" s="1019"/>
      <c r="G2606" s="1019"/>
      <c r="H2606" s="1019"/>
      <c r="I2606" s="1019"/>
    </row>
    <row r="2607" spans="1:9" x14ac:dyDescent="0.35">
      <c r="A2607" s="1019"/>
      <c r="B2607" s="1019"/>
      <c r="C2607" s="1019"/>
      <c r="D2607" s="3188"/>
      <c r="E2607" s="1019"/>
      <c r="F2607" s="1019"/>
      <c r="G2607" s="1019"/>
      <c r="H2607" s="1019"/>
      <c r="I2607" s="1019"/>
    </row>
    <row r="2608" spans="1:9" x14ac:dyDescent="0.35">
      <c r="A2608" s="1019"/>
      <c r="B2608" s="1019"/>
      <c r="C2608" s="1019"/>
      <c r="D2608" s="3188"/>
      <c r="E2608" s="1019"/>
      <c r="F2608" s="1019"/>
      <c r="G2608" s="1019"/>
      <c r="H2608" s="1019"/>
      <c r="I2608" s="1019"/>
    </row>
    <row r="2609" spans="1:9" x14ac:dyDescent="0.35">
      <c r="A2609" s="1019"/>
      <c r="B2609" s="1019"/>
      <c r="C2609" s="1019"/>
      <c r="D2609" s="3188"/>
      <c r="E2609" s="1019"/>
      <c r="F2609" s="1019"/>
      <c r="G2609" s="1019"/>
      <c r="H2609" s="1019"/>
      <c r="I2609" s="1019"/>
    </row>
    <row r="2610" spans="1:9" x14ac:dyDescent="0.35">
      <c r="A2610" s="1019"/>
      <c r="B2610" s="1019"/>
      <c r="C2610" s="1019"/>
      <c r="D2610" s="3188"/>
      <c r="E2610" s="1019"/>
      <c r="F2610" s="1019"/>
      <c r="G2610" s="1019"/>
      <c r="H2610" s="1019"/>
      <c r="I2610" s="1019"/>
    </row>
    <row r="2611" spans="1:9" x14ac:dyDescent="0.35">
      <c r="A2611" s="1019"/>
      <c r="B2611" s="1019"/>
      <c r="C2611" s="1019"/>
      <c r="D2611" s="3188"/>
      <c r="E2611" s="1019"/>
      <c r="F2611" s="1019"/>
      <c r="G2611" s="1019"/>
      <c r="H2611" s="1019"/>
      <c r="I2611" s="1019"/>
    </row>
    <row r="2612" spans="1:9" x14ac:dyDescent="0.35">
      <c r="A2612" s="1019"/>
      <c r="B2612" s="1019"/>
      <c r="C2612" s="1019"/>
      <c r="D2612" s="3188"/>
      <c r="E2612" s="1019"/>
      <c r="F2612" s="1019"/>
      <c r="G2612" s="1019"/>
      <c r="H2612" s="1019"/>
      <c r="I2612" s="1019"/>
    </row>
    <row r="2613" spans="1:9" x14ac:dyDescent="0.35">
      <c r="A2613" s="1019"/>
      <c r="B2613" s="1019"/>
      <c r="C2613" s="1019"/>
      <c r="D2613" s="3188"/>
      <c r="E2613" s="1019"/>
      <c r="F2613" s="1019"/>
      <c r="G2613" s="1019"/>
      <c r="H2613" s="1019"/>
      <c r="I2613" s="1019"/>
    </row>
    <row r="2614" spans="1:9" x14ac:dyDescent="0.35">
      <c r="A2614" s="1019"/>
      <c r="B2614" s="1019"/>
      <c r="C2614" s="1019"/>
      <c r="D2614" s="3188"/>
      <c r="E2614" s="1019"/>
      <c r="F2614" s="1019"/>
      <c r="G2614" s="1019"/>
      <c r="H2614" s="1019"/>
      <c r="I2614" s="1019"/>
    </row>
    <row r="2615" spans="1:9" x14ac:dyDescent="0.35">
      <c r="A2615" s="1019"/>
      <c r="B2615" s="1019"/>
      <c r="C2615" s="1019"/>
      <c r="D2615" s="3188"/>
      <c r="E2615" s="1019"/>
      <c r="F2615" s="1019"/>
      <c r="G2615" s="1019"/>
      <c r="H2615" s="1019"/>
      <c r="I2615" s="1019"/>
    </row>
    <row r="2616" spans="1:9" x14ac:dyDescent="0.35">
      <c r="A2616" s="1019"/>
      <c r="B2616" s="1019"/>
      <c r="C2616" s="1019"/>
      <c r="D2616" s="3188"/>
      <c r="E2616" s="1019"/>
      <c r="F2616" s="1019"/>
      <c r="G2616" s="1019"/>
      <c r="H2616" s="1019"/>
      <c r="I2616" s="1019"/>
    </row>
    <row r="2617" spans="1:9" x14ac:dyDescent="0.35">
      <c r="A2617" s="1019"/>
      <c r="B2617" s="1019"/>
      <c r="C2617" s="1019"/>
      <c r="D2617" s="3188"/>
      <c r="E2617" s="1019"/>
      <c r="F2617" s="1019"/>
      <c r="G2617" s="1019"/>
      <c r="H2617" s="1019"/>
      <c r="I2617" s="1019"/>
    </row>
    <row r="2618" spans="1:9" x14ac:dyDescent="0.35">
      <c r="A2618" s="1019"/>
      <c r="B2618" s="1019"/>
      <c r="C2618" s="1019"/>
      <c r="D2618" s="3188"/>
      <c r="E2618" s="1019"/>
      <c r="F2618" s="1019"/>
      <c r="G2618" s="1019"/>
      <c r="H2618" s="1019"/>
      <c r="I2618" s="1019"/>
    </row>
    <row r="2619" spans="1:9" x14ac:dyDescent="0.35">
      <c r="A2619" s="1019"/>
      <c r="B2619" s="1019"/>
      <c r="C2619" s="1019"/>
      <c r="D2619" s="3188"/>
      <c r="E2619" s="1019"/>
      <c r="F2619" s="1019"/>
      <c r="G2619" s="1019"/>
      <c r="H2619" s="1019"/>
      <c r="I2619" s="1019"/>
    </row>
    <row r="2620" spans="1:9" x14ac:dyDescent="0.35">
      <c r="A2620" s="1019"/>
      <c r="B2620" s="1019"/>
      <c r="C2620" s="1019"/>
      <c r="D2620" s="3188"/>
      <c r="E2620" s="1019"/>
      <c r="F2620" s="1019"/>
      <c r="G2620" s="1019"/>
      <c r="H2620" s="1019"/>
      <c r="I2620" s="1019"/>
    </row>
    <row r="2621" spans="1:9" x14ac:dyDescent="0.35">
      <c r="A2621" s="1019"/>
      <c r="B2621" s="1019"/>
      <c r="C2621" s="1019"/>
      <c r="D2621" s="3188"/>
      <c r="E2621" s="1019"/>
      <c r="F2621" s="1019"/>
      <c r="G2621" s="1019"/>
      <c r="H2621" s="1019"/>
      <c r="I2621" s="1019"/>
    </row>
    <row r="2622" spans="1:9" x14ac:dyDescent="0.35">
      <c r="A2622" s="1019"/>
      <c r="B2622" s="1019"/>
      <c r="C2622" s="1019"/>
      <c r="D2622" s="3188"/>
      <c r="E2622" s="1019"/>
      <c r="F2622" s="1019"/>
      <c r="G2622" s="1019"/>
      <c r="H2622" s="1019"/>
      <c r="I2622" s="1019"/>
    </row>
    <row r="2623" spans="1:9" x14ac:dyDescent="0.35">
      <c r="A2623" s="1019"/>
      <c r="B2623" s="1019"/>
      <c r="C2623" s="1019"/>
      <c r="D2623" s="3188"/>
      <c r="E2623" s="1019"/>
      <c r="F2623" s="1019"/>
      <c r="G2623" s="1019"/>
      <c r="H2623" s="1019"/>
      <c r="I2623" s="1019"/>
    </row>
    <row r="2624" spans="1:9" x14ac:dyDescent="0.35">
      <c r="A2624" s="1019"/>
      <c r="B2624" s="1019"/>
      <c r="C2624" s="1019"/>
      <c r="D2624" s="3188"/>
      <c r="E2624" s="1019"/>
      <c r="F2624" s="1019"/>
      <c r="G2624" s="1019"/>
      <c r="H2624" s="1019"/>
      <c r="I2624" s="1019"/>
    </row>
    <row r="2625" spans="1:9" x14ac:dyDescent="0.35">
      <c r="A2625" s="1019"/>
      <c r="B2625" s="1019"/>
      <c r="C2625" s="1019"/>
      <c r="D2625" s="3188"/>
      <c r="E2625" s="1019"/>
      <c r="F2625" s="1019"/>
      <c r="G2625" s="1019"/>
      <c r="H2625" s="1019"/>
      <c r="I2625" s="1019"/>
    </row>
    <row r="2626" spans="1:9" x14ac:dyDescent="0.35">
      <c r="A2626" s="1019"/>
      <c r="B2626" s="1019"/>
      <c r="C2626" s="1019"/>
      <c r="D2626" s="3188"/>
      <c r="E2626" s="1019"/>
      <c r="F2626" s="1019"/>
      <c r="G2626" s="1019"/>
      <c r="H2626" s="1019"/>
      <c r="I2626" s="1019"/>
    </row>
    <row r="2627" spans="1:9" x14ac:dyDescent="0.35">
      <c r="A2627" s="1019"/>
      <c r="B2627" s="1019"/>
      <c r="C2627" s="1019"/>
      <c r="D2627" s="3188"/>
      <c r="E2627" s="1019"/>
      <c r="F2627" s="1019"/>
      <c r="G2627" s="1019"/>
      <c r="H2627" s="1019"/>
      <c r="I2627" s="1019"/>
    </row>
    <row r="2628" spans="1:9" x14ac:dyDescent="0.35">
      <c r="A2628" s="1019"/>
      <c r="B2628" s="1019"/>
      <c r="C2628" s="1019"/>
      <c r="D2628" s="3188"/>
      <c r="E2628" s="1019"/>
      <c r="F2628" s="1019"/>
      <c r="G2628" s="1019"/>
      <c r="H2628" s="1019"/>
      <c r="I2628" s="1019"/>
    </row>
    <row r="2629" spans="1:9" x14ac:dyDescent="0.35">
      <c r="A2629" s="1019"/>
      <c r="B2629" s="1019"/>
      <c r="C2629" s="1019"/>
      <c r="D2629" s="3188"/>
      <c r="E2629" s="1019"/>
      <c r="F2629" s="1019"/>
      <c r="G2629" s="1019"/>
      <c r="H2629" s="1019"/>
      <c r="I2629" s="1019"/>
    </row>
    <row r="2630" spans="1:9" x14ac:dyDescent="0.35">
      <c r="A2630" s="1019"/>
      <c r="B2630" s="1019"/>
      <c r="C2630" s="1019"/>
      <c r="D2630" s="3188"/>
      <c r="E2630" s="1019"/>
      <c r="F2630" s="1019"/>
      <c r="G2630" s="1019"/>
      <c r="H2630" s="1019"/>
      <c r="I2630" s="1019"/>
    </row>
    <row r="2631" spans="1:9" x14ac:dyDescent="0.35">
      <c r="A2631" s="1019"/>
      <c r="B2631" s="1019"/>
      <c r="C2631" s="1019"/>
      <c r="D2631" s="3188"/>
      <c r="E2631" s="1019"/>
      <c r="F2631" s="1019"/>
      <c r="G2631" s="1019"/>
      <c r="H2631" s="1019"/>
      <c r="I2631" s="1019"/>
    </row>
    <row r="2632" spans="1:9" x14ac:dyDescent="0.35">
      <c r="A2632" s="1019"/>
      <c r="B2632" s="1019"/>
      <c r="C2632" s="1019"/>
      <c r="D2632" s="3188"/>
      <c r="E2632" s="1019"/>
      <c r="F2632" s="1019"/>
      <c r="G2632" s="1019"/>
      <c r="H2632" s="1019"/>
      <c r="I2632" s="1019"/>
    </row>
    <row r="2633" spans="1:9" x14ac:dyDescent="0.35">
      <c r="A2633" s="1019"/>
      <c r="B2633" s="1019"/>
      <c r="C2633" s="1019"/>
      <c r="D2633" s="3188"/>
      <c r="E2633" s="1019"/>
      <c r="F2633" s="1019"/>
      <c r="G2633" s="1019"/>
      <c r="H2633" s="1019"/>
      <c r="I2633" s="1019"/>
    </row>
    <row r="2634" spans="1:9" x14ac:dyDescent="0.35">
      <c r="A2634" s="1019"/>
      <c r="B2634" s="1019"/>
      <c r="C2634" s="1019"/>
      <c r="D2634" s="3188"/>
      <c r="E2634" s="1019"/>
      <c r="F2634" s="1019"/>
      <c r="G2634" s="1019"/>
      <c r="H2634" s="1019"/>
      <c r="I2634" s="1019"/>
    </row>
    <row r="2635" spans="1:9" x14ac:dyDescent="0.35">
      <c r="A2635" s="1019"/>
      <c r="B2635" s="1019"/>
      <c r="C2635" s="1019"/>
      <c r="D2635" s="3188"/>
      <c r="E2635" s="1019"/>
      <c r="F2635" s="1019"/>
      <c r="G2635" s="1019"/>
      <c r="H2635" s="1019"/>
      <c r="I2635" s="1019"/>
    </row>
    <row r="2636" spans="1:9" x14ac:dyDescent="0.35">
      <c r="A2636" s="1019"/>
      <c r="B2636" s="1019"/>
      <c r="C2636" s="1019"/>
      <c r="D2636" s="3188"/>
      <c r="E2636" s="1019"/>
      <c r="F2636" s="1019"/>
      <c r="G2636" s="1019"/>
      <c r="H2636" s="1019"/>
      <c r="I2636" s="1019"/>
    </row>
    <row r="2637" spans="1:9" x14ac:dyDescent="0.35">
      <c r="A2637" s="1019"/>
      <c r="B2637" s="1019"/>
      <c r="C2637" s="1019"/>
      <c r="D2637" s="3188"/>
      <c r="E2637" s="1019"/>
      <c r="F2637" s="1019"/>
      <c r="G2637" s="1019"/>
      <c r="H2637" s="1019"/>
      <c r="I2637" s="1019"/>
    </row>
    <row r="2638" spans="1:9" x14ac:dyDescent="0.35">
      <c r="A2638" s="1019"/>
      <c r="B2638" s="1019"/>
      <c r="C2638" s="1019"/>
      <c r="D2638" s="3188"/>
      <c r="E2638" s="1019"/>
      <c r="F2638" s="1019"/>
      <c r="G2638" s="1019"/>
      <c r="H2638" s="1019"/>
      <c r="I2638" s="1019"/>
    </row>
    <row r="2639" spans="1:9" x14ac:dyDescent="0.35">
      <c r="A2639" s="1019"/>
      <c r="B2639" s="1019"/>
      <c r="C2639" s="1019"/>
      <c r="D2639" s="3188"/>
      <c r="E2639" s="1019"/>
      <c r="F2639" s="1019"/>
      <c r="G2639" s="1019"/>
      <c r="H2639" s="1019"/>
      <c r="I2639" s="1019"/>
    </row>
    <row r="2640" spans="1:9" x14ac:dyDescent="0.35">
      <c r="A2640" s="1019"/>
      <c r="B2640" s="1019"/>
      <c r="C2640" s="1019"/>
      <c r="D2640" s="3188"/>
      <c r="E2640" s="1019"/>
      <c r="F2640" s="1019"/>
      <c r="G2640" s="1019"/>
      <c r="H2640" s="1019"/>
      <c r="I2640" s="1019"/>
    </row>
    <row r="2641" spans="1:9" x14ac:dyDescent="0.35">
      <c r="A2641" s="1019"/>
      <c r="B2641" s="1019"/>
      <c r="C2641" s="1019"/>
      <c r="D2641" s="3188"/>
      <c r="E2641" s="1019"/>
      <c r="F2641" s="1019"/>
      <c r="G2641" s="1019"/>
      <c r="H2641" s="1019"/>
      <c r="I2641" s="1019"/>
    </row>
    <row r="2642" spans="1:9" x14ac:dyDescent="0.35">
      <c r="A2642" s="1019"/>
      <c r="B2642" s="1019"/>
      <c r="C2642" s="1019"/>
      <c r="D2642" s="3188"/>
      <c r="E2642" s="1019"/>
      <c r="F2642" s="1019"/>
      <c r="G2642" s="1019"/>
      <c r="H2642" s="1019"/>
      <c r="I2642" s="1019"/>
    </row>
    <row r="2643" spans="1:9" x14ac:dyDescent="0.35">
      <c r="A2643" s="1019"/>
      <c r="B2643" s="1019"/>
      <c r="C2643" s="1019"/>
      <c r="D2643" s="3188"/>
      <c r="E2643" s="1019"/>
      <c r="F2643" s="1019"/>
      <c r="G2643" s="1019"/>
      <c r="H2643" s="1019"/>
      <c r="I2643" s="1019"/>
    </row>
    <row r="2644" spans="1:9" x14ac:dyDescent="0.35">
      <c r="A2644" s="1019"/>
      <c r="B2644" s="1019"/>
      <c r="C2644" s="1019"/>
      <c r="D2644" s="3188"/>
      <c r="E2644" s="1019"/>
      <c r="F2644" s="1019"/>
      <c r="G2644" s="1019"/>
      <c r="H2644" s="1019"/>
      <c r="I2644" s="1019"/>
    </row>
    <row r="2645" spans="1:9" x14ac:dyDescent="0.35">
      <c r="A2645" s="1019"/>
      <c r="B2645" s="1019"/>
      <c r="C2645" s="1019"/>
      <c r="D2645" s="3188"/>
      <c r="E2645" s="1019"/>
      <c r="F2645" s="1019"/>
      <c r="G2645" s="1019"/>
      <c r="H2645" s="1019"/>
      <c r="I2645" s="1019"/>
    </row>
    <row r="2646" spans="1:9" x14ac:dyDescent="0.35">
      <c r="A2646" s="1019"/>
      <c r="B2646" s="1019"/>
      <c r="C2646" s="1019"/>
      <c r="D2646" s="3188"/>
      <c r="E2646" s="1019"/>
      <c r="F2646" s="1019"/>
      <c r="G2646" s="1019"/>
      <c r="H2646" s="1019"/>
      <c r="I2646" s="1019"/>
    </row>
    <row r="2647" spans="1:9" x14ac:dyDescent="0.35">
      <c r="A2647" s="1019"/>
      <c r="B2647" s="1019"/>
      <c r="C2647" s="1019"/>
      <c r="D2647" s="3188"/>
      <c r="E2647" s="1019"/>
      <c r="F2647" s="1019"/>
      <c r="G2647" s="1019"/>
      <c r="H2647" s="1019"/>
      <c r="I2647" s="1019"/>
    </row>
    <row r="2648" spans="1:9" x14ac:dyDescent="0.35">
      <c r="A2648" s="1019"/>
      <c r="B2648" s="1019"/>
      <c r="C2648" s="1019"/>
      <c r="D2648" s="3188"/>
      <c r="E2648" s="1019"/>
      <c r="F2648" s="1019"/>
      <c r="G2648" s="1019"/>
      <c r="H2648" s="1019"/>
      <c r="I2648" s="1019"/>
    </row>
    <row r="2649" spans="1:9" x14ac:dyDescent="0.35">
      <c r="A2649" s="1019"/>
      <c r="B2649" s="1019"/>
      <c r="C2649" s="1019"/>
      <c r="D2649" s="3188"/>
      <c r="E2649" s="1019"/>
      <c r="F2649" s="1019"/>
      <c r="G2649" s="1019"/>
      <c r="H2649" s="1019"/>
      <c r="I2649" s="1019"/>
    </row>
    <row r="2650" spans="1:9" x14ac:dyDescent="0.35">
      <c r="A2650" s="1019"/>
      <c r="B2650" s="1019"/>
      <c r="C2650" s="1019"/>
      <c r="D2650" s="3188"/>
      <c r="E2650" s="1019"/>
      <c r="F2650" s="1019"/>
      <c r="G2650" s="1019"/>
      <c r="H2650" s="1019"/>
      <c r="I2650" s="1019"/>
    </row>
    <row r="2651" spans="1:9" x14ac:dyDescent="0.35">
      <c r="A2651" s="1019"/>
      <c r="B2651" s="1019"/>
      <c r="C2651" s="1019"/>
      <c r="D2651" s="3188"/>
      <c r="E2651" s="1019"/>
      <c r="F2651" s="1019"/>
      <c r="G2651" s="1019"/>
      <c r="H2651" s="1019"/>
      <c r="I2651" s="1019"/>
    </row>
    <row r="2652" spans="1:9" x14ac:dyDescent="0.35">
      <c r="A2652" s="1019"/>
      <c r="B2652" s="1019"/>
      <c r="C2652" s="1019"/>
      <c r="D2652" s="3188"/>
      <c r="E2652" s="1019"/>
      <c r="F2652" s="1019"/>
      <c r="G2652" s="1019"/>
      <c r="H2652" s="1019"/>
      <c r="I2652" s="1019"/>
    </row>
    <row r="2653" spans="1:9" x14ac:dyDescent="0.35">
      <c r="A2653" s="1019"/>
      <c r="B2653" s="1019"/>
      <c r="C2653" s="1019"/>
      <c r="D2653" s="3188"/>
      <c r="E2653" s="1019"/>
      <c r="F2653" s="1019"/>
      <c r="G2653" s="1019"/>
      <c r="H2653" s="1019"/>
      <c r="I2653" s="1019"/>
    </row>
    <row r="2654" spans="1:9" x14ac:dyDescent="0.35">
      <c r="A2654" s="1019"/>
      <c r="B2654" s="1019"/>
      <c r="C2654" s="1019"/>
      <c r="D2654" s="3188"/>
      <c r="E2654" s="1019"/>
      <c r="F2654" s="1019"/>
      <c r="G2654" s="1019"/>
      <c r="H2654" s="1019"/>
      <c r="I2654" s="1019"/>
    </row>
    <row r="2655" spans="1:9" x14ac:dyDescent="0.35">
      <c r="A2655" s="1019"/>
      <c r="B2655" s="1019"/>
      <c r="C2655" s="1019"/>
      <c r="D2655" s="3188"/>
      <c r="E2655" s="1019"/>
      <c r="F2655" s="1019"/>
      <c r="G2655" s="1019"/>
      <c r="H2655" s="1019"/>
      <c r="I2655" s="1019"/>
    </row>
    <row r="2656" spans="1:9" x14ac:dyDescent="0.35">
      <c r="A2656" s="1019"/>
      <c r="B2656" s="1019"/>
      <c r="C2656" s="1019"/>
      <c r="D2656" s="3188"/>
      <c r="E2656" s="1019"/>
      <c r="F2656" s="1019"/>
      <c r="G2656" s="1019"/>
      <c r="H2656" s="1019"/>
      <c r="I2656" s="1019"/>
    </row>
    <row r="2657" spans="1:9" x14ac:dyDescent="0.35">
      <c r="A2657" s="1019"/>
      <c r="B2657" s="1019"/>
      <c r="C2657" s="1019"/>
      <c r="D2657" s="3188"/>
      <c r="E2657" s="1019"/>
      <c r="F2657" s="1019"/>
      <c r="G2657" s="1019"/>
      <c r="H2657" s="1019"/>
      <c r="I2657" s="1019"/>
    </row>
    <row r="2658" spans="1:9" x14ac:dyDescent="0.35">
      <c r="A2658" s="1019"/>
      <c r="B2658" s="1019"/>
      <c r="C2658" s="1019"/>
      <c r="D2658" s="3188"/>
      <c r="E2658" s="1019"/>
      <c r="F2658" s="1019"/>
      <c r="G2658" s="1019"/>
      <c r="H2658" s="1019"/>
      <c r="I2658" s="1019"/>
    </row>
    <row r="2659" spans="1:9" x14ac:dyDescent="0.35">
      <c r="A2659" s="1019"/>
      <c r="B2659" s="1019"/>
      <c r="C2659" s="1019"/>
      <c r="D2659" s="3188"/>
      <c r="E2659" s="1019"/>
      <c r="F2659" s="1019"/>
      <c r="G2659" s="1019"/>
      <c r="H2659" s="1019"/>
      <c r="I2659" s="1019"/>
    </row>
    <row r="2660" spans="1:9" x14ac:dyDescent="0.35">
      <c r="A2660" s="1019"/>
      <c r="B2660" s="1019"/>
      <c r="C2660" s="1019"/>
      <c r="D2660" s="3188"/>
      <c r="E2660" s="1019"/>
      <c r="F2660" s="1019"/>
      <c r="G2660" s="1019"/>
      <c r="H2660" s="1019"/>
      <c r="I2660" s="1019"/>
    </row>
    <row r="2661" spans="1:9" x14ac:dyDescent="0.35">
      <c r="A2661" s="1019"/>
      <c r="B2661" s="1019"/>
      <c r="C2661" s="1019"/>
      <c r="D2661" s="3188"/>
      <c r="E2661" s="1019"/>
      <c r="F2661" s="1019"/>
      <c r="G2661" s="1019"/>
      <c r="H2661" s="1019"/>
      <c r="I2661" s="1019"/>
    </row>
    <row r="2662" spans="1:9" x14ac:dyDescent="0.35">
      <c r="A2662" s="1019"/>
      <c r="B2662" s="1019"/>
      <c r="C2662" s="1019"/>
      <c r="D2662" s="3188"/>
      <c r="E2662" s="1019"/>
      <c r="F2662" s="1019"/>
      <c r="G2662" s="1019"/>
      <c r="H2662" s="1019"/>
      <c r="I2662" s="1019"/>
    </row>
    <row r="2663" spans="1:9" x14ac:dyDescent="0.35">
      <c r="A2663" s="1019"/>
      <c r="B2663" s="1019"/>
      <c r="C2663" s="1019"/>
      <c r="D2663" s="3188"/>
      <c r="E2663" s="1019"/>
      <c r="F2663" s="1019"/>
      <c r="G2663" s="1019"/>
      <c r="H2663" s="1019"/>
      <c r="I2663" s="1019"/>
    </row>
    <row r="2664" spans="1:9" x14ac:dyDescent="0.35">
      <c r="A2664" s="1019"/>
      <c r="B2664" s="1019"/>
      <c r="C2664" s="1019"/>
      <c r="D2664" s="3188"/>
      <c r="E2664" s="1019"/>
      <c r="F2664" s="1019"/>
      <c r="G2664" s="1019"/>
      <c r="H2664" s="1019"/>
      <c r="I2664" s="1019"/>
    </row>
    <row r="2665" spans="1:9" x14ac:dyDescent="0.35">
      <c r="A2665" s="1019"/>
      <c r="B2665" s="1019"/>
      <c r="C2665" s="1019"/>
      <c r="D2665" s="3188"/>
      <c r="E2665" s="1019"/>
      <c r="F2665" s="1019"/>
      <c r="G2665" s="1019"/>
      <c r="H2665" s="1019"/>
      <c r="I2665" s="1019"/>
    </row>
    <row r="2666" spans="1:9" x14ac:dyDescent="0.35">
      <c r="A2666" s="1019"/>
      <c r="B2666" s="1019"/>
      <c r="C2666" s="1019"/>
      <c r="D2666" s="3188"/>
      <c r="E2666" s="1019"/>
      <c r="F2666" s="1019"/>
      <c r="G2666" s="1019"/>
      <c r="H2666" s="1019"/>
      <c r="I2666" s="1019"/>
    </row>
    <row r="2667" spans="1:9" x14ac:dyDescent="0.35">
      <c r="A2667" s="1019"/>
      <c r="B2667" s="1019"/>
      <c r="C2667" s="1019"/>
      <c r="D2667" s="3188"/>
      <c r="E2667" s="1019"/>
      <c r="F2667" s="1019"/>
      <c r="G2667" s="1019"/>
      <c r="H2667" s="1019"/>
      <c r="I2667" s="1019"/>
    </row>
    <row r="2668" spans="1:9" x14ac:dyDescent="0.35">
      <c r="A2668" s="1019"/>
      <c r="B2668" s="1019"/>
      <c r="C2668" s="1019"/>
      <c r="D2668" s="3188"/>
      <c r="E2668" s="1019"/>
      <c r="F2668" s="1019"/>
      <c r="G2668" s="1019"/>
      <c r="H2668" s="1019"/>
      <c r="I2668" s="1019"/>
    </row>
    <row r="2669" spans="1:9" x14ac:dyDescent="0.35">
      <c r="A2669" s="1019"/>
      <c r="B2669" s="1019"/>
      <c r="C2669" s="1019"/>
      <c r="D2669" s="3188"/>
      <c r="E2669" s="1019"/>
      <c r="F2669" s="1019"/>
      <c r="G2669" s="1019"/>
      <c r="H2669" s="1019"/>
      <c r="I2669" s="1019"/>
    </row>
    <row r="2670" spans="1:9" x14ac:dyDescent="0.35">
      <c r="A2670" s="1019"/>
      <c r="B2670" s="1019"/>
      <c r="C2670" s="1019"/>
      <c r="D2670" s="3188"/>
      <c r="E2670" s="1019"/>
      <c r="F2670" s="1019"/>
      <c r="G2670" s="1019"/>
      <c r="H2670" s="1019"/>
      <c r="I2670" s="1019"/>
    </row>
    <row r="2671" spans="1:9" x14ac:dyDescent="0.35">
      <c r="A2671" s="1019"/>
      <c r="B2671" s="1019"/>
      <c r="C2671" s="1019"/>
      <c r="D2671" s="3188"/>
      <c r="E2671" s="1019"/>
      <c r="F2671" s="1019"/>
      <c r="G2671" s="1019"/>
      <c r="H2671" s="1019"/>
      <c r="I2671" s="1019"/>
    </row>
    <row r="2672" spans="1:9" x14ac:dyDescent="0.35">
      <c r="A2672" s="1019"/>
      <c r="B2672" s="1019"/>
      <c r="C2672" s="1019"/>
      <c r="D2672" s="3188"/>
      <c r="E2672" s="1019"/>
      <c r="F2672" s="1019"/>
      <c r="G2672" s="1019"/>
      <c r="H2672" s="1019"/>
      <c r="I2672" s="1019"/>
    </row>
    <row r="2673" spans="1:9" x14ac:dyDescent="0.35">
      <c r="A2673" s="1019"/>
      <c r="B2673" s="1019"/>
      <c r="C2673" s="1019"/>
      <c r="D2673" s="3188"/>
      <c r="E2673" s="1019"/>
      <c r="F2673" s="1019"/>
      <c r="G2673" s="1019"/>
      <c r="H2673" s="1019"/>
      <c r="I2673" s="1019"/>
    </row>
    <row r="2674" spans="1:9" x14ac:dyDescent="0.35">
      <c r="A2674" s="1019"/>
      <c r="B2674" s="1019"/>
      <c r="C2674" s="1019"/>
      <c r="D2674" s="3188"/>
      <c r="E2674" s="1019"/>
      <c r="F2674" s="1019"/>
      <c r="G2674" s="1019"/>
      <c r="H2674" s="1019"/>
      <c r="I2674" s="1019"/>
    </row>
    <row r="2675" spans="1:9" x14ac:dyDescent="0.35">
      <c r="A2675" s="1019"/>
      <c r="B2675" s="1019"/>
      <c r="C2675" s="1019"/>
      <c r="D2675" s="3188"/>
      <c r="E2675" s="1019"/>
      <c r="F2675" s="1019"/>
      <c r="G2675" s="1019"/>
      <c r="H2675" s="1019"/>
      <c r="I2675" s="1019"/>
    </row>
    <row r="2676" spans="1:9" x14ac:dyDescent="0.35">
      <c r="A2676" s="1019"/>
      <c r="B2676" s="1019"/>
      <c r="C2676" s="1019"/>
      <c r="D2676" s="3188"/>
      <c r="E2676" s="1019"/>
      <c r="F2676" s="1019"/>
      <c r="G2676" s="1019"/>
      <c r="H2676" s="1019"/>
      <c r="I2676" s="1019"/>
    </row>
    <row r="2677" spans="1:9" x14ac:dyDescent="0.35">
      <c r="A2677" s="1019"/>
      <c r="B2677" s="1019"/>
      <c r="C2677" s="1019"/>
      <c r="D2677" s="3188"/>
      <c r="E2677" s="1019"/>
      <c r="F2677" s="1019"/>
      <c r="G2677" s="1019"/>
      <c r="H2677" s="1019"/>
      <c r="I2677" s="1019"/>
    </row>
    <row r="2678" spans="1:9" x14ac:dyDescent="0.35">
      <c r="A2678" s="1019"/>
      <c r="B2678" s="1019"/>
      <c r="C2678" s="1019"/>
      <c r="D2678" s="3188"/>
      <c r="E2678" s="1019"/>
      <c r="F2678" s="1019"/>
      <c r="G2678" s="1019"/>
      <c r="H2678" s="1019"/>
      <c r="I2678" s="1019"/>
    </row>
    <row r="2679" spans="1:9" x14ac:dyDescent="0.35">
      <c r="A2679" s="1019"/>
      <c r="B2679" s="1019"/>
      <c r="C2679" s="1019"/>
      <c r="D2679" s="3188"/>
      <c r="E2679" s="1019"/>
      <c r="F2679" s="1019"/>
      <c r="G2679" s="1019"/>
      <c r="H2679" s="1019"/>
      <c r="I2679" s="1019"/>
    </row>
    <row r="2680" spans="1:9" x14ac:dyDescent="0.35">
      <c r="A2680" s="1019"/>
      <c r="B2680" s="1019"/>
      <c r="C2680" s="1019"/>
      <c r="D2680" s="3188"/>
      <c r="E2680" s="1019"/>
      <c r="F2680" s="1019"/>
      <c r="G2680" s="1019"/>
      <c r="H2680" s="1019"/>
      <c r="I2680" s="1019"/>
    </row>
  </sheetData>
  <mergeCells count="4">
    <mergeCell ref="E11:G11"/>
    <mergeCell ref="A2:I2"/>
    <mergeCell ref="A194:C194"/>
    <mergeCell ref="E200:G200"/>
  </mergeCells>
  <phoneticPr fontId="174" type="noConversion"/>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68"/>
  <sheetViews>
    <sheetView topLeftCell="A9" zoomScale="80" zoomScaleNormal="80" workbookViewId="0">
      <selection activeCell="H38" sqref="H38"/>
    </sheetView>
  </sheetViews>
  <sheetFormatPr defaultColWidth="9.1796875" defaultRowHeight="13" outlineLevelRow="1" x14ac:dyDescent="0.35"/>
  <cols>
    <col min="1" max="1" width="4.453125" style="1143" customWidth="1"/>
    <col min="2" max="2" width="6.81640625" style="1143" customWidth="1"/>
    <col min="3" max="3" width="30.36328125" style="1147" customWidth="1"/>
    <col min="4" max="4" width="25.26953125" style="1147" customWidth="1"/>
    <col min="5" max="5" width="16.1796875" style="1845" customWidth="1"/>
    <col min="6" max="6" width="20.453125" style="1145" customWidth="1"/>
    <col min="7" max="7" width="21.26953125" style="1145" customWidth="1"/>
    <col min="8" max="8" width="23.1796875" style="1195" customWidth="1"/>
    <col min="9" max="9" width="17.54296875" style="1147" customWidth="1"/>
    <col min="10" max="10" width="21" style="1147" customWidth="1"/>
    <col min="11" max="11" width="9.1796875" style="1147"/>
    <col min="12" max="12" width="3.26953125" style="1147" customWidth="1"/>
    <col min="13" max="13" width="23.1796875" style="1147" customWidth="1"/>
    <col min="14" max="14" width="11.81640625" style="1147" customWidth="1"/>
    <col min="15" max="15" width="12.26953125" style="1147" customWidth="1"/>
    <col min="16" max="16" width="12.453125" style="1147" customWidth="1"/>
    <col min="17" max="17" width="11" style="1147" customWidth="1"/>
    <col min="18" max="18" width="12.1796875" style="1147" customWidth="1"/>
    <col min="19" max="19" width="10.26953125" style="1147" customWidth="1"/>
    <col min="20" max="20" width="10.7265625" style="1147" customWidth="1"/>
    <col min="21" max="21" width="12.1796875" style="1147" customWidth="1"/>
    <col min="22" max="22" width="11" style="1147" customWidth="1"/>
    <col min="23" max="23" width="10.7265625" style="1147" customWidth="1"/>
    <col min="24" max="24" width="12.1796875" style="1147" customWidth="1"/>
    <col min="25" max="25" width="10.453125" style="1147" customWidth="1"/>
    <col min="26" max="26" width="10.7265625" style="1147" customWidth="1"/>
    <col min="27" max="27" width="10.54296875" style="1147" customWidth="1"/>
    <col min="28" max="28" width="9.1796875" style="1147"/>
    <col min="29" max="29" width="12.453125" style="1147" customWidth="1"/>
    <col min="30" max="16384" width="9.1796875" style="1147"/>
  </cols>
  <sheetData>
    <row r="1" spans="1:29" x14ac:dyDescent="0.35">
      <c r="H1" s="1147"/>
    </row>
    <row r="2" spans="1:29" s="1846" customFormat="1" ht="14" x14ac:dyDescent="0.35">
      <c r="A2" s="3836" t="str">
        <f>NRC!B2</f>
        <v>PESANTREN ISLAM AL-IRSYAD TENGARAN 6 BONDOWOSO</v>
      </c>
      <c r="B2" s="3836"/>
      <c r="C2" s="3836"/>
      <c r="D2" s="3836"/>
      <c r="E2" s="3836"/>
      <c r="F2" s="3836"/>
      <c r="G2" s="3836"/>
      <c r="H2" s="3836"/>
    </row>
    <row r="3" spans="1:29" s="1153" customFormat="1" ht="6" customHeight="1" x14ac:dyDescent="0.35">
      <c r="A3" s="1847"/>
      <c r="B3" s="1149"/>
      <c r="C3" s="1375"/>
      <c r="E3" s="1848"/>
      <c r="F3" s="1151"/>
      <c r="G3" s="1151"/>
    </row>
    <row r="4" spans="1:29" s="1153" customFormat="1" ht="13.5" customHeight="1" x14ac:dyDescent="0.35">
      <c r="A4" s="3795" t="s">
        <v>3191</v>
      </c>
      <c r="B4" s="3795"/>
      <c r="C4" s="3795"/>
      <c r="D4" s="3795"/>
      <c r="E4" s="3795"/>
      <c r="F4" s="3795"/>
      <c r="G4" s="3795"/>
      <c r="H4" s="3795"/>
    </row>
    <row r="5" spans="1:29" s="1153" customFormat="1" ht="14" x14ac:dyDescent="0.35">
      <c r="A5" s="1154" t="s">
        <v>3192</v>
      </c>
      <c r="B5" s="1154"/>
      <c r="C5" s="1154"/>
      <c r="D5" s="1154"/>
      <c r="E5" s="1849"/>
      <c r="F5" s="1154"/>
      <c r="G5" s="1154"/>
      <c r="H5" s="1158" t="s">
        <v>3193</v>
      </c>
    </row>
    <row r="6" spans="1:29" s="1153" customFormat="1" ht="14" x14ac:dyDescent="0.35">
      <c r="A6" s="3797" t="str">
        <f>NRC!B5</f>
        <v>30 June 2026</v>
      </c>
      <c r="B6" s="3797"/>
      <c r="C6" s="3797"/>
      <c r="D6" s="1155"/>
      <c r="E6" s="1849"/>
      <c r="F6" s="1155"/>
      <c r="G6" s="3837">
        <f>NRC!I5</f>
        <v>46203</v>
      </c>
      <c r="H6" s="3837"/>
    </row>
    <row r="7" spans="1:29" s="1153" customFormat="1" ht="14" x14ac:dyDescent="0.35">
      <c r="A7" s="1159" t="str">
        <f>NRC!C6</f>
        <v>(Dengan perbandingan informasi keuangan untuk bulan yang berakhir 31 May 2026 /</v>
      </c>
      <c r="B7" s="1155"/>
      <c r="C7" s="1155"/>
      <c r="D7" s="1155"/>
      <c r="E7" s="1849"/>
      <c r="F7" s="1155"/>
      <c r="G7" s="1155"/>
      <c r="H7" s="1989" t="str">
        <f>NRC!K6</f>
        <v>With Comparative financial information for the month ended May 31, 2026 )</v>
      </c>
    </row>
    <row r="8" spans="1:29" s="1153" customFormat="1" ht="14" x14ac:dyDescent="0.35">
      <c r="A8" s="1155" t="s">
        <v>2426</v>
      </c>
      <c r="B8" s="1155"/>
      <c r="C8" s="1155"/>
      <c r="D8" s="1155"/>
      <c r="E8" s="1849"/>
      <c r="F8" s="1155"/>
      <c r="G8" s="1155"/>
      <c r="H8" s="1158" t="s">
        <v>177</v>
      </c>
    </row>
    <row r="9" spans="1:29" ht="13.5" outlineLevel="1" x14ac:dyDescent="0.35">
      <c r="A9" s="1169" t="s">
        <v>531</v>
      </c>
      <c r="B9" s="1167"/>
      <c r="C9" s="1167"/>
      <c r="D9" s="1167"/>
      <c r="E9" s="1850"/>
      <c r="F9" s="1167"/>
      <c r="G9" s="1167"/>
      <c r="H9" s="1851" t="s">
        <v>532</v>
      </c>
    </row>
    <row r="10" spans="1:29" ht="17.25" customHeight="1" thickBot="1" x14ac:dyDescent="0.4">
      <c r="A10" s="1167"/>
      <c r="B10" s="1167"/>
      <c r="C10" s="1167"/>
      <c r="D10" s="1167"/>
      <c r="E10" s="1850"/>
      <c r="F10" s="1852"/>
      <c r="G10" s="1167"/>
      <c r="H10" s="1167"/>
    </row>
    <row r="11" spans="1:29" ht="13.5" thickBot="1" x14ac:dyDescent="0.4">
      <c r="A11" s="1853" t="s">
        <v>2648</v>
      </c>
      <c r="B11" s="3838" t="s">
        <v>1043</v>
      </c>
      <c r="C11" s="3838"/>
      <c r="D11" s="3838"/>
      <c r="E11" s="3839"/>
      <c r="F11" s="2897" t="str">
        <f>'2'!D11</f>
        <v>30 June 2026/</v>
      </c>
      <c r="G11" s="1854" t="str">
        <f>'2'!E11</f>
        <v>31 May 2026/</v>
      </c>
      <c r="H11" s="1855" t="s">
        <v>3194</v>
      </c>
      <c r="I11" s="1168"/>
    </row>
    <row r="12" spans="1:29" ht="21" customHeight="1" thickBot="1" x14ac:dyDescent="0.4">
      <c r="A12" s="1856" t="s">
        <v>2599</v>
      </c>
      <c r="B12" s="3850" t="s">
        <v>447</v>
      </c>
      <c r="C12" s="3850"/>
      <c r="D12" s="3850"/>
      <c r="E12" s="3789"/>
      <c r="F12" s="1857">
        <f>'2'!D12</f>
        <v>46203</v>
      </c>
      <c r="G12" s="1857">
        <f>'2'!E12</f>
        <v>46173</v>
      </c>
      <c r="H12" s="1858" t="s">
        <v>2606</v>
      </c>
      <c r="L12" s="1859" t="s">
        <v>2602</v>
      </c>
      <c r="M12" s="1860" t="s">
        <v>2603</v>
      </c>
      <c r="N12" s="1860" t="s">
        <v>2604</v>
      </c>
      <c r="O12" s="1860" t="s">
        <v>2430</v>
      </c>
      <c r="P12" s="1860" t="s">
        <v>2431</v>
      </c>
      <c r="Q12" s="1860" t="s">
        <v>904</v>
      </c>
      <c r="R12" s="3846" t="s">
        <v>2432</v>
      </c>
      <c r="S12" s="3846"/>
      <c r="T12" s="3846"/>
      <c r="U12" s="3846" t="s">
        <v>2433</v>
      </c>
      <c r="V12" s="3846"/>
      <c r="W12" s="3846"/>
      <c r="X12" s="3846" t="s">
        <v>2434</v>
      </c>
      <c r="Y12" s="3846"/>
      <c r="Z12" s="3846"/>
      <c r="AA12" s="1861"/>
      <c r="AB12" s="1861"/>
      <c r="AC12" s="1862" t="s">
        <v>904</v>
      </c>
    </row>
    <row r="13" spans="1:29" ht="14.15" customHeight="1" outlineLevel="1" x14ac:dyDescent="0.35">
      <c r="A13" s="1863" t="s">
        <v>533</v>
      </c>
      <c r="B13" s="1864" t="s">
        <v>3195</v>
      </c>
      <c r="C13" s="1865"/>
      <c r="D13" s="1866"/>
      <c r="E13" s="1867"/>
      <c r="F13" s="1868"/>
      <c r="G13" s="1868"/>
      <c r="H13" s="1869"/>
      <c r="L13" s="1193"/>
      <c r="M13" s="1194"/>
      <c r="N13" s="1194"/>
      <c r="O13" s="1194"/>
      <c r="P13" s="1194"/>
      <c r="Q13" s="1194"/>
      <c r="R13" s="1194"/>
      <c r="S13" s="1194"/>
      <c r="T13" s="1194"/>
      <c r="U13" s="1194"/>
      <c r="V13" s="1194"/>
      <c r="W13" s="1194"/>
      <c r="X13" s="1194"/>
      <c r="Y13" s="1194"/>
      <c r="Z13" s="1194"/>
      <c r="AA13" s="1195"/>
      <c r="AB13" s="1195"/>
      <c r="AC13" s="1196"/>
    </row>
    <row r="14" spans="1:29" ht="14.15" customHeight="1" outlineLevel="1" x14ac:dyDescent="0.35">
      <c r="A14" s="1870"/>
      <c r="B14" s="1871" t="s">
        <v>8168</v>
      </c>
      <c r="C14" s="1872"/>
      <c r="D14" s="1873"/>
      <c r="E14" s="1874"/>
      <c r="F14" s="1875"/>
      <c r="G14" s="1875"/>
      <c r="H14" s="1876"/>
      <c r="L14" s="1193"/>
      <c r="M14" s="1194"/>
      <c r="N14" s="1194"/>
      <c r="O14" s="1194"/>
      <c r="P14" s="1194"/>
      <c r="Q14" s="1194"/>
      <c r="R14" s="1194"/>
      <c r="S14" s="1194"/>
      <c r="T14" s="1194"/>
      <c r="U14" s="1194"/>
      <c r="V14" s="1194"/>
      <c r="W14" s="1194"/>
      <c r="X14" s="1194"/>
      <c r="Y14" s="1194"/>
      <c r="Z14" s="1194"/>
      <c r="AA14" s="1195"/>
      <c r="AB14" s="1195"/>
      <c r="AC14" s="1196"/>
    </row>
    <row r="15" spans="1:29" ht="12.75" customHeight="1" outlineLevel="1" x14ac:dyDescent="0.35">
      <c r="A15" s="1877"/>
      <c r="B15" s="1878" t="s">
        <v>2447</v>
      </c>
      <c r="C15" s="1990" t="s">
        <v>8169</v>
      </c>
      <c r="D15" s="1990"/>
      <c r="E15" s="1990"/>
      <c r="F15" s="2724">
        <v>1300000</v>
      </c>
      <c r="G15" s="2724">
        <v>1300000</v>
      </c>
      <c r="H15" s="1879"/>
      <c r="P15" s="181"/>
    </row>
    <row r="16" spans="1:29" ht="12.75" customHeight="1" outlineLevel="1" x14ac:dyDescent="0.35">
      <c r="A16" s="1877"/>
      <c r="B16" s="1878" t="s">
        <v>23</v>
      </c>
      <c r="C16" s="1990"/>
      <c r="D16" s="1990"/>
      <c r="E16" s="1990"/>
      <c r="F16" s="1880"/>
      <c r="G16" s="1880"/>
      <c r="H16" s="1879"/>
      <c r="P16" s="181"/>
    </row>
    <row r="17" spans="1:16" ht="12.75" customHeight="1" outlineLevel="1" x14ac:dyDescent="0.35">
      <c r="A17" s="1877"/>
      <c r="B17" s="1878" t="s">
        <v>27</v>
      </c>
      <c r="C17" s="1991"/>
      <c r="D17" s="1991"/>
      <c r="E17" s="1991"/>
      <c r="F17" s="1880"/>
      <c r="G17" s="1880"/>
      <c r="H17" s="1879"/>
      <c r="I17" s="1881"/>
      <c r="P17" s="181"/>
    </row>
    <row r="18" spans="1:16" ht="12.75" customHeight="1" outlineLevel="1" x14ac:dyDescent="0.35">
      <c r="A18" s="1877"/>
      <c r="B18" s="1878" t="s">
        <v>31</v>
      </c>
      <c r="C18" s="1991"/>
      <c r="D18" s="1991"/>
      <c r="E18" s="1991"/>
      <c r="F18" s="1880"/>
      <c r="G18" s="1880"/>
      <c r="H18" s="1879"/>
      <c r="I18" s="1881"/>
      <c r="P18" s="181"/>
    </row>
    <row r="19" spans="1:16" ht="12.75" customHeight="1" outlineLevel="1" x14ac:dyDescent="0.35">
      <c r="A19" s="1877"/>
      <c r="B19" s="1878" t="s">
        <v>36</v>
      </c>
      <c r="C19" s="1991"/>
      <c r="D19" s="1991"/>
      <c r="E19" s="1991"/>
      <c r="F19" s="1880"/>
      <c r="G19" s="1880"/>
      <c r="H19" s="1879"/>
      <c r="I19" s="1881"/>
      <c r="P19" s="181"/>
    </row>
    <row r="20" spans="1:16" ht="12.75" customHeight="1" outlineLevel="1" x14ac:dyDescent="0.35">
      <c r="A20" s="1877"/>
      <c r="B20" s="1878" t="s">
        <v>2449</v>
      </c>
      <c r="C20" s="1991"/>
      <c r="D20" s="1991"/>
      <c r="E20" s="1990"/>
      <c r="F20" s="1880"/>
      <c r="G20" s="1880"/>
      <c r="H20" s="1879"/>
      <c r="I20" s="1881"/>
      <c r="P20" s="181"/>
    </row>
    <row r="21" spans="1:16" ht="12.75" customHeight="1" outlineLevel="1" x14ac:dyDescent="0.35">
      <c r="A21" s="1877"/>
      <c r="B21" s="1878" t="s">
        <v>759</v>
      </c>
      <c r="C21" s="1991"/>
      <c r="D21" s="1991"/>
      <c r="E21" s="1990"/>
      <c r="F21" s="1880"/>
      <c r="G21" s="1880"/>
      <c r="H21" s="1879"/>
      <c r="I21" s="1881"/>
      <c r="P21" s="181"/>
    </row>
    <row r="22" spans="1:16" ht="12.75" customHeight="1" outlineLevel="1" x14ac:dyDescent="0.35">
      <c r="A22" s="1877"/>
      <c r="B22" s="1878" t="s">
        <v>701</v>
      </c>
      <c r="C22" s="1991"/>
      <c r="D22" s="1991"/>
      <c r="E22" s="1991"/>
      <c r="F22" s="1880"/>
      <c r="G22" s="1880"/>
      <c r="H22" s="1879"/>
      <c r="I22" s="1881"/>
      <c r="P22" s="181"/>
    </row>
    <row r="23" spans="1:16" ht="12.75" customHeight="1" outlineLevel="1" x14ac:dyDescent="0.35">
      <c r="A23" s="1877"/>
      <c r="B23" s="1878" t="s">
        <v>1027</v>
      </c>
      <c r="C23" s="1991"/>
      <c r="D23" s="1991"/>
      <c r="E23" s="1991"/>
      <c r="F23" s="1880"/>
      <c r="G23" s="1880"/>
      <c r="H23" s="1879"/>
      <c r="I23" s="1881"/>
      <c r="P23" s="181"/>
    </row>
    <row r="24" spans="1:16" ht="12.75" customHeight="1" outlineLevel="1" x14ac:dyDescent="0.35">
      <c r="A24" s="1877"/>
      <c r="B24" s="1878" t="s">
        <v>762</v>
      </c>
      <c r="C24" s="1991"/>
      <c r="D24" s="1991"/>
      <c r="E24" s="1991"/>
      <c r="F24" s="1880"/>
      <c r="G24" s="1880"/>
      <c r="H24" s="1879"/>
      <c r="I24" s="1881"/>
      <c r="P24" s="181"/>
    </row>
    <row r="25" spans="1:16" ht="12.75" customHeight="1" outlineLevel="1" x14ac:dyDescent="0.35">
      <c r="A25" s="1877"/>
      <c r="B25" s="1878" t="s">
        <v>874</v>
      </c>
      <c r="C25" s="1991"/>
      <c r="D25" s="1991"/>
      <c r="E25" s="1991"/>
      <c r="F25" s="1880"/>
      <c r="G25" s="1880"/>
      <c r="H25" s="1879"/>
      <c r="I25" s="1881"/>
      <c r="P25" s="181"/>
    </row>
    <row r="26" spans="1:16" ht="12.75" customHeight="1" outlineLevel="1" x14ac:dyDescent="0.35">
      <c r="A26" s="1877"/>
      <c r="B26" s="1878" t="s">
        <v>2450</v>
      </c>
      <c r="C26" s="1991"/>
      <c r="D26" s="1991"/>
      <c r="E26" s="1991"/>
      <c r="F26" s="1880"/>
      <c r="G26" s="1880"/>
      <c r="H26" s="1879"/>
      <c r="I26" s="1881"/>
      <c r="P26" s="181"/>
    </row>
    <row r="27" spans="1:16" ht="12.75" customHeight="1" outlineLevel="1" x14ac:dyDescent="0.35">
      <c r="A27" s="1877"/>
      <c r="B27" s="1878" t="s">
        <v>2451</v>
      </c>
      <c r="C27" s="1991"/>
      <c r="D27" s="1991"/>
      <c r="E27" s="1991"/>
      <c r="F27" s="1880"/>
      <c r="G27" s="1880"/>
      <c r="H27" s="1879"/>
      <c r="I27" s="1881"/>
      <c r="P27" s="181"/>
    </row>
    <row r="28" spans="1:16" ht="12.75" customHeight="1" outlineLevel="1" x14ac:dyDescent="0.35">
      <c r="A28" s="1877"/>
      <c r="B28" s="1878" t="s">
        <v>2452</v>
      </c>
      <c r="C28" s="1991"/>
      <c r="D28" s="1991"/>
      <c r="E28" s="1991"/>
      <c r="F28" s="1880"/>
      <c r="G28" s="1880"/>
      <c r="H28" s="1879"/>
      <c r="I28" s="1881"/>
      <c r="P28" s="181"/>
    </row>
    <row r="29" spans="1:16" ht="12.75" customHeight="1" outlineLevel="1" x14ac:dyDescent="0.35">
      <c r="A29" s="1877"/>
      <c r="B29" s="1878" t="s">
        <v>2453</v>
      </c>
      <c r="C29" s="1991"/>
      <c r="D29" s="1991"/>
      <c r="E29" s="1991"/>
      <c r="F29" s="1880"/>
      <c r="G29" s="1880"/>
      <c r="H29" s="1879"/>
      <c r="I29" s="1881"/>
      <c r="P29" s="181"/>
    </row>
    <row r="30" spans="1:16" ht="12.75" customHeight="1" outlineLevel="1" x14ac:dyDescent="0.35">
      <c r="A30" s="1877"/>
      <c r="B30" s="1878" t="s">
        <v>2454</v>
      </c>
      <c r="C30" s="1991"/>
      <c r="D30" s="1990"/>
      <c r="E30" s="1991"/>
      <c r="F30" s="1880"/>
      <c r="G30" s="1880"/>
      <c r="H30" s="1879"/>
      <c r="I30" s="1881"/>
      <c r="P30" s="181"/>
    </row>
    <row r="31" spans="1:16" s="1885" customFormat="1" ht="12.75" customHeight="1" outlineLevel="1" x14ac:dyDescent="0.25">
      <c r="A31" s="1882"/>
      <c r="B31" s="1889"/>
      <c r="C31" s="1887"/>
      <c r="D31" s="1990"/>
      <c r="E31" s="1991"/>
      <c r="F31" s="1888"/>
      <c r="G31" s="1888"/>
      <c r="H31" s="1883"/>
      <c r="I31" s="1884"/>
      <c r="P31" s="1886"/>
    </row>
    <row r="32" spans="1:16" ht="12.75" customHeight="1" outlineLevel="1" x14ac:dyDescent="0.35">
      <c r="A32" s="1877"/>
      <c r="B32" s="1890"/>
      <c r="C32" s="1891"/>
      <c r="D32" s="1991"/>
      <c r="E32" s="1991"/>
      <c r="F32" s="1892"/>
      <c r="G32" s="1892"/>
      <c r="H32" s="1879"/>
      <c r="I32" s="1881"/>
      <c r="P32" s="181"/>
    </row>
    <row r="33" spans="1:29" ht="12.75" customHeight="1" outlineLevel="1" x14ac:dyDescent="0.35">
      <c r="A33" s="1893"/>
      <c r="B33" s="1894"/>
      <c r="C33" s="1895"/>
      <c r="D33" s="181"/>
      <c r="E33" s="1991"/>
      <c r="F33" s="1880">
        <f>SUM(F15:F32)</f>
        <v>1300000</v>
      </c>
      <c r="G33" s="1880">
        <f>SUM(G15:G32)</f>
        <v>1300000</v>
      </c>
      <c r="H33" s="1897"/>
      <c r="I33" s="1898"/>
      <c r="P33" s="181"/>
    </row>
    <row r="34" spans="1:29" ht="12.75" customHeight="1" outlineLevel="1" x14ac:dyDescent="0.35">
      <c r="A34" s="1893"/>
      <c r="B34" s="1899" t="s">
        <v>8184</v>
      </c>
      <c r="C34" s="1899"/>
      <c r="D34" s="181"/>
      <c r="E34" s="1991"/>
      <c r="F34" s="1880"/>
      <c r="G34" s="1880"/>
      <c r="H34" s="1897"/>
      <c r="I34" s="1881">
        <f>F33-I33</f>
        <v>1300000</v>
      </c>
      <c r="P34" s="181"/>
    </row>
    <row r="35" spans="1:29" ht="12.75" customHeight="1" outlineLevel="1" x14ac:dyDescent="0.35">
      <c r="A35" s="1893"/>
      <c r="B35" s="1907" t="s">
        <v>2447</v>
      </c>
      <c r="C35" s="1990" t="s">
        <v>7608</v>
      </c>
      <c r="D35" s="2979">
        <v>45597</v>
      </c>
      <c r="E35" s="1907"/>
      <c r="F35" s="1907">
        <v>150000</v>
      </c>
      <c r="G35" s="1907">
        <v>150000</v>
      </c>
      <c r="H35" s="1897"/>
      <c r="I35" s="1881"/>
      <c r="P35" s="181"/>
    </row>
    <row r="36" spans="1:29" ht="12.75" customHeight="1" outlineLevel="1" x14ac:dyDescent="0.35">
      <c r="A36" s="1893"/>
      <c r="B36" s="1992" t="s">
        <v>23</v>
      </c>
      <c r="C36" s="3008" t="s">
        <v>7629</v>
      </c>
      <c r="D36" s="2979">
        <v>45635</v>
      </c>
      <c r="E36" s="1992"/>
      <c r="F36" s="1992">
        <f>500000-500000</f>
        <v>0</v>
      </c>
      <c r="G36" s="1992">
        <v>0</v>
      </c>
      <c r="H36" s="1897" t="s">
        <v>7712</v>
      </c>
      <c r="I36" s="1881"/>
      <c r="P36" s="181"/>
    </row>
    <row r="37" spans="1:29" ht="12.75" customHeight="1" outlineLevel="1" x14ac:dyDescent="0.35">
      <c r="A37" s="1893"/>
      <c r="B37" s="1907" t="s">
        <v>27</v>
      </c>
      <c r="C37" s="3008" t="s">
        <v>7708</v>
      </c>
      <c r="D37" s="2979">
        <v>45818</v>
      </c>
      <c r="E37" s="1907"/>
      <c r="F37" s="1907">
        <f>4500000-4500000</f>
        <v>0</v>
      </c>
      <c r="G37" s="1907">
        <v>0</v>
      </c>
      <c r="H37" s="1897" t="s">
        <v>7712</v>
      </c>
      <c r="I37" s="1881"/>
      <c r="P37" s="181"/>
    </row>
    <row r="38" spans="1:29" ht="12.75" customHeight="1" outlineLevel="1" x14ac:dyDescent="0.35">
      <c r="A38" s="1893"/>
      <c r="B38" s="1992" t="s">
        <v>31</v>
      </c>
      <c r="C38" s="3008" t="s">
        <v>7819</v>
      </c>
      <c r="D38" s="2979">
        <v>45840</v>
      </c>
      <c r="E38" s="1992"/>
      <c r="F38" s="1992">
        <f>1000000-1000000</f>
        <v>0</v>
      </c>
      <c r="G38" s="1992">
        <v>1000000</v>
      </c>
      <c r="H38" s="1897" t="s">
        <v>8238</v>
      </c>
      <c r="I38" s="1881"/>
      <c r="P38" s="181"/>
    </row>
    <row r="39" spans="1:29" ht="12.75" customHeight="1" outlineLevel="1" x14ac:dyDescent="0.35">
      <c r="A39" s="1893"/>
      <c r="B39" s="1907" t="s">
        <v>36</v>
      </c>
      <c r="C39" s="3008" t="s">
        <v>7749</v>
      </c>
      <c r="D39" s="2979">
        <v>45857</v>
      </c>
      <c r="E39" s="1907"/>
      <c r="F39" s="1907">
        <v>0</v>
      </c>
      <c r="G39" s="1907">
        <v>0</v>
      </c>
      <c r="H39" s="1897" t="s">
        <v>7391</v>
      </c>
      <c r="I39" s="1881"/>
      <c r="P39" s="181"/>
    </row>
    <row r="40" spans="1:29" ht="12.75" customHeight="1" outlineLevel="1" x14ac:dyDescent="0.35">
      <c r="A40" s="1893"/>
      <c r="B40" s="1992" t="s">
        <v>2449</v>
      </c>
      <c r="C40" s="3008" t="s">
        <v>7749</v>
      </c>
      <c r="D40" s="2979">
        <v>45873</v>
      </c>
      <c r="E40" s="1992"/>
      <c r="F40" s="1992">
        <f>5000000-5000000</f>
        <v>0</v>
      </c>
      <c r="G40" s="1992">
        <v>0</v>
      </c>
      <c r="H40" s="1897" t="s">
        <v>7962</v>
      </c>
      <c r="I40" s="1881"/>
      <c r="P40" s="181"/>
    </row>
    <row r="41" spans="1:29" ht="12.75" customHeight="1" outlineLevel="1" x14ac:dyDescent="0.35">
      <c r="A41" s="1893"/>
      <c r="B41" s="1907" t="s">
        <v>759</v>
      </c>
      <c r="C41" s="1907"/>
      <c r="D41" s="1907"/>
      <c r="E41" s="1907"/>
      <c r="F41" s="1907"/>
      <c r="G41" s="1907"/>
      <c r="H41" s="1897"/>
      <c r="I41" s="1881"/>
      <c r="P41" s="181"/>
    </row>
    <row r="42" spans="1:29" ht="12.75" customHeight="1" outlineLevel="1" x14ac:dyDescent="0.35">
      <c r="A42" s="1893"/>
      <c r="B42" s="1992" t="s">
        <v>701</v>
      </c>
      <c r="C42" s="1992"/>
      <c r="D42" s="1992"/>
      <c r="E42" s="1992"/>
      <c r="F42" s="1992"/>
      <c r="G42" s="1992"/>
      <c r="H42" s="1897"/>
      <c r="I42" s="1881"/>
      <c r="P42" s="181"/>
    </row>
    <row r="43" spans="1:29" ht="12.75" customHeight="1" outlineLevel="1" x14ac:dyDescent="0.35">
      <c r="A43" s="1893"/>
      <c r="B43" s="1907" t="s">
        <v>1027</v>
      </c>
      <c r="C43" s="1907"/>
      <c r="D43" s="1907"/>
      <c r="E43" s="1907"/>
      <c r="F43" s="1907"/>
      <c r="G43" s="1907"/>
      <c r="H43" s="1897"/>
      <c r="I43" s="1881"/>
      <c r="P43" s="181"/>
    </row>
    <row r="44" spans="1:29" ht="12.75" customHeight="1" outlineLevel="1" x14ac:dyDescent="0.35">
      <c r="A44" s="1893"/>
      <c r="B44" s="1992" t="s">
        <v>762</v>
      </c>
      <c r="C44" s="1992"/>
      <c r="D44" s="1992"/>
      <c r="E44" s="1992"/>
      <c r="F44" s="1992"/>
      <c r="G44" s="1992"/>
      <c r="H44" s="1897"/>
      <c r="I44" s="1881"/>
      <c r="P44" s="181"/>
    </row>
    <row r="45" spans="1:29" ht="12.75" customHeight="1" outlineLevel="1" x14ac:dyDescent="0.35">
      <c r="A45" s="1893"/>
      <c r="B45" s="1878"/>
      <c r="C45" s="1878"/>
      <c r="D45" s="1878"/>
      <c r="E45" s="1878"/>
      <c r="F45" s="1993"/>
      <c r="G45" s="1993"/>
      <c r="H45" s="1897"/>
      <c r="I45" s="1881"/>
      <c r="P45" s="181"/>
    </row>
    <row r="46" spans="1:29" s="882" customFormat="1" ht="18" customHeight="1" outlineLevel="1" thickBot="1" x14ac:dyDescent="0.4">
      <c r="A46" s="1994"/>
      <c r="B46" s="1995"/>
      <c r="C46" s="1996"/>
      <c r="E46" s="1997"/>
      <c r="F46" s="1998">
        <f>SUM(F35:F45)</f>
        <v>150000</v>
      </c>
      <c r="G46" s="1998">
        <f>SUM(G35:G45)</f>
        <v>1150000</v>
      </c>
      <c r="H46" s="1999"/>
      <c r="I46" s="882">
        <f>'[16]AGT-23'!$W$2804</f>
        <v>56711946</v>
      </c>
      <c r="J46" s="882">
        <f>F46-I46</f>
        <v>-56561946</v>
      </c>
    </row>
    <row r="47" spans="1:29" ht="21" customHeight="1" outlineLevel="1" thickBot="1" x14ac:dyDescent="0.4">
      <c r="A47" s="3847" t="s">
        <v>3224</v>
      </c>
      <c r="B47" s="3848"/>
      <c r="C47" s="3848"/>
      <c r="D47" s="3848"/>
      <c r="E47" s="3849"/>
      <c r="F47" s="2000">
        <f>+F46+F33</f>
        <v>1450000</v>
      </c>
      <c r="G47" s="2000">
        <f>+G46+G33</f>
        <v>2450000</v>
      </c>
      <c r="H47" s="2001"/>
      <c r="L47" s="1193"/>
      <c r="M47" s="1194"/>
      <c r="N47" s="1194"/>
      <c r="O47" s="1194"/>
      <c r="P47" s="1900"/>
      <c r="Q47" s="1901"/>
      <c r="R47" s="1194"/>
      <c r="S47" s="1194"/>
      <c r="T47" s="1194"/>
      <c r="U47" s="1194"/>
      <c r="V47" s="1194"/>
      <c r="W47" s="1194"/>
      <c r="X47" s="1194"/>
      <c r="Y47" s="1194"/>
      <c r="Z47" s="1194"/>
      <c r="AA47" s="1195"/>
      <c r="AB47" s="1195"/>
      <c r="AC47" s="1196"/>
    </row>
    <row r="48" spans="1:29" ht="13.5" customHeight="1" outlineLevel="1" collapsed="1" x14ac:dyDescent="0.35">
      <c r="A48" s="1902" t="s">
        <v>576</v>
      </c>
      <c r="B48" s="1899" t="s">
        <v>3196</v>
      </c>
      <c r="C48" s="1895"/>
      <c r="D48" s="181"/>
      <c r="E48" s="1903"/>
      <c r="F48" s="1904"/>
      <c r="G48" s="1904"/>
      <c r="H48" s="1905"/>
      <c r="J48" s="1147" t="s">
        <v>3197</v>
      </c>
      <c r="L48" s="1193"/>
      <c r="M48" s="1194"/>
      <c r="N48" s="1194"/>
      <c r="O48" s="1194"/>
      <c r="P48" s="1900"/>
      <c r="Q48" s="1901"/>
      <c r="R48" s="1194"/>
      <c r="S48" s="1194"/>
      <c r="T48" s="1194"/>
      <c r="U48" s="1194"/>
      <c r="V48" s="1194"/>
      <c r="W48" s="1194"/>
      <c r="X48" s="1194"/>
      <c r="Y48" s="1194"/>
      <c r="Z48" s="1194"/>
      <c r="AA48" s="1195"/>
      <c r="AB48" s="1195"/>
      <c r="AC48" s="1196"/>
    </row>
    <row r="49" spans="1:29" ht="13.5" customHeight="1" outlineLevel="1" x14ac:dyDescent="0.35">
      <c r="A49" s="1906"/>
      <c r="B49" s="1899" t="s">
        <v>3198</v>
      </c>
      <c r="C49" s="1895"/>
      <c r="D49" s="181"/>
      <c r="E49" s="1903"/>
      <c r="F49" s="1904"/>
      <c r="G49" s="1904"/>
      <c r="H49" s="1905"/>
      <c r="L49" s="1193"/>
      <c r="M49" s="1194"/>
      <c r="N49" s="1194"/>
      <c r="O49" s="1194"/>
      <c r="P49" s="1900"/>
      <c r="Q49" s="1901"/>
      <c r="R49" s="1194"/>
      <c r="S49" s="1194"/>
      <c r="T49" s="1194"/>
      <c r="U49" s="1194"/>
      <c r="V49" s="1194"/>
      <c r="W49" s="1194"/>
      <c r="X49" s="1194"/>
      <c r="Y49" s="1194"/>
      <c r="Z49" s="1194"/>
      <c r="AA49" s="1195"/>
      <c r="AB49" s="1195"/>
      <c r="AC49" s="1196"/>
    </row>
    <row r="50" spans="1:29" outlineLevel="1" x14ac:dyDescent="0.3">
      <c r="A50" s="1906"/>
      <c r="B50" s="1907" t="s">
        <v>2447</v>
      </c>
      <c r="C50" s="1908" t="s">
        <v>3199</v>
      </c>
      <c r="D50" s="1909"/>
      <c r="E50" s="1910"/>
      <c r="F50" s="1911"/>
      <c r="G50" s="1911"/>
      <c r="H50" s="1912"/>
      <c r="L50" s="1193"/>
      <c r="M50" s="1194"/>
      <c r="N50" s="1194"/>
      <c r="O50" s="1194"/>
      <c r="P50" s="1913"/>
      <c r="Q50" s="1914"/>
      <c r="R50" s="1194"/>
      <c r="S50" s="1194"/>
      <c r="T50" s="1194"/>
      <c r="U50" s="1194"/>
      <c r="V50" s="1194"/>
      <c r="W50" s="1194"/>
      <c r="X50" s="1194"/>
      <c r="Y50" s="1194"/>
      <c r="Z50" s="1194"/>
      <c r="AA50" s="1195"/>
      <c r="AB50" s="1195"/>
      <c r="AC50" s="1196"/>
    </row>
    <row r="51" spans="1:29" outlineLevel="1" x14ac:dyDescent="0.3">
      <c r="A51" s="1906"/>
      <c r="B51" s="1907" t="s">
        <v>23</v>
      </c>
      <c r="C51" s="1908" t="s">
        <v>3200</v>
      </c>
      <c r="D51" s="1909"/>
      <c r="E51" s="1910"/>
      <c r="F51" s="1911"/>
      <c r="G51" s="1911"/>
      <c r="H51" s="1912"/>
      <c r="L51" s="1193"/>
      <c r="M51" s="1194"/>
      <c r="N51" s="1194"/>
      <c r="O51" s="1194"/>
      <c r="P51" s="1915"/>
      <c r="Q51" s="1916"/>
      <c r="R51" s="1194"/>
      <c r="S51" s="1194"/>
      <c r="T51" s="1194"/>
      <c r="U51" s="1194"/>
      <c r="V51" s="1194"/>
      <c r="W51" s="1194"/>
      <c r="X51" s="1194"/>
      <c r="Y51" s="1194"/>
      <c r="Z51" s="1194"/>
      <c r="AA51" s="1195"/>
      <c r="AB51" s="1195"/>
      <c r="AC51" s="1196"/>
    </row>
    <row r="52" spans="1:29" outlineLevel="1" x14ac:dyDescent="0.3">
      <c r="A52" s="1906"/>
      <c r="B52" s="1907" t="s">
        <v>27</v>
      </c>
      <c r="C52" s="1908" t="s">
        <v>3201</v>
      </c>
      <c r="D52" s="1909"/>
      <c r="E52" s="1910"/>
      <c r="F52" s="1911"/>
      <c r="G52" s="1911"/>
      <c r="H52" s="1912"/>
      <c r="L52" s="1193"/>
      <c r="M52" s="1194"/>
      <c r="N52" s="1194"/>
      <c r="O52" s="1194"/>
      <c r="P52" s="1900"/>
      <c r="Q52" s="1901"/>
      <c r="R52" s="1194"/>
      <c r="S52" s="1194"/>
      <c r="T52" s="1194"/>
      <c r="U52" s="1194"/>
      <c r="V52" s="1194"/>
      <c r="W52" s="1194"/>
      <c r="X52" s="1194"/>
      <c r="Y52" s="1194"/>
      <c r="Z52" s="1194"/>
      <c r="AA52" s="1195"/>
      <c r="AB52" s="1195"/>
      <c r="AC52" s="1196"/>
    </row>
    <row r="53" spans="1:29" outlineLevel="1" x14ac:dyDescent="0.3">
      <c r="A53" s="1906"/>
      <c r="B53" s="1907" t="s">
        <v>31</v>
      </c>
      <c r="C53" s="1908" t="s">
        <v>3202</v>
      </c>
      <c r="D53" s="1909"/>
      <c r="E53" s="1910"/>
      <c r="F53" s="1911"/>
      <c r="G53" s="1911"/>
      <c r="H53" s="1912"/>
      <c r="L53" s="1193"/>
      <c r="M53" s="1194"/>
      <c r="N53" s="1194"/>
      <c r="O53" s="1194"/>
      <c r="P53" s="1900"/>
      <c r="Q53" s="1901"/>
      <c r="R53" s="1194"/>
      <c r="S53" s="1194"/>
      <c r="T53" s="1194"/>
      <c r="U53" s="1194"/>
      <c r="V53" s="1194"/>
      <c r="W53" s="1194"/>
      <c r="X53" s="1194"/>
      <c r="Y53" s="1194"/>
      <c r="Z53" s="1194"/>
      <c r="AA53" s="1195"/>
      <c r="AB53" s="1195"/>
      <c r="AC53" s="1196"/>
    </row>
    <row r="54" spans="1:29" outlineLevel="1" x14ac:dyDescent="0.3">
      <c r="A54" s="1906"/>
      <c r="B54" s="1907" t="s">
        <v>36</v>
      </c>
      <c r="C54" s="1908" t="s">
        <v>3203</v>
      </c>
      <c r="D54" s="1909"/>
      <c r="E54" s="1910"/>
      <c r="F54" s="1911"/>
      <c r="G54" s="1911"/>
      <c r="H54" s="1912"/>
      <c r="L54" s="1193"/>
      <c r="M54" s="1194"/>
      <c r="N54" s="1194"/>
      <c r="O54" s="1194"/>
      <c r="P54" s="1900"/>
      <c r="Q54" s="1901"/>
      <c r="R54" s="1194"/>
      <c r="S54" s="1194"/>
      <c r="T54" s="1194"/>
      <c r="U54" s="1194"/>
      <c r="V54" s="1194"/>
      <c r="W54" s="1194"/>
      <c r="X54" s="1194"/>
      <c r="Y54" s="1194"/>
      <c r="Z54" s="1194"/>
      <c r="AA54" s="1195"/>
      <c r="AB54" s="1195"/>
      <c r="AC54" s="1196"/>
    </row>
    <row r="55" spans="1:29" ht="14.15" customHeight="1" outlineLevel="1" x14ac:dyDescent="0.3">
      <c r="A55" s="1906"/>
      <c r="B55" s="1907" t="s">
        <v>2449</v>
      </c>
      <c r="C55" s="1917" t="s">
        <v>3204</v>
      </c>
      <c r="D55" s="1918"/>
      <c r="E55" s="1919"/>
      <c r="F55" s="1920"/>
      <c r="G55" s="1920"/>
      <c r="H55" s="1921"/>
      <c r="L55" s="1193"/>
      <c r="M55" s="1194"/>
      <c r="N55" s="1194"/>
      <c r="O55" s="1194"/>
      <c r="P55" s="1900"/>
      <c r="Q55" s="1901"/>
      <c r="R55" s="1194"/>
      <c r="S55" s="1194"/>
      <c r="T55" s="1194"/>
      <c r="U55" s="1194"/>
      <c r="V55" s="1194"/>
      <c r="W55" s="1194"/>
      <c r="X55" s="1194"/>
      <c r="Y55" s="1194"/>
      <c r="Z55" s="1194"/>
      <c r="AA55" s="1195"/>
      <c r="AB55" s="1195"/>
      <c r="AC55" s="1196"/>
    </row>
    <row r="56" spans="1:29" ht="16.5" customHeight="1" outlineLevel="1" x14ac:dyDescent="0.3">
      <c r="A56" s="1922"/>
      <c r="B56" s="1923"/>
      <c r="C56" s="1924"/>
      <c r="D56" s="751"/>
      <c r="E56" s="1925"/>
      <c r="F56" s="1926">
        <f>SUM(F50:F55)</f>
        <v>0</v>
      </c>
      <c r="G56" s="1926">
        <f>SUM(G50:G55)</f>
        <v>0</v>
      </c>
      <c r="H56" s="1927"/>
      <c r="I56" s="1220"/>
      <c r="L56" s="1193"/>
      <c r="M56" s="1194"/>
      <c r="N56" s="1194"/>
      <c r="O56" s="1194"/>
      <c r="P56" s="1900"/>
      <c r="Q56" s="1901"/>
      <c r="R56" s="1194"/>
      <c r="S56" s="1194"/>
      <c r="T56" s="1194"/>
      <c r="U56" s="1194"/>
      <c r="V56" s="1194"/>
      <c r="W56" s="1194"/>
      <c r="X56" s="1194"/>
      <c r="Y56" s="1194"/>
      <c r="Z56" s="1194"/>
      <c r="AA56" s="1195"/>
      <c r="AB56" s="1195"/>
      <c r="AC56" s="1196"/>
    </row>
    <row r="57" spans="1:29" ht="19.5" customHeight="1" outlineLevel="1" collapsed="1" x14ac:dyDescent="0.35">
      <c r="A57" s="1906"/>
      <c r="B57" s="1899" t="s">
        <v>3205</v>
      </c>
      <c r="C57" s="1895"/>
      <c r="D57" s="181"/>
      <c r="E57" s="1896"/>
      <c r="F57" s="1928"/>
      <c r="G57" s="1928"/>
      <c r="H57" s="1905"/>
      <c r="I57" s="1220"/>
      <c r="L57" s="1193"/>
      <c r="M57" s="1194"/>
      <c r="N57" s="1194"/>
      <c r="O57" s="1194"/>
      <c r="P57" s="1900"/>
      <c r="Q57" s="1901"/>
      <c r="R57" s="1194"/>
      <c r="S57" s="1194"/>
      <c r="T57" s="1194"/>
      <c r="U57" s="1194"/>
      <c r="V57" s="1194"/>
      <c r="W57" s="1194"/>
      <c r="X57" s="1194"/>
      <c r="Y57" s="1194"/>
      <c r="Z57" s="1194"/>
      <c r="AA57" s="1195"/>
      <c r="AB57" s="1195"/>
      <c r="AC57" s="1196"/>
    </row>
    <row r="58" spans="1:29" outlineLevel="1" x14ac:dyDescent="0.3">
      <c r="A58" s="1902"/>
      <c r="B58" s="1929" t="s">
        <v>27</v>
      </c>
      <c r="C58" s="1930" t="s">
        <v>3206</v>
      </c>
      <c r="D58" s="1909"/>
      <c r="E58" s="1910"/>
      <c r="F58" s="1920"/>
      <c r="G58" s="1920"/>
      <c r="H58" s="1931"/>
      <c r="L58" s="1193"/>
      <c r="M58" s="1194"/>
      <c r="N58" s="1194"/>
      <c r="O58" s="1194"/>
      <c r="P58" s="1900"/>
      <c r="Q58" s="1901"/>
      <c r="R58" s="1194"/>
      <c r="S58" s="1194"/>
      <c r="T58" s="1194"/>
      <c r="U58" s="1194"/>
      <c r="V58" s="1194"/>
      <c r="W58" s="1194"/>
      <c r="X58" s="1194"/>
      <c r="Y58" s="1194"/>
      <c r="Z58" s="1194"/>
      <c r="AA58" s="1195"/>
      <c r="AB58" s="1195"/>
      <c r="AC58" s="1196"/>
    </row>
    <row r="59" spans="1:29" outlineLevel="1" x14ac:dyDescent="0.3">
      <c r="A59" s="1902"/>
      <c r="B59" s="1929" t="s">
        <v>31</v>
      </c>
      <c r="C59" s="1930" t="s">
        <v>3207</v>
      </c>
      <c r="D59" s="1909"/>
      <c r="E59" s="1910"/>
      <c r="F59" s="1920"/>
      <c r="G59" s="1920"/>
      <c r="H59" s="1931"/>
      <c r="L59" s="1193"/>
      <c r="M59" s="1194"/>
      <c r="N59" s="1194"/>
      <c r="O59" s="1194"/>
      <c r="P59" s="1900"/>
      <c r="Q59" s="1901"/>
      <c r="R59" s="1194"/>
      <c r="S59" s="1194"/>
      <c r="T59" s="1194"/>
      <c r="U59" s="1194"/>
      <c r="V59" s="1194"/>
      <c r="W59" s="1194"/>
      <c r="X59" s="1194"/>
      <c r="Y59" s="1194"/>
      <c r="Z59" s="1194"/>
      <c r="AA59" s="1195"/>
      <c r="AB59" s="1195"/>
      <c r="AC59" s="1196"/>
    </row>
    <row r="60" spans="1:29" outlineLevel="1" x14ac:dyDescent="0.3">
      <c r="A60" s="1902"/>
      <c r="B60" s="1929" t="s">
        <v>2449</v>
      </c>
      <c r="C60" s="1930" t="s">
        <v>3208</v>
      </c>
      <c r="D60" s="1909"/>
      <c r="E60" s="1910"/>
      <c r="F60" s="1932"/>
      <c r="G60" s="1932"/>
      <c r="H60" s="1931"/>
      <c r="L60" s="1193"/>
      <c r="M60" s="1194"/>
      <c r="N60" s="1194"/>
      <c r="O60" s="1194"/>
      <c r="P60" s="1900"/>
      <c r="Q60" s="1901"/>
      <c r="R60" s="1194"/>
      <c r="S60" s="1194"/>
      <c r="T60" s="1194"/>
      <c r="U60" s="1194"/>
      <c r="V60" s="1194"/>
      <c r="W60" s="1194"/>
      <c r="X60" s="1194"/>
      <c r="Y60" s="1194"/>
      <c r="Z60" s="1194"/>
      <c r="AA60" s="1195"/>
      <c r="AB60" s="1195"/>
      <c r="AC60" s="1196"/>
    </row>
    <row r="61" spans="1:29" outlineLevel="1" x14ac:dyDescent="0.3">
      <c r="A61" s="1902"/>
      <c r="B61" s="1929" t="s">
        <v>759</v>
      </c>
      <c r="C61" s="1933" t="s">
        <v>3208</v>
      </c>
      <c r="D61" s="1934"/>
      <c r="E61" s="1935"/>
      <c r="F61" s="1936"/>
      <c r="G61" s="1936"/>
      <c r="H61" s="1937"/>
      <c r="L61" s="1193"/>
      <c r="M61" s="1194"/>
      <c r="N61" s="1194"/>
      <c r="O61" s="1194"/>
      <c r="P61" s="1900"/>
      <c r="Q61" s="1901"/>
      <c r="R61" s="1194"/>
      <c r="S61" s="1194"/>
      <c r="T61" s="1194"/>
      <c r="U61" s="1194"/>
      <c r="V61" s="1194"/>
      <c r="W61" s="1194"/>
      <c r="X61" s="1194"/>
      <c r="Y61" s="1194"/>
      <c r="Z61" s="1194"/>
      <c r="AA61" s="1195"/>
      <c r="AB61" s="1195"/>
      <c r="AC61" s="1196"/>
    </row>
    <row r="62" spans="1:29" ht="17.25" customHeight="1" outlineLevel="1" x14ac:dyDescent="0.3">
      <c r="A62" s="1906"/>
      <c r="B62" s="1929"/>
      <c r="C62" s="1895"/>
      <c r="D62" s="181"/>
      <c r="E62" s="1896"/>
      <c r="F62" s="1938">
        <f>SUM(F58:F61)</f>
        <v>0</v>
      </c>
      <c r="G62" s="1938">
        <f>SUM(G58:G61)</f>
        <v>0</v>
      </c>
      <c r="H62" s="1905"/>
      <c r="L62" s="1193"/>
      <c r="M62" s="1194"/>
      <c r="N62" s="1194"/>
      <c r="O62" s="1194"/>
      <c r="P62" s="1915"/>
      <c r="Q62" s="1916"/>
      <c r="R62" s="1194"/>
      <c r="S62" s="1194"/>
      <c r="T62" s="1194"/>
      <c r="U62" s="1194"/>
      <c r="V62" s="1194"/>
      <c r="W62" s="1194"/>
      <c r="X62" s="1194"/>
      <c r="Y62" s="1194"/>
      <c r="Z62" s="1194"/>
      <c r="AA62" s="1195"/>
      <c r="AB62" s="1195"/>
      <c r="AC62" s="1196"/>
    </row>
    <row r="63" spans="1:29" ht="18.75" customHeight="1" outlineLevel="1" x14ac:dyDescent="0.35">
      <c r="A63" s="1906"/>
      <c r="B63" s="1899" t="s">
        <v>3209</v>
      </c>
      <c r="C63" s="1895"/>
      <c r="D63" s="181"/>
      <c r="E63" s="1896"/>
      <c r="F63" s="1928"/>
      <c r="G63" s="1928"/>
      <c r="H63" s="1905"/>
      <c r="L63" s="1193"/>
      <c r="M63" s="1194"/>
      <c r="N63" s="1194"/>
      <c r="O63" s="1194"/>
      <c r="P63" s="700"/>
      <c r="Q63" s="1194"/>
      <c r="R63" s="1194"/>
      <c r="S63" s="1194"/>
      <c r="T63" s="1194"/>
      <c r="U63" s="1194"/>
      <c r="V63" s="1194"/>
      <c r="W63" s="1194"/>
      <c r="X63" s="1194"/>
      <c r="Y63" s="1194"/>
      <c r="Z63" s="1194"/>
      <c r="AA63" s="1195"/>
      <c r="AB63" s="1195"/>
      <c r="AC63" s="1196"/>
    </row>
    <row r="64" spans="1:29" ht="11.9" customHeight="1" outlineLevel="1" x14ac:dyDescent="0.3">
      <c r="A64" s="1939"/>
      <c r="B64" s="1940" t="s">
        <v>2447</v>
      </c>
      <c r="C64" s="1941" t="s">
        <v>3210</v>
      </c>
      <c r="D64" s="834"/>
      <c r="E64" s="1942"/>
      <c r="F64" s="1911"/>
      <c r="G64" s="1911"/>
      <c r="H64" s="1943"/>
      <c r="L64" s="1193"/>
      <c r="M64" s="1194"/>
      <c r="N64" s="1194"/>
      <c r="O64" s="1194"/>
      <c r="P64" s="1194"/>
      <c r="Q64" s="1194"/>
      <c r="R64" s="1194"/>
      <c r="S64" s="1194"/>
      <c r="T64" s="1194"/>
      <c r="U64" s="1194"/>
      <c r="V64" s="1194"/>
      <c r="W64" s="1194"/>
      <c r="X64" s="1194"/>
      <c r="Y64" s="1194"/>
      <c r="Z64" s="1194"/>
      <c r="AA64" s="1195"/>
      <c r="AB64" s="1195"/>
      <c r="AC64" s="1196"/>
    </row>
    <row r="65" spans="1:29" ht="11.9" customHeight="1" outlineLevel="1" x14ac:dyDescent="0.3">
      <c r="A65" s="1939"/>
      <c r="B65" s="1940" t="s">
        <v>23</v>
      </c>
      <c r="C65" s="1941" t="s">
        <v>3211</v>
      </c>
      <c r="D65" s="834"/>
      <c r="E65" s="1942"/>
      <c r="F65" s="1911"/>
      <c r="G65" s="1911"/>
      <c r="H65" s="1943"/>
      <c r="L65" s="1193"/>
      <c r="M65" s="1194"/>
      <c r="N65" s="1194"/>
      <c r="O65" s="1194"/>
      <c r="P65" s="1194"/>
      <c r="Q65" s="1194"/>
      <c r="R65" s="1194"/>
      <c r="S65" s="1194"/>
      <c r="T65" s="1194"/>
      <c r="U65" s="1194"/>
      <c r="V65" s="1194"/>
      <c r="W65" s="1194"/>
      <c r="X65" s="1194"/>
      <c r="Y65" s="1194"/>
      <c r="Z65" s="1194"/>
      <c r="AA65" s="1195"/>
      <c r="AB65" s="1195"/>
      <c r="AC65" s="1196"/>
    </row>
    <row r="66" spans="1:29" ht="11.9" customHeight="1" outlineLevel="1" x14ac:dyDescent="0.3">
      <c r="A66" s="1939"/>
      <c r="B66" s="1940" t="s">
        <v>27</v>
      </c>
      <c r="C66" s="1941" t="s">
        <v>3212</v>
      </c>
      <c r="D66" s="834"/>
      <c r="E66" s="1942"/>
      <c r="F66" s="1911"/>
      <c r="G66" s="1911"/>
      <c r="H66" s="1943"/>
      <c r="L66" s="1193"/>
      <c r="M66" s="1194"/>
      <c r="N66" s="1194"/>
      <c r="O66" s="1194"/>
      <c r="P66" s="1194"/>
      <c r="Q66" s="1194"/>
      <c r="R66" s="1194"/>
      <c r="S66" s="1194"/>
      <c r="T66" s="1194"/>
      <c r="U66" s="1194"/>
      <c r="V66" s="1194"/>
      <c r="W66" s="1194"/>
      <c r="X66" s="1194"/>
      <c r="Y66" s="1194"/>
      <c r="Z66" s="1194"/>
      <c r="AA66" s="1195"/>
      <c r="AB66" s="1195"/>
      <c r="AC66" s="1196"/>
    </row>
    <row r="67" spans="1:29" ht="11.9" customHeight="1" outlineLevel="1" x14ac:dyDescent="0.3">
      <c r="A67" s="1939"/>
      <c r="B67" s="1940" t="s">
        <v>31</v>
      </c>
      <c r="C67" s="1941" t="s">
        <v>3213</v>
      </c>
      <c r="D67" s="834"/>
      <c r="E67" s="1942"/>
      <c r="F67" s="1911"/>
      <c r="G67" s="1911"/>
      <c r="H67" s="1943"/>
      <c r="L67" s="1193"/>
      <c r="M67" s="1194"/>
      <c r="N67" s="1194"/>
      <c r="O67" s="1194"/>
      <c r="P67" s="1194"/>
      <c r="Q67" s="1194"/>
      <c r="R67" s="1194"/>
      <c r="S67" s="1194"/>
      <c r="T67" s="1194"/>
      <c r="U67" s="1194"/>
      <c r="V67" s="1194"/>
      <c r="W67" s="1194"/>
      <c r="X67" s="1194"/>
      <c r="Y67" s="1194"/>
      <c r="Z67" s="1194"/>
      <c r="AA67" s="1195"/>
      <c r="AB67" s="1195"/>
      <c r="AC67" s="1196"/>
    </row>
    <row r="68" spans="1:29" ht="11.9" customHeight="1" outlineLevel="1" x14ac:dyDescent="0.3">
      <c r="A68" s="1939"/>
      <c r="B68" s="1944"/>
      <c r="C68" s="1941"/>
      <c r="D68" s="834"/>
      <c r="E68" s="2002"/>
      <c r="F68" s="1945"/>
      <c r="G68" s="1945"/>
      <c r="H68" s="1946"/>
      <c r="L68" s="1193"/>
      <c r="M68" s="1194"/>
      <c r="N68" s="1194"/>
      <c r="O68" s="1194"/>
      <c r="P68" s="1194"/>
      <c r="Q68" s="1194"/>
      <c r="R68" s="1194"/>
      <c r="S68" s="1194"/>
      <c r="T68" s="1194"/>
      <c r="U68" s="1194"/>
      <c r="V68" s="1194"/>
      <c r="W68" s="1194"/>
      <c r="X68" s="1194"/>
      <c r="Y68" s="1194"/>
      <c r="Z68" s="1194"/>
      <c r="AA68" s="1195"/>
      <c r="AB68" s="1195"/>
      <c r="AC68" s="1196"/>
    </row>
    <row r="69" spans="1:29" ht="11.9" customHeight="1" outlineLevel="1" x14ac:dyDescent="0.3">
      <c r="A69" s="1947"/>
      <c r="B69" s="1948"/>
      <c r="C69" s="1949"/>
      <c r="D69" s="648"/>
      <c r="E69" s="1950"/>
      <c r="F69" s="1951">
        <f>SUM(F64:F68)</f>
        <v>0</v>
      </c>
      <c r="G69" s="1951">
        <f>SUM(G64:G68)</f>
        <v>0</v>
      </c>
      <c r="H69" s="1953"/>
      <c r="L69" s="1193"/>
      <c r="M69" s="1194"/>
      <c r="N69" s="1194"/>
      <c r="O69" s="1194"/>
      <c r="P69" s="1900"/>
      <c r="Q69" s="1901"/>
      <c r="R69" s="1194"/>
      <c r="S69" s="1194"/>
      <c r="T69" s="1194"/>
      <c r="U69" s="1194"/>
      <c r="V69" s="1194"/>
      <c r="W69" s="1194"/>
      <c r="X69" s="1194"/>
      <c r="Y69" s="1194"/>
      <c r="Z69" s="1194"/>
      <c r="AA69" s="1195"/>
      <c r="AB69" s="1195"/>
      <c r="AC69" s="1196"/>
    </row>
    <row r="70" spans="1:29" ht="11.9" customHeight="1" outlineLevel="1" thickBot="1" x14ac:dyDescent="0.3">
      <c r="A70" s="1947"/>
      <c r="B70" s="1948"/>
      <c r="C70" s="1949"/>
      <c r="D70" s="648"/>
      <c r="E70" s="1950"/>
      <c r="F70" s="1952"/>
      <c r="G70" s="1952"/>
      <c r="H70" s="1953"/>
      <c r="L70" s="1193"/>
      <c r="M70" s="1194"/>
      <c r="N70" s="1194"/>
      <c r="O70" s="1194"/>
      <c r="P70" s="1900"/>
      <c r="Q70" s="1901"/>
      <c r="R70" s="1194"/>
      <c r="S70" s="1194"/>
      <c r="T70" s="1194"/>
      <c r="U70" s="1194"/>
      <c r="V70" s="1194"/>
      <c r="W70" s="1194"/>
      <c r="X70" s="1194"/>
      <c r="Y70" s="1194"/>
      <c r="Z70" s="1194"/>
      <c r="AA70" s="1195"/>
      <c r="AB70" s="1195"/>
      <c r="AC70" s="1196"/>
    </row>
    <row r="71" spans="1:29" ht="15" customHeight="1" outlineLevel="1" thickBot="1" x14ac:dyDescent="0.3">
      <c r="A71" s="3840" t="s">
        <v>3214</v>
      </c>
      <c r="B71" s="3841"/>
      <c r="C71" s="3841"/>
      <c r="D71" s="3841"/>
      <c r="E71" s="3842"/>
      <c r="F71" s="1954">
        <f>F69+F62+F56</f>
        <v>0</v>
      </c>
      <c r="G71" s="1954">
        <f>G69+G62+G56</f>
        <v>0</v>
      </c>
      <c r="H71" s="1955"/>
      <c r="L71" s="1193"/>
      <c r="M71" s="1194"/>
      <c r="N71" s="1194"/>
      <c r="O71" s="1194"/>
      <c r="P71" s="1900"/>
      <c r="Q71" s="1901"/>
      <c r="R71" s="1194"/>
      <c r="S71" s="1194"/>
      <c r="T71" s="1194"/>
      <c r="U71" s="1194"/>
      <c r="V71" s="1194"/>
      <c r="W71" s="1194"/>
      <c r="X71" s="1194"/>
      <c r="Y71" s="1194"/>
      <c r="Z71" s="1194"/>
      <c r="AA71" s="1195"/>
      <c r="AB71" s="1195"/>
      <c r="AC71" s="1196"/>
    </row>
    <row r="72" spans="1:29" ht="11.9" customHeight="1" outlineLevel="1" x14ac:dyDescent="0.35">
      <c r="A72" s="1956" t="s">
        <v>597</v>
      </c>
      <c r="B72" s="1957" t="s">
        <v>3215</v>
      </c>
      <c r="C72" s="1949"/>
      <c r="D72" s="648"/>
      <c r="E72" s="1950"/>
      <c r="F72" s="1958"/>
      <c r="G72" s="1959"/>
      <c r="H72" s="1953"/>
      <c r="L72" s="1193"/>
      <c r="M72" s="1194"/>
      <c r="N72" s="1194"/>
      <c r="O72" s="1194"/>
      <c r="P72" s="1900"/>
      <c r="Q72" s="1901"/>
      <c r="R72" s="1194"/>
      <c r="S72" s="1194"/>
      <c r="T72" s="1194"/>
      <c r="U72" s="1194"/>
      <c r="V72" s="1194"/>
      <c r="W72" s="1194"/>
      <c r="X72" s="1194"/>
      <c r="Y72" s="1194"/>
      <c r="Z72" s="1194"/>
      <c r="AA72" s="1195"/>
      <c r="AB72" s="1195"/>
      <c r="AC72" s="1196"/>
    </row>
    <row r="73" spans="1:29" ht="11.9" customHeight="1" outlineLevel="1" x14ac:dyDescent="0.25">
      <c r="A73" s="1947"/>
      <c r="B73" s="1944" t="s">
        <v>2447</v>
      </c>
      <c r="C73" s="1941" t="s">
        <v>3225</v>
      </c>
      <c r="D73" s="1960"/>
      <c r="E73" s="1961"/>
      <c r="F73" s="1952"/>
      <c r="G73" s="1952"/>
      <c r="H73" s="1953"/>
      <c r="L73" s="1193"/>
      <c r="M73" s="1194"/>
      <c r="N73" s="1194"/>
      <c r="O73" s="1194"/>
      <c r="P73" s="1900"/>
      <c r="Q73" s="1901"/>
      <c r="R73" s="1194"/>
      <c r="S73" s="1194"/>
      <c r="T73" s="1194"/>
      <c r="U73" s="1194"/>
      <c r="V73" s="1194"/>
      <c r="W73" s="1194"/>
      <c r="X73" s="1194"/>
      <c r="Y73" s="1194"/>
      <c r="Z73" s="1194"/>
      <c r="AA73" s="1195"/>
      <c r="AB73" s="1195"/>
      <c r="AC73" s="1196"/>
    </row>
    <row r="74" spans="1:29" ht="11.9" customHeight="1" outlineLevel="1" x14ac:dyDescent="0.25">
      <c r="A74" s="1947"/>
      <c r="B74" s="1944" t="s">
        <v>23</v>
      </c>
      <c r="C74" s="1941" t="s">
        <v>3216</v>
      </c>
      <c r="D74" s="1960"/>
      <c r="E74" s="1961"/>
      <c r="F74" s="1952"/>
      <c r="G74" s="1952"/>
      <c r="H74" s="1953"/>
      <c r="L74" s="1193"/>
      <c r="M74" s="1194"/>
      <c r="N74" s="1194"/>
      <c r="O74" s="1194"/>
      <c r="P74" s="1900"/>
      <c r="Q74" s="1901"/>
      <c r="R74" s="1194"/>
      <c r="S74" s="1194"/>
      <c r="T74" s="1194"/>
      <c r="U74" s="1194"/>
      <c r="V74" s="1194"/>
      <c r="W74" s="1194"/>
      <c r="X74" s="1194"/>
      <c r="Y74" s="1194"/>
      <c r="Z74" s="1194"/>
      <c r="AA74" s="1195"/>
      <c r="AB74" s="1195"/>
      <c r="AC74" s="1196"/>
    </row>
    <row r="75" spans="1:29" ht="11.9" customHeight="1" outlineLevel="1" x14ac:dyDescent="0.25">
      <c r="A75" s="1947"/>
      <c r="B75" s="1944" t="s">
        <v>27</v>
      </c>
      <c r="C75" s="1941" t="s">
        <v>3226</v>
      </c>
      <c r="D75" s="1960"/>
      <c r="E75" s="1961"/>
      <c r="F75" s="1962"/>
      <c r="G75" s="1952"/>
      <c r="H75" s="1953"/>
      <c r="L75" s="1193"/>
      <c r="M75" s="1194"/>
      <c r="N75" s="1194"/>
      <c r="O75" s="1194"/>
      <c r="P75" s="1915"/>
      <c r="Q75" s="1916"/>
      <c r="R75" s="1194"/>
      <c r="S75" s="1194"/>
      <c r="T75" s="1194"/>
      <c r="U75" s="1194"/>
      <c r="V75" s="1194"/>
      <c r="W75" s="1194"/>
      <c r="X75" s="1194"/>
      <c r="Y75" s="1194"/>
      <c r="Z75" s="1194"/>
      <c r="AA75" s="1195"/>
      <c r="AB75" s="1195"/>
      <c r="AC75" s="1196"/>
    </row>
    <row r="76" spans="1:29" ht="11.9" customHeight="1" outlineLevel="1" thickBot="1" x14ac:dyDescent="0.3">
      <c r="A76" s="1947"/>
      <c r="B76" s="1944" t="s">
        <v>31</v>
      </c>
      <c r="C76" s="1941" t="s">
        <v>3217</v>
      </c>
      <c r="D76" s="1960" t="s">
        <v>3218</v>
      </c>
      <c r="E76" s="1963">
        <v>39027</v>
      </c>
      <c r="F76" s="1962"/>
      <c r="G76" s="1952"/>
      <c r="H76" s="1953"/>
      <c r="L76" s="1193"/>
      <c r="M76" s="1194"/>
      <c r="N76" s="1194"/>
      <c r="O76" s="1194"/>
      <c r="P76" s="1900"/>
      <c r="Q76" s="1901"/>
      <c r="R76" s="1194"/>
      <c r="S76" s="1194"/>
      <c r="T76" s="1194"/>
      <c r="U76" s="1194"/>
      <c r="V76" s="1194"/>
      <c r="W76" s="1194"/>
      <c r="X76" s="1194"/>
      <c r="Y76" s="1194"/>
      <c r="Z76" s="1194"/>
      <c r="AA76" s="1195"/>
      <c r="AB76" s="1195"/>
      <c r="AC76" s="1196"/>
    </row>
    <row r="77" spans="1:29" ht="13.5" customHeight="1" outlineLevel="1" thickBot="1" x14ac:dyDescent="0.3">
      <c r="A77" s="3840" t="s">
        <v>3219</v>
      </c>
      <c r="B77" s="3841"/>
      <c r="C77" s="3841"/>
      <c r="D77" s="3841"/>
      <c r="E77" s="3842"/>
      <c r="F77" s="1954">
        <f>SUM(F73:F76)</f>
        <v>0</v>
      </c>
      <c r="G77" s="1954">
        <f>SUM(G73:G76)</f>
        <v>0</v>
      </c>
      <c r="H77" s="1955"/>
      <c r="I77" s="1220"/>
      <c r="L77" s="1193"/>
      <c r="M77" s="1194"/>
      <c r="N77" s="1194"/>
      <c r="O77" s="1194"/>
      <c r="P77" s="1900"/>
      <c r="Q77" s="1901"/>
      <c r="R77" s="1194"/>
      <c r="S77" s="1194"/>
      <c r="T77" s="1194"/>
      <c r="U77" s="1194"/>
      <c r="V77" s="1194"/>
      <c r="W77" s="1194"/>
      <c r="X77" s="1194"/>
      <c r="Y77" s="1194"/>
      <c r="Z77" s="1194"/>
      <c r="AA77" s="1195"/>
      <c r="AB77" s="1195"/>
      <c r="AC77" s="1196"/>
    </row>
    <row r="78" spans="1:29" ht="11.9" customHeight="1" x14ac:dyDescent="0.35">
      <c r="A78" s="1956" t="s">
        <v>666</v>
      </c>
      <c r="B78" s="1957" t="s">
        <v>3220</v>
      </c>
      <c r="C78" s="1949"/>
      <c r="D78" s="648"/>
      <c r="E78" s="1950"/>
      <c r="F78" s="1958"/>
      <c r="G78" s="1958"/>
      <c r="H78" s="1953"/>
      <c r="L78" s="1193"/>
      <c r="M78" s="1194"/>
      <c r="N78" s="1194"/>
      <c r="O78" s="1194"/>
      <c r="P78" s="1900"/>
      <c r="Q78" s="1901"/>
      <c r="R78" s="1194"/>
      <c r="S78" s="1194"/>
      <c r="T78" s="1194"/>
      <c r="U78" s="1194"/>
      <c r="V78" s="1194"/>
      <c r="W78" s="1194"/>
      <c r="X78" s="1194"/>
      <c r="Y78" s="1194"/>
      <c r="Z78" s="1194"/>
      <c r="AA78" s="1195"/>
      <c r="AB78" s="1195"/>
      <c r="AC78" s="1196"/>
    </row>
    <row r="79" spans="1:29" ht="11.9" customHeight="1" x14ac:dyDescent="0.35">
      <c r="A79" s="1956"/>
      <c r="B79" s="2005" t="s">
        <v>2447</v>
      </c>
      <c r="C79" s="2004" t="s">
        <v>7157</v>
      </c>
      <c r="D79" s="648"/>
      <c r="E79" s="1950"/>
      <c r="F79" s="1964">
        <f>61760328</f>
        <v>61760328</v>
      </c>
      <c r="G79" s="1964">
        <v>61760328</v>
      </c>
      <c r="H79" s="1953"/>
      <c r="L79" s="1193"/>
      <c r="M79" s="1194"/>
      <c r="N79" s="1194"/>
      <c r="O79" s="1194"/>
      <c r="P79" s="1900"/>
      <c r="Q79" s="1901"/>
      <c r="R79" s="1194"/>
      <c r="S79" s="1194"/>
      <c r="T79" s="1194"/>
      <c r="U79" s="1194"/>
      <c r="V79" s="1194"/>
      <c r="W79" s="1194"/>
      <c r="X79" s="1194"/>
      <c r="Y79" s="1194"/>
      <c r="Z79" s="1194"/>
      <c r="AA79" s="1195"/>
      <c r="AB79" s="1195"/>
      <c r="AC79" s="1196"/>
    </row>
    <row r="80" spans="1:29" ht="11.9" customHeight="1" x14ac:dyDescent="0.35">
      <c r="A80" s="1956"/>
      <c r="B80" s="2003"/>
      <c r="C80" s="648"/>
      <c r="D80" s="648"/>
      <c r="E80" s="1950"/>
      <c r="F80" s="1958"/>
      <c r="G80" s="1958"/>
      <c r="H80" s="1953"/>
      <c r="L80" s="1193"/>
      <c r="M80" s="1194"/>
      <c r="N80" s="1194"/>
      <c r="O80" s="1194"/>
      <c r="P80" s="1900"/>
      <c r="Q80" s="1901"/>
      <c r="R80" s="1194"/>
      <c r="S80" s="1194"/>
      <c r="T80" s="1194"/>
      <c r="U80" s="1194"/>
      <c r="V80" s="1194"/>
      <c r="W80" s="1194"/>
      <c r="X80" s="1194"/>
      <c r="Y80" s="1194"/>
      <c r="Z80" s="1194"/>
      <c r="AA80" s="1195"/>
      <c r="AB80" s="1195"/>
      <c r="AC80" s="1196"/>
    </row>
    <row r="81" spans="1:29" ht="11.9" customHeight="1" thickBot="1" x14ac:dyDescent="0.4">
      <c r="A81" s="1956"/>
      <c r="B81" s="2003"/>
      <c r="C81" s="648"/>
      <c r="D81" s="648"/>
      <c r="E81" s="1950"/>
      <c r="F81" s="2006"/>
      <c r="G81" s="2006"/>
      <c r="H81" s="2007"/>
      <c r="L81" s="1193"/>
      <c r="M81" s="1194"/>
      <c r="N81" s="1194"/>
      <c r="O81" s="1194"/>
      <c r="P81" s="1900"/>
      <c r="Q81" s="1901"/>
      <c r="R81" s="1194"/>
      <c r="S81" s="1194"/>
      <c r="T81" s="1194"/>
      <c r="U81" s="1194"/>
      <c r="V81" s="1194"/>
      <c r="W81" s="1194"/>
      <c r="X81" s="1194"/>
      <c r="Y81" s="1194"/>
      <c r="Z81" s="1194"/>
      <c r="AA81" s="1195"/>
      <c r="AB81" s="1195"/>
      <c r="AC81" s="1196"/>
    </row>
    <row r="82" spans="1:29" ht="13.5" thickBot="1" x14ac:dyDescent="0.4">
      <c r="A82" s="3840" t="s">
        <v>3222</v>
      </c>
      <c r="B82" s="3841"/>
      <c r="C82" s="3841"/>
      <c r="D82" s="3841"/>
      <c r="E82" s="3842"/>
      <c r="F82" s="1970">
        <f>SUM(F79:F81)</f>
        <v>61760328</v>
      </c>
      <c r="G82" s="1970">
        <f>SUM(G79:G81)</f>
        <v>61760328</v>
      </c>
      <c r="H82" s="1955"/>
      <c r="L82" s="1193"/>
      <c r="M82" s="1194"/>
      <c r="N82" s="1194"/>
      <c r="O82" s="1194"/>
      <c r="P82" s="1900"/>
      <c r="Q82" s="1901"/>
      <c r="R82" s="1194"/>
      <c r="S82" s="1194"/>
      <c r="T82" s="1194"/>
      <c r="U82" s="1194"/>
      <c r="V82" s="1194"/>
      <c r="W82" s="1194"/>
      <c r="X82" s="1194"/>
      <c r="Y82" s="1194"/>
      <c r="Z82" s="1194"/>
      <c r="AA82" s="1195"/>
      <c r="AB82" s="1195"/>
      <c r="AC82" s="1196"/>
    </row>
    <row r="83" spans="1:29" ht="5.25" customHeight="1" thickBot="1" x14ac:dyDescent="0.4">
      <c r="A83" s="1956"/>
      <c r="B83" s="1968"/>
      <c r="C83" s="1969"/>
      <c r="D83" s="1971"/>
      <c r="E83" s="1965"/>
      <c r="F83" s="1966"/>
      <c r="G83" s="1966"/>
      <c r="H83" s="1967"/>
      <c r="L83" s="1193"/>
      <c r="M83" s="1194"/>
      <c r="N83" s="1194"/>
      <c r="O83" s="1194"/>
      <c r="P83" s="1900"/>
      <c r="Q83" s="1901"/>
      <c r="R83" s="1194"/>
      <c r="S83" s="1194"/>
      <c r="T83" s="1194"/>
      <c r="U83" s="1194"/>
      <c r="V83" s="1194"/>
      <c r="W83" s="1194"/>
      <c r="X83" s="1194"/>
      <c r="Y83" s="1194"/>
      <c r="Z83" s="1194"/>
      <c r="AA83" s="1195"/>
      <c r="AB83" s="1195"/>
      <c r="AC83" s="1196"/>
    </row>
    <row r="84" spans="1:29" ht="19.5" customHeight="1" thickBot="1" x14ac:dyDescent="0.4">
      <c r="A84" s="3843" t="s">
        <v>3223</v>
      </c>
      <c r="B84" s="3844"/>
      <c r="C84" s="3844"/>
      <c r="D84" s="3844"/>
      <c r="E84" s="3845"/>
      <c r="F84" s="1972">
        <f>F82+F77+F71+F47</f>
        <v>63210328</v>
      </c>
      <c r="G84" s="1972">
        <f>G82+G77+G71+G47</f>
        <v>64210328</v>
      </c>
      <c r="H84" s="1973"/>
      <c r="L84" s="1193"/>
      <c r="M84" s="1194"/>
      <c r="N84" s="1194"/>
      <c r="O84" s="1194"/>
      <c r="P84" s="1900"/>
      <c r="Q84" s="1901"/>
      <c r="R84" s="1194"/>
      <c r="S84" s="1194"/>
      <c r="T84" s="1194"/>
      <c r="U84" s="1194"/>
      <c r="V84" s="1194"/>
      <c r="W84" s="1194"/>
      <c r="X84" s="1194"/>
      <c r="Y84" s="1194"/>
      <c r="Z84" s="1194"/>
      <c r="AA84" s="1195"/>
      <c r="AB84" s="1195"/>
      <c r="AC84" s="1196"/>
    </row>
    <row r="85" spans="1:29" ht="19" customHeight="1" x14ac:dyDescent="0.35">
      <c r="A85" s="1167"/>
      <c r="B85" s="1167"/>
      <c r="C85" s="1167"/>
      <c r="D85" s="1167"/>
      <c r="E85" s="1850"/>
      <c r="F85" s="1974"/>
      <c r="G85" s="1974"/>
      <c r="H85" s="1975"/>
      <c r="P85" s="1918"/>
      <c r="Q85" s="1976"/>
    </row>
    <row r="86" spans="1:29" ht="32.25" customHeight="1" x14ac:dyDescent="0.35">
      <c r="A86" s="1167"/>
      <c r="B86" s="1167"/>
      <c r="C86" s="1167"/>
      <c r="D86" s="1167"/>
      <c r="E86" s="1850"/>
      <c r="F86" s="180" t="s">
        <v>3221</v>
      </c>
      <c r="G86" s="1977">
        <v>0</v>
      </c>
      <c r="H86" s="1975"/>
      <c r="P86" s="1918"/>
      <c r="Q86" s="1976"/>
    </row>
    <row r="87" spans="1:29" s="1986" customFormat="1" ht="18" x14ac:dyDescent="0.35">
      <c r="A87" s="1978" t="str">
        <f>IN!C4</f>
        <v>Laporan Keuangan June 2026</v>
      </c>
      <c r="B87" s="1979"/>
      <c r="C87" s="1980"/>
      <c r="D87" s="1981"/>
      <c r="E87" s="1982"/>
      <c r="F87" s="1983"/>
      <c r="G87" s="1983"/>
      <c r="H87" s="1984" t="str">
        <f>IN!D4</f>
        <v>Financial Statement Jun 2026</v>
      </c>
      <c r="I87" s="1985"/>
      <c r="P87" s="1987"/>
      <c r="Q87" s="1988"/>
    </row>
    <row r="88" spans="1:29" x14ac:dyDescent="0.35">
      <c r="F88" s="1147"/>
      <c r="H88" s="1145"/>
    </row>
    <row r="89" spans="1:29" x14ac:dyDescent="0.35">
      <c r="F89" s="1147"/>
      <c r="H89" s="1145"/>
    </row>
    <row r="90" spans="1:29" x14ac:dyDescent="0.35">
      <c r="F90" s="1147"/>
      <c r="H90" s="1145"/>
    </row>
    <row r="91" spans="1:29" x14ac:dyDescent="0.35">
      <c r="F91" s="1147"/>
      <c r="H91" s="1145"/>
    </row>
    <row r="92" spans="1:29" x14ac:dyDescent="0.35">
      <c r="F92" s="1147"/>
      <c r="H92" s="1145"/>
    </row>
    <row r="93" spans="1:29" x14ac:dyDescent="0.35">
      <c r="F93" s="1147"/>
      <c r="H93" s="1145"/>
    </row>
    <row r="94" spans="1:29" x14ac:dyDescent="0.35">
      <c r="F94" s="1147"/>
      <c r="H94" s="1145"/>
    </row>
    <row r="95" spans="1:29" x14ac:dyDescent="0.35">
      <c r="F95" s="1147"/>
      <c r="H95" s="1145"/>
    </row>
    <row r="96" spans="1:29" x14ac:dyDescent="0.35">
      <c r="F96" s="1147"/>
      <c r="H96" s="1145"/>
    </row>
    <row r="97" spans="6:8" x14ac:dyDescent="0.35">
      <c r="F97" s="1147"/>
      <c r="H97" s="1145"/>
    </row>
    <row r="98" spans="6:8" x14ac:dyDescent="0.35">
      <c r="F98" s="1147"/>
      <c r="H98" s="1145"/>
    </row>
    <row r="99" spans="6:8" x14ac:dyDescent="0.35">
      <c r="F99" s="1147"/>
      <c r="H99" s="1145"/>
    </row>
    <row r="100" spans="6:8" x14ac:dyDescent="0.35">
      <c r="F100" s="1147"/>
      <c r="H100" s="1145"/>
    </row>
    <row r="101" spans="6:8" x14ac:dyDescent="0.35">
      <c r="F101" s="1147"/>
      <c r="H101" s="1145"/>
    </row>
    <row r="102" spans="6:8" x14ac:dyDescent="0.35">
      <c r="F102" s="1147"/>
      <c r="H102" s="1145"/>
    </row>
    <row r="103" spans="6:8" x14ac:dyDescent="0.35">
      <c r="F103" s="1147"/>
      <c r="H103" s="1145"/>
    </row>
    <row r="104" spans="6:8" x14ac:dyDescent="0.35">
      <c r="F104" s="1147"/>
      <c r="H104" s="1145"/>
    </row>
    <row r="105" spans="6:8" x14ac:dyDescent="0.35">
      <c r="F105" s="1147"/>
      <c r="H105" s="1145"/>
    </row>
    <row r="106" spans="6:8" x14ac:dyDescent="0.35">
      <c r="F106" s="1147"/>
      <c r="H106" s="1145"/>
    </row>
    <row r="107" spans="6:8" x14ac:dyDescent="0.35">
      <c r="F107" s="1147"/>
      <c r="H107" s="1145"/>
    </row>
    <row r="108" spans="6:8" x14ac:dyDescent="0.35">
      <c r="F108" s="1147"/>
      <c r="H108" s="1145"/>
    </row>
    <row r="109" spans="6:8" x14ac:dyDescent="0.35">
      <c r="F109" s="1147"/>
      <c r="H109" s="1145"/>
    </row>
    <row r="110" spans="6:8" x14ac:dyDescent="0.35">
      <c r="F110" s="1147"/>
      <c r="H110" s="1145"/>
    </row>
    <row r="111" spans="6:8" x14ac:dyDescent="0.35">
      <c r="F111" s="1147"/>
      <c r="H111" s="1145"/>
    </row>
    <row r="112" spans="6:8" x14ac:dyDescent="0.35">
      <c r="F112" s="1147"/>
      <c r="H112" s="1145"/>
    </row>
    <row r="113" spans="6:8" x14ac:dyDescent="0.35">
      <c r="F113" s="1147"/>
      <c r="H113" s="1145"/>
    </row>
    <row r="114" spans="6:8" x14ac:dyDescent="0.35">
      <c r="F114" s="1147"/>
      <c r="H114" s="1145"/>
    </row>
    <row r="115" spans="6:8" x14ac:dyDescent="0.35">
      <c r="F115" s="1147"/>
      <c r="H115" s="1145"/>
    </row>
    <row r="116" spans="6:8" x14ac:dyDescent="0.35">
      <c r="F116" s="1147"/>
      <c r="H116" s="1145"/>
    </row>
    <row r="117" spans="6:8" x14ac:dyDescent="0.35">
      <c r="F117" s="1147"/>
      <c r="H117" s="1145"/>
    </row>
    <row r="118" spans="6:8" x14ac:dyDescent="0.35">
      <c r="F118" s="1147"/>
      <c r="H118" s="1145"/>
    </row>
    <row r="119" spans="6:8" x14ac:dyDescent="0.35">
      <c r="F119" s="1147"/>
      <c r="H119" s="1145"/>
    </row>
    <row r="120" spans="6:8" x14ac:dyDescent="0.35">
      <c r="F120" s="1147"/>
      <c r="H120" s="1145"/>
    </row>
    <row r="121" spans="6:8" x14ac:dyDescent="0.35">
      <c r="F121" s="1147"/>
      <c r="H121" s="1145"/>
    </row>
    <row r="122" spans="6:8" x14ac:dyDescent="0.35">
      <c r="F122" s="1147"/>
      <c r="H122" s="1145"/>
    </row>
    <row r="123" spans="6:8" x14ac:dyDescent="0.35">
      <c r="F123" s="1147"/>
      <c r="H123" s="1145"/>
    </row>
    <row r="124" spans="6:8" x14ac:dyDescent="0.35">
      <c r="F124" s="1147"/>
      <c r="H124" s="1145"/>
    </row>
    <row r="125" spans="6:8" x14ac:dyDescent="0.35">
      <c r="F125" s="1147"/>
      <c r="H125" s="1145"/>
    </row>
    <row r="126" spans="6:8" x14ac:dyDescent="0.35">
      <c r="F126" s="1147"/>
      <c r="H126" s="1145"/>
    </row>
    <row r="127" spans="6:8" x14ac:dyDescent="0.35">
      <c r="F127" s="1147"/>
      <c r="H127" s="1145"/>
    </row>
    <row r="128" spans="6:8" x14ac:dyDescent="0.35">
      <c r="F128" s="1147"/>
      <c r="H128" s="1145"/>
    </row>
    <row r="129" spans="6:8" x14ac:dyDescent="0.35">
      <c r="F129" s="1147"/>
      <c r="H129" s="1145"/>
    </row>
    <row r="130" spans="6:8" x14ac:dyDescent="0.35">
      <c r="F130" s="1147"/>
      <c r="H130" s="1145"/>
    </row>
    <row r="131" spans="6:8" x14ac:dyDescent="0.35">
      <c r="F131" s="1147"/>
      <c r="H131" s="1145"/>
    </row>
    <row r="132" spans="6:8" x14ac:dyDescent="0.35">
      <c r="F132" s="1147"/>
      <c r="H132" s="1145"/>
    </row>
    <row r="133" spans="6:8" x14ac:dyDescent="0.35">
      <c r="F133" s="1147"/>
      <c r="H133" s="1145"/>
    </row>
    <row r="134" spans="6:8" x14ac:dyDescent="0.35">
      <c r="F134" s="1147"/>
      <c r="H134" s="1145"/>
    </row>
    <row r="135" spans="6:8" x14ac:dyDescent="0.35">
      <c r="F135" s="1147"/>
      <c r="H135" s="1145"/>
    </row>
    <row r="136" spans="6:8" x14ac:dyDescent="0.35">
      <c r="F136" s="1147"/>
      <c r="H136" s="1145"/>
    </row>
    <row r="137" spans="6:8" x14ac:dyDescent="0.35">
      <c r="F137" s="1147"/>
      <c r="H137" s="1145"/>
    </row>
    <row r="138" spans="6:8" x14ac:dyDescent="0.35">
      <c r="F138" s="1147"/>
      <c r="H138" s="1145"/>
    </row>
    <row r="139" spans="6:8" x14ac:dyDescent="0.35">
      <c r="F139" s="1147"/>
      <c r="H139" s="1145"/>
    </row>
    <row r="140" spans="6:8" x14ac:dyDescent="0.35">
      <c r="F140" s="1147"/>
      <c r="H140" s="1145"/>
    </row>
    <row r="141" spans="6:8" x14ac:dyDescent="0.35">
      <c r="F141" s="1147"/>
      <c r="H141" s="1145"/>
    </row>
    <row r="142" spans="6:8" x14ac:dyDescent="0.35">
      <c r="F142" s="1147"/>
      <c r="H142" s="1145"/>
    </row>
    <row r="143" spans="6:8" x14ac:dyDescent="0.35">
      <c r="F143" s="1147"/>
      <c r="H143" s="1145"/>
    </row>
    <row r="144" spans="6:8" x14ac:dyDescent="0.35">
      <c r="F144" s="1147"/>
      <c r="H144" s="1145"/>
    </row>
    <row r="145" spans="6:8" x14ac:dyDescent="0.35">
      <c r="F145" s="1147"/>
      <c r="H145" s="1145"/>
    </row>
    <row r="146" spans="6:8" x14ac:dyDescent="0.35">
      <c r="F146" s="1147"/>
      <c r="H146" s="1145"/>
    </row>
    <row r="147" spans="6:8" x14ac:dyDescent="0.35">
      <c r="F147" s="1147"/>
      <c r="H147" s="1145"/>
    </row>
    <row r="148" spans="6:8" x14ac:dyDescent="0.35">
      <c r="F148" s="1147"/>
      <c r="H148" s="1145"/>
    </row>
    <row r="149" spans="6:8" x14ac:dyDescent="0.35">
      <c r="F149" s="1147"/>
      <c r="H149" s="1145"/>
    </row>
    <row r="150" spans="6:8" x14ac:dyDescent="0.35">
      <c r="F150" s="1147"/>
      <c r="H150" s="1145"/>
    </row>
    <row r="151" spans="6:8" x14ac:dyDescent="0.35">
      <c r="F151" s="1147"/>
      <c r="H151" s="1145"/>
    </row>
    <row r="152" spans="6:8" x14ac:dyDescent="0.35">
      <c r="F152" s="1147"/>
      <c r="H152" s="1145"/>
    </row>
    <row r="153" spans="6:8" x14ac:dyDescent="0.35">
      <c r="F153" s="1147"/>
      <c r="H153" s="1145"/>
    </row>
    <row r="154" spans="6:8" x14ac:dyDescent="0.35">
      <c r="F154" s="1147"/>
      <c r="H154" s="1145"/>
    </row>
    <row r="155" spans="6:8" x14ac:dyDescent="0.35">
      <c r="F155" s="1147"/>
      <c r="H155" s="1145"/>
    </row>
    <row r="156" spans="6:8" x14ac:dyDescent="0.35">
      <c r="F156" s="1147"/>
      <c r="H156" s="1145"/>
    </row>
    <row r="157" spans="6:8" x14ac:dyDescent="0.35">
      <c r="F157" s="1147"/>
      <c r="H157" s="1145"/>
    </row>
    <row r="158" spans="6:8" x14ac:dyDescent="0.35">
      <c r="F158" s="1147"/>
      <c r="H158" s="1145"/>
    </row>
    <row r="159" spans="6:8" x14ac:dyDescent="0.35">
      <c r="F159" s="1147"/>
      <c r="H159" s="1145"/>
    </row>
    <row r="160" spans="6:8" x14ac:dyDescent="0.35">
      <c r="F160" s="1147"/>
      <c r="H160" s="1145"/>
    </row>
    <row r="161" spans="6:8" x14ac:dyDescent="0.35">
      <c r="F161" s="1147"/>
      <c r="H161" s="1145"/>
    </row>
    <row r="162" spans="6:8" x14ac:dyDescent="0.35">
      <c r="F162" s="1147"/>
      <c r="H162" s="1145"/>
    </row>
    <row r="163" spans="6:8" x14ac:dyDescent="0.35">
      <c r="F163" s="1147"/>
      <c r="H163" s="1145"/>
    </row>
    <row r="164" spans="6:8" x14ac:dyDescent="0.35">
      <c r="F164" s="1147"/>
      <c r="H164" s="1145"/>
    </row>
    <row r="165" spans="6:8" x14ac:dyDescent="0.35">
      <c r="F165" s="1147"/>
      <c r="H165" s="1145"/>
    </row>
    <row r="166" spans="6:8" x14ac:dyDescent="0.35">
      <c r="F166" s="1147"/>
      <c r="H166" s="1145"/>
    </row>
    <row r="167" spans="6:8" x14ac:dyDescent="0.35">
      <c r="F167" s="1147"/>
      <c r="H167" s="1145"/>
    </row>
    <row r="168" spans="6:8" x14ac:dyDescent="0.35">
      <c r="F168" s="1147"/>
      <c r="H168" s="1145"/>
    </row>
  </sheetData>
  <mergeCells count="14">
    <mergeCell ref="A82:E82"/>
    <mergeCell ref="A84:E84"/>
    <mergeCell ref="R12:T12"/>
    <mergeCell ref="U12:W12"/>
    <mergeCell ref="X12:Z12"/>
    <mergeCell ref="A47:E47"/>
    <mergeCell ref="A71:E71"/>
    <mergeCell ref="A77:E77"/>
    <mergeCell ref="B12:E12"/>
    <mergeCell ref="A2:H2"/>
    <mergeCell ref="A4:H4"/>
    <mergeCell ref="A6:C6"/>
    <mergeCell ref="G6:H6"/>
    <mergeCell ref="B11:E1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4"/>
  <sheetViews>
    <sheetView workbookViewId="0">
      <selection activeCell="E13" sqref="E13"/>
    </sheetView>
  </sheetViews>
  <sheetFormatPr defaultRowHeight="14.5" x14ac:dyDescent="0.35"/>
  <cols>
    <col min="2" max="2" width="7" customWidth="1"/>
    <col min="3" max="3" width="46.81640625" customWidth="1"/>
    <col min="4" max="4" width="10" customWidth="1"/>
    <col min="5" max="9" width="16.7265625" customWidth="1"/>
  </cols>
  <sheetData>
    <row r="1" spans="1:7" ht="15" x14ac:dyDescent="0.35">
      <c r="A1" s="3856" t="str">
        <f>NRC!B2</f>
        <v>PESANTREN ISLAM AL-IRSYAD TENGARAN 6 BONDOWOSO</v>
      </c>
      <c r="B1" s="3856"/>
      <c r="C1" s="3856"/>
      <c r="D1" s="3856"/>
      <c r="E1" s="3856"/>
      <c r="F1" s="3856"/>
      <c r="G1" s="3856"/>
    </row>
    <row r="2" spans="1:7" x14ac:dyDescent="0.35">
      <c r="A2" s="2009" t="s">
        <v>3227</v>
      </c>
      <c r="B2" s="2009"/>
      <c r="C2" s="2009"/>
      <c r="D2" s="2009"/>
      <c r="E2" s="2009"/>
      <c r="F2" s="2009"/>
      <c r="G2" s="2010" t="s">
        <v>3228</v>
      </c>
    </row>
    <row r="3" spans="1:7" x14ac:dyDescent="0.35">
      <c r="A3" s="3851" t="str">
        <f>NRC!B5</f>
        <v>30 June 2026</v>
      </c>
      <c r="B3" s="3851"/>
      <c r="C3" s="3851"/>
      <c r="D3" s="1169"/>
      <c r="E3" s="1169"/>
      <c r="F3" s="1169"/>
      <c r="G3" s="2011">
        <f>NRC!I5</f>
        <v>46203</v>
      </c>
    </row>
    <row r="4" spans="1:7" x14ac:dyDescent="0.35">
      <c r="A4" s="2951" t="str">
        <f>'5'!A7</f>
        <v>(Dengan perbandingan informasi keuangan untuk bulan yang berakhir 31 May 2026 /</v>
      </c>
      <c r="B4" s="1169"/>
      <c r="C4" s="1169"/>
      <c r="D4" s="1169"/>
      <c r="E4" s="1169"/>
      <c r="F4" s="1169"/>
      <c r="G4" s="1851" t="str">
        <f>NRC!K6</f>
        <v>With Comparative financial information for the month ended May 31, 2026 )</v>
      </c>
    </row>
    <row r="5" spans="1:7" x14ac:dyDescent="0.35">
      <c r="A5" s="1166" t="str">
        <f>NRC!B7</f>
        <v>(Disajikan dalam rupiah)</v>
      </c>
      <c r="B5" s="1169"/>
      <c r="C5" s="1169"/>
      <c r="D5" s="1169"/>
      <c r="E5" s="1169"/>
      <c r="F5" s="1169"/>
      <c r="G5" s="2010" t="str">
        <f>NRC!K7</f>
        <v xml:space="preserve"> (Expressed in rupiah)</v>
      </c>
    </row>
    <row r="6" spans="1:7" x14ac:dyDescent="0.35">
      <c r="A6" s="2012" t="s">
        <v>531</v>
      </c>
      <c r="B6" s="1166"/>
      <c r="C6" s="1323"/>
      <c r="D6" s="1323"/>
      <c r="E6" s="2013"/>
      <c r="F6" s="2013"/>
      <c r="G6" s="2010" t="s">
        <v>532</v>
      </c>
    </row>
    <row r="7" spans="1:7" ht="15" thickBot="1" x14ac:dyDescent="0.4">
      <c r="A7" s="2014"/>
      <c r="B7" s="2014"/>
      <c r="C7" s="2014"/>
      <c r="D7" s="2014"/>
      <c r="E7" s="2014"/>
      <c r="F7" s="2014"/>
      <c r="G7" s="2015"/>
    </row>
    <row r="8" spans="1:7" x14ac:dyDescent="0.35">
      <c r="A8" s="2016" t="s">
        <v>2428</v>
      </c>
      <c r="B8" s="3852" t="s">
        <v>1043</v>
      </c>
      <c r="C8" s="3852"/>
      <c r="D8" s="3852"/>
      <c r="E8" s="2017" t="str">
        <f>NRC!E9</f>
        <v>30 June 2026/</v>
      </c>
      <c r="F8" s="2017" t="str">
        <f>NRC!G9</f>
        <v>31 May 2026/</v>
      </c>
      <c r="G8" s="1173" t="s">
        <v>2601</v>
      </c>
    </row>
    <row r="9" spans="1:7" ht="15" thickBot="1" x14ac:dyDescent="0.4">
      <c r="A9" s="2018" t="s">
        <v>2599</v>
      </c>
      <c r="B9" s="3853" t="s">
        <v>447</v>
      </c>
      <c r="C9" s="3853"/>
      <c r="D9" s="3853"/>
      <c r="E9" s="1179">
        <f>NRC!E10</f>
        <v>46203</v>
      </c>
      <c r="F9" s="1179">
        <f>NRC!G10</f>
        <v>46173</v>
      </c>
      <c r="G9" s="1181" t="s">
        <v>2606</v>
      </c>
    </row>
    <row r="10" spans="1:7" x14ac:dyDescent="0.35">
      <c r="A10" s="2019" t="s">
        <v>533</v>
      </c>
      <c r="B10" s="2020" t="s">
        <v>3229</v>
      </c>
      <c r="C10" s="2021"/>
      <c r="D10" s="2022"/>
      <c r="E10" s="2023"/>
      <c r="F10" s="2023"/>
      <c r="G10" s="2024"/>
    </row>
    <row r="11" spans="1:7" x14ac:dyDescent="0.35">
      <c r="A11" s="2019"/>
      <c r="B11" s="2025" t="s">
        <v>2447</v>
      </c>
      <c r="C11" s="2026" t="s">
        <v>3230</v>
      </c>
      <c r="D11" s="2022"/>
      <c r="E11" s="2023"/>
      <c r="F11" s="2027"/>
      <c r="G11" s="2024"/>
    </row>
    <row r="12" spans="1:7" x14ac:dyDescent="0.35">
      <c r="A12" s="2028"/>
      <c r="B12" s="2029" t="s">
        <v>2447</v>
      </c>
      <c r="C12" s="2030" t="s">
        <v>7671</v>
      </c>
      <c r="D12" s="2031" t="s">
        <v>7204</v>
      </c>
      <c r="E12" s="2044">
        <v>246688431.33000001</v>
      </c>
      <c r="F12" s="2044">
        <v>236651951.83000001</v>
      </c>
      <c r="G12" s="2032"/>
    </row>
    <row r="13" spans="1:7" x14ac:dyDescent="0.35">
      <c r="A13" s="2028"/>
      <c r="B13" s="2029"/>
      <c r="C13" s="2030"/>
      <c r="D13" s="2031"/>
      <c r="E13" s="2034"/>
      <c r="F13" s="2034"/>
      <c r="G13" s="2032"/>
    </row>
    <row r="14" spans="1:7" x14ac:dyDescent="0.35">
      <c r="A14" s="2028"/>
      <c r="B14" s="2029"/>
      <c r="C14" s="2030"/>
      <c r="D14" s="2031"/>
      <c r="E14" s="2044"/>
      <c r="F14" s="2044"/>
      <c r="G14" s="2032"/>
    </row>
    <row r="15" spans="1:7" x14ac:dyDescent="0.35">
      <c r="A15" s="2028"/>
      <c r="B15" s="2029"/>
      <c r="C15" s="2030"/>
      <c r="D15" s="2031"/>
      <c r="E15" s="2034"/>
      <c r="F15" s="2034"/>
      <c r="G15" s="2032"/>
    </row>
    <row r="16" spans="1:7" x14ac:dyDescent="0.35">
      <c r="A16" s="2028"/>
      <c r="B16" s="2029"/>
      <c r="C16" s="2030"/>
      <c r="D16" s="2031"/>
      <c r="E16" s="2034"/>
      <c r="F16" s="2034"/>
      <c r="G16" s="2032"/>
    </row>
    <row r="17" spans="1:7" x14ac:dyDescent="0.35">
      <c r="A17" s="2028"/>
      <c r="B17" s="2029"/>
      <c r="C17" s="2030"/>
      <c r="D17" s="2031"/>
      <c r="E17" s="2034"/>
      <c r="F17" s="2034"/>
      <c r="G17" s="2032"/>
    </row>
    <row r="18" spans="1:7" x14ac:dyDescent="0.35">
      <c r="A18" s="2028"/>
      <c r="B18" s="2029"/>
      <c r="C18" s="2030"/>
      <c r="D18" s="2031"/>
      <c r="E18" s="2034"/>
      <c r="F18" s="2034"/>
      <c r="G18" s="2032"/>
    </row>
    <row r="19" spans="1:7" x14ac:dyDescent="0.35">
      <c r="A19" s="2028"/>
      <c r="B19" s="2029"/>
      <c r="C19" s="2030"/>
      <c r="D19" s="2033"/>
      <c r="E19" s="2034"/>
      <c r="F19" s="2034"/>
      <c r="G19" s="2032"/>
    </row>
    <row r="20" spans="1:7" x14ac:dyDescent="0.35">
      <c r="A20" s="2028"/>
      <c r="B20" s="2029"/>
      <c r="C20" s="2030"/>
      <c r="D20" s="2031"/>
      <c r="E20" s="2044"/>
      <c r="F20" s="2044"/>
      <c r="G20" s="2032"/>
    </row>
    <row r="21" spans="1:7" x14ac:dyDescent="0.35">
      <c r="A21" s="2028"/>
      <c r="B21" s="2029"/>
      <c r="C21" s="2030"/>
      <c r="D21" s="2031"/>
      <c r="E21" s="2034"/>
      <c r="F21" s="2034"/>
      <c r="G21" s="2032"/>
    </row>
    <row r="22" spans="1:7" x14ac:dyDescent="0.35">
      <c r="A22" s="2028"/>
      <c r="B22" s="2029"/>
      <c r="C22" s="2030"/>
      <c r="D22" s="2031"/>
      <c r="E22" s="2034"/>
      <c r="F22" s="2034"/>
      <c r="G22" s="2032"/>
    </row>
    <row r="23" spans="1:7" x14ac:dyDescent="0.35">
      <c r="A23" s="2028"/>
      <c r="B23" s="2029"/>
      <c r="C23" s="2030"/>
      <c r="D23" s="2031"/>
      <c r="E23" s="2034"/>
      <c r="F23" s="2034"/>
      <c r="G23" s="2032"/>
    </row>
    <row r="24" spans="1:7" x14ac:dyDescent="0.35">
      <c r="A24" s="2028"/>
      <c r="B24" s="2029"/>
      <c r="C24" s="2030"/>
      <c r="D24" s="2031"/>
      <c r="E24" s="2034"/>
      <c r="F24" s="2034"/>
      <c r="G24" s="2032"/>
    </row>
    <row r="25" spans="1:7" x14ac:dyDescent="0.35">
      <c r="A25" s="2028"/>
      <c r="B25" s="2029"/>
      <c r="C25" s="2030"/>
      <c r="D25" s="2031"/>
      <c r="E25" s="2034"/>
      <c r="F25" s="2034"/>
      <c r="G25" s="2032"/>
    </row>
    <row r="26" spans="1:7" x14ac:dyDescent="0.35">
      <c r="A26" s="2028"/>
      <c r="B26" s="2029"/>
      <c r="C26" s="2030"/>
      <c r="D26" s="2031"/>
      <c r="E26" s="2045"/>
      <c r="F26" s="2045"/>
      <c r="G26" s="2032"/>
    </row>
    <row r="27" spans="1:7" x14ac:dyDescent="0.35">
      <c r="A27" s="2028"/>
      <c r="B27" s="2030"/>
      <c r="C27" s="2035"/>
      <c r="D27" s="2031"/>
      <c r="E27" s="2046">
        <f>SUM(E12:E26)</f>
        <v>246688431.33000001</v>
      </c>
      <c r="F27" s="2046">
        <f>SUM(F12:F26)</f>
        <v>236651951.83000001</v>
      </c>
      <c r="G27" s="2032"/>
    </row>
    <row r="28" spans="1:7" x14ac:dyDescent="0.35">
      <c r="A28" s="2019" t="s">
        <v>576</v>
      </c>
      <c r="B28" s="2020" t="s">
        <v>3231</v>
      </c>
      <c r="C28" s="2035"/>
      <c r="D28" s="2031"/>
      <c r="E28" s="2034"/>
      <c r="F28" s="2034"/>
      <c r="G28" s="2032"/>
    </row>
    <row r="29" spans="1:7" x14ac:dyDescent="0.35">
      <c r="A29" s="2019"/>
      <c r="B29" s="2029" t="s">
        <v>2447</v>
      </c>
      <c r="C29" s="2030" t="s">
        <v>3232</v>
      </c>
      <c r="D29" s="2036"/>
      <c r="E29" s="2045">
        <v>0</v>
      </c>
      <c r="F29" s="2044">
        <v>0</v>
      </c>
      <c r="G29" s="2032"/>
    </row>
    <row r="30" spans="1:7" x14ac:dyDescent="0.35">
      <c r="A30" s="2019" t="s">
        <v>597</v>
      </c>
      <c r="B30" s="2020" t="s">
        <v>3233</v>
      </c>
      <c r="C30" s="2035"/>
      <c r="D30" s="2036"/>
      <c r="E30" s="2044"/>
      <c r="F30" s="2034"/>
      <c r="G30" s="2032"/>
    </row>
    <row r="31" spans="1:7" x14ac:dyDescent="0.35">
      <c r="A31" s="2028"/>
      <c r="B31" s="2029" t="s">
        <v>2447</v>
      </c>
      <c r="C31" s="2030" t="s">
        <v>3234</v>
      </c>
      <c r="D31" s="2036"/>
      <c r="E31" s="2045">
        <v>0</v>
      </c>
      <c r="F31" s="2044">
        <v>0</v>
      </c>
      <c r="G31" s="2032"/>
    </row>
    <row r="32" spans="1:7" x14ac:dyDescent="0.35">
      <c r="A32" s="2028"/>
      <c r="B32" s="2029" t="s">
        <v>23</v>
      </c>
      <c r="C32" s="2030" t="s">
        <v>3235</v>
      </c>
      <c r="D32" s="2036"/>
      <c r="E32" s="2047"/>
      <c r="F32" s="2047"/>
      <c r="G32" s="2032"/>
    </row>
    <row r="33" spans="1:7" x14ac:dyDescent="0.35">
      <c r="A33" s="2028"/>
      <c r="B33" s="2030"/>
      <c r="C33" s="2035"/>
      <c r="D33" s="2031"/>
      <c r="E33" s="2048">
        <f>SUM(E31:E32)</f>
        <v>0</v>
      </c>
      <c r="F33" s="2048">
        <f>SUM(F31:F32)</f>
        <v>0</v>
      </c>
      <c r="G33" s="2032"/>
    </row>
    <row r="34" spans="1:7" x14ac:dyDescent="0.35">
      <c r="A34" s="2019" t="s">
        <v>642</v>
      </c>
      <c r="B34" s="2020" t="s">
        <v>3236</v>
      </c>
      <c r="C34" s="2035"/>
      <c r="D34" s="2031"/>
      <c r="E34" s="2049"/>
      <c r="F34" s="2049"/>
      <c r="G34" s="2032"/>
    </row>
    <row r="35" spans="1:7" x14ac:dyDescent="0.35">
      <c r="A35" s="2028"/>
      <c r="B35" s="2029" t="s">
        <v>2447</v>
      </c>
      <c r="C35" s="2030" t="s">
        <v>3237</v>
      </c>
      <c r="D35" s="2036"/>
      <c r="E35" s="2050">
        <f>7461145-7521400+3394700-3394700+3253784-8780200+5918400+6938008-7330000+60263</f>
        <v>0</v>
      </c>
      <c r="F35" s="2044">
        <v>0</v>
      </c>
      <c r="G35" s="2032"/>
    </row>
    <row r="36" spans="1:7" x14ac:dyDescent="0.35">
      <c r="A36" s="2028"/>
      <c r="B36" s="2029"/>
      <c r="C36" s="2030"/>
      <c r="D36" s="2038"/>
      <c r="E36" s="2034"/>
      <c r="F36" s="2034"/>
      <c r="G36" s="2032"/>
    </row>
    <row r="37" spans="1:7" x14ac:dyDescent="0.35">
      <c r="A37" s="2019" t="s">
        <v>666</v>
      </c>
      <c r="B37" s="2020" t="s">
        <v>3238</v>
      </c>
      <c r="C37" s="2030"/>
      <c r="D37" s="2038"/>
      <c r="E37" s="2034"/>
      <c r="F37" s="2034"/>
      <c r="G37" s="2032"/>
    </row>
    <row r="38" spans="1:7" x14ac:dyDescent="0.35">
      <c r="A38" s="2028"/>
      <c r="B38" s="2029" t="s">
        <v>2447</v>
      </c>
      <c r="C38" s="2030" t="s">
        <v>3239</v>
      </c>
      <c r="D38" s="2036"/>
      <c r="E38" s="2051">
        <v>0</v>
      </c>
      <c r="F38" s="2052">
        <v>0</v>
      </c>
      <c r="G38" s="2032"/>
    </row>
    <row r="39" spans="1:7" x14ac:dyDescent="0.35">
      <c r="A39" s="2028"/>
      <c r="B39" s="2029" t="s">
        <v>23</v>
      </c>
      <c r="C39" s="2030" t="s">
        <v>3240</v>
      </c>
      <c r="D39" s="2036"/>
      <c r="E39" s="2051">
        <v>0</v>
      </c>
      <c r="F39" s="2053">
        <v>0</v>
      </c>
      <c r="G39" s="2032"/>
    </row>
    <row r="40" spans="1:7" x14ac:dyDescent="0.35">
      <c r="A40" s="2028"/>
      <c r="B40" s="2029" t="s">
        <v>27</v>
      </c>
      <c r="C40" s="2030" t="s">
        <v>3241</v>
      </c>
      <c r="D40" s="2036"/>
      <c r="E40" s="2054">
        <v>0</v>
      </c>
      <c r="F40" s="2053">
        <v>0</v>
      </c>
      <c r="G40" s="2032"/>
    </row>
    <row r="41" spans="1:7" x14ac:dyDescent="0.35">
      <c r="A41" s="2028"/>
      <c r="B41" s="2030"/>
      <c r="C41" s="2035"/>
      <c r="D41" s="2031"/>
      <c r="E41" s="2055">
        <f>SUM(E38:E40)</f>
        <v>0</v>
      </c>
      <c r="F41" s="2055">
        <f>SUM(F38:F40)</f>
        <v>0</v>
      </c>
      <c r="G41" s="2032"/>
    </row>
    <row r="42" spans="1:7" x14ac:dyDescent="0.35">
      <c r="A42" s="2019" t="s">
        <v>702</v>
      </c>
      <c r="B42" s="2039" t="s">
        <v>3242</v>
      </c>
      <c r="C42" s="2030"/>
      <c r="D42" s="2038"/>
      <c r="E42" s="2034"/>
      <c r="F42" s="2034"/>
      <c r="G42" s="2032"/>
    </row>
    <row r="43" spans="1:7" x14ac:dyDescent="0.35">
      <c r="A43" s="2019"/>
      <c r="B43" s="2040">
        <v>1</v>
      </c>
      <c r="C43" s="2030" t="s">
        <v>326</v>
      </c>
      <c r="D43" s="2038"/>
      <c r="E43" s="2034">
        <v>0</v>
      </c>
      <c r="F43" s="2034">
        <v>0</v>
      </c>
      <c r="G43" s="2032"/>
    </row>
    <row r="44" spans="1:7" x14ac:dyDescent="0.35">
      <c r="A44" s="2028"/>
      <c r="B44" s="2040">
        <v>2</v>
      </c>
      <c r="C44" s="2030" t="s">
        <v>678</v>
      </c>
      <c r="D44" s="2036"/>
      <c r="E44" s="2034">
        <v>0</v>
      </c>
      <c r="F44" s="2034">
        <v>0</v>
      </c>
      <c r="G44" s="2032"/>
    </row>
    <row r="45" spans="1:7" x14ac:dyDescent="0.35">
      <c r="A45" s="2028"/>
      <c r="B45" s="2040">
        <v>3</v>
      </c>
      <c r="C45" s="2030" t="s">
        <v>680</v>
      </c>
      <c r="D45" s="2036"/>
      <c r="E45" s="2034">
        <v>0</v>
      </c>
      <c r="F45" s="2034">
        <v>0</v>
      </c>
      <c r="G45" s="2032"/>
    </row>
    <row r="46" spans="1:7" x14ac:dyDescent="0.35">
      <c r="A46" s="2028"/>
      <c r="B46" s="2040">
        <v>4</v>
      </c>
      <c r="C46" s="2030" t="s">
        <v>682</v>
      </c>
      <c r="D46" s="2036"/>
      <c r="E46" s="2034">
        <v>0</v>
      </c>
      <c r="F46" s="2034">
        <v>0</v>
      </c>
      <c r="G46" s="2032"/>
    </row>
    <row r="47" spans="1:7" x14ac:dyDescent="0.35">
      <c r="A47" s="2028"/>
      <c r="B47" s="2040">
        <v>5</v>
      </c>
      <c r="C47" s="2030" t="s">
        <v>3078</v>
      </c>
      <c r="D47" s="2036"/>
      <c r="E47" s="2034">
        <v>0</v>
      </c>
      <c r="F47" s="2034">
        <v>0</v>
      </c>
      <c r="G47" s="2032"/>
    </row>
    <row r="48" spans="1:7" x14ac:dyDescent="0.35">
      <c r="A48" s="2028"/>
      <c r="B48" s="2040">
        <v>6</v>
      </c>
      <c r="C48" s="2030" t="s">
        <v>684</v>
      </c>
      <c r="D48" s="2036"/>
      <c r="E48" s="2056">
        <v>0</v>
      </c>
      <c r="F48" s="2056">
        <v>0</v>
      </c>
      <c r="G48" s="2032"/>
    </row>
    <row r="49" spans="1:8" x14ac:dyDescent="0.35">
      <c r="A49" s="2028"/>
      <c r="B49" s="2030"/>
      <c r="C49" s="2035"/>
      <c r="D49" s="2031"/>
      <c r="E49" s="2037">
        <f>SUM(E43:E48)</f>
        <v>0</v>
      </c>
      <c r="F49" s="2037">
        <f>SUM(F43:F48)</f>
        <v>0</v>
      </c>
      <c r="G49" s="2032"/>
    </row>
    <row r="50" spans="1:8" ht="15" thickBot="1" x14ac:dyDescent="0.4">
      <c r="A50" s="2028"/>
      <c r="B50" s="2030"/>
      <c r="C50" s="2035"/>
      <c r="D50" s="2031"/>
      <c r="E50" s="2041"/>
      <c r="F50" s="2041"/>
      <c r="G50" s="2032"/>
    </row>
    <row r="51" spans="1:8" ht="15" thickBot="1" x14ac:dyDescent="0.4">
      <c r="A51" s="3854" t="s">
        <v>3243</v>
      </c>
      <c r="B51" s="3855"/>
      <c r="C51" s="3855"/>
      <c r="D51" s="3855"/>
      <c r="E51" s="2042">
        <f>E41+E33+E35+E29+E49</f>
        <v>0</v>
      </c>
      <c r="F51" s="2042">
        <f>F41+F33+F35+F29+F49</f>
        <v>0</v>
      </c>
      <c r="G51" s="2043"/>
    </row>
    <row r="54" spans="1:8" ht="17.5" x14ac:dyDescent="0.35">
      <c r="A54" s="1978" t="str">
        <f>IN!C4</f>
        <v>Laporan Keuangan June 2026</v>
      </c>
      <c r="B54" s="1979"/>
      <c r="C54" s="1980"/>
      <c r="D54" s="1981"/>
      <c r="E54" s="1982"/>
      <c r="F54" s="1983"/>
      <c r="G54" s="2954" t="str">
        <f>IN!D4</f>
        <v>Financial Statement Jun 2026</v>
      </c>
      <c r="H54" s="2953"/>
    </row>
  </sheetData>
  <mergeCells count="5">
    <mergeCell ref="A3:C3"/>
    <mergeCell ref="B8:D8"/>
    <mergeCell ref="B9:D9"/>
    <mergeCell ref="A51:D51"/>
    <mergeCell ref="A1:G1"/>
  </mergeCells>
  <pageMargins left="0.7" right="0.7" top="0.75" bottom="0.75" header="0.3" footer="0.3"/>
  <pageSetup paperSize="9" orientation="portrait" horizontalDpi="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07"/>
  <sheetViews>
    <sheetView view="pageBreakPreview" zoomScale="90" zoomScaleNormal="100" zoomScaleSheetLayoutView="90" workbookViewId="0">
      <pane ySplit="12" topLeftCell="A67" activePane="bottomLeft" state="frozen"/>
      <selection pane="bottomLeft" activeCell="Q16" sqref="Q16:Q18"/>
    </sheetView>
  </sheetViews>
  <sheetFormatPr defaultColWidth="8.81640625" defaultRowHeight="13" x14ac:dyDescent="0.3"/>
  <cols>
    <col min="1" max="1" width="4.453125" style="51" customWidth="1"/>
    <col min="2" max="2" width="2.453125" style="43" customWidth="1"/>
    <col min="3" max="3" width="2" style="43" customWidth="1"/>
    <col min="4" max="4" width="16.1796875" style="43" customWidth="1"/>
    <col min="5" max="12" width="2.54296875" style="43" customWidth="1"/>
    <col min="13" max="13" width="9.7265625" style="43" customWidth="1"/>
    <col min="14" max="14" width="19.453125" style="43" customWidth="1"/>
    <col min="15" max="15" width="17.54296875" style="43" customWidth="1"/>
    <col min="16" max="16" width="18.453125" style="43" customWidth="1"/>
    <col min="17" max="17" width="19.26953125" style="54" customWidth="1"/>
    <col min="18" max="18" width="4.453125" style="43" customWidth="1"/>
    <col min="19" max="19" width="17.81640625" style="43" customWidth="1"/>
    <col min="20" max="20" width="17.81640625" style="159" customWidth="1"/>
    <col min="21" max="22" width="15.54296875" style="159" customWidth="1"/>
    <col min="23" max="24" width="17.81640625" style="3286" customWidth="1"/>
    <col min="25" max="25" width="13.1796875" style="43" customWidth="1"/>
    <col min="26" max="16384" width="8.81640625" style="43"/>
  </cols>
  <sheetData>
    <row r="1" spans="1:27" s="77" customFormat="1" ht="14.5" x14ac:dyDescent="0.35">
      <c r="A1" s="3410" t="str">
        <f>NRC!B2</f>
        <v>PESANTREN ISLAM AL-IRSYAD TENGARAN 6 BONDOWOSO</v>
      </c>
      <c r="B1" s="3410"/>
      <c r="C1" s="3410"/>
      <c r="D1" s="3410"/>
      <c r="E1" s="3410"/>
      <c r="F1" s="3410"/>
      <c r="G1" s="3410"/>
      <c r="H1" s="3410"/>
      <c r="I1" s="3410"/>
      <c r="J1" s="3410"/>
      <c r="K1" s="3410"/>
      <c r="L1" s="3410"/>
      <c r="M1" s="3410"/>
      <c r="N1" s="3410"/>
      <c r="O1" s="3410"/>
      <c r="P1" s="3410"/>
      <c r="Q1" s="3410"/>
      <c r="T1"/>
      <c r="U1"/>
      <c r="V1"/>
      <c r="W1" s="2898"/>
      <c r="X1" s="3285"/>
    </row>
    <row r="2" spans="1:27" s="77" customFormat="1" ht="6" customHeight="1" x14ac:dyDescent="0.35">
      <c r="A2" s="2057"/>
      <c r="B2" s="2057"/>
      <c r="C2" s="2057"/>
      <c r="D2" s="2057"/>
      <c r="E2" s="2057"/>
      <c r="F2" s="2057"/>
      <c r="G2" s="2057"/>
      <c r="H2" s="2057"/>
      <c r="I2" s="2057"/>
      <c r="J2" s="2057"/>
      <c r="K2" s="2057"/>
      <c r="L2" s="2057"/>
      <c r="M2" s="2057"/>
      <c r="N2" s="73"/>
      <c r="O2" s="2057"/>
      <c r="P2" s="2057"/>
      <c r="Q2" s="2057"/>
      <c r="T2"/>
      <c r="U2"/>
      <c r="V2"/>
      <c r="W2" s="2898"/>
      <c r="X2" s="3285"/>
    </row>
    <row r="3" spans="1:27" s="77" customFormat="1" ht="13.5" customHeight="1" x14ac:dyDescent="0.35">
      <c r="A3" s="3872" t="s">
        <v>3256</v>
      </c>
      <c r="B3" s="3872"/>
      <c r="C3" s="3872"/>
      <c r="D3" s="3872"/>
      <c r="E3" s="3872"/>
      <c r="F3" s="3872"/>
      <c r="G3" s="3872"/>
      <c r="H3" s="3872"/>
      <c r="I3" s="3872"/>
      <c r="J3" s="3872"/>
      <c r="K3" s="3872"/>
      <c r="L3" s="3872"/>
      <c r="M3" s="3872"/>
      <c r="N3" s="3872"/>
      <c r="O3" s="3872"/>
      <c r="P3" s="3872"/>
      <c r="Q3" s="3872"/>
      <c r="T3"/>
      <c r="U3"/>
      <c r="V3"/>
      <c r="W3" s="2898"/>
      <c r="X3" s="3285"/>
    </row>
    <row r="4" spans="1:27" s="77" customFormat="1" ht="14.5" x14ac:dyDescent="0.35">
      <c r="A4" s="1734" t="s">
        <v>3257</v>
      </c>
      <c r="B4" s="73"/>
      <c r="C4" s="73"/>
      <c r="D4" s="73"/>
      <c r="E4" s="73"/>
      <c r="F4" s="73"/>
      <c r="G4" s="73"/>
      <c r="H4" s="73"/>
      <c r="I4" s="73"/>
      <c r="J4" s="73"/>
      <c r="K4" s="73"/>
      <c r="L4" s="73"/>
      <c r="M4" s="73"/>
      <c r="N4" s="73"/>
      <c r="O4" s="73"/>
      <c r="P4" s="73"/>
      <c r="Q4" s="82" t="s">
        <v>3258</v>
      </c>
      <c r="T4"/>
      <c r="U4"/>
      <c r="V4"/>
      <c r="W4" s="2898"/>
      <c r="X4" s="3285"/>
    </row>
    <row r="5" spans="1:27" s="77" customFormat="1" ht="14.5" x14ac:dyDescent="0.35">
      <c r="A5" s="3873" t="str">
        <f>NRC!B5</f>
        <v>30 June 2026</v>
      </c>
      <c r="B5" s="3873"/>
      <c r="C5" s="3873"/>
      <c r="D5" s="3873"/>
      <c r="E5" s="73"/>
      <c r="F5" s="73"/>
      <c r="G5" s="73"/>
      <c r="H5" s="73"/>
      <c r="I5" s="73"/>
      <c r="J5" s="73"/>
      <c r="K5" s="73"/>
      <c r="L5" s="73"/>
      <c r="M5" s="73"/>
      <c r="N5" s="73"/>
      <c r="O5" s="73"/>
      <c r="P5" s="3400">
        <f>NRC!I5</f>
        <v>46203</v>
      </c>
      <c r="Q5" s="3400"/>
      <c r="T5"/>
      <c r="U5"/>
      <c r="V5"/>
      <c r="W5" s="2898"/>
      <c r="X5" s="3285"/>
    </row>
    <row r="6" spans="1:27" s="77" customFormat="1" ht="14.5" x14ac:dyDescent="0.35">
      <c r="A6" s="2350" t="str">
        <f>'7'!A4</f>
        <v>(Dengan perbandingan informasi keuangan untuk bulan yang berakhir 31 May 2026 /</v>
      </c>
      <c r="B6" s="73"/>
      <c r="C6" s="73"/>
      <c r="D6" s="73"/>
      <c r="E6" s="73"/>
      <c r="F6" s="73"/>
      <c r="G6" s="73"/>
      <c r="H6" s="73"/>
      <c r="I6" s="73"/>
      <c r="J6" s="73"/>
      <c r="K6" s="73"/>
      <c r="L6" s="73"/>
      <c r="M6" s="73"/>
      <c r="N6" s="73"/>
      <c r="O6" s="73"/>
      <c r="P6" s="73"/>
      <c r="Q6" s="82" t="str">
        <f>NRC!K6</f>
        <v>With Comparative financial information for the month ended May 31, 2026 )</v>
      </c>
      <c r="T6"/>
      <c r="U6"/>
      <c r="V6"/>
      <c r="W6" s="2898"/>
      <c r="X6" s="3285"/>
    </row>
    <row r="7" spans="1:27" s="77" customFormat="1" ht="14.5" x14ac:dyDescent="0.35">
      <c r="A7" s="2161" t="str">
        <f>NRC!B7</f>
        <v>(Disajikan dalam rupiah)</v>
      </c>
      <c r="B7" s="75"/>
      <c r="C7" s="75"/>
      <c r="Q7" s="80" t="str">
        <f>+[17]NRC!J7</f>
        <v xml:space="preserve"> (Expressed in rupiah)</v>
      </c>
      <c r="T7"/>
      <c r="U7"/>
      <c r="V7"/>
      <c r="W7" s="2898"/>
      <c r="X7" s="3285"/>
    </row>
    <row r="8" spans="1:27" ht="14" thickBot="1" x14ac:dyDescent="0.4">
      <c r="A8" s="130"/>
      <c r="B8" s="64"/>
      <c r="C8" s="64"/>
      <c r="D8" s="50"/>
      <c r="E8" s="555"/>
      <c r="F8" s="555"/>
      <c r="G8" s="555"/>
      <c r="H8" s="555"/>
      <c r="I8" s="555"/>
      <c r="J8" s="555"/>
      <c r="K8" s="555"/>
      <c r="L8" s="555"/>
      <c r="M8" s="555"/>
      <c r="N8" s="555"/>
      <c r="O8" s="555"/>
      <c r="P8" s="2058"/>
      <c r="Q8" s="557"/>
    </row>
    <row r="9" spans="1:27" ht="14.15" customHeight="1" thickBot="1" x14ac:dyDescent="0.35">
      <c r="A9" s="2059" t="s">
        <v>2428</v>
      </c>
      <c r="B9" s="3874" t="s">
        <v>3259</v>
      </c>
      <c r="C9" s="3874"/>
      <c r="D9" s="3874"/>
      <c r="E9" s="3874"/>
      <c r="F9" s="3874"/>
      <c r="G9" s="3874"/>
      <c r="H9" s="3874"/>
      <c r="I9" s="3874"/>
      <c r="J9" s="3874"/>
      <c r="K9" s="3874"/>
      <c r="L9" s="3874"/>
      <c r="M9" s="3874"/>
      <c r="N9" s="2060" t="s">
        <v>925</v>
      </c>
      <c r="O9" s="2061" t="s">
        <v>981</v>
      </c>
      <c r="P9" s="2061" t="s">
        <v>3260</v>
      </c>
      <c r="Q9" s="2062" t="s">
        <v>925</v>
      </c>
      <c r="S9" s="3857" t="str">
        <f>"Sd " &amp; Q11</f>
        <v>Sd 30 June 2026/</v>
      </c>
      <c r="T9" s="3858"/>
      <c r="U9" s="3859"/>
      <c r="V9" s="3067"/>
      <c r="W9" s="3287"/>
      <c r="X9" s="3287"/>
      <c r="Y9" s="3059"/>
      <c r="Z9" s="3059"/>
      <c r="AA9" s="3059"/>
    </row>
    <row r="10" spans="1:27" ht="14.15" customHeight="1" thickBot="1" x14ac:dyDescent="0.4">
      <c r="A10" s="2063" t="s">
        <v>2599</v>
      </c>
      <c r="B10" s="3875"/>
      <c r="C10" s="3875"/>
      <c r="D10" s="3875"/>
      <c r="E10" s="3875"/>
      <c r="F10" s="3875"/>
      <c r="G10" s="3875"/>
      <c r="H10" s="3875"/>
      <c r="I10" s="3875"/>
      <c r="J10" s="3875"/>
      <c r="K10" s="3875"/>
      <c r="L10" s="3875"/>
      <c r="M10" s="3875"/>
      <c r="N10" s="2064" t="s">
        <v>927</v>
      </c>
      <c r="O10" s="2065" t="s">
        <v>983</v>
      </c>
      <c r="P10" s="2066" t="s">
        <v>984</v>
      </c>
      <c r="Q10" s="2067" t="s">
        <v>927</v>
      </c>
      <c r="S10" s="3860">
        <f xml:space="preserve">  Q12</f>
        <v>46203</v>
      </c>
      <c r="T10" s="3861"/>
      <c r="U10" s="3862"/>
      <c r="V10" s="3068"/>
      <c r="W10" s="3288"/>
      <c r="X10" s="3288"/>
      <c r="Y10" s="3060"/>
      <c r="Z10" s="3060"/>
      <c r="AA10" s="3060"/>
    </row>
    <row r="11" spans="1:27" ht="14" thickBot="1" x14ac:dyDescent="0.4">
      <c r="A11" s="2068"/>
      <c r="B11" s="3875"/>
      <c r="C11" s="3875"/>
      <c r="D11" s="3875"/>
      <c r="E11" s="3875"/>
      <c r="F11" s="3875"/>
      <c r="G11" s="3875"/>
      <c r="H11" s="3875"/>
      <c r="I11" s="3875"/>
      <c r="J11" s="3875"/>
      <c r="K11" s="3875"/>
      <c r="L11" s="3875"/>
      <c r="M11" s="3875"/>
      <c r="N11" s="2069" t="str">
        <f>NRC!G9</f>
        <v>31 May 2026/</v>
      </c>
      <c r="O11" s="2070"/>
      <c r="P11" s="2065" t="s">
        <v>3261</v>
      </c>
      <c r="Q11" s="2071" t="str">
        <f>NRC!E9</f>
        <v>30 June 2026/</v>
      </c>
      <c r="S11" s="3094" t="s">
        <v>981</v>
      </c>
      <c r="T11" s="3095" t="s">
        <v>988</v>
      </c>
      <c r="U11" s="3870" t="s">
        <v>7682</v>
      </c>
      <c r="V11" s="3069"/>
      <c r="W11" s="3863" t="str">
        <f>N11</f>
        <v>31 May 2026/</v>
      </c>
      <c r="X11" s="3863"/>
      <c r="Y11" s="3059"/>
      <c r="Z11" s="3059"/>
      <c r="AA11" s="3059"/>
    </row>
    <row r="12" spans="1:27" ht="14.15" customHeight="1" thickBot="1" x14ac:dyDescent="0.4">
      <c r="A12" s="2068"/>
      <c r="B12" s="3876"/>
      <c r="C12" s="3876"/>
      <c r="D12" s="3876"/>
      <c r="E12" s="3876"/>
      <c r="F12" s="3876"/>
      <c r="G12" s="3876"/>
      <c r="H12" s="3876"/>
      <c r="I12" s="3876"/>
      <c r="J12" s="3876"/>
      <c r="K12" s="3876"/>
      <c r="L12" s="3876"/>
      <c r="M12" s="3876"/>
      <c r="N12" s="2166">
        <f>NRC!G10</f>
        <v>46173</v>
      </c>
      <c r="O12" s="2065"/>
      <c r="P12" s="2065" t="s">
        <v>989</v>
      </c>
      <c r="Q12" s="2167">
        <f>NRC!E10</f>
        <v>46203</v>
      </c>
      <c r="S12" s="3093" t="s">
        <v>983</v>
      </c>
      <c r="T12" s="3086" t="s">
        <v>990</v>
      </c>
      <c r="U12" s="3871"/>
      <c r="V12" s="3067"/>
      <c r="X12" s="3288"/>
      <c r="Y12" s="3061"/>
      <c r="Z12" s="3061"/>
      <c r="AA12" s="3061"/>
    </row>
    <row r="13" spans="1:27" ht="14.15" customHeight="1" x14ac:dyDescent="0.35">
      <c r="A13" s="2168">
        <v>1</v>
      </c>
      <c r="B13" s="2169" t="s">
        <v>3262</v>
      </c>
      <c r="C13" s="2169"/>
      <c r="D13" s="2170"/>
      <c r="E13" s="2170"/>
      <c r="F13" s="2170"/>
      <c r="G13" s="2170"/>
      <c r="H13" s="2170"/>
      <c r="I13" s="2170"/>
      <c r="J13" s="2170"/>
      <c r="K13" s="2170"/>
      <c r="L13" s="2170"/>
      <c r="M13" s="2170"/>
      <c r="N13" s="2171"/>
      <c r="O13" s="2172"/>
      <c r="P13" s="2172"/>
      <c r="Q13" s="2173"/>
      <c r="S13" s="3073"/>
      <c r="T13" s="3074"/>
      <c r="U13" s="3065"/>
      <c r="W13" s="3289"/>
      <c r="X13" s="3290"/>
    </row>
    <row r="14" spans="1:27" s="50" customFormat="1" ht="14.15" customHeight="1" x14ac:dyDescent="0.3">
      <c r="A14" s="2072">
        <v>1</v>
      </c>
      <c r="B14" s="130" t="s">
        <v>3263</v>
      </c>
      <c r="C14" s="130"/>
      <c r="E14" s="196"/>
      <c r="F14" s="196"/>
      <c r="G14" s="196"/>
      <c r="H14" s="196"/>
      <c r="I14" s="196"/>
      <c r="J14" s="196"/>
      <c r="K14" s="196"/>
      <c r="L14" s="196"/>
      <c r="M14" s="196"/>
      <c r="N14" s="2073"/>
      <c r="O14" s="2074"/>
      <c r="P14" s="2074"/>
      <c r="Q14" s="2075"/>
      <c r="S14" s="3075"/>
      <c r="T14" s="3076"/>
      <c r="U14" s="3070"/>
      <c r="V14" s="2076"/>
      <c r="W14" s="3291"/>
      <c r="X14" s="3292"/>
    </row>
    <row r="15" spans="1:27" ht="14.15" customHeight="1" x14ac:dyDescent="0.35">
      <c r="A15" s="2077"/>
      <c r="B15" s="130" t="s">
        <v>3264</v>
      </c>
      <c r="C15" s="84"/>
      <c r="E15" s="196"/>
      <c r="F15" s="196"/>
      <c r="G15" s="196"/>
      <c r="H15" s="196"/>
      <c r="I15" s="196"/>
      <c r="J15" s="196"/>
      <c r="K15" s="196"/>
      <c r="L15" s="196"/>
      <c r="M15" s="196"/>
      <c r="N15" s="2078"/>
      <c r="O15" s="2079"/>
      <c r="P15" s="2080"/>
      <c r="Q15" s="2081"/>
      <c r="S15" s="3077"/>
      <c r="T15" s="1671"/>
      <c r="U15" s="3071"/>
      <c r="V15"/>
      <c r="W15" s="3293"/>
      <c r="X15" s="3294"/>
    </row>
    <row r="16" spans="1:27" ht="14.15" customHeight="1" x14ac:dyDescent="0.35">
      <c r="A16" s="2077"/>
      <c r="B16" s="86">
        <v>1</v>
      </c>
      <c r="C16" s="43" t="s">
        <v>996</v>
      </c>
      <c r="E16" s="196"/>
      <c r="F16" s="196"/>
      <c r="G16" s="196"/>
      <c r="H16" s="196"/>
      <c r="I16" s="196"/>
      <c r="J16" s="196"/>
      <c r="K16" s="196"/>
      <c r="L16" s="196"/>
      <c r="M16" s="196"/>
      <c r="N16" s="2082">
        <v>0</v>
      </c>
      <c r="O16" s="2083"/>
      <c r="P16" s="2083"/>
      <c r="Q16" s="2084">
        <f>N16+O16-P16</f>
        <v>0</v>
      </c>
      <c r="S16" s="3078"/>
      <c r="T16" s="3079"/>
      <c r="U16" s="3072"/>
      <c r="W16" s="3295"/>
      <c r="X16" s="3296"/>
      <c r="Y16" s="159"/>
    </row>
    <row r="17" spans="1:25" ht="14.15" customHeight="1" x14ac:dyDescent="0.35">
      <c r="A17" s="2077"/>
      <c r="B17" s="86">
        <v>2</v>
      </c>
      <c r="C17" s="43" t="s">
        <v>997</v>
      </c>
      <c r="E17" s="196"/>
      <c r="F17" s="196"/>
      <c r="G17" s="196"/>
      <c r="H17" s="196"/>
      <c r="I17" s="196"/>
      <c r="J17" s="196"/>
      <c r="K17" s="196"/>
      <c r="L17" s="196"/>
      <c r="M17" s="196"/>
      <c r="N17" s="2082">
        <v>183016600</v>
      </c>
      <c r="O17" s="2085"/>
      <c r="P17" s="2083">
        <v>7361800</v>
      </c>
      <c r="Q17" s="2084">
        <f>N17+O17-P17</f>
        <v>175654800</v>
      </c>
      <c r="S17" s="3081">
        <f>W17+O17</f>
        <v>232080000</v>
      </c>
      <c r="T17" s="3081">
        <f>X17+P17</f>
        <v>105406800</v>
      </c>
      <c r="U17" s="3096">
        <f>S17-T17</f>
        <v>126673200</v>
      </c>
      <c r="W17" s="3295">
        <v>232080000</v>
      </c>
      <c r="X17" s="3296">
        <v>98045000</v>
      </c>
      <c r="Y17" s="159"/>
    </row>
    <row r="18" spans="1:25" ht="15" thickBot="1" x14ac:dyDescent="0.4">
      <c r="A18" s="2077"/>
      <c r="B18" s="86">
        <v>3</v>
      </c>
      <c r="C18" s="43" t="s">
        <v>998</v>
      </c>
      <c r="E18" s="196"/>
      <c r="F18" s="196"/>
      <c r="G18" s="196"/>
      <c r="H18" s="196"/>
      <c r="I18" s="196"/>
      <c r="J18" s="196"/>
      <c r="K18" s="196"/>
      <c r="L18" s="196"/>
      <c r="M18" s="196"/>
      <c r="N18" s="2174">
        <v>168206100</v>
      </c>
      <c r="O18" s="2175"/>
      <c r="P18" s="2176">
        <v>6216400</v>
      </c>
      <c r="Q18" s="2165">
        <f>N18+O18-P18</f>
        <v>161989700</v>
      </c>
      <c r="S18" s="3272">
        <f>W18+O18</f>
        <v>296996100</v>
      </c>
      <c r="T18" s="3272">
        <f>X18+P18</f>
        <v>158174100</v>
      </c>
      <c r="U18" s="3273">
        <f>S18-T18</f>
        <v>138822000</v>
      </c>
      <c r="W18" s="3297">
        <v>296996100</v>
      </c>
      <c r="X18" s="3298">
        <v>151957700</v>
      </c>
    </row>
    <row r="19" spans="1:25" ht="14.15" customHeight="1" x14ac:dyDescent="0.3">
      <c r="A19" s="2077"/>
      <c r="B19" s="130"/>
      <c r="C19" s="179"/>
      <c r="E19" s="196"/>
      <c r="F19" s="196"/>
      <c r="G19" s="196"/>
      <c r="H19" s="196"/>
      <c r="I19" s="196"/>
      <c r="J19" s="196"/>
      <c r="K19" s="196"/>
      <c r="L19" s="196"/>
      <c r="M19" s="196"/>
      <c r="N19" s="2088">
        <f>SUM(N16:N18)</f>
        <v>351222700</v>
      </c>
      <c r="O19" s="2088">
        <f>SUM(O16:O18)</f>
        <v>0</v>
      </c>
      <c r="P19" s="2088">
        <f>SUM(P16:P18)</f>
        <v>13578200</v>
      </c>
      <c r="Q19" s="2089">
        <f>SUM(Q16:Q18)</f>
        <v>337644500</v>
      </c>
      <c r="S19" s="3081">
        <f>SUM(S17:S18)</f>
        <v>529076100</v>
      </c>
      <c r="T19" s="3079">
        <f>SUM(T17:T18)</f>
        <v>263580900</v>
      </c>
      <c r="U19" s="3096">
        <f>SUM(U17:U18)</f>
        <v>265495200</v>
      </c>
      <c r="W19" s="3293">
        <f>SUM(W17:W18)</f>
        <v>529076100</v>
      </c>
      <c r="X19" s="3293">
        <f>SUM(X17:X18)</f>
        <v>250002700</v>
      </c>
    </row>
    <row r="20" spans="1:25" ht="14.15" customHeight="1" x14ac:dyDescent="0.3">
      <c r="A20" s="2077"/>
      <c r="B20" s="130" t="s">
        <v>3265</v>
      </c>
      <c r="C20" s="84"/>
      <c r="E20" s="196"/>
      <c r="F20" s="196"/>
      <c r="G20" s="196"/>
      <c r="H20" s="196"/>
      <c r="I20" s="196"/>
      <c r="J20" s="196"/>
      <c r="K20" s="196"/>
      <c r="L20" s="196"/>
      <c r="M20" s="196"/>
      <c r="N20" s="2090"/>
      <c r="O20" s="2091"/>
      <c r="P20" s="2092"/>
      <c r="Q20" s="2093"/>
      <c r="S20" s="3077"/>
      <c r="T20" s="3079"/>
      <c r="U20" s="3072"/>
      <c r="W20" s="3293"/>
      <c r="X20" s="3296"/>
    </row>
    <row r="21" spans="1:25" ht="14.15" customHeight="1" x14ac:dyDescent="0.35">
      <c r="A21" s="2077"/>
      <c r="B21" s="63">
        <v>1</v>
      </c>
      <c r="C21" s="50" t="s">
        <v>3266</v>
      </c>
      <c r="D21" s="50"/>
      <c r="E21" s="196"/>
      <c r="F21" s="196"/>
      <c r="G21" s="196"/>
      <c r="H21" s="196"/>
      <c r="I21" s="196"/>
      <c r="J21" s="196"/>
      <c r="K21" s="196"/>
      <c r="L21" s="196"/>
      <c r="M21" s="196"/>
      <c r="N21" s="2090"/>
      <c r="O21" s="2091"/>
      <c r="P21" s="2092"/>
      <c r="Q21" s="2093"/>
      <c r="S21" s="3077"/>
      <c r="T21" s="3079"/>
      <c r="U21" s="3072"/>
      <c r="W21" s="3293"/>
      <c r="X21" s="3296"/>
    </row>
    <row r="22" spans="1:25" ht="14.15" customHeight="1" x14ac:dyDescent="0.3">
      <c r="A22" s="2077"/>
      <c r="B22" s="86"/>
      <c r="C22" s="84" t="s">
        <v>190</v>
      </c>
      <c r="D22" s="2094" t="s">
        <v>8144</v>
      </c>
      <c r="E22" s="196"/>
      <c r="F22" s="196"/>
      <c r="G22" s="196"/>
      <c r="H22" s="196"/>
      <c r="I22" s="196"/>
      <c r="J22" s="196"/>
      <c r="K22" s="196"/>
      <c r="L22" s="196"/>
      <c r="M22" s="196"/>
      <c r="N22" s="2095">
        <v>0</v>
      </c>
      <c r="O22" s="2096">
        <v>500000</v>
      </c>
      <c r="P22" s="2096">
        <v>500000</v>
      </c>
      <c r="Q22" s="2084">
        <f>N22+O22-P22</f>
        <v>0</v>
      </c>
      <c r="S22" s="3081">
        <f>W22+O22</f>
        <v>70000000</v>
      </c>
      <c r="T22" s="3274">
        <f t="shared" ref="T22:U24" si="0">SUM(T20:T21)</f>
        <v>0</v>
      </c>
      <c r="U22" s="3275">
        <f t="shared" si="0"/>
        <v>0</v>
      </c>
      <c r="W22" s="3293">
        <v>69500000</v>
      </c>
      <c r="X22" s="3296">
        <v>0</v>
      </c>
    </row>
    <row r="23" spans="1:25" ht="14.15" customHeight="1" x14ac:dyDescent="0.3">
      <c r="A23" s="2077"/>
      <c r="B23" s="86"/>
      <c r="C23" s="84" t="s">
        <v>190</v>
      </c>
      <c r="D23" s="2094" t="s">
        <v>3290</v>
      </c>
      <c r="E23" s="196"/>
      <c r="F23" s="196"/>
      <c r="G23" s="196"/>
      <c r="H23" s="196"/>
      <c r="I23" s="2086" t="s">
        <v>3267</v>
      </c>
      <c r="J23" s="196"/>
      <c r="K23" s="196"/>
      <c r="L23" s="196"/>
      <c r="M23" s="2086"/>
      <c r="N23" s="2109">
        <v>0</v>
      </c>
      <c r="O23" s="2177"/>
      <c r="P23" s="2107"/>
      <c r="Q23" s="2178">
        <f>N23+O23-P23</f>
        <v>0</v>
      </c>
      <c r="S23" s="3276">
        <f>W23+O23</f>
        <v>0</v>
      </c>
      <c r="T23" s="3277">
        <f t="shared" si="0"/>
        <v>0</v>
      </c>
      <c r="U23" s="3278">
        <f t="shared" si="0"/>
        <v>0</v>
      </c>
      <c r="W23" s="3299"/>
      <c r="X23" s="3298"/>
    </row>
    <row r="24" spans="1:25" ht="14.15" customHeight="1" x14ac:dyDescent="0.3">
      <c r="A24" s="2077"/>
      <c r="B24" s="86"/>
      <c r="C24" s="2094"/>
      <c r="E24" s="196"/>
      <c r="F24" s="196"/>
      <c r="G24" s="196"/>
      <c r="H24" s="196"/>
      <c r="I24" s="196"/>
      <c r="J24" s="196"/>
      <c r="K24" s="196"/>
      <c r="L24" s="196"/>
      <c r="M24" s="196"/>
      <c r="N24" s="2091">
        <f>SUM(N22:N23)</f>
        <v>0</v>
      </c>
      <c r="O24" s="2091">
        <f>SUM(O22:O23)</f>
        <v>500000</v>
      </c>
      <c r="P24" s="2091">
        <f>SUM(P22:P23)</f>
        <v>500000</v>
      </c>
      <c r="Q24" s="2099">
        <f>SUM(Q22:Q23)</f>
        <v>0</v>
      </c>
      <c r="S24" s="2091">
        <f>SUM(S22:S23)</f>
        <v>70000000</v>
      </c>
      <c r="T24" s="2091">
        <f t="shared" si="0"/>
        <v>0</v>
      </c>
      <c r="U24" s="2091">
        <f t="shared" si="0"/>
        <v>0</v>
      </c>
      <c r="W24" s="2091">
        <f>SUM(W22:W23)</f>
        <v>69500000</v>
      </c>
      <c r="X24" s="2091">
        <f>SUM(X22:X23)</f>
        <v>0</v>
      </c>
    </row>
    <row r="25" spans="1:25" ht="14.15" customHeight="1" x14ac:dyDescent="0.35">
      <c r="A25" s="2077"/>
      <c r="B25" s="63"/>
      <c r="C25" s="50" t="s">
        <v>3268</v>
      </c>
      <c r="D25" s="50"/>
      <c r="E25" s="196"/>
      <c r="F25" s="196"/>
      <c r="G25" s="196"/>
      <c r="H25" s="196"/>
      <c r="I25" s="196"/>
      <c r="J25" s="196"/>
      <c r="K25" s="196"/>
      <c r="L25" s="196"/>
      <c r="M25" s="196"/>
      <c r="N25" s="2090"/>
      <c r="O25" s="2091"/>
      <c r="P25" s="2092"/>
      <c r="Q25" s="2093"/>
      <c r="S25" s="3077"/>
      <c r="T25" s="3079"/>
      <c r="U25" s="3072"/>
      <c r="W25" s="3293"/>
      <c r="X25" s="3296"/>
    </row>
    <row r="26" spans="1:25" ht="14.15" customHeight="1" x14ac:dyDescent="0.3">
      <c r="A26" s="2077"/>
      <c r="B26" s="86"/>
      <c r="C26" s="84" t="s">
        <v>190</v>
      </c>
      <c r="D26" s="2094" t="s">
        <v>1002</v>
      </c>
      <c r="E26" s="196"/>
      <c r="F26" s="196"/>
      <c r="G26" s="196"/>
      <c r="H26" s="196"/>
      <c r="I26" s="196"/>
      <c r="J26" s="196"/>
      <c r="K26" s="196"/>
      <c r="L26" s="196"/>
      <c r="M26" s="196"/>
      <c r="N26" s="2100">
        <v>0</v>
      </c>
      <c r="O26" s="2101">
        <v>0</v>
      </c>
      <c r="P26" s="2101">
        <v>0</v>
      </c>
      <c r="Q26" s="2102">
        <f>N26+O26-P26</f>
        <v>0</v>
      </c>
      <c r="S26" s="3081">
        <f t="shared" ref="S26:S30" si="1">W26+O26</f>
        <v>5000000</v>
      </c>
      <c r="T26" s="3081">
        <f>X26+P26</f>
        <v>5000000</v>
      </c>
      <c r="U26" s="3096">
        <f t="shared" ref="U26:U32" si="2">S26-T26</f>
        <v>0</v>
      </c>
      <c r="W26" s="3293">
        <v>5000000</v>
      </c>
      <c r="X26" s="3296">
        <v>5000000</v>
      </c>
    </row>
    <row r="27" spans="1:25" ht="14.15" customHeight="1" x14ac:dyDescent="0.35">
      <c r="A27" s="2077"/>
      <c r="B27" s="63"/>
      <c r="C27" s="50" t="s">
        <v>3269</v>
      </c>
      <c r="D27" s="50"/>
      <c r="E27" s="196"/>
      <c r="F27" s="196"/>
      <c r="G27" s="196"/>
      <c r="H27" s="196"/>
      <c r="I27" s="196"/>
      <c r="J27" s="196"/>
      <c r="K27" s="196"/>
      <c r="L27" s="196"/>
      <c r="M27" s="196"/>
      <c r="N27" s="2090"/>
      <c r="O27" s="2091"/>
      <c r="P27" s="2092"/>
      <c r="Q27" s="2099"/>
      <c r="S27" s="3081">
        <f t="shared" si="1"/>
        <v>0</v>
      </c>
      <c r="T27" s="3081">
        <f t="shared" ref="T27:T30" si="3">X27+P27</f>
        <v>0</v>
      </c>
      <c r="U27" s="3096">
        <f t="shared" si="2"/>
        <v>0</v>
      </c>
      <c r="W27" s="3293">
        <v>0</v>
      </c>
      <c r="X27" s="3296">
        <v>0</v>
      </c>
    </row>
    <row r="28" spans="1:25" ht="14.15" customHeight="1" x14ac:dyDescent="0.3">
      <c r="A28" s="2077"/>
      <c r="B28" s="86"/>
      <c r="C28" s="84" t="s">
        <v>190</v>
      </c>
      <c r="D28" s="2094" t="s">
        <v>3291</v>
      </c>
      <c r="E28" s="196"/>
      <c r="F28" s="196"/>
      <c r="G28" s="196"/>
      <c r="H28" s="196"/>
      <c r="I28" s="196"/>
      <c r="J28" s="196"/>
      <c r="K28" s="196"/>
      <c r="L28" s="196"/>
      <c r="M28" s="196"/>
      <c r="N28" s="2095">
        <v>0</v>
      </c>
      <c r="O28" s="2101">
        <v>0</v>
      </c>
      <c r="P28" s="2101">
        <v>0</v>
      </c>
      <c r="Q28" s="2102">
        <f>N28+O28-P28</f>
        <v>0</v>
      </c>
      <c r="S28" s="3081">
        <f>W28+O28</f>
        <v>22200000</v>
      </c>
      <c r="T28" s="3081">
        <f>X28+P28</f>
        <v>22200000</v>
      </c>
      <c r="U28" s="3096">
        <f>S28-T28</f>
        <v>0</v>
      </c>
      <c r="W28" s="3293">
        <v>22200000</v>
      </c>
      <c r="X28" s="3296">
        <v>22200000</v>
      </c>
    </row>
    <row r="29" spans="1:25" ht="14.15" customHeight="1" x14ac:dyDescent="0.35">
      <c r="A29" s="2077"/>
      <c r="B29" s="63">
        <v>2</v>
      </c>
      <c r="C29" s="50" t="s">
        <v>3270</v>
      </c>
      <c r="D29" s="50"/>
      <c r="E29" s="196"/>
      <c r="F29" s="196"/>
      <c r="G29" s="196"/>
      <c r="H29" s="196"/>
      <c r="I29" s="196"/>
      <c r="J29" s="196"/>
      <c r="K29" s="196"/>
      <c r="L29" s="196"/>
      <c r="M29" s="196"/>
      <c r="N29" s="2090"/>
      <c r="O29" s="2091"/>
      <c r="P29" s="2092"/>
      <c r="Q29" s="2099"/>
      <c r="S29" s="3081">
        <f t="shared" si="1"/>
        <v>0</v>
      </c>
      <c r="T29" s="3081">
        <f t="shared" si="3"/>
        <v>0</v>
      </c>
      <c r="U29" s="3096">
        <f t="shared" si="2"/>
        <v>0</v>
      </c>
      <c r="W29" s="3293">
        <v>0</v>
      </c>
      <c r="X29" s="3296">
        <v>0</v>
      </c>
    </row>
    <row r="30" spans="1:25" ht="14.15" customHeight="1" x14ac:dyDescent="0.3">
      <c r="A30" s="2077"/>
      <c r="B30" s="86"/>
      <c r="C30" s="84" t="s">
        <v>190</v>
      </c>
      <c r="D30" s="2179" t="s">
        <v>8037</v>
      </c>
      <c r="E30" s="196"/>
      <c r="F30" s="196"/>
      <c r="G30" s="196"/>
      <c r="H30" s="196"/>
      <c r="I30" s="2086"/>
      <c r="J30" s="196"/>
      <c r="K30" s="196"/>
      <c r="L30" s="196"/>
      <c r="M30" s="196"/>
      <c r="N30" s="2103">
        <v>0</v>
      </c>
      <c r="O30" s="2096">
        <v>0</v>
      </c>
      <c r="P30" s="2097">
        <v>0</v>
      </c>
      <c r="Q30" s="2102">
        <f>N30+O30-P30</f>
        <v>0</v>
      </c>
      <c r="S30" s="3081">
        <f t="shared" si="1"/>
        <v>11963300</v>
      </c>
      <c r="T30" s="3081">
        <f t="shared" si="3"/>
        <v>11963300</v>
      </c>
      <c r="U30" s="3275">
        <f t="shared" si="2"/>
        <v>0</v>
      </c>
      <c r="W30" s="3293">
        <v>11963300</v>
      </c>
      <c r="X30" s="3296">
        <v>11963300</v>
      </c>
    </row>
    <row r="31" spans="1:25" ht="14.15" customHeight="1" x14ac:dyDescent="0.3">
      <c r="A31" s="2077"/>
      <c r="B31" s="86"/>
      <c r="C31" s="84" t="s">
        <v>190</v>
      </c>
      <c r="D31" s="2179" t="s">
        <v>8036</v>
      </c>
      <c r="E31" s="196"/>
      <c r="F31" s="196"/>
      <c r="G31" s="196"/>
      <c r="H31" s="196"/>
      <c r="I31" s="2086"/>
      <c r="J31" s="196"/>
      <c r="K31" s="196"/>
      <c r="L31" s="196"/>
      <c r="M31" s="196"/>
      <c r="N31" s="2109">
        <v>0</v>
      </c>
      <c r="O31" s="2180"/>
      <c r="P31" s="2107"/>
      <c r="Q31" s="2104">
        <f>N31+O31-P31</f>
        <v>0</v>
      </c>
      <c r="S31" s="3276">
        <f>W31+O31</f>
        <v>0</v>
      </c>
      <c r="T31" s="3276">
        <f>X31+P31</f>
        <v>0</v>
      </c>
      <c r="U31" s="3278">
        <f t="shared" si="2"/>
        <v>0</v>
      </c>
      <c r="W31" s="3293">
        <v>0</v>
      </c>
      <c r="X31" s="3296">
        <v>0</v>
      </c>
    </row>
    <row r="32" spans="1:25" ht="14.15" customHeight="1" x14ac:dyDescent="0.3">
      <c r="A32" s="2077"/>
      <c r="B32" s="86"/>
      <c r="C32" s="84"/>
      <c r="D32" s="2179"/>
      <c r="E32" s="196"/>
      <c r="F32" s="196"/>
      <c r="G32" s="196"/>
      <c r="H32" s="196"/>
      <c r="I32" s="2086"/>
      <c r="J32" s="196"/>
      <c r="K32" s="196"/>
      <c r="L32" s="196"/>
      <c r="M32" s="196"/>
      <c r="N32" s="2105">
        <f>SUM(N30:N31)</f>
        <v>0</v>
      </c>
      <c r="O32" s="2105">
        <f>SUM(O30:O31)</f>
        <v>0</v>
      </c>
      <c r="P32" s="2105">
        <f>SUM(P30:P31)</f>
        <v>0</v>
      </c>
      <c r="Q32" s="2181">
        <f>SUM(Q30:Q31)</f>
        <v>0</v>
      </c>
      <c r="S32" s="2105">
        <f>SUM(S30:S31)</f>
        <v>11963300</v>
      </c>
      <c r="T32" s="2105">
        <f t="shared" ref="T32" si="4">SUM(T30:T31)</f>
        <v>11963300</v>
      </c>
      <c r="U32" s="3096">
        <f t="shared" si="2"/>
        <v>0</v>
      </c>
      <c r="W32" s="2105">
        <f>SUM(W30:W31)</f>
        <v>11963300</v>
      </c>
      <c r="X32" s="2105">
        <f>SUM(X30:X31)</f>
        <v>11963300</v>
      </c>
    </row>
    <row r="33" spans="1:24" ht="14.15" customHeight="1" x14ac:dyDescent="0.3">
      <c r="A33" s="2077"/>
      <c r="B33" s="179"/>
      <c r="C33" s="179"/>
      <c r="E33" s="196"/>
      <c r="F33" s="196"/>
      <c r="G33" s="196"/>
      <c r="H33" s="196"/>
      <c r="I33" s="196"/>
      <c r="J33" s="196"/>
      <c r="K33" s="196"/>
      <c r="L33" s="196"/>
      <c r="M33" s="196"/>
      <c r="N33" s="2182"/>
      <c r="O33" s="2183"/>
      <c r="P33" s="2184"/>
      <c r="Q33" s="2106"/>
      <c r="S33" s="3082"/>
      <c r="T33" s="3083"/>
      <c r="U33" s="3066"/>
      <c r="W33" s="3299"/>
      <c r="X33" s="3298"/>
    </row>
    <row r="34" spans="1:24" ht="14.15" customHeight="1" x14ac:dyDescent="0.3">
      <c r="A34" s="2077"/>
      <c r="B34" s="179"/>
      <c r="C34" s="179"/>
      <c r="E34" s="196"/>
      <c r="F34" s="196"/>
      <c r="G34" s="196"/>
      <c r="H34" s="196"/>
      <c r="I34" s="196"/>
      <c r="J34" s="196"/>
      <c r="K34" s="196"/>
      <c r="L34" s="196"/>
      <c r="M34" s="196"/>
      <c r="N34" s="2098">
        <f t="shared" ref="N34:P34" si="5">N32+N28+N26+N24</f>
        <v>0</v>
      </c>
      <c r="O34" s="2098">
        <f t="shared" si="5"/>
        <v>500000</v>
      </c>
      <c r="P34" s="2098">
        <f t="shared" si="5"/>
        <v>500000</v>
      </c>
      <c r="Q34" s="2098">
        <f>Q32+Q28+Q26+Q24</f>
        <v>0</v>
      </c>
      <c r="S34" s="3087">
        <f>S32+S28+S26+S24</f>
        <v>109163300</v>
      </c>
      <c r="T34" s="2098">
        <f>T32+T28+T26+T24</f>
        <v>39163300</v>
      </c>
      <c r="U34" s="3097">
        <f>U32+U28+U26+U24</f>
        <v>0</v>
      </c>
      <c r="W34" s="3087">
        <f>W32+W28+W26+W24</f>
        <v>108663300</v>
      </c>
      <c r="X34" s="3087">
        <f>X32+X28+X26+X24</f>
        <v>39163300</v>
      </c>
    </row>
    <row r="35" spans="1:24" ht="14.15" customHeight="1" x14ac:dyDescent="0.3">
      <c r="A35" s="2077"/>
      <c r="B35" s="130" t="s">
        <v>3271</v>
      </c>
      <c r="C35" s="84"/>
      <c r="E35" s="196"/>
      <c r="F35" s="196"/>
      <c r="G35" s="196"/>
      <c r="H35" s="196"/>
      <c r="I35" s="196"/>
      <c r="J35" s="196"/>
      <c r="K35" s="196"/>
      <c r="L35" s="196"/>
      <c r="M35" s="196"/>
      <c r="N35" s="2090"/>
      <c r="O35" s="2091"/>
      <c r="P35" s="2092"/>
      <c r="Q35" s="2099"/>
      <c r="S35" s="3077"/>
      <c r="T35" s="3079"/>
      <c r="U35" s="3072"/>
      <c r="W35" s="3293"/>
      <c r="X35" s="3296"/>
    </row>
    <row r="36" spans="1:24" ht="14.15" customHeight="1" x14ac:dyDescent="0.35">
      <c r="A36" s="2077"/>
      <c r="B36" s="63">
        <v>1</v>
      </c>
      <c r="C36" s="50" t="s">
        <v>3272</v>
      </c>
      <c r="E36" s="196"/>
      <c r="F36" s="196"/>
      <c r="G36" s="196"/>
      <c r="H36" s="196"/>
      <c r="I36" s="196"/>
      <c r="J36" s="196"/>
      <c r="K36" s="196"/>
      <c r="L36" s="196"/>
      <c r="M36" s="196"/>
      <c r="N36" s="2090"/>
      <c r="O36" s="2091"/>
      <c r="P36" s="2092"/>
      <c r="Q36" s="2099"/>
      <c r="S36" s="3077"/>
      <c r="T36" s="3079"/>
      <c r="U36" s="3072"/>
      <c r="W36" s="3293"/>
      <c r="X36" s="3296"/>
    </row>
    <row r="37" spans="1:24" ht="14.15" customHeight="1" x14ac:dyDescent="0.3">
      <c r="A37" s="2077"/>
      <c r="B37" s="86"/>
      <c r="C37" s="84" t="s">
        <v>190</v>
      </c>
      <c r="D37" s="2094" t="s">
        <v>3273</v>
      </c>
      <c r="E37" s="2094"/>
      <c r="F37" s="196"/>
      <c r="G37" s="196"/>
      <c r="H37" s="196"/>
      <c r="I37" s="196"/>
      <c r="J37" s="196"/>
      <c r="K37" s="196"/>
      <c r="L37" s="196"/>
      <c r="M37" s="196"/>
      <c r="N37" s="2095">
        <v>0</v>
      </c>
      <c r="O37" s="2092"/>
      <c r="P37" s="2092"/>
      <c r="Q37" s="2102">
        <f t="shared" ref="Q37:Q39" si="6">N37+O37-P37</f>
        <v>0</v>
      </c>
      <c r="S37" s="3081">
        <f>W37+O37</f>
        <v>0</v>
      </c>
      <c r="T37" s="3081">
        <f>X37+P37</f>
        <v>0</v>
      </c>
      <c r="U37" s="3096">
        <f t="shared" ref="U37:U39" si="7">S37-T37</f>
        <v>0</v>
      </c>
      <c r="W37" s="3293"/>
      <c r="X37" s="3296"/>
    </row>
    <row r="38" spans="1:24" ht="14.15" customHeight="1" x14ac:dyDescent="0.3">
      <c r="A38" s="2077"/>
      <c r="B38" s="86"/>
      <c r="C38" s="84" t="s">
        <v>190</v>
      </c>
      <c r="D38" s="2094" t="s">
        <v>3274</v>
      </c>
      <c r="E38" s="2094"/>
      <c r="F38" s="196"/>
      <c r="G38" s="196"/>
      <c r="H38" s="196"/>
      <c r="I38" s="196"/>
      <c r="J38" s="196"/>
      <c r="K38" s="196"/>
      <c r="L38" s="196"/>
      <c r="M38" s="196"/>
      <c r="N38" s="2095">
        <v>0</v>
      </c>
      <c r="O38" s="2092"/>
      <c r="P38" s="2092"/>
      <c r="Q38" s="2102">
        <f t="shared" si="6"/>
        <v>0</v>
      </c>
      <c r="S38" s="3081">
        <f t="shared" ref="S38:S39" si="8">W38+O38</f>
        <v>0</v>
      </c>
      <c r="T38" s="3081">
        <f t="shared" ref="T38:T39" si="9">X38+P38</f>
        <v>0</v>
      </c>
      <c r="U38" s="3096">
        <f t="shared" si="7"/>
        <v>0</v>
      </c>
      <c r="W38" s="3293"/>
      <c r="X38" s="3296"/>
    </row>
    <row r="39" spans="1:24" ht="14.15" customHeight="1" x14ac:dyDescent="0.3">
      <c r="A39" s="2077"/>
      <c r="B39" s="86"/>
      <c r="C39" s="84" t="s">
        <v>190</v>
      </c>
      <c r="D39" s="2094" t="s">
        <v>3275</v>
      </c>
      <c r="E39" s="2094"/>
      <c r="F39" s="196"/>
      <c r="G39" s="196"/>
      <c r="H39" s="196"/>
      <c r="I39" s="196"/>
      <c r="J39" s="196"/>
      <c r="K39" s="196"/>
      <c r="L39" s="196"/>
      <c r="M39" s="196"/>
      <c r="N39" s="2162">
        <v>0</v>
      </c>
      <c r="O39" s="2163"/>
      <c r="P39" s="2164"/>
      <c r="Q39" s="2165">
        <f t="shared" si="6"/>
        <v>0</v>
      </c>
      <c r="S39" s="3081">
        <f t="shared" si="8"/>
        <v>0</v>
      </c>
      <c r="T39" s="3081">
        <f t="shared" si="9"/>
        <v>0</v>
      </c>
      <c r="U39" s="3096">
        <f t="shared" si="7"/>
        <v>0</v>
      </c>
      <c r="W39" s="3293"/>
      <c r="X39" s="3296"/>
    </row>
    <row r="40" spans="1:24" ht="14.15" customHeight="1" x14ac:dyDescent="0.3">
      <c r="A40" s="2077"/>
      <c r="B40" s="86"/>
      <c r="D40" s="518"/>
      <c r="E40" s="2094"/>
      <c r="F40" s="196"/>
      <c r="G40" s="196"/>
      <c r="H40" s="196"/>
      <c r="I40" s="196"/>
      <c r="J40" s="196"/>
      <c r="K40" s="196"/>
      <c r="L40" s="196"/>
      <c r="M40" s="196"/>
      <c r="N40" s="3063">
        <f t="shared" ref="N40:P40" si="10">SUM(N37:N39)</f>
        <v>0</v>
      </c>
      <c r="O40" s="3063">
        <f t="shared" si="10"/>
        <v>0</v>
      </c>
      <c r="P40" s="3063">
        <f t="shared" si="10"/>
        <v>0</v>
      </c>
      <c r="Q40" s="3064">
        <f>SUM(Q37:Q39)</f>
        <v>0</v>
      </c>
      <c r="S40" s="3064">
        <f>SUM(S37:S39)</f>
        <v>0</v>
      </c>
      <c r="T40" s="3064">
        <f t="shared" ref="T40:U40" si="11">SUM(T37:T39)</f>
        <v>0</v>
      </c>
      <c r="U40" s="3064">
        <f t="shared" si="11"/>
        <v>0</v>
      </c>
      <c r="W40" s="3064">
        <f>SUM(W37:W39)</f>
        <v>0</v>
      </c>
      <c r="X40" s="3064">
        <f>SUM(X37:X39)</f>
        <v>0</v>
      </c>
    </row>
    <row r="41" spans="1:24" ht="14.15" customHeight="1" x14ac:dyDescent="0.35">
      <c r="A41" s="2077"/>
      <c r="B41" s="63">
        <v>2</v>
      </c>
      <c r="C41" s="50" t="s">
        <v>3276</v>
      </c>
      <c r="E41" s="196"/>
      <c r="F41" s="196"/>
      <c r="G41" s="196"/>
      <c r="H41" s="196"/>
      <c r="I41" s="196"/>
      <c r="J41" s="196"/>
      <c r="K41" s="196"/>
      <c r="L41" s="196"/>
      <c r="M41" s="196"/>
      <c r="N41" s="2090"/>
      <c r="O41" s="2091"/>
      <c r="P41" s="2092"/>
      <c r="Q41" s="2099"/>
      <c r="S41" s="3077"/>
      <c r="T41" s="3079"/>
      <c r="U41" s="3072"/>
      <c r="W41" s="3293"/>
      <c r="X41" s="3296"/>
    </row>
    <row r="42" spans="1:24" ht="14.15" customHeight="1" x14ac:dyDescent="0.3">
      <c r="A42" s="2077"/>
      <c r="B42" s="86"/>
      <c r="C42" s="84" t="s">
        <v>190</v>
      </c>
      <c r="D42" s="1909" t="s">
        <v>3277</v>
      </c>
      <c r="E42" s="1909"/>
      <c r="F42" s="2108"/>
      <c r="G42" s="196"/>
      <c r="H42" s="196"/>
      <c r="I42" s="196"/>
      <c r="J42" s="2108"/>
      <c r="K42" s="2108"/>
      <c r="L42" s="2108"/>
      <c r="M42" s="2108">
        <v>39164</v>
      </c>
      <c r="N42" s="2103">
        <v>0</v>
      </c>
      <c r="O42" s="2091"/>
      <c r="P42" s="2092"/>
      <c r="Q42" s="2102">
        <f>N42+O42-P42</f>
        <v>0</v>
      </c>
      <c r="S42" s="3081">
        <f>W42+O42</f>
        <v>0</v>
      </c>
      <c r="T42" s="3081">
        <f>X42+P42</f>
        <v>0</v>
      </c>
      <c r="U42" s="3096">
        <f t="shared" ref="U42:U43" si="12">S42-T42</f>
        <v>0</v>
      </c>
      <c r="W42" s="3293"/>
      <c r="X42" s="3296"/>
    </row>
    <row r="43" spans="1:24" ht="14.15" customHeight="1" x14ac:dyDescent="0.3">
      <c r="A43" s="2077"/>
      <c r="B43" s="86"/>
      <c r="C43" s="84" t="s">
        <v>190</v>
      </c>
      <c r="D43" s="2094" t="s">
        <v>3329</v>
      </c>
      <c r="E43" s="1909"/>
      <c r="F43" s="2108"/>
      <c r="G43" s="196"/>
      <c r="H43" s="196"/>
      <c r="I43" s="2185" t="s">
        <v>3278</v>
      </c>
      <c r="J43" s="2108"/>
      <c r="K43" s="2108"/>
      <c r="L43" s="2108"/>
      <c r="M43" s="2087">
        <v>39919</v>
      </c>
      <c r="N43" s="2109">
        <v>0</v>
      </c>
      <c r="O43" s="2107">
        <v>0</v>
      </c>
      <c r="P43" s="2107">
        <v>0</v>
      </c>
      <c r="Q43" s="2104">
        <f>N43+O43-P43</f>
        <v>0</v>
      </c>
      <c r="S43" s="3276">
        <f>W43+O43</f>
        <v>0</v>
      </c>
      <c r="T43" s="3276">
        <f>X43+P43</f>
        <v>0</v>
      </c>
      <c r="U43" s="3278">
        <f t="shared" si="12"/>
        <v>0</v>
      </c>
      <c r="W43" s="3299"/>
      <c r="X43" s="3298"/>
    </row>
    <row r="44" spans="1:24" ht="14.15" customHeight="1" x14ac:dyDescent="0.3">
      <c r="A44" s="2077"/>
      <c r="B44" s="86"/>
      <c r="E44" s="196"/>
      <c r="F44" s="196"/>
      <c r="G44" s="196"/>
      <c r="H44" s="196"/>
      <c r="I44" s="196"/>
      <c r="J44" s="196"/>
      <c r="K44" s="196"/>
      <c r="L44" s="196"/>
      <c r="M44" s="196"/>
      <c r="N44" s="2091">
        <f>SUM(N42:N43)</f>
        <v>0</v>
      </c>
      <c r="O44" s="2091">
        <f>SUM(O42:O43)</f>
        <v>0</v>
      </c>
      <c r="P44" s="2091">
        <f>SUM(P42:P43)</f>
        <v>0</v>
      </c>
      <c r="Q44" s="2099">
        <f>SUM(Q42:Q43)</f>
        <v>0</v>
      </c>
      <c r="S44" s="2091">
        <f>SUM(S42:S43)</f>
        <v>0</v>
      </c>
      <c r="T44" s="2091">
        <f>SUM(T42:T43)</f>
        <v>0</v>
      </c>
      <c r="U44" s="2091">
        <f>SUM(U42:U43)</f>
        <v>0</v>
      </c>
      <c r="W44" s="2091">
        <f>SUM(W42:W43)</f>
        <v>0</v>
      </c>
      <c r="X44" s="2091">
        <f>SUM(X42:X43)</f>
        <v>0</v>
      </c>
    </row>
    <row r="45" spans="1:24" ht="14.15" customHeight="1" thickBot="1" x14ac:dyDescent="0.35">
      <c r="A45" s="2077"/>
      <c r="B45" s="86"/>
      <c r="E45" s="196"/>
      <c r="F45" s="196"/>
      <c r="G45" s="196"/>
      <c r="H45" s="196"/>
      <c r="I45" s="196"/>
      <c r="J45" s="196"/>
      <c r="K45" s="196"/>
      <c r="L45" s="196"/>
      <c r="M45" s="196"/>
      <c r="N45" s="2090"/>
      <c r="O45" s="2091"/>
      <c r="P45" s="2092"/>
      <c r="Q45" s="2099"/>
      <c r="S45" s="3077"/>
      <c r="T45" s="3079"/>
      <c r="U45" s="3072"/>
      <c r="W45" s="3293"/>
      <c r="X45" s="3296"/>
    </row>
    <row r="46" spans="1:24" ht="14.15" customHeight="1" thickBot="1" x14ac:dyDescent="0.35">
      <c r="A46" s="2110"/>
      <c r="B46" s="2111" t="s">
        <v>3279</v>
      </c>
      <c r="C46" s="2112"/>
      <c r="D46" s="2113"/>
      <c r="E46" s="2114"/>
      <c r="F46" s="2114"/>
      <c r="G46" s="2114"/>
      <c r="H46" s="2114"/>
      <c r="I46" s="2114"/>
      <c r="J46" s="2114"/>
      <c r="K46" s="2114"/>
      <c r="L46" s="2114"/>
      <c r="M46" s="2114"/>
      <c r="N46" s="2115">
        <f t="shared" ref="N46:U46" si="13">N44+N40+N34+N19</f>
        <v>351222700</v>
      </c>
      <c r="O46" s="2115">
        <f t="shared" si="13"/>
        <v>500000</v>
      </c>
      <c r="P46" s="2115">
        <f t="shared" si="13"/>
        <v>14078200</v>
      </c>
      <c r="Q46" s="2116">
        <f t="shared" si="13"/>
        <v>337644500</v>
      </c>
      <c r="S46" s="3088">
        <f>S44+S40+S34+S19</f>
        <v>638239400</v>
      </c>
      <c r="T46" s="2115">
        <f t="shared" si="13"/>
        <v>302744200</v>
      </c>
      <c r="U46" s="3089">
        <f t="shared" si="13"/>
        <v>265495200</v>
      </c>
      <c r="W46" s="3088">
        <f>W44+W40+W34+W19+W24</f>
        <v>707239400</v>
      </c>
      <c r="X46" s="3088">
        <f>X44+X40+X34+X19+X24</f>
        <v>289166000</v>
      </c>
    </row>
    <row r="47" spans="1:24" s="50" customFormat="1" ht="14.15" customHeight="1" x14ac:dyDescent="0.3">
      <c r="A47" s="2117">
        <v>2</v>
      </c>
      <c r="B47" s="2118" t="s">
        <v>3280</v>
      </c>
      <c r="C47" s="2118"/>
      <c r="D47" s="2119"/>
      <c r="E47" s="2120"/>
      <c r="F47" s="2120"/>
      <c r="G47" s="2120"/>
      <c r="H47" s="2120"/>
      <c r="I47" s="2120"/>
      <c r="J47" s="2120"/>
      <c r="K47" s="2120"/>
      <c r="L47" s="2120"/>
      <c r="M47" s="2120"/>
      <c r="N47" s="2121"/>
      <c r="O47" s="2122"/>
      <c r="P47" s="2123"/>
      <c r="Q47" s="2124"/>
      <c r="S47" s="3075"/>
      <c r="T47" s="3076"/>
      <c r="U47" s="3070"/>
      <c r="V47" s="2076"/>
      <c r="W47" s="3291"/>
      <c r="X47" s="3292"/>
    </row>
    <row r="48" spans="1:24" ht="14.15" customHeight="1" x14ac:dyDescent="0.3">
      <c r="A48" s="2077"/>
      <c r="B48" s="179">
        <v>1</v>
      </c>
      <c r="C48" s="43" t="s">
        <v>3281</v>
      </c>
      <c r="E48" s="196"/>
      <c r="F48" s="196"/>
      <c r="G48" s="196"/>
      <c r="H48" s="196"/>
      <c r="I48" s="196"/>
      <c r="J48" s="196"/>
      <c r="K48" s="196"/>
      <c r="L48" s="196"/>
      <c r="M48" s="196"/>
      <c r="N48" s="2090"/>
      <c r="O48" s="2091"/>
      <c r="P48" s="2092"/>
      <c r="Q48" s="2093"/>
      <c r="S48" s="3077"/>
      <c r="T48" s="3079"/>
      <c r="U48" s="3072"/>
      <c r="W48" s="3293"/>
      <c r="X48" s="3296"/>
    </row>
    <row r="49" spans="1:24" ht="14.15" customHeight="1" x14ac:dyDescent="0.3">
      <c r="A49" s="2077"/>
      <c r="B49" s="179"/>
      <c r="C49" s="84" t="s">
        <v>190</v>
      </c>
      <c r="D49" s="43" t="s">
        <v>3292</v>
      </c>
      <c r="E49" s="196"/>
      <c r="F49" s="196"/>
      <c r="G49" s="196"/>
      <c r="H49" s="196"/>
      <c r="I49" s="196"/>
      <c r="J49" s="196"/>
      <c r="K49" s="196"/>
      <c r="L49" s="196"/>
      <c r="M49" s="196"/>
      <c r="N49" s="2125">
        <v>0</v>
      </c>
      <c r="O49" s="2107"/>
      <c r="P49" s="2107"/>
      <c r="Q49" s="2186">
        <f>N49+O49-P49</f>
        <v>0</v>
      </c>
      <c r="S49" s="3276">
        <f>W49+O49</f>
        <v>0</v>
      </c>
      <c r="T49" s="3276">
        <f>X49+P49</f>
        <v>0</v>
      </c>
      <c r="U49" s="3278">
        <f t="shared" ref="U49" si="14">S49-T49</f>
        <v>0</v>
      </c>
      <c r="W49" s="3299"/>
      <c r="X49" s="3298"/>
    </row>
    <row r="50" spans="1:24" ht="14.15" customHeight="1" x14ac:dyDescent="0.3">
      <c r="A50" s="2077"/>
      <c r="B50" s="179"/>
      <c r="C50" s="84"/>
      <c r="E50" s="196"/>
      <c r="F50" s="196"/>
      <c r="G50" s="196"/>
      <c r="H50" s="196"/>
      <c r="I50" s="196"/>
      <c r="J50" s="196"/>
      <c r="K50" s="196"/>
      <c r="L50" s="196"/>
      <c r="M50" s="196"/>
      <c r="N50" s="2098">
        <v>0</v>
      </c>
      <c r="O50" s="2091">
        <f>SUM(O49)</f>
        <v>0</v>
      </c>
      <c r="P50" s="2091">
        <f>SUM(P49)</f>
        <v>0</v>
      </c>
      <c r="Q50" s="2099">
        <f>SUM(Q49)</f>
        <v>0</v>
      </c>
      <c r="S50" s="3077"/>
      <c r="T50" s="3079"/>
      <c r="U50" s="3072"/>
      <c r="W50" s="3293"/>
      <c r="X50" s="3296"/>
    </row>
    <row r="51" spans="1:24" ht="14.15" customHeight="1" x14ac:dyDescent="0.3">
      <c r="A51" s="2077"/>
      <c r="B51" s="179">
        <v>1</v>
      </c>
      <c r="C51" s="43" t="s">
        <v>3282</v>
      </c>
      <c r="E51" s="196"/>
      <c r="F51" s="196"/>
      <c r="G51" s="196"/>
      <c r="H51" s="196"/>
      <c r="I51" s="196"/>
      <c r="J51" s="196"/>
      <c r="K51" s="196"/>
      <c r="L51" s="196"/>
      <c r="M51" s="196"/>
      <c r="N51" s="2090"/>
      <c r="O51" s="2091"/>
      <c r="P51" s="2092"/>
      <c r="Q51" s="2093"/>
      <c r="S51" s="3077"/>
      <c r="T51" s="3079"/>
      <c r="U51" s="3072"/>
      <c r="W51" s="3293"/>
      <c r="X51" s="3296"/>
    </row>
    <row r="52" spans="1:24" ht="14.15" customHeight="1" x14ac:dyDescent="0.3">
      <c r="A52" s="2077"/>
      <c r="B52" s="179"/>
      <c r="C52" s="84" t="s">
        <v>190</v>
      </c>
      <c r="D52" s="43" t="s">
        <v>7681</v>
      </c>
      <c r="E52" s="196"/>
      <c r="F52" s="196"/>
      <c r="G52" s="196"/>
      <c r="H52" s="196"/>
      <c r="I52" s="196"/>
      <c r="J52" s="196"/>
      <c r="K52" s="196"/>
      <c r="L52" s="196"/>
      <c r="M52" s="196"/>
      <c r="N52" s="2126">
        <v>0</v>
      </c>
      <c r="O52" s="2092">
        <v>0</v>
      </c>
      <c r="P52" s="2096">
        <v>0</v>
      </c>
      <c r="Q52" s="2102">
        <f t="shared" ref="Q52:Q58" si="15">N52+O52-P52</f>
        <v>0</v>
      </c>
      <c r="S52" s="3080">
        <f>W52+O52</f>
        <v>1872200000</v>
      </c>
      <c r="T52" s="3076">
        <f>X52+P52</f>
        <v>1872200000</v>
      </c>
      <c r="U52" s="3098">
        <f>S52-T52</f>
        <v>0</v>
      </c>
      <c r="W52" s="3293">
        <v>1872200000</v>
      </c>
      <c r="X52" s="3293">
        <v>1872200000</v>
      </c>
    </row>
    <row r="53" spans="1:24" ht="14.15" customHeight="1" x14ac:dyDescent="0.3">
      <c r="A53" s="2077"/>
      <c r="B53" s="179"/>
      <c r="C53" s="84" t="s">
        <v>190</v>
      </c>
      <c r="D53" s="43" t="s">
        <v>3253</v>
      </c>
      <c r="E53" s="196"/>
      <c r="F53" s="196"/>
      <c r="G53" s="196"/>
      <c r="H53" s="196"/>
      <c r="I53" s="196"/>
      <c r="J53" s="196"/>
      <c r="K53" s="196"/>
      <c r="L53" s="196"/>
      <c r="M53" s="196"/>
      <c r="N53" s="2126">
        <v>0</v>
      </c>
      <c r="O53" s="2092"/>
      <c r="P53" s="2096"/>
      <c r="Q53" s="2102">
        <f t="shared" si="15"/>
        <v>0</v>
      </c>
      <c r="S53" s="3080">
        <f t="shared" ref="S53:S58" si="16">W53+O53</f>
        <v>0</v>
      </c>
      <c r="T53" s="3076">
        <f t="shared" ref="T53:T58" si="17">X53+P53</f>
        <v>0</v>
      </c>
      <c r="U53" s="3098">
        <f t="shared" ref="U53:U58" si="18">S53-T53</f>
        <v>0</v>
      </c>
      <c r="W53" s="3293">
        <v>0</v>
      </c>
      <c r="X53" s="3296">
        <v>0</v>
      </c>
    </row>
    <row r="54" spans="1:24" ht="14.15" customHeight="1" x14ac:dyDescent="0.3">
      <c r="A54" s="2077"/>
      <c r="B54" s="179"/>
      <c r="C54" s="84" t="s">
        <v>190</v>
      </c>
      <c r="D54" s="43" t="s">
        <v>3254</v>
      </c>
      <c r="E54" s="196"/>
      <c r="F54" s="196"/>
      <c r="G54" s="196"/>
      <c r="H54" s="196"/>
      <c r="I54" s="196"/>
      <c r="J54" s="196"/>
      <c r="K54" s="196"/>
      <c r="L54" s="196"/>
      <c r="M54" s="196"/>
      <c r="N54" s="2126">
        <v>0</v>
      </c>
      <c r="O54" s="2092"/>
      <c r="P54" s="2096"/>
      <c r="Q54" s="2102">
        <f t="shared" si="15"/>
        <v>0</v>
      </c>
      <c r="S54" s="3080">
        <f t="shared" si="16"/>
        <v>0</v>
      </c>
      <c r="T54" s="3076">
        <f t="shared" si="17"/>
        <v>0</v>
      </c>
      <c r="U54" s="3098">
        <f t="shared" si="18"/>
        <v>0</v>
      </c>
      <c r="W54" s="3293">
        <v>0</v>
      </c>
      <c r="X54" s="3296">
        <v>0</v>
      </c>
    </row>
    <row r="55" spans="1:24" ht="14.15" customHeight="1" x14ac:dyDescent="0.3">
      <c r="A55" s="2077"/>
      <c r="B55" s="179"/>
      <c r="C55" s="84" t="s">
        <v>190</v>
      </c>
      <c r="D55" s="43" t="s">
        <v>559</v>
      </c>
      <c r="E55" s="196"/>
      <c r="F55" s="196"/>
      <c r="G55" s="196"/>
      <c r="H55" s="196"/>
      <c r="I55" s="196"/>
      <c r="J55" s="196"/>
      <c r="K55" s="196"/>
      <c r="L55" s="196"/>
      <c r="M55" s="196"/>
      <c r="N55" s="2126">
        <v>0</v>
      </c>
      <c r="O55" s="2092"/>
      <c r="P55" s="2096"/>
      <c r="Q55" s="2102">
        <f t="shared" si="15"/>
        <v>0</v>
      </c>
      <c r="S55" s="3080">
        <f t="shared" si="16"/>
        <v>0</v>
      </c>
      <c r="T55" s="3076">
        <f t="shared" si="17"/>
        <v>0</v>
      </c>
      <c r="U55" s="3098">
        <f t="shared" si="18"/>
        <v>0</v>
      </c>
      <c r="W55" s="3293">
        <v>0</v>
      </c>
      <c r="X55" s="3296">
        <v>0</v>
      </c>
    </row>
    <row r="56" spans="1:24" ht="14.15" customHeight="1" x14ac:dyDescent="0.3">
      <c r="A56" s="2077"/>
      <c r="B56" s="179"/>
      <c r="C56" s="84" t="s">
        <v>190</v>
      </c>
      <c r="D56" s="43" t="s">
        <v>566</v>
      </c>
      <c r="E56" s="196"/>
      <c r="F56" s="196"/>
      <c r="G56" s="196"/>
      <c r="H56" s="196"/>
      <c r="I56" s="196"/>
      <c r="J56" s="196"/>
      <c r="K56" s="196"/>
      <c r="L56" s="196"/>
      <c r="M56" s="196"/>
      <c r="N56" s="2126">
        <v>0</v>
      </c>
      <c r="O56" s="2092">
        <v>0</v>
      </c>
      <c r="P56" s="2092">
        <v>0</v>
      </c>
      <c r="Q56" s="2102">
        <f t="shared" si="15"/>
        <v>0</v>
      </c>
      <c r="S56" s="3080">
        <f t="shared" si="16"/>
        <v>215150000</v>
      </c>
      <c r="T56" s="3076">
        <f t="shared" si="17"/>
        <v>215150000</v>
      </c>
      <c r="U56" s="3098">
        <f t="shared" si="18"/>
        <v>0</v>
      </c>
      <c r="W56" s="3293">
        <v>215150000</v>
      </c>
      <c r="X56" s="3296">
        <v>215150000</v>
      </c>
    </row>
    <row r="57" spans="1:24" ht="14.15" customHeight="1" x14ac:dyDescent="0.3">
      <c r="A57" s="2077"/>
      <c r="B57" s="179"/>
      <c r="C57" s="84" t="s">
        <v>190</v>
      </c>
      <c r="D57" s="43" t="s">
        <v>743</v>
      </c>
      <c r="E57" s="196"/>
      <c r="F57" s="196"/>
      <c r="G57" s="196"/>
      <c r="H57" s="196"/>
      <c r="I57" s="196"/>
      <c r="J57" s="196"/>
      <c r="K57" s="196"/>
      <c r="L57" s="196"/>
      <c r="M57" s="196"/>
      <c r="N57" s="2126">
        <v>0</v>
      </c>
      <c r="O57" s="2092">
        <v>0</v>
      </c>
      <c r="P57" s="2092">
        <v>0</v>
      </c>
      <c r="Q57" s="2102">
        <f t="shared" si="15"/>
        <v>0</v>
      </c>
      <c r="S57" s="3080">
        <f t="shared" si="16"/>
        <v>524000000</v>
      </c>
      <c r="T57" s="3076">
        <f t="shared" si="17"/>
        <v>524000000</v>
      </c>
      <c r="U57" s="3098">
        <f t="shared" si="18"/>
        <v>0</v>
      </c>
      <c r="W57" s="3293">
        <v>524000000</v>
      </c>
      <c r="X57" s="3296">
        <v>524000000</v>
      </c>
    </row>
    <row r="58" spans="1:24" ht="14.15" customHeight="1" x14ac:dyDescent="0.3">
      <c r="A58" s="2077"/>
      <c r="B58" s="179"/>
      <c r="C58" s="84" t="s">
        <v>190</v>
      </c>
      <c r="D58" s="43" t="s">
        <v>3086</v>
      </c>
      <c r="E58" s="2187" t="s">
        <v>3283</v>
      </c>
      <c r="F58" s="196"/>
      <c r="G58" s="196"/>
      <c r="H58" s="196"/>
      <c r="I58" s="196"/>
      <c r="J58" s="196"/>
      <c r="K58" s="196"/>
      <c r="L58" s="196"/>
      <c r="M58" s="196"/>
      <c r="N58" s="2127">
        <v>0</v>
      </c>
      <c r="O58" s="2107">
        <v>0</v>
      </c>
      <c r="P58" s="2128">
        <v>0</v>
      </c>
      <c r="Q58" s="2104">
        <f t="shared" si="15"/>
        <v>0</v>
      </c>
      <c r="S58" s="3080">
        <f t="shared" si="16"/>
        <v>28736544</v>
      </c>
      <c r="T58" s="3076">
        <f t="shared" si="17"/>
        <v>28736544</v>
      </c>
      <c r="U58" s="3098">
        <f t="shared" si="18"/>
        <v>0</v>
      </c>
      <c r="W58" s="3299">
        <v>28736544</v>
      </c>
      <c r="X58" s="3298">
        <v>28736544</v>
      </c>
    </row>
    <row r="59" spans="1:24" ht="14.15" customHeight="1" x14ac:dyDescent="0.3">
      <c r="A59" s="2077"/>
      <c r="B59" s="179"/>
      <c r="C59" s="84"/>
      <c r="E59" s="196"/>
      <c r="F59" s="196"/>
      <c r="G59" s="196"/>
      <c r="H59" s="196"/>
      <c r="I59" s="196"/>
      <c r="J59" s="196"/>
      <c r="K59" s="196"/>
      <c r="L59" s="196"/>
      <c r="M59" s="196"/>
      <c r="N59" s="2099">
        <f>SUM(N52:N58)</f>
        <v>0</v>
      </c>
      <c r="O59" s="2099">
        <f>SUM(O52:O58)</f>
        <v>0</v>
      </c>
      <c r="P59" s="2099">
        <f>SUM(P52:P58)</f>
        <v>0</v>
      </c>
      <c r="Q59" s="2099">
        <f>SUM(Q52:Q58)</f>
        <v>0</v>
      </c>
      <c r="S59" s="3279">
        <f>SUM(S52:S58)</f>
        <v>2640086544</v>
      </c>
      <c r="T59" s="3280">
        <f>SUM(T52:T58)</f>
        <v>2640086544</v>
      </c>
      <c r="U59" s="3281">
        <f>SUM(U52:U58)</f>
        <v>0</v>
      </c>
      <c r="W59" s="3279">
        <f>SUM(W52:W58)</f>
        <v>2640086544</v>
      </c>
      <c r="X59" s="3279">
        <f>SUM(X52:X58)</f>
        <v>2640086544</v>
      </c>
    </row>
    <row r="60" spans="1:24" ht="6" customHeight="1" thickBot="1" x14ac:dyDescent="0.35">
      <c r="A60" s="2129"/>
      <c r="B60" s="2130"/>
      <c r="C60" s="2131"/>
      <c r="D60" s="2131"/>
      <c r="E60" s="2132"/>
      <c r="F60" s="2132"/>
      <c r="G60" s="2132"/>
      <c r="H60" s="2132"/>
      <c r="I60" s="2132"/>
      <c r="J60" s="2132"/>
      <c r="K60" s="2132"/>
      <c r="L60" s="2132"/>
      <c r="M60" s="2132"/>
      <c r="N60" s="2133"/>
      <c r="O60" s="2134"/>
      <c r="P60" s="2134"/>
      <c r="Q60" s="2135"/>
      <c r="S60" s="3282"/>
      <c r="T60" s="3283"/>
      <c r="U60" s="3284"/>
      <c r="W60" s="3282"/>
      <c r="X60" s="3282"/>
    </row>
    <row r="61" spans="1:24" ht="14.15" customHeight="1" thickBot="1" x14ac:dyDescent="0.35">
      <c r="A61" s="2110"/>
      <c r="B61" s="2111" t="s">
        <v>3284</v>
      </c>
      <c r="C61" s="2112"/>
      <c r="D61" s="2113"/>
      <c r="E61" s="2114"/>
      <c r="F61" s="2114"/>
      <c r="G61" s="2114"/>
      <c r="H61" s="2114"/>
      <c r="I61" s="2114"/>
      <c r="J61" s="2114"/>
      <c r="K61" s="2114"/>
      <c r="L61" s="2114"/>
      <c r="M61" s="2114"/>
      <c r="N61" s="2116">
        <v>0</v>
      </c>
      <c r="O61" s="2116">
        <f>O59+O50</f>
        <v>0</v>
      </c>
      <c r="P61" s="2116">
        <f>P59+P50</f>
        <v>0</v>
      </c>
      <c r="Q61" s="2116">
        <f>Q59+Q50</f>
        <v>0</v>
      </c>
      <c r="S61" s="3090">
        <f>S59+S50</f>
        <v>2640086544</v>
      </c>
      <c r="T61" s="3089">
        <f>T59+T50</f>
        <v>2640086544</v>
      </c>
      <c r="U61" s="3089">
        <f>U59+U50</f>
        <v>0</v>
      </c>
      <c r="W61" s="3090">
        <f>W59+W50</f>
        <v>2640086544</v>
      </c>
      <c r="X61" s="3090">
        <f>X59+X50</f>
        <v>2640086544</v>
      </c>
    </row>
    <row r="62" spans="1:24" ht="5.25" customHeight="1" thickBot="1" x14ac:dyDescent="0.35">
      <c r="A62" s="2077"/>
      <c r="B62" s="179"/>
      <c r="C62" s="179"/>
      <c r="E62" s="196"/>
      <c r="F62" s="196"/>
      <c r="G62" s="196"/>
      <c r="H62" s="196"/>
      <c r="I62" s="196"/>
      <c r="J62" s="196"/>
      <c r="K62" s="196"/>
      <c r="L62" s="196"/>
      <c r="M62" s="196"/>
      <c r="N62" s="2090"/>
      <c r="O62" s="2091"/>
      <c r="P62" s="2092"/>
      <c r="Q62" s="2093"/>
      <c r="S62" s="3077"/>
      <c r="T62" s="3079"/>
      <c r="U62" s="3072"/>
      <c r="W62" s="3077"/>
      <c r="X62" s="3077"/>
    </row>
    <row r="63" spans="1:24" ht="14.15" customHeight="1" thickBot="1" x14ac:dyDescent="0.35">
      <c r="A63" s="3869" t="s">
        <v>3285</v>
      </c>
      <c r="B63" s="3866"/>
      <c r="C63" s="3866"/>
      <c r="D63" s="3866"/>
      <c r="E63" s="3866"/>
      <c r="F63" s="3866"/>
      <c r="G63" s="3866"/>
      <c r="H63" s="3866"/>
      <c r="I63" s="3866"/>
      <c r="J63" s="3866"/>
      <c r="K63" s="3866"/>
      <c r="L63" s="3866"/>
      <c r="M63" s="3866"/>
      <c r="N63" s="2136">
        <f>N61+N46</f>
        <v>351222700</v>
      </c>
      <c r="O63" s="2136">
        <f>O61+O46</f>
        <v>500000</v>
      </c>
      <c r="P63" s="2136">
        <f>P61+P46</f>
        <v>14078200</v>
      </c>
      <c r="Q63" s="2136">
        <f>Q61+Q46</f>
        <v>337644500</v>
      </c>
      <c r="S63" s="3091">
        <f>S61+S46</f>
        <v>3278325944</v>
      </c>
      <c r="T63" s="3092">
        <f>T61+T46</f>
        <v>2942830744</v>
      </c>
      <c r="U63" s="3092">
        <f>U61+U46</f>
        <v>265495200</v>
      </c>
      <c r="W63" s="3091">
        <f>W61+W46</f>
        <v>3347325944</v>
      </c>
      <c r="X63" s="3091">
        <f>X61+X46</f>
        <v>2929252544</v>
      </c>
    </row>
    <row r="64" spans="1:24" ht="14.15" customHeight="1" x14ac:dyDescent="0.35">
      <c r="A64" s="2072">
        <v>2</v>
      </c>
      <c r="B64" s="50" t="s">
        <v>3286</v>
      </c>
      <c r="C64" s="50"/>
      <c r="E64" s="196"/>
      <c r="F64" s="196"/>
      <c r="G64" s="196"/>
      <c r="H64" s="196"/>
      <c r="I64" s="196"/>
      <c r="J64" s="196"/>
      <c r="K64" s="196"/>
      <c r="L64" s="196"/>
      <c r="M64" s="196"/>
      <c r="N64" s="2137"/>
      <c r="O64" s="2079"/>
      <c r="P64" s="2079"/>
      <c r="Q64" s="2138"/>
      <c r="S64" s="3077"/>
      <c r="T64" s="3079"/>
      <c r="U64" s="3072"/>
      <c r="W64" s="3293"/>
      <c r="X64" s="3296"/>
    </row>
    <row r="65" spans="1:24" ht="14.15" customHeight="1" x14ac:dyDescent="0.3">
      <c r="A65" s="2077"/>
      <c r="B65" s="179"/>
      <c r="C65" s="84" t="s">
        <v>190</v>
      </c>
      <c r="D65" s="2094" t="s">
        <v>3252</v>
      </c>
      <c r="E65" s="196"/>
      <c r="F65" s="196"/>
      <c r="G65" s="196"/>
      <c r="H65" s="196"/>
      <c r="I65" s="2185"/>
      <c r="K65" s="196"/>
      <c r="L65" s="196"/>
      <c r="M65" s="196"/>
      <c r="N65" s="2095">
        <v>3078093087</v>
      </c>
      <c r="O65" s="2079">
        <v>0</v>
      </c>
      <c r="P65" s="2080">
        <v>0</v>
      </c>
      <c r="Q65" s="2102">
        <f>N65+O65-P65</f>
        <v>3078093087</v>
      </c>
      <c r="S65" s="3077"/>
      <c r="T65" s="3079"/>
      <c r="U65" s="3072"/>
      <c r="W65" s="3293"/>
      <c r="X65" s="3296"/>
    </row>
    <row r="66" spans="1:24" ht="14.15" customHeight="1" x14ac:dyDescent="0.3">
      <c r="A66" s="2077"/>
      <c r="B66" s="179"/>
      <c r="C66" s="84" t="s">
        <v>190</v>
      </c>
      <c r="D66" s="2248" t="s">
        <v>3255</v>
      </c>
      <c r="E66" s="2249"/>
      <c r="F66" s="2249"/>
      <c r="G66" s="2249"/>
      <c r="H66" s="2249"/>
      <c r="I66" s="2250"/>
      <c r="J66" s="2251"/>
      <c r="K66" s="2249"/>
      <c r="L66" s="2249"/>
      <c r="M66" s="2249"/>
      <c r="N66" s="2252">
        <v>3359970000</v>
      </c>
      <c r="O66" s="2253"/>
      <c r="P66" s="2254"/>
      <c r="Q66" s="2255">
        <f>N66+O66-P66</f>
        <v>3359970000</v>
      </c>
      <c r="S66" s="3077"/>
      <c r="T66" s="3079"/>
      <c r="U66" s="3072"/>
      <c r="W66" s="3293"/>
      <c r="X66" s="3296"/>
    </row>
    <row r="67" spans="1:24" ht="14.15" customHeight="1" thickBot="1" x14ac:dyDescent="0.35">
      <c r="A67" s="2077"/>
      <c r="B67" s="179"/>
      <c r="C67" s="179"/>
      <c r="E67" s="196"/>
      <c r="F67" s="196"/>
      <c r="G67" s="196"/>
      <c r="H67" s="196"/>
      <c r="I67" s="196"/>
      <c r="J67" s="196"/>
      <c r="K67" s="196"/>
      <c r="L67" s="196"/>
      <c r="M67" s="196"/>
      <c r="N67" s="2078"/>
      <c r="O67" s="2079"/>
      <c r="P67" s="2080"/>
      <c r="Q67" s="2139"/>
      <c r="S67" s="3077"/>
      <c r="T67" s="3079"/>
      <c r="U67" s="3072"/>
      <c r="W67" s="3293"/>
      <c r="X67" s="3296"/>
    </row>
    <row r="68" spans="1:24" ht="14.15" customHeight="1" thickBot="1" x14ac:dyDescent="0.35">
      <c r="A68" s="3865" t="s">
        <v>3287</v>
      </c>
      <c r="B68" s="3866"/>
      <c r="C68" s="3866"/>
      <c r="D68" s="3866"/>
      <c r="E68" s="3866"/>
      <c r="F68" s="3866"/>
      <c r="G68" s="3866"/>
      <c r="H68" s="3866"/>
      <c r="I68" s="3866"/>
      <c r="J68" s="3866"/>
      <c r="K68" s="3866"/>
      <c r="L68" s="3866"/>
      <c r="M68" s="3866"/>
      <c r="N68" s="2140">
        <f t="shared" ref="N68:P68" si="19">SUM(N65:N67)</f>
        <v>6438063087</v>
      </c>
      <c r="O68" s="2140">
        <f t="shared" si="19"/>
        <v>0</v>
      </c>
      <c r="P68" s="2140">
        <f t="shared" si="19"/>
        <v>0</v>
      </c>
      <c r="Q68" s="2140">
        <f>SUM(Q65:Q67)</f>
        <v>6438063087</v>
      </c>
      <c r="S68" s="3077"/>
      <c r="T68" s="3079"/>
      <c r="U68" s="3072"/>
      <c r="W68" s="3293"/>
      <c r="X68" s="3296"/>
    </row>
    <row r="69" spans="1:24" ht="6.75" customHeight="1" thickBot="1" x14ac:dyDescent="0.35">
      <c r="A69" s="2188"/>
      <c r="B69" s="179"/>
      <c r="C69" s="179"/>
      <c r="E69" s="196"/>
      <c r="F69" s="196"/>
      <c r="G69" s="196"/>
      <c r="H69" s="196"/>
      <c r="I69" s="196"/>
      <c r="J69" s="196"/>
      <c r="K69" s="196"/>
      <c r="L69" s="196"/>
      <c r="M69" s="196"/>
      <c r="N69" s="2141"/>
      <c r="O69" s="2142"/>
      <c r="P69" s="2143"/>
      <c r="Q69" s="2144"/>
      <c r="S69" s="3084"/>
      <c r="T69" s="3085"/>
      <c r="U69" s="3062"/>
      <c r="W69" s="3300"/>
      <c r="X69" s="3301"/>
    </row>
    <row r="70" spans="1:24" ht="19.5" customHeight="1" thickBot="1" x14ac:dyDescent="0.35">
      <c r="A70" s="3867" t="s">
        <v>3288</v>
      </c>
      <c r="B70" s="3868"/>
      <c r="C70" s="3868"/>
      <c r="D70" s="3868"/>
      <c r="E70" s="3868"/>
      <c r="F70" s="3868"/>
      <c r="G70" s="3868"/>
      <c r="H70" s="3868"/>
      <c r="I70" s="3868"/>
      <c r="J70" s="3868"/>
      <c r="K70" s="3868"/>
      <c r="L70" s="3868"/>
      <c r="M70" s="3868"/>
      <c r="N70" s="2189">
        <f>N68+N63</f>
        <v>6789285787</v>
      </c>
      <c r="O70" s="2189">
        <f>O68+O63</f>
        <v>500000</v>
      </c>
      <c r="P70" s="2189">
        <f>P68+P63</f>
        <v>14078200</v>
      </c>
      <c r="Q70" s="2189">
        <f>Q68+Q63</f>
        <v>6775707587</v>
      </c>
      <c r="S70" s="3084"/>
      <c r="T70" s="3085"/>
      <c r="U70" s="3062"/>
      <c r="W70" s="3300"/>
      <c r="X70" s="3301"/>
    </row>
    <row r="71" spans="1:24" s="2149" customFormat="1" ht="15" customHeight="1" x14ac:dyDescent="0.3">
      <c r="A71" s="2145"/>
      <c r="B71" s="2146"/>
      <c r="C71" s="2146"/>
      <c r="D71" s="2147"/>
      <c r="E71" s="2146"/>
      <c r="F71" s="2146"/>
      <c r="G71" s="2146"/>
      <c r="H71" s="2146"/>
      <c r="I71" s="2146"/>
      <c r="J71" s="2146"/>
      <c r="K71" s="2146"/>
      <c r="L71" s="2146"/>
      <c r="M71" s="2146"/>
      <c r="N71" s="2148">
        <f>N70-NRC!G72</f>
        <v>0</v>
      </c>
      <c r="O71" s="2148"/>
      <c r="P71" s="2148"/>
      <c r="Q71" s="2148">
        <f>Q70-NRC!E72</f>
        <v>0</v>
      </c>
      <c r="W71" s="3302"/>
      <c r="X71" s="3302"/>
    </row>
    <row r="72" spans="1:24" s="393" customFormat="1" ht="15" customHeight="1" x14ac:dyDescent="0.3">
      <c r="A72" s="587"/>
      <c r="B72" s="544"/>
      <c r="C72" s="544"/>
      <c r="D72" s="2150"/>
      <c r="E72" s="588"/>
      <c r="F72" s="588"/>
      <c r="G72" s="588"/>
      <c r="H72" s="588"/>
      <c r="I72" s="588"/>
      <c r="J72" s="588"/>
      <c r="K72" s="588"/>
      <c r="L72" s="588"/>
      <c r="M72" s="588"/>
      <c r="N72" s="2151"/>
      <c r="O72" s="743"/>
      <c r="P72" s="743"/>
      <c r="Q72" s="357"/>
      <c r="T72" s="2152"/>
      <c r="U72" s="2152"/>
      <c r="V72" s="2152"/>
      <c r="W72" s="3303"/>
      <c r="X72" s="3303"/>
    </row>
    <row r="73" spans="1:24" s="2157" customFormat="1" ht="15" x14ac:dyDescent="0.35">
      <c r="A73" s="2154" t="str">
        <f>IN!C4</f>
        <v>Laporan Keuangan June 2026</v>
      </c>
      <c r="B73" s="2155"/>
      <c r="C73" s="2155"/>
      <c r="D73" s="2155"/>
      <c r="E73" s="2156"/>
      <c r="F73" s="2156"/>
      <c r="G73" s="2156"/>
      <c r="H73" s="2156"/>
      <c r="I73" s="2156"/>
      <c r="J73" s="2156"/>
      <c r="K73" s="2156"/>
      <c r="L73" s="2156"/>
      <c r="M73" s="2156"/>
      <c r="N73" s="3864" t="s">
        <v>3289</v>
      </c>
      <c r="O73" s="3864"/>
      <c r="P73" s="2156"/>
      <c r="Q73" s="2190" t="str">
        <f>IN!D4</f>
        <v>Financial Statement Jun 2026</v>
      </c>
      <c r="T73" s="2158"/>
      <c r="U73" s="2158"/>
      <c r="V73" s="2158"/>
      <c r="W73" s="3304"/>
      <c r="X73" s="3305"/>
    </row>
    <row r="74" spans="1:24" x14ac:dyDescent="0.3">
      <c r="E74" s="2159"/>
      <c r="F74" s="2159"/>
      <c r="G74" s="2159"/>
      <c r="H74" s="2159"/>
      <c r="I74" s="2159"/>
      <c r="J74" s="2159"/>
      <c r="K74" s="2159"/>
      <c r="L74" s="2159"/>
      <c r="M74" s="2159"/>
      <c r="N74" s="2160"/>
      <c r="O74" s="2159"/>
      <c r="P74" s="2159"/>
    </row>
    <row r="75" spans="1:24" x14ac:dyDescent="0.3">
      <c r="E75" s="2159"/>
      <c r="F75" s="2159"/>
      <c r="G75" s="2159"/>
      <c r="H75" s="2159"/>
      <c r="I75" s="2159"/>
      <c r="J75" s="2159"/>
      <c r="K75" s="2159"/>
      <c r="L75" s="2159"/>
      <c r="M75" s="2159"/>
      <c r="N75" s="2160"/>
      <c r="O75" s="2159"/>
      <c r="P75" s="2159"/>
    </row>
    <row r="76" spans="1:24" x14ac:dyDescent="0.3">
      <c r="E76" s="2159"/>
      <c r="F76" s="2159"/>
      <c r="G76" s="2159"/>
      <c r="H76" s="2159"/>
      <c r="I76" s="2159"/>
      <c r="J76" s="2159"/>
      <c r="K76" s="2159"/>
      <c r="L76" s="2159"/>
      <c r="M76" s="2159"/>
      <c r="N76" s="2160"/>
      <c r="O76" s="2159"/>
      <c r="P76" s="2159"/>
    </row>
    <row r="77" spans="1:24" x14ac:dyDescent="0.3">
      <c r="E77" s="2159"/>
      <c r="F77" s="2159"/>
      <c r="G77" s="2159"/>
      <c r="H77" s="2159"/>
      <c r="I77" s="2159"/>
      <c r="J77" s="2159"/>
      <c r="K77" s="2159"/>
      <c r="L77" s="2159"/>
      <c r="M77" s="2159"/>
      <c r="N77" s="2160"/>
      <c r="O77" s="2159"/>
      <c r="P77" s="2159"/>
    </row>
    <row r="78" spans="1:24" x14ac:dyDescent="0.3">
      <c r="E78" s="2159"/>
      <c r="F78" s="2159"/>
      <c r="G78" s="2159"/>
      <c r="H78" s="2159"/>
      <c r="I78" s="2159"/>
      <c r="J78" s="2159"/>
      <c r="K78" s="2159"/>
      <c r="L78" s="2159"/>
      <c r="M78" s="2159"/>
      <c r="N78" s="2159"/>
      <c r="O78" s="2159"/>
      <c r="P78" s="2159"/>
    </row>
    <row r="79" spans="1:24" x14ac:dyDescent="0.3">
      <c r="E79" s="2159"/>
      <c r="F79" s="2159"/>
      <c r="G79" s="2159"/>
      <c r="H79" s="2159"/>
      <c r="I79" s="2159"/>
      <c r="J79" s="2159"/>
      <c r="K79" s="2159"/>
      <c r="L79" s="2159"/>
      <c r="M79" s="2159"/>
      <c r="N79" s="2159"/>
      <c r="O79" s="2159"/>
      <c r="P79" s="2159"/>
    </row>
    <row r="80" spans="1:24" x14ac:dyDescent="0.3">
      <c r="E80" s="2159"/>
      <c r="F80" s="2159"/>
      <c r="G80" s="2159"/>
      <c r="H80" s="2159"/>
      <c r="I80" s="2159"/>
      <c r="J80" s="2159"/>
      <c r="K80" s="2159"/>
      <c r="L80" s="2159"/>
      <c r="M80" s="2159"/>
      <c r="N80" s="2159"/>
      <c r="O80" s="2159"/>
      <c r="P80" s="2159"/>
    </row>
    <row r="81" spans="5:16" x14ac:dyDescent="0.3">
      <c r="E81" s="2159"/>
      <c r="F81" s="2159"/>
      <c r="G81" s="2159"/>
      <c r="H81" s="2159"/>
      <c r="I81" s="2159"/>
      <c r="J81" s="2159"/>
      <c r="K81" s="2159"/>
      <c r="L81" s="2159"/>
      <c r="M81" s="2159"/>
      <c r="N81" s="2159"/>
      <c r="O81" s="2159"/>
      <c r="P81" s="2159"/>
    </row>
    <row r="82" spans="5:16" x14ac:dyDescent="0.3">
      <c r="E82" s="2159"/>
      <c r="F82" s="2159"/>
      <c r="G82" s="2159"/>
      <c r="H82" s="2159"/>
      <c r="I82" s="2159"/>
      <c r="J82" s="2159"/>
      <c r="K82" s="2159"/>
      <c r="L82" s="2159"/>
      <c r="M82" s="2159"/>
      <c r="N82" s="2159"/>
      <c r="O82" s="2159"/>
      <c r="P82" s="2159"/>
    </row>
    <row r="83" spans="5:16" x14ac:dyDescent="0.3">
      <c r="E83" s="2159"/>
      <c r="F83" s="2159"/>
      <c r="G83" s="2159"/>
      <c r="H83" s="2159"/>
      <c r="I83" s="2159"/>
      <c r="J83" s="2159"/>
      <c r="K83" s="2159"/>
      <c r="L83" s="2159"/>
      <c r="M83" s="2159"/>
      <c r="N83" s="2159"/>
      <c r="O83" s="2159"/>
      <c r="P83" s="2159"/>
    </row>
    <row r="84" spans="5:16" x14ac:dyDescent="0.3">
      <c r="E84" s="2159"/>
      <c r="F84" s="2159"/>
      <c r="G84" s="2159"/>
      <c r="H84" s="2159"/>
      <c r="I84" s="2159"/>
      <c r="J84" s="2159"/>
      <c r="K84" s="2159"/>
      <c r="L84" s="2159"/>
      <c r="M84" s="2159"/>
      <c r="N84" s="2159"/>
      <c r="O84" s="2159"/>
      <c r="P84" s="2159"/>
    </row>
    <row r="85" spans="5:16" x14ac:dyDescent="0.3">
      <c r="E85" s="2159"/>
      <c r="F85" s="2159"/>
      <c r="G85" s="2159"/>
      <c r="H85" s="2159"/>
      <c r="I85" s="2159"/>
      <c r="J85" s="2159"/>
      <c r="K85" s="2159"/>
      <c r="L85" s="2159"/>
      <c r="M85" s="2159"/>
      <c r="N85" s="2159"/>
      <c r="O85" s="2159"/>
      <c r="P85" s="2159"/>
    </row>
    <row r="86" spans="5:16" x14ac:dyDescent="0.3">
      <c r="E86" s="2159"/>
      <c r="F86" s="2159"/>
      <c r="G86" s="2159"/>
      <c r="H86" s="2159"/>
      <c r="I86" s="2159"/>
      <c r="J86" s="2159"/>
      <c r="K86" s="2159"/>
      <c r="L86" s="2159"/>
      <c r="M86" s="2159"/>
      <c r="N86" s="2159"/>
      <c r="O86" s="2159"/>
      <c r="P86" s="2159"/>
    </row>
    <row r="87" spans="5:16" x14ac:dyDescent="0.3">
      <c r="E87" s="2159"/>
      <c r="F87" s="2159"/>
      <c r="G87" s="2159"/>
      <c r="H87" s="2159"/>
      <c r="I87" s="2159"/>
      <c r="J87" s="2159"/>
      <c r="K87" s="2159"/>
      <c r="L87" s="2159"/>
      <c r="M87" s="2159"/>
      <c r="N87" s="2159"/>
      <c r="O87" s="2159"/>
      <c r="P87" s="2159"/>
    </row>
    <row r="88" spans="5:16" x14ac:dyDescent="0.3">
      <c r="E88" s="2159"/>
      <c r="F88" s="2159"/>
      <c r="G88" s="2159"/>
      <c r="H88" s="2159"/>
      <c r="I88" s="2159"/>
      <c r="J88" s="2159"/>
      <c r="K88" s="2159"/>
      <c r="L88" s="2159"/>
      <c r="M88" s="2159"/>
      <c r="N88" s="2159"/>
      <c r="O88" s="2159"/>
      <c r="P88" s="2159"/>
    </row>
    <row r="89" spans="5:16" x14ac:dyDescent="0.3">
      <c r="E89" s="2159"/>
      <c r="F89" s="2159"/>
      <c r="G89" s="2159"/>
      <c r="H89" s="2159"/>
      <c r="I89" s="2159"/>
      <c r="J89" s="2159"/>
      <c r="K89" s="2159"/>
      <c r="L89" s="2159"/>
      <c r="M89" s="2159"/>
      <c r="N89" s="2159"/>
      <c r="O89" s="2159"/>
      <c r="P89" s="2159"/>
    </row>
    <row r="90" spans="5:16" x14ac:dyDescent="0.3">
      <c r="E90" s="2159"/>
      <c r="F90" s="2159"/>
      <c r="G90" s="2159"/>
      <c r="H90" s="2159"/>
      <c r="I90" s="2159"/>
      <c r="J90" s="2159"/>
      <c r="K90" s="2159"/>
      <c r="L90" s="2159"/>
      <c r="M90" s="2159"/>
      <c r="N90" s="2159"/>
      <c r="O90" s="2159"/>
      <c r="P90" s="2159"/>
    </row>
    <row r="91" spans="5:16" x14ac:dyDescent="0.3">
      <c r="E91" s="2159"/>
      <c r="F91" s="2159"/>
      <c r="G91" s="2159"/>
      <c r="H91" s="2159"/>
      <c r="I91" s="2159"/>
      <c r="J91" s="2159"/>
      <c r="K91" s="2159"/>
      <c r="L91" s="2159"/>
      <c r="M91" s="2159"/>
      <c r="N91" s="2159"/>
      <c r="O91" s="2159"/>
      <c r="P91" s="2159"/>
    </row>
    <row r="92" spans="5:16" x14ac:dyDescent="0.3">
      <c r="E92" s="2159"/>
      <c r="F92" s="2159"/>
      <c r="G92" s="2159"/>
      <c r="H92" s="2159"/>
      <c r="I92" s="2159"/>
      <c r="J92" s="2159"/>
      <c r="K92" s="2159"/>
      <c r="L92" s="2159"/>
      <c r="M92" s="2159"/>
      <c r="N92" s="2159"/>
      <c r="O92" s="2159"/>
      <c r="P92" s="2159"/>
    </row>
    <row r="93" spans="5:16" x14ac:dyDescent="0.3">
      <c r="E93" s="2159"/>
      <c r="F93" s="2159"/>
      <c r="G93" s="2159"/>
      <c r="H93" s="2159"/>
      <c r="I93" s="2159"/>
      <c r="J93" s="2159"/>
      <c r="K93" s="2159"/>
      <c r="L93" s="2159"/>
      <c r="M93" s="2159"/>
      <c r="N93" s="2159"/>
      <c r="O93" s="2159"/>
      <c r="P93" s="2159"/>
    </row>
    <row r="94" spans="5:16" x14ac:dyDescent="0.3">
      <c r="E94" s="2159"/>
      <c r="F94" s="2159"/>
      <c r="G94" s="2159"/>
      <c r="H94" s="2159"/>
      <c r="I94" s="2159"/>
      <c r="J94" s="2159"/>
      <c r="K94" s="2159"/>
      <c r="L94" s="2159"/>
      <c r="M94" s="2159"/>
      <c r="N94" s="2159"/>
      <c r="O94" s="2159"/>
      <c r="P94" s="2159"/>
    </row>
    <row r="95" spans="5:16" x14ac:dyDescent="0.3">
      <c r="E95" s="2159"/>
      <c r="F95" s="2159"/>
      <c r="G95" s="2159"/>
      <c r="H95" s="2159"/>
      <c r="I95" s="2159"/>
      <c r="J95" s="2159"/>
      <c r="K95" s="2159"/>
      <c r="L95" s="2159"/>
      <c r="M95" s="2159"/>
      <c r="N95" s="2159"/>
      <c r="O95" s="2159"/>
      <c r="P95" s="2159"/>
    </row>
    <row r="96" spans="5:16" x14ac:dyDescent="0.3">
      <c r="E96" s="2159"/>
      <c r="F96" s="2159"/>
      <c r="G96" s="2159"/>
      <c r="H96" s="2159"/>
      <c r="I96" s="2159"/>
      <c r="J96" s="2159"/>
      <c r="K96" s="2159"/>
      <c r="L96" s="2159"/>
      <c r="M96" s="2159"/>
      <c r="N96" s="2159"/>
      <c r="O96" s="2159"/>
      <c r="P96" s="2159"/>
    </row>
    <row r="97" spans="5:16" x14ac:dyDescent="0.3">
      <c r="E97" s="2159"/>
      <c r="F97" s="2159"/>
      <c r="G97" s="2159"/>
      <c r="H97" s="2159"/>
      <c r="I97" s="2159"/>
      <c r="J97" s="2159"/>
      <c r="K97" s="2159"/>
      <c r="L97" s="2159"/>
      <c r="M97" s="2159"/>
      <c r="N97" s="2159"/>
      <c r="O97" s="2159"/>
      <c r="P97" s="2159"/>
    </row>
    <row r="98" spans="5:16" x14ac:dyDescent="0.3">
      <c r="E98" s="2159"/>
      <c r="F98" s="2159"/>
      <c r="G98" s="2159"/>
      <c r="H98" s="2159"/>
      <c r="I98" s="2159"/>
      <c r="J98" s="2159"/>
      <c r="K98" s="2159"/>
      <c r="L98" s="2159"/>
      <c r="M98" s="2159"/>
      <c r="N98" s="2159"/>
      <c r="O98" s="2159"/>
      <c r="P98" s="2159"/>
    </row>
    <row r="99" spans="5:16" x14ac:dyDescent="0.3">
      <c r="E99" s="2159"/>
      <c r="F99" s="2159"/>
      <c r="G99" s="2159"/>
      <c r="H99" s="2159"/>
      <c r="I99" s="2159"/>
      <c r="J99" s="2159"/>
      <c r="K99" s="2159"/>
      <c r="L99" s="2159"/>
      <c r="M99" s="2159"/>
      <c r="N99" s="2159"/>
      <c r="O99" s="2159"/>
      <c r="P99" s="2159"/>
    </row>
    <row r="100" spans="5:16" x14ac:dyDescent="0.3">
      <c r="E100" s="2159"/>
      <c r="F100" s="2159"/>
      <c r="G100" s="2159"/>
      <c r="H100" s="2159"/>
      <c r="I100" s="2159"/>
      <c r="J100" s="2159"/>
      <c r="K100" s="2159"/>
      <c r="L100" s="2159"/>
      <c r="M100" s="2159"/>
      <c r="N100" s="2159"/>
      <c r="O100" s="2159"/>
      <c r="P100" s="2159"/>
    </row>
    <row r="101" spans="5:16" x14ac:dyDescent="0.3">
      <c r="E101" s="2159"/>
      <c r="F101" s="2159"/>
      <c r="G101" s="2159"/>
      <c r="H101" s="2159"/>
      <c r="I101" s="2159"/>
      <c r="J101" s="2159"/>
      <c r="K101" s="2159"/>
      <c r="L101" s="2159"/>
      <c r="M101" s="2159"/>
      <c r="N101" s="2159"/>
      <c r="O101" s="2159"/>
      <c r="P101" s="2159"/>
    </row>
    <row r="102" spans="5:16" x14ac:dyDescent="0.3">
      <c r="E102" s="2159"/>
      <c r="F102" s="2159"/>
      <c r="G102" s="2159"/>
      <c r="H102" s="2159"/>
      <c r="I102" s="2159"/>
      <c r="J102" s="2159"/>
      <c r="K102" s="2159"/>
      <c r="L102" s="2159"/>
      <c r="M102" s="2159"/>
      <c r="N102" s="2159"/>
      <c r="O102" s="2159"/>
      <c r="P102" s="2159"/>
    </row>
    <row r="103" spans="5:16" x14ac:dyDescent="0.3">
      <c r="E103" s="2159"/>
      <c r="F103" s="2159"/>
      <c r="G103" s="2159"/>
      <c r="H103" s="2159"/>
      <c r="I103" s="2159"/>
      <c r="J103" s="2159"/>
      <c r="K103" s="2159"/>
      <c r="L103" s="2159"/>
      <c r="M103" s="2159"/>
      <c r="N103" s="2159"/>
      <c r="O103" s="2159"/>
      <c r="P103" s="2159"/>
    </row>
    <row r="104" spans="5:16" x14ac:dyDescent="0.3">
      <c r="E104" s="2159"/>
      <c r="F104" s="2159"/>
      <c r="G104" s="2159"/>
      <c r="H104" s="2159"/>
      <c r="I104" s="2159"/>
      <c r="J104" s="2159"/>
      <c r="K104" s="2159"/>
      <c r="L104" s="2159"/>
      <c r="M104" s="2159"/>
      <c r="N104" s="2159"/>
      <c r="O104" s="2159"/>
      <c r="P104" s="2159"/>
    </row>
    <row r="105" spans="5:16" x14ac:dyDescent="0.3">
      <c r="E105" s="2159"/>
      <c r="F105" s="2159"/>
      <c r="G105" s="2159"/>
      <c r="H105" s="2159"/>
      <c r="I105" s="2159"/>
      <c r="J105" s="2159"/>
      <c r="K105" s="2159"/>
      <c r="L105" s="2159"/>
      <c r="M105" s="2159"/>
      <c r="N105" s="2159"/>
      <c r="O105" s="2159"/>
      <c r="P105" s="2159"/>
    </row>
    <row r="106" spans="5:16" x14ac:dyDescent="0.3">
      <c r="E106" s="2159"/>
      <c r="F106" s="2159"/>
      <c r="G106" s="2159"/>
      <c r="H106" s="2159"/>
      <c r="I106" s="2159"/>
      <c r="J106" s="2159"/>
      <c r="K106" s="2159"/>
      <c r="L106" s="2159"/>
      <c r="M106" s="2159"/>
      <c r="N106" s="2159"/>
      <c r="O106" s="2159"/>
      <c r="P106" s="2159"/>
    </row>
    <row r="107" spans="5:16" x14ac:dyDescent="0.3">
      <c r="E107" s="2159"/>
      <c r="F107" s="2159"/>
      <c r="G107" s="2159"/>
      <c r="H107" s="2159"/>
      <c r="I107" s="2159"/>
      <c r="J107" s="2159"/>
      <c r="K107" s="2159"/>
      <c r="L107" s="2159"/>
      <c r="M107" s="2159"/>
      <c r="N107" s="2159"/>
      <c r="O107" s="2159"/>
      <c r="P107" s="2159"/>
    </row>
  </sheetData>
  <mergeCells count="13">
    <mergeCell ref="A1:Q1"/>
    <mergeCell ref="A3:Q3"/>
    <mergeCell ref="A5:D5"/>
    <mergeCell ref="P5:Q5"/>
    <mergeCell ref="B9:M12"/>
    <mergeCell ref="S9:U9"/>
    <mergeCell ref="S10:U10"/>
    <mergeCell ref="W11:X11"/>
    <mergeCell ref="N73:O73"/>
    <mergeCell ref="A68:M68"/>
    <mergeCell ref="A70:M70"/>
    <mergeCell ref="A63:M63"/>
    <mergeCell ref="U11:U12"/>
  </mergeCell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R91"/>
  <sheetViews>
    <sheetView topLeftCell="A49" workbookViewId="0">
      <selection activeCell="D15" sqref="D15:D68"/>
    </sheetView>
  </sheetViews>
  <sheetFormatPr defaultColWidth="9.1796875" defaultRowHeight="13" outlineLevelRow="1" x14ac:dyDescent="0.3"/>
  <cols>
    <col min="1" max="1" width="3.453125" style="43" customWidth="1"/>
    <col min="2" max="2" width="1.26953125" style="43" customWidth="1"/>
    <col min="3" max="3" width="27.26953125" style="43" customWidth="1"/>
    <col min="4" max="4" width="17.54296875" style="388" customWidth="1"/>
    <col min="5" max="5" width="3" style="208" customWidth="1"/>
    <col min="6" max="6" width="7.26953125" style="43" customWidth="1"/>
    <col min="7" max="7" width="18.26953125" style="388" customWidth="1"/>
    <col min="8" max="8" width="2.54296875" style="208" customWidth="1"/>
    <col min="9" max="9" width="18.54296875" style="388" customWidth="1"/>
    <col min="10" max="10" width="2.26953125" style="208" customWidth="1"/>
    <col min="11" max="11" width="21.81640625" style="58" customWidth="1"/>
    <col min="12" max="12" width="1.26953125" style="58" customWidth="1"/>
    <col min="13" max="13" width="0.26953125" style="58" customWidth="1"/>
    <col min="14" max="14" width="5" style="217" customWidth="1"/>
    <col min="15" max="15" width="19.54296875" style="43" customWidth="1"/>
    <col min="16" max="16" width="4.453125" style="43" customWidth="1"/>
    <col min="17" max="17" width="18.54296875" style="143" customWidth="1"/>
    <col min="18" max="18" width="9.1796875" style="143"/>
    <col min="19" max="16384" width="9.1796875" style="43"/>
  </cols>
  <sheetData>
    <row r="2" spans="1:18" s="77" customFormat="1" ht="15" customHeight="1" x14ac:dyDescent="0.3">
      <c r="A2" s="3410" t="s">
        <v>7325</v>
      </c>
      <c r="B2" s="3410"/>
      <c r="C2" s="3410"/>
      <c r="D2" s="3410"/>
      <c r="E2" s="3410"/>
      <c r="F2" s="3410"/>
      <c r="G2" s="3410"/>
      <c r="H2" s="3410"/>
      <c r="I2" s="3410"/>
      <c r="J2" s="3410"/>
      <c r="K2" s="3410"/>
      <c r="L2" s="3410"/>
      <c r="M2" s="3410"/>
      <c r="N2" s="210"/>
      <c r="Q2" s="2192"/>
      <c r="R2" s="2192"/>
    </row>
    <row r="3" spans="1:18" s="77" customFormat="1" ht="6" customHeight="1" x14ac:dyDescent="0.3">
      <c r="A3" s="75"/>
      <c r="D3" s="206"/>
      <c r="E3" s="207"/>
      <c r="G3" s="206"/>
      <c r="H3" s="207"/>
      <c r="I3" s="206"/>
      <c r="J3" s="207"/>
      <c r="K3" s="209"/>
      <c r="L3" s="209"/>
      <c r="M3" s="209"/>
      <c r="N3" s="210"/>
      <c r="Q3" s="2192"/>
      <c r="R3" s="2192"/>
    </row>
    <row r="4" spans="1:18" s="77" customFormat="1" ht="13.5" customHeight="1" x14ac:dyDescent="0.3">
      <c r="A4" s="3872" t="s">
        <v>3293</v>
      </c>
      <c r="B4" s="3872"/>
      <c r="C4" s="3872"/>
      <c r="D4" s="3872"/>
      <c r="E4" s="3872"/>
      <c r="F4" s="3872"/>
      <c r="G4" s="3872"/>
      <c r="H4" s="3872"/>
      <c r="I4" s="3872"/>
      <c r="J4" s="3872"/>
      <c r="K4" s="3872"/>
      <c r="L4" s="3872"/>
      <c r="M4" s="3872"/>
      <c r="N4" s="210"/>
      <c r="Q4" s="2192"/>
      <c r="R4" s="2192"/>
    </row>
    <row r="5" spans="1:18" s="77" customFormat="1" ht="14" x14ac:dyDescent="0.3">
      <c r="A5" s="75" t="s">
        <v>3294</v>
      </c>
      <c r="B5" s="75"/>
      <c r="C5" s="75"/>
      <c r="D5" s="75"/>
      <c r="E5" s="75"/>
      <c r="F5" s="75"/>
      <c r="G5" s="75"/>
      <c r="H5" s="75"/>
      <c r="I5" s="75"/>
      <c r="J5" s="207"/>
      <c r="K5" s="82"/>
      <c r="L5" s="82"/>
      <c r="M5" s="82" t="s">
        <v>3295</v>
      </c>
      <c r="N5" s="210"/>
      <c r="Q5" s="2192"/>
      <c r="R5" s="2192"/>
    </row>
    <row r="6" spans="1:18" s="2244" customFormat="1" ht="12" x14ac:dyDescent="0.3">
      <c r="A6" s="211" t="str">
        <f>LR!C6</f>
        <v>Untuk Bulan yang Berakhir 30 June 2026</v>
      </c>
      <c r="B6" s="211"/>
      <c r="C6" s="211"/>
      <c r="D6" s="211"/>
      <c r="E6" s="211"/>
      <c r="F6" s="211"/>
      <c r="G6" s="211"/>
      <c r="H6" s="211"/>
      <c r="I6" s="211"/>
      <c r="J6" s="211"/>
      <c r="K6" s="2243"/>
      <c r="L6" s="2243" t="str">
        <f>LR!I6</f>
        <v>For The Month Ended Jun 2026</v>
      </c>
      <c r="N6" s="2245"/>
      <c r="Q6" s="2246"/>
      <c r="R6" s="2246"/>
    </row>
    <row r="7" spans="1:18" s="2244" customFormat="1" ht="12" x14ac:dyDescent="0.3">
      <c r="A7" s="2247" t="str">
        <f>LR!C7</f>
        <v>(Dengan perbandingan informasi keuangan untuk bulan yang berakhir 31 May 2026 /</v>
      </c>
      <c r="B7" s="211"/>
      <c r="C7" s="211"/>
      <c r="D7" s="211"/>
      <c r="E7" s="211"/>
      <c r="F7" s="211"/>
      <c r="G7" s="211"/>
      <c r="H7" s="211"/>
      <c r="I7" s="211"/>
      <c r="J7" s="211"/>
      <c r="K7" s="2243"/>
      <c r="L7" s="2243" t="str">
        <f>LR!O7</f>
        <v>With Comparative financial information for the month ended May 31, 2026 )</v>
      </c>
      <c r="M7" s="2243" t="s">
        <v>3296</v>
      </c>
      <c r="N7" s="2245"/>
      <c r="Q7" s="2246"/>
      <c r="R7" s="2246"/>
    </row>
    <row r="8" spans="1:18" s="2244" customFormat="1" ht="12" x14ac:dyDescent="0.3">
      <c r="A8" s="2247"/>
      <c r="B8" s="211"/>
      <c r="C8" s="211"/>
      <c r="D8" s="211"/>
      <c r="E8" s="211"/>
      <c r="F8" s="211"/>
      <c r="G8" s="211"/>
      <c r="H8" s="211"/>
      <c r="I8" s="211"/>
      <c r="J8" s="211"/>
      <c r="K8" s="2243"/>
      <c r="L8" s="2243" t="e">
        <f>[18]RL!O8</f>
        <v>#N/A</v>
      </c>
      <c r="M8" s="2243" t="s">
        <v>3297</v>
      </c>
      <c r="N8" s="2245"/>
      <c r="Q8" s="2246"/>
      <c r="R8" s="2246"/>
    </row>
    <row r="9" spans="1:18" s="2244" customFormat="1" ht="12" x14ac:dyDescent="0.3">
      <c r="A9" s="211" t="str">
        <f>'[9]LR '!B9</f>
        <v>(Disajikan dalam rupiah)</v>
      </c>
      <c r="B9" s="211"/>
      <c r="C9" s="211"/>
      <c r="D9" s="211"/>
      <c r="E9" s="211"/>
      <c r="F9" s="211"/>
      <c r="G9" s="211"/>
      <c r="H9" s="211"/>
      <c r="I9" s="211"/>
      <c r="J9" s="211"/>
      <c r="K9" s="2243"/>
      <c r="L9" s="2243" t="str">
        <f>'[9]LR '!N9</f>
        <v>(Expressed in rupiah)</v>
      </c>
      <c r="M9" s="2243" t="s">
        <v>3298</v>
      </c>
      <c r="N9" s="2245"/>
      <c r="O9" s="2244" t="s">
        <v>3299</v>
      </c>
      <c r="Q9" s="2246"/>
      <c r="R9" s="2246"/>
    </row>
    <row r="10" spans="1:18" ht="28.5" customHeight="1" thickBot="1" x14ac:dyDescent="0.35">
      <c r="A10" s="130"/>
      <c r="B10" s="84"/>
      <c r="C10" s="84"/>
      <c r="D10" s="214"/>
      <c r="E10" s="215"/>
      <c r="F10" s="84"/>
      <c r="G10" s="214"/>
      <c r="H10" s="215"/>
      <c r="I10" s="54"/>
      <c r="J10" s="216"/>
      <c r="K10" s="87"/>
      <c r="L10" s="87"/>
      <c r="M10" s="87"/>
    </row>
    <row r="11" spans="1:18" ht="15" customHeight="1" thickBot="1" x14ac:dyDescent="0.35">
      <c r="A11" s="2193"/>
      <c r="B11" s="3877" t="s">
        <v>178</v>
      </c>
      <c r="C11" s="3877"/>
      <c r="D11" s="2194" t="str">
        <f>LR!E11</f>
        <v>30 June 2026/</v>
      </c>
      <c r="E11" s="3878" t="s">
        <v>295</v>
      </c>
      <c r="F11" s="2195" t="s">
        <v>179</v>
      </c>
      <c r="G11" s="2194" t="str">
        <f>LR!H11</f>
        <v>31 May 2026/</v>
      </c>
      <c r="H11" s="3878" t="s">
        <v>295</v>
      </c>
      <c r="I11" s="2194" t="str">
        <f>"sd "&amp;(D11)</f>
        <v>sd 30 June 2026/</v>
      </c>
      <c r="J11" s="3879" t="s">
        <v>295</v>
      </c>
      <c r="K11" s="3880" t="s">
        <v>180</v>
      </c>
      <c r="L11" s="3880"/>
      <c r="M11" s="3880"/>
      <c r="O11" s="2940" t="str">
        <f>"sd "&amp;G11</f>
        <v>sd 31 May 2026/</v>
      </c>
    </row>
    <row r="12" spans="1:18" ht="15" customHeight="1" thickBot="1" x14ac:dyDescent="0.35">
      <c r="A12" s="225"/>
      <c r="B12" s="3877"/>
      <c r="C12" s="3877"/>
      <c r="D12" s="472">
        <f>LR!E12</f>
        <v>46203</v>
      </c>
      <c r="E12" s="3878"/>
      <c r="F12" s="2196" t="s">
        <v>181</v>
      </c>
      <c r="G12" s="472">
        <f>LR!H12</f>
        <v>46173</v>
      </c>
      <c r="H12" s="3878"/>
      <c r="I12" s="472">
        <f>LR!K12</f>
        <v>46203</v>
      </c>
      <c r="J12" s="3879"/>
      <c r="K12" s="3880"/>
      <c r="L12" s="3880"/>
      <c r="M12" s="3880"/>
      <c r="O12" s="3252" t="s">
        <v>3300</v>
      </c>
    </row>
    <row r="13" spans="1:18" ht="15" customHeight="1" x14ac:dyDescent="0.3">
      <c r="A13" s="228"/>
      <c r="B13" s="130" t="s">
        <v>297</v>
      </c>
      <c r="C13" s="98"/>
      <c r="D13" s="229"/>
      <c r="E13" s="230"/>
      <c r="F13" s="234"/>
      <c r="G13" s="231"/>
      <c r="H13" s="230"/>
      <c r="I13" s="231"/>
      <c r="J13" s="230"/>
      <c r="K13" s="108"/>
      <c r="L13" s="88" t="s">
        <v>298</v>
      </c>
      <c r="M13" s="232"/>
      <c r="O13" s="2941"/>
    </row>
    <row r="14" spans="1:18" ht="15" customHeight="1" x14ac:dyDescent="0.3">
      <c r="A14" s="228"/>
      <c r="B14" s="130" t="s">
        <v>426</v>
      </c>
      <c r="C14" s="109"/>
      <c r="D14" s="233"/>
      <c r="E14" s="230"/>
      <c r="F14" s="234"/>
      <c r="G14" s="233"/>
      <c r="H14" s="230"/>
      <c r="I14" s="235"/>
      <c r="J14" s="230"/>
      <c r="K14" s="111"/>
      <c r="L14" s="88" t="s">
        <v>300</v>
      </c>
      <c r="M14" s="236"/>
      <c r="O14" s="3251"/>
    </row>
    <row r="15" spans="1:18" ht="15" customHeight="1" x14ac:dyDescent="0.3">
      <c r="A15" s="228"/>
      <c r="B15" s="86" t="s">
        <v>190</v>
      </c>
      <c r="C15" s="84" t="s">
        <v>301</v>
      </c>
      <c r="D15" s="233">
        <f>RL!C38+RL!C59</f>
        <v>547400000</v>
      </c>
      <c r="E15" s="230"/>
      <c r="F15" s="234"/>
      <c r="G15" s="233">
        <v>552500000</v>
      </c>
      <c r="H15" s="230"/>
      <c r="I15" s="235">
        <f>D15+O15</f>
        <v>6692650000</v>
      </c>
      <c r="J15" s="230"/>
      <c r="K15" s="111" t="s">
        <v>302</v>
      </c>
      <c r="L15" s="237" t="s">
        <v>190</v>
      </c>
      <c r="M15" s="236"/>
      <c r="O15" s="3253">
        <v>6145250000</v>
      </c>
    </row>
    <row r="16" spans="1:18" ht="15" customHeight="1" outlineLevel="1" x14ac:dyDescent="0.3">
      <c r="A16" s="228"/>
      <c r="B16" s="86" t="s">
        <v>190</v>
      </c>
      <c r="C16" s="84" t="s">
        <v>303</v>
      </c>
      <c r="D16" s="233">
        <f>RL!C39+RL!C60</f>
        <v>0</v>
      </c>
      <c r="E16" s="230"/>
      <c r="F16" s="234"/>
      <c r="G16" s="233">
        <v>0</v>
      </c>
      <c r="H16" s="230"/>
      <c r="I16" s="235">
        <f t="shared" ref="I16:I20" si="0">D16+O16</f>
        <v>0</v>
      </c>
      <c r="J16" s="230"/>
      <c r="K16" s="111" t="s">
        <v>304</v>
      </c>
      <c r="L16" s="237" t="s">
        <v>190</v>
      </c>
      <c r="M16" s="236"/>
      <c r="O16" s="3253">
        <v>0</v>
      </c>
    </row>
    <row r="17" spans="1:15" outlineLevel="1" x14ac:dyDescent="0.3">
      <c r="A17" s="228"/>
      <c r="B17" s="86" t="s">
        <v>190</v>
      </c>
      <c r="C17" s="84" t="s">
        <v>305</v>
      </c>
      <c r="D17" s="233">
        <f>RL!C40+RL!C61</f>
        <v>0</v>
      </c>
      <c r="E17" s="230"/>
      <c r="F17" s="234"/>
      <c r="G17" s="233">
        <v>0</v>
      </c>
      <c r="H17" s="230"/>
      <c r="I17" s="235">
        <f t="shared" si="0"/>
        <v>0</v>
      </c>
      <c r="J17" s="230"/>
      <c r="K17" s="111" t="s">
        <v>306</v>
      </c>
      <c r="L17" s="237" t="s">
        <v>190</v>
      </c>
      <c r="M17" s="236"/>
      <c r="O17" s="3253">
        <v>0</v>
      </c>
    </row>
    <row r="18" spans="1:15" outlineLevel="1" x14ac:dyDescent="0.3">
      <c r="A18" s="228"/>
      <c r="B18" s="86" t="s">
        <v>190</v>
      </c>
      <c r="C18" s="84" t="s">
        <v>307</v>
      </c>
      <c r="D18" s="233">
        <f>RL!C42+RL!C63</f>
        <v>0</v>
      </c>
      <c r="E18" s="230"/>
      <c r="F18" s="234"/>
      <c r="G18" s="233">
        <v>0</v>
      </c>
      <c r="H18" s="230"/>
      <c r="I18" s="235">
        <f t="shared" si="0"/>
        <v>578289000</v>
      </c>
      <c r="J18" s="230"/>
      <c r="K18" s="111" t="s">
        <v>308</v>
      </c>
      <c r="L18" s="237" t="s">
        <v>190</v>
      </c>
      <c r="M18" s="236"/>
      <c r="O18" s="3253">
        <v>578289000</v>
      </c>
    </row>
    <row r="19" spans="1:15" x14ac:dyDescent="0.3">
      <c r="A19" s="228"/>
      <c r="B19" s="86" t="s">
        <v>190</v>
      </c>
      <c r="C19" s="84" t="s">
        <v>275</v>
      </c>
      <c r="D19" s="233">
        <f>RL!C47+RL!C68</f>
        <v>0</v>
      </c>
      <c r="E19" s="230"/>
      <c r="F19" s="234"/>
      <c r="G19" s="233">
        <v>0</v>
      </c>
      <c r="H19" s="230"/>
      <c r="I19" s="235">
        <f t="shared" si="0"/>
        <v>1207500000</v>
      </c>
      <c r="J19" s="230"/>
      <c r="K19" s="111" t="s">
        <v>276</v>
      </c>
      <c r="L19" s="237" t="s">
        <v>190</v>
      </c>
      <c r="M19" s="236"/>
      <c r="O19" s="3253">
        <v>1207500000</v>
      </c>
    </row>
    <row r="20" spans="1:15" outlineLevel="1" x14ac:dyDescent="0.3">
      <c r="A20" s="228"/>
      <c r="B20" s="86" t="s">
        <v>190</v>
      </c>
      <c r="C20" s="84" t="s">
        <v>314</v>
      </c>
      <c r="D20" s="233">
        <f>RL!C44+RL!C65+RL!C66</f>
        <v>0</v>
      </c>
      <c r="E20" s="230"/>
      <c r="F20" s="234"/>
      <c r="G20" s="233">
        <v>0</v>
      </c>
      <c r="H20" s="230"/>
      <c r="I20" s="235">
        <f t="shared" si="0"/>
        <v>74100000</v>
      </c>
      <c r="J20" s="230"/>
      <c r="K20" s="111" t="s">
        <v>315</v>
      </c>
      <c r="L20" s="237" t="s">
        <v>190</v>
      </c>
      <c r="M20" s="236"/>
      <c r="O20" s="3253">
        <v>74100000</v>
      </c>
    </row>
    <row r="21" spans="1:15" x14ac:dyDescent="0.3">
      <c r="A21" s="228"/>
      <c r="B21" s="86" t="s">
        <v>190</v>
      </c>
      <c r="C21" s="84" t="s">
        <v>316</v>
      </c>
      <c r="D21" s="2727">
        <f>RL!C50</f>
        <v>0</v>
      </c>
      <c r="E21" s="248"/>
      <c r="F21" s="279"/>
      <c r="G21" s="245">
        <v>0</v>
      </c>
      <c r="H21" s="248"/>
      <c r="I21" s="245">
        <f>D21+O21</f>
        <v>22500000</v>
      </c>
      <c r="J21" s="246"/>
      <c r="K21" s="111" t="s">
        <v>317</v>
      </c>
      <c r="L21" s="237" t="s">
        <v>190</v>
      </c>
      <c r="M21" s="236"/>
      <c r="O21" s="3254">
        <v>22500000</v>
      </c>
    </row>
    <row r="22" spans="1:15" x14ac:dyDescent="0.3">
      <c r="A22" s="228"/>
      <c r="B22" s="84"/>
      <c r="C22" s="84"/>
      <c r="D22" s="233">
        <f t="shared" ref="D22:I22" si="1">SUM(D15:D21)</f>
        <v>547400000</v>
      </c>
      <c r="E22" s="233">
        <f t="shared" si="1"/>
        <v>0</v>
      </c>
      <c r="F22" s="233">
        <f t="shared" si="1"/>
        <v>0</v>
      </c>
      <c r="G22" s="233">
        <v>552500000</v>
      </c>
      <c r="H22" s="233">
        <f t="shared" si="1"/>
        <v>0</v>
      </c>
      <c r="I22" s="233">
        <f t="shared" si="1"/>
        <v>8575039000</v>
      </c>
      <c r="J22" s="230"/>
      <c r="K22" s="111"/>
      <c r="L22" s="87"/>
      <c r="M22" s="236"/>
      <c r="O22" s="3253">
        <v>8027639000</v>
      </c>
    </row>
    <row r="23" spans="1:15" x14ac:dyDescent="0.3">
      <c r="A23" s="228"/>
      <c r="B23" s="84"/>
      <c r="C23" s="84"/>
      <c r="D23" s="233"/>
      <c r="E23" s="230"/>
      <c r="F23" s="234"/>
      <c r="G23" s="233"/>
      <c r="H23" s="230"/>
      <c r="I23" s="235"/>
      <c r="J23" s="230"/>
      <c r="K23" s="111"/>
      <c r="L23" s="87"/>
      <c r="M23" s="236"/>
      <c r="O23" s="3253"/>
    </row>
    <row r="24" spans="1:15" x14ac:dyDescent="0.3">
      <c r="A24" s="228"/>
      <c r="B24" s="86" t="s">
        <v>190</v>
      </c>
      <c r="C24" s="84" t="s">
        <v>318</v>
      </c>
      <c r="D24" s="2198">
        <f>-RL!C221</f>
        <v>3950000</v>
      </c>
      <c r="E24" s="246"/>
      <c r="F24" s="279"/>
      <c r="G24" s="2199">
        <v>4200000</v>
      </c>
      <c r="H24" s="248"/>
      <c r="I24" s="245">
        <f>D24+O24</f>
        <v>70768000</v>
      </c>
      <c r="J24" s="248"/>
      <c r="K24" s="111" t="s">
        <v>319</v>
      </c>
      <c r="L24" s="237" t="s">
        <v>190</v>
      </c>
      <c r="M24" s="236"/>
      <c r="O24" s="3254">
        <v>66818000</v>
      </c>
    </row>
    <row r="25" spans="1:15" x14ac:dyDescent="0.3">
      <c r="A25" s="228"/>
      <c r="B25" s="84"/>
      <c r="C25" s="109"/>
      <c r="D25" s="250">
        <f>D22-D24</f>
        <v>543450000</v>
      </c>
      <c r="E25" s="250">
        <f t="shared" ref="E25:I25" si="2">E22-E24</f>
        <v>0</v>
      </c>
      <c r="F25" s="250">
        <f t="shared" si="2"/>
        <v>0</v>
      </c>
      <c r="G25" s="250">
        <v>548300000</v>
      </c>
      <c r="H25" s="250">
        <f t="shared" si="2"/>
        <v>0</v>
      </c>
      <c r="I25" s="250">
        <f t="shared" si="2"/>
        <v>8504271000</v>
      </c>
      <c r="J25" s="230"/>
      <c r="K25" s="111"/>
      <c r="L25" s="87"/>
      <c r="M25" s="236"/>
      <c r="O25" s="3255">
        <v>7960821000</v>
      </c>
    </row>
    <row r="26" spans="1:15" ht="13.5" x14ac:dyDescent="0.3">
      <c r="A26" s="228"/>
      <c r="B26" s="130" t="s">
        <v>320</v>
      </c>
      <c r="C26" s="109"/>
      <c r="D26" s="233"/>
      <c r="E26" s="230"/>
      <c r="F26" s="234"/>
      <c r="G26" s="233"/>
      <c r="H26" s="230"/>
      <c r="I26" s="235"/>
      <c r="J26" s="230"/>
      <c r="K26" s="111"/>
      <c r="L26" s="88" t="s">
        <v>321</v>
      </c>
      <c r="M26" s="236"/>
      <c r="O26" s="3253"/>
    </row>
    <row r="27" spans="1:15" outlineLevel="1" x14ac:dyDescent="0.3">
      <c r="A27" s="228"/>
      <c r="B27" s="86" t="s">
        <v>190</v>
      </c>
      <c r="C27" s="109" t="s">
        <v>3301</v>
      </c>
      <c r="D27" s="233">
        <f>RL!C81</f>
        <v>0</v>
      </c>
      <c r="E27" s="230"/>
      <c r="F27" s="234"/>
      <c r="G27" s="233">
        <v>0</v>
      </c>
      <c r="H27" s="230"/>
      <c r="I27" s="235">
        <f t="shared" ref="I27:I35" si="3">D27+O27</f>
        <v>0</v>
      </c>
      <c r="J27" s="230"/>
      <c r="K27" s="111" t="s">
        <v>3302</v>
      </c>
      <c r="L27" s="237" t="s">
        <v>190</v>
      </c>
      <c r="M27" s="236"/>
      <c r="O27" s="3253">
        <v>0</v>
      </c>
    </row>
    <row r="28" spans="1:15" outlineLevel="1" x14ac:dyDescent="0.3">
      <c r="A28" s="228"/>
      <c r="B28" s="86" t="s">
        <v>190</v>
      </c>
      <c r="C28" s="109" t="s">
        <v>3303</v>
      </c>
      <c r="D28" s="233">
        <f>RL!C82</f>
        <v>0</v>
      </c>
      <c r="E28" s="230"/>
      <c r="F28" s="234"/>
      <c r="G28" s="233">
        <v>0</v>
      </c>
      <c r="H28" s="230"/>
      <c r="I28" s="235">
        <f t="shared" si="3"/>
        <v>0</v>
      </c>
      <c r="J28" s="230"/>
      <c r="K28" s="111" t="s">
        <v>3304</v>
      </c>
      <c r="L28" s="237" t="s">
        <v>190</v>
      </c>
      <c r="M28" s="236"/>
      <c r="O28" s="3253">
        <v>0</v>
      </c>
    </row>
    <row r="29" spans="1:15" outlineLevel="1" x14ac:dyDescent="0.3">
      <c r="A29" s="228"/>
      <c r="B29" s="86" t="s">
        <v>190</v>
      </c>
      <c r="C29" s="109" t="s">
        <v>3305</v>
      </c>
      <c r="D29" s="233">
        <f>RL!C83</f>
        <v>0</v>
      </c>
      <c r="E29" s="230"/>
      <c r="F29" s="234"/>
      <c r="G29" s="233">
        <v>0</v>
      </c>
      <c r="H29" s="230"/>
      <c r="I29" s="235">
        <f t="shared" si="3"/>
        <v>0</v>
      </c>
      <c r="J29" s="230"/>
      <c r="K29" s="111" t="s">
        <v>3306</v>
      </c>
      <c r="L29" s="237" t="s">
        <v>190</v>
      </c>
      <c r="M29" s="236"/>
      <c r="O29" s="3253">
        <v>0</v>
      </c>
    </row>
    <row r="30" spans="1:15" outlineLevel="1" x14ac:dyDescent="0.3">
      <c r="A30" s="228"/>
      <c r="B30" s="86" t="s">
        <v>190</v>
      </c>
      <c r="C30" s="109" t="s">
        <v>7160</v>
      </c>
      <c r="D30" s="233">
        <f>RL!C84</f>
        <v>0</v>
      </c>
      <c r="E30" s="230"/>
      <c r="F30" s="234"/>
      <c r="G30" s="233">
        <v>0</v>
      </c>
      <c r="H30" s="230"/>
      <c r="I30" s="235">
        <f t="shared" si="3"/>
        <v>0</v>
      </c>
      <c r="J30" s="230"/>
      <c r="K30" s="111" t="s">
        <v>3307</v>
      </c>
      <c r="L30" s="237" t="s">
        <v>190</v>
      </c>
      <c r="M30" s="236"/>
      <c r="O30" s="3253">
        <v>0</v>
      </c>
    </row>
    <row r="31" spans="1:15" outlineLevel="1" x14ac:dyDescent="0.3">
      <c r="A31" s="228"/>
      <c r="B31" s="86" t="s">
        <v>190</v>
      </c>
      <c r="C31" s="109" t="s">
        <v>3308</v>
      </c>
      <c r="D31" s="233">
        <f>RL!C85</f>
        <v>0</v>
      </c>
      <c r="E31" s="230"/>
      <c r="F31" s="234"/>
      <c r="G31" s="233">
        <v>0</v>
      </c>
      <c r="H31" s="230"/>
      <c r="I31" s="235">
        <f t="shared" si="3"/>
        <v>0</v>
      </c>
      <c r="J31" s="230"/>
      <c r="K31" s="111" t="s">
        <v>3309</v>
      </c>
      <c r="L31" s="237" t="s">
        <v>190</v>
      </c>
      <c r="M31" s="236"/>
      <c r="O31" s="3253">
        <v>0</v>
      </c>
    </row>
    <row r="32" spans="1:15" x14ac:dyDescent="0.3">
      <c r="A32" s="228"/>
      <c r="B32" s="86" t="s">
        <v>190</v>
      </c>
      <c r="C32" s="109" t="s">
        <v>3310</v>
      </c>
      <c r="D32" s="233">
        <f>RL!C86</f>
        <v>0</v>
      </c>
      <c r="E32" s="230"/>
      <c r="F32" s="234"/>
      <c r="G32" s="233">
        <v>0</v>
      </c>
      <c r="H32" s="230"/>
      <c r="I32" s="235">
        <f t="shared" si="3"/>
        <v>0</v>
      </c>
      <c r="J32" s="230"/>
      <c r="K32" s="111" t="s">
        <v>3311</v>
      </c>
      <c r="L32" s="237" t="s">
        <v>190</v>
      </c>
      <c r="M32" s="236"/>
      <c r="O32" s="3253">
        <v>0</v>
      </c>
    </row>
    <row r="33" spans="1:15" outlineLevel="1" x14ac:dyDescent="0.3">
      <c r="A33" s="228"/>
      <c r="B33" s="86" t="s">
        <v>190</v>
      </c>
      <c r="C33" s="109" t="s">
        <v>3312</v>
      </c>
      <c r="D33" s="233">
        <f>RL!C87</f>
        <v>0</v>
      </c>
      <c r="E33" s="230"/>
      <c r="F33" s="234"/>
      <c r="G33" s="233">
        <v>0</v>
      </c>
      <c r="H33" s="230"/>
      <c r="I33" s="235">
        <f t="shared" si="3"/>
        <v>0</v>
      </c>
      <c r="J33" s="230"/>
      <c r="K33" s="111" t="s">
        <v>3313</v>
      </c>
      <c r="L33" s="237" t="s">
        <v>190</v>
      </c>
      <c r="M33" s="236"/>
      <c r="O33" s="3253">
        <v>0</v>
      </c>
    </row>
    <row r="34" spans="1:15" outlineLevel="1" x14ac:dyDescent="0.3">
      <c r="A34" s="228"/>
      <c r="B34" s="86" t="s">
        <v>190</v>
      </c>
      <c r="C34" s="109" t="s">
        <v>3314</v>
      </c>
      <c r="D34" s="233">
        <f>RL!C88</f>
        <v>1000000</v>
      </c>
      <c r="E34" s="230"/>
      <c r="F34" s="234"/>
      <c r="G34" s="233">
        <v>0</v>
      </c>
      <c r="H34" s="230"/>
      <c r="I34" s="235">
        <f t="shared" si="3"/>
        <v>1000000</v>
      </c>
      <c r="J34" s="230"/>
      <c r="K34" s="111" t="s">
        <v>3315</v>
      </c>
      <c r="L34" s="237" t="s">
        <v>190</v>
      </c>
      <c r="M34" s="236"/>
      <c r="O34" s="3253">
        <v>0</v>
      </c>
    </row>
    <row r="35" spans="1:15" outlineLevel="1" x14ac:dyDescent="0.3">
      <c r="A35" s="228"/>
      <c r="B35" s="86" t="s">
        <v>190</v>
      </c>
      <c r="C35" s="109" t="s">
        <v>349</v>
      </c>
      <c r="D35" s="233">
        <f>RL!C89+RL!C134+RL!C123</f>
        <v>100</v>
      </c>
      <c r="E35" s="230"/>
      <c r="F35" s="234"/>
      <c r="G35" s="233">
        <v>168</v>
      </c>
      <c r="H35" s="230"/>
      <c r="I35" s="233">
        <f t="shared" si="3"/>
        <v>31304.33</v>
      </c>
      <c r="J35" s="240"/>
      <c r="K35" s="111" t="s">
        <v>350</v>
      </c>
      <c r="L35" s="237" t="s">
        <v>190</v>
      </c>
      <c r="M35" s="236"/>
      <c r="O35" s="3253">
        <v>31204.33</v>
      </c>
    </row>
    <row r="36" spans="1:15" x14ac:dyDescent="0.3">
      <c r="A36" s="228"/>
      <c r="B36" s="84"/>
      <c r="C36" s="109"/>
      <c r="D36" s="2200">
        <f t="shared" ref="D36:I36" si="4">SUM(D27:D35)</f>
        <v>1000100</v>
      </c>
      <c r="E36" s="2200">
        <f t="shared" si="4"/>
        <v>0</v>
      </c>
      <c r="F36" s="2200">
        <f t="shared" si="4"/>
        <v>0</v>
      </c>
      <c r="G36" s="2200">
        <v>168</v>
      </c>
      <c r="H36" s="2200">
        <f t="shared" si="4"/>
        <v>0</v>
      </c>
      <c r="I36" s="2200">
        <f t="shared" si="4"/>
        <v>1031304.33</v>
      </c>
      <c r="J36" s="2201"/>
      <c r="K36" s="111"/>
      <c r="L36" s="87"/>
      <c r="M36" s="236"/>
      <c r="O36" s="3256">
        <v>31204.33</v>
      </c>
    </row>
    <row r="37" spans="1:15" x14ac:dyDescent="0.3">
      <c r="A37" s="228"/>
      <c r="B37" s="84" t="s">
        <v>3316</v>
      </c>
      <c r="C37" s="109"/>
      <c r="D37" s="233">
        <f>RL!C101+RL!C112</f>
        <v>0</v>
      </c>
      <c r="E37" s="230"/>
      <c r="F37" s="234"/>
      <c r="G37" s="233">
        <v>0</v>
      </c>
      <c r="H37" s="230"/>
      <c r="I37" s="235"/>
      <c r="J37" s="230"/>
      <c r="K37" s="111"/>
      <c r="L37" s="87" t="s">
        <v>3317</v>
      </c>
      <c r="M37" s="236"/>
      <c r="O37" s="3253"/>
    </row>
    <row r="38" spans="1:15" ht="13.5" x14ac:dyDescent="0.3">
      <c r="A38" s="228"/>
      <c r="B38" s="130" t="s">
        <v>429</v>
      </c>
      <c r="C38" s="109"/>
      <c r="D38" s="233"/>
      <c r="E38" s="230"/>
      <c r="F38" s="234"/>
      <c r="G38" s="233"/>
      <c r="H38" s="230"/>
      <c r="I38" s="235"/>
      <c r="J38" s="230"/>
      <c r="K38" s="111"/>
      <c r="L38" s="88" t="s">
        <v>323</v>
      </c>
      <c r="M38" s="236"/>
      <c r="O38" s="3253"/>
    </row>
    <row r="39" spans="1:15" x14ac:dyDescent="0.3">
      <c r="A39" s="228"/>
      <c r="B39" s="86" t="s">
        <v>190</v>
      </c>
      <c r="C39" s="109" t="s">
        <v>3318</v>
      </c>
      <c r="D39" s="233">
        <f>RL!C139</f>
        <v>0</v>
      </c>
      <c r="E39" s="230"/>
      <c r="F39" s="234"/>
      <c r="G39" s="233">
        <v>40000</v>
      </c>
      <c r="H39" s="230"/>
      <c r="I39" s="235">
        <f>D39+O39</f>
        <v>1374500</v>
      </c>
      <c r="J39" s="230"/>
      <c r="K39" s="111" t="s">
        <v>310</v>
      </c>
      <c r="L39" s="237" t="s">
        <v>190</v>
      </c>
      <c r="M39" s="236"/>
      <c r="O39" s="3253">
        <v>1374500</v>
      </c>
    </row>
    <row r="40" spans="1:15" x14ac:dyDescent="0.3">
      <c r="A40" s="228"/>
      <c r="B40" s="86" t="s">
        <v>190</v>
      </c>
      <c r="C40" s="109" t="s">
        <v>311</v>
      </c>
      <c r="D40" s="233">
        <f>RL!C140</f>
        <v>0</v>
      </c>
      <c r="E40" s="230"/>
      <c r="F40" s="234"/>
      <c r="G40" s="233">
        <v>0</v>
      </c>
      <c r="H40" s="230"/>
      <c r="I40" s="235">
        <f>D40+O40</f>
        <v>7500000</v>
      </c>
      <c r="J40" s="230"/>
      <c r="K40" s="111" t="s">
        <v>312</v>
      </c>
      <c r="L40" s="237" t="s">
        <v>190</v>
      </c>
      <c r="M40" s="236"/>
      <c r="O40" s="3253">
        <v>7500000</v>
      </c>
    </row>
    <row r="41" spans="1:15" outlineLevel="1" x14ac:dyDescent="0.3">
      <c r="A41" s="228"/>
      <c r="B41" s="86" t="s">
        <v>190</v>
      </c>
      <c r="C41" s="109" t="s">
        <v>3319</v>
      </c>
      <c r="D41" s="233">
        <f>RL!C153</f>
        <v>0</v>
      </c>
      <c r="E41" s="230"/>
      <c r="F41" s="234"/>
      <c r="G41" s="233">
        <v>0</v>
      </c>
      <c r="H41" s="230"/>
      <c r="I41" s="235">
        <f>D41+O41</f>
        <v>0</v>
      </c>
      <c r="J41" s="230"/>
      <c r="K41" s="111" t="s">
        <v>3320</v>
      </c>
      <c r="L41" s="237" t="s">
        <v>190</v>
      </c>
      <c r="M41" s="236"/>
      <c r="O41" s="3253">
        <v>0</v>
      </c>
    </row>
    <row r="42" spans="1:15" outlineLevel="1" x14ac:dyDescent="0.3">
      <c r="A42" s="228"/>
      <c r="B42" s="86" t="s">
        <v>190</v>
      </c>
      <c r="C42" s="109" t="s">
        <v>3321</v>
      </c>
      <c r="D42" s="233">
        <f>SUM(RL!C141:C147)</f>
        <v>50000</v>
      </c>
      <c r="E42" s="230"/>
      <c r="F42" s="234"/>
      <c r="G42" s="233">
        <v>374950</v>
      </c>
      <c r="H42" s="230"/>
      <c r="I42" s="235">
        <f>D42+O42</f>
        <v>2039950</v>
      </c>
      <c r="J42" s="230"/>
      <c r="K42" s="111" t="s">
        <v>3322</v>
      </c>
      <c r="L42" s="237" t="s">
        <v>190</v>
      </c>
      <c r="M42" s="236"/>
      <c r="O42" s="3253">
        <v>1989950</v>
      </c>
    </row>
    <row r="43" spans="1:15" outlineLevel="1" x14ac:dyDescent="0.3">
      <c r="A43" s="228"/>
      <c r="B43" s="84"/>
      <c r="C43" s="109"/>
      <c r="D43" s="245"/>
      <c r="E43" s="248"/>
      <c r="F43" s="279"/>
      <c r="G43" s="245"/>
      <c r="H43" s="248"/>
      <c r="I43" s="245"/>
      <c r="J43" s="2202"/>
      <c r="K43" s="111"/>
      <c r="L43" s="87"/>
      <c r="M43" s="236"/>
      <c r="O43" s="3254"/>
    </row>
    <row r="44" spans="1:15" x14ac:dyDescent="0.3">
      <c r="A44" s="228"/>
      <c r="B44" s="84"/>
      <c r="C44" s="109"/>
      <c r="D44" s="250">
        <f>SUM(D39:D43)</f>
        <v>50000</v>
      </c>
      <c r="E44" s="250">
        <f t="shared" ref="E44:I44" si="5">SUM(E39:E43)</f>
        <v>0</v>
      </c>
      <c r="F44" s="250"/>
      <c r="G44" s="250">
        <v>414950</v>
      </c>
      <c r="H44" s="250">
        <f t="shared" si="5"/>
        <v>0</v>
      </c>
      <c r="I44" s="250">
        <f t="shared" si="5"/>
        <v>10914450</v>
      </c>
      <c r="J44" s="230"/>
      <c r="K44" s="111"/>
      <c r="L44" s="87"/>
      <c r="M44" s="236"/>
      <c r="O44" s="3255">
        <v>10864450</v>
      </c>
    </row>
    <row r="45" spans="1:15" outlineLevel="1" x14ac:dyDescent="0.3">
      <c r="A45" s="228"/>
      <c r="B45" s="84" t="s">
        <v>430</v>
      </c>
      <c r="C45" s="109"/>
      <c r="D45" s="233"/>
      <c r="E45" s="230"/>
      <c r="F45" s="234"/>
      <c r="G45" s="233"/>
      <c r="H45" s="230"/>
      <c r="I45" s="235">
        <f t="shared" ref="I45:I53" si="6">D45+O45</f>
        <v>0</v>
      </c>
      <c r="J45" s="230"/>
      <c r="K45" s="111"/>
      <c r="L45" s="87" t="s">
        <v>324</v>
      </c>
      <c r="M45" s="236"/>
      <c r="O45" s="3253">
        <v>0</v>
      </c>
    </row>
    <row r="46" spans="1:15" ht="13.5" outlineLevel="1" x14ac:dyDescent="0.3">
      <c r="A46" s="228"/>
      <c r="B46" s="130" t="s">
        <v>273</v>
      </c>
      <c r="C46" s="109"/>
      <c r="D46" s="233"/>
      <c r="E46" s="230"/>
      <c r="F46" s="234"/>
      <c r="G46" s="233"/>
      <c r="H46" s="230"/>
      <c r="I46" s="235"/>
      <c r="J46" s="230"/>
      <c r="K46" s="111"/>
      <c r="L46" s="88" t="s">
        <v>274</v>
      </c>
      <c r="M46" s="236"/>
      <c r="O46" s="3253"/>
    </row>
    <row r="47" spans="1:15" outlineLevel="1" x14ac:dyDescent="0.3">
      <c r="A47" s="228"/>
      <c r="B47" s="86" t="s">
        <v>190</v>
      </c>
      <c r="C47" s="84" t="s">
        <v>7294</v>
      </c>
      <c r="D47" s="2861">
        <f>'13'!E13</f>
        <v>82572250</v>
      </c>
      <c r="E47" s="230"/>
      <c r="F47" s="234"/>
      <c r="G47" s="255">
        <v>129992100</v>
      </c>
      <c r="H47" s="230"/>
      <c r="I47" s="235">
        <f t="shared" si="6"/>
        <v>1332016556</v>
      </c>
      <c r="J47" s="230"/>
      <c r="K47" s="111" t="s">
        <v>635</v>
      </c>
      <c r="L47" s="237" t="s">
        <v>190</v>
      </c>
      <c r="M47" s="236"/>
      <c r="O47" s="3253">
        <v>1249444306</v>
      </c>
    </row>
    <row r="48" spans="1:15" outlineLevel="1" x14ac:dyDescent="0.3">
      <c r="A48" s="228"/>
      <c r="B48" s="86" t="s">
        <v>190</v>
      </c>
      <c r="C48" s="84" t="s">
        <v>636</v>
      </c>
      <c r="D48" s="255"/>
      <c r="E48" s="230"/>
      <c r="F48" s="234"/>
      <c r="G48" s="255"/>
      <c r="H48" s="230"/>
      <c r="I48" s="235">
        <f t="shared" si="6"/>
        <v>0</v>
      </c>
      <c r="J48" s="230"/>
      <c r="K48" s="111" t="s">
        <v>637</v>
      </c>
      <c r="L48" s="237" t="s">
        <v>190</v>
      </c>
      <c r="M48" s="236"/>
      <c r="O48" s="3253">
        <v>0</v>
      </c>
    </row>
    <row r="49" spans="1:15" outlineLevel="1" x14ac:dyDescent="0.3">
      <c r="A49" s="228"/>
      <c r="B49" s="86" t="s">
        <v>190</v>
      </c>
      <c r="C49" s="84" t="s">
        <v>326</v>
      </c>
      <c r="D49" s="255"/>
      <c r="E49" s="230"/>
      <c r="F49" s="234"/>
      <c r="G49" s="255"/>
      <c r="H49" s="230"/>
      <c r="I49" s="235">
        <f t="shared" si="6"/>
        <v>0</v>
      </c>
      <c r="J49" s="230"/>
      <c r="K49" s="111" t="s">
        <v>3323</v>
      </c>
      <c r="L49" s="237" t="s">
        <v>190</v>
      </c>
      <c r="M49" s="236"/>
      <c r="O49" s="3253">
        <v>0</v>
      </c>
    </row>
    <row r="50" spans="1:15" outlineLevel="1" x14ac:dyDescent="0.3">
      <c r="A50" s="228"/>
      <c r="B50" s="86" t="s">
        <v>190</v>
      </c>
      <c r="C50" s="84" t="s">
        <v>678</v>
      </c>
      <c r="D50" s="255"/>
      <c r="E50" s="230"/>
      <c r="F50" s="234"/>
      <c r="G50" s="255"/>
      <c r="H50" s="230"/>
      <c r="I50" s="235">
        <f t="shared" si="6"/>
        <v>0</v>
      </c>
      <c r="J50" s="240"/>
      <c r="K50" s="111" t="s">
        <v>679</v>
      </c>
      <c r="L50" s="237" t="s">
        <v>190</v>
      </c>
      <c r="M50" s="236"/>
      <c r="O50" s="3253">
        <v>0</v>
      </c>
    </row>
    <row r="51" spans="1:15" outlineLevel="1" x14ac:dyDescent="0.3">
      <c r="A51" s="228"/>
      <c r="B51" s="86" t="s">
        <v>190</v>
      </c>
      <c r="C51" s="84" t="s">
        <v>680</v>
      </c>
      <c r="D51" s="255"/>
      <c r="E51" s="230"/>
      <c r="F51" s="234"/>
      <c r="G51" s="255"/>
      <c r="H51" s="230"/>
      <c r="I51" s="235">
        <f t="shared" si="6"/>
        <v>0</v>
      </c>
      <c r="J51" s="240"/>
      <c r="K51" s="111" t="s">
        <v>681</v>
      </c>
      <c r="L51" s="237" t="s">
        <v>190</v>
      </c>
      <c r="M51" s="236"/>
      <c r="O51" s="3253">
        <v>0</v>
      </c>
    </row>
    <row r="52" spans="1:15" outlineLevel="1" x14ac:dyDescent="0.3">
      <c r="A52" s="228"/>
      <c r="B52" s="86" t="s">
        <v>190</v>
      </c>
      <c r="C52" s="84" t="s">
        <v>682</v>
      </c>
      <c r="D52" s="255"/>
      <c r="E52" s="230"/>
      <c r="F52" s="234"/>
      <c r="G52" s="255"/>
      <c r="H52" s="230"/>
      <c r="I52" s="233">
        <f t="shared" si="6"/>
        <v>0</v>
      </c>
      <c r="J52" s="240"/>
      <c r="K52" s="111" t="s">
        <v>683</v>
      </c>
      <c r="L52" s="237" t="s">
        <v>190</v>
      </c>
      <c r="M52" s="236"/>
      <c r="O52" s="3253">
        <v>0</v>
      </c>
    </row>
    <row r="53" spans="1:15" outlineLevel="1" x14ac:dyDescent="0.3">
      <c r="A53" s="228"/>
      <c r="B53" s="86" t="s">
        <v>190</v>
      </c>
      <c r="C53" s="84" t="s">
        <v>3078</v>
      </c>
      <c r="D53" s="2256"/>
      <c r="E53" s="2257"/>
      <c r="F53" s="2258"/>
      <c r="G53" s="2256"/>
      <c r="H53" s="2257"/>
      <c r="I53" s="2191">
        <f t="shared" si="6"/>
        <v>0</v>
      </c>
      <c r="J53" s="240"/>
      <c r="K53" s="111" t="s">
        <v>3324</v>
      </c>
      <c r="L53" s="237" t="s">
        <v>190</v>
      </c>
      <c r="M53" s="236"/>
      <c r="O53" s="3257">
        <v>0</v>
      </c>
    </row>
    <row r="54" spans="1:15" outlineLevel="1" x14ac:dyDescent="0.3">
      <c r="A54" s="228"/>
      <c r="B54" s="84"/>
      <c r="C54" s="84"/>
      <c r="D54" s="250">
        <f>SUM(D47:D53)</f>
        <v>82572250</v>
      </c>
      <c r="E54" s="250">
        <f>SUM(E47:E53)</f>
        <v>0</v>
      </c>
      <c r="F54" s="250">
        <f>SUM(F47:F53)</f>
        <v>0</v>
      </c>
      <c r="G54" s="250">
        <v>129992100</v>
      </c>
      <c r="H54" s="250">
        <f>SUM(H47:H53)</f>
        <v>0</v>
      </c>
      <c r="I54" s="250">
        <f>SUM(I47:I53)</f>
        <v>1332016556</v>
      </c>
      <c r="J54" s="230"/>
      <c r="K54" s="111"/>
      <c r="L54" s="87"/>
      <c r="M54" s="236"/>
      <c r="O54" s="3255">
        <v>1249444306</v>
      </c>
    </row>
    <row r="55" spans="1:15" outlineLevel="1" x14ac:dyDescent="0.3">
      <c r="A55" s="228"/>
      <c r="B55" s="84"/>
      <c r="C55" s="84"/>
      <c r="D55" s="233"/>
      <c r="E55" s="230"/>
      <c r="F55" s="234"/>
      <c r="G55" s="233"/>
      <c r="H55" s="230"/>
      <c r="I55" s="233"/>
      <c r="J55" s="230"/>
      <c r="K55" s="111"/>
      <c r="L55" s="87"/>
      <c r="M55" s="236"/>
      <c r="O55" s="3253"/>
    </row>
    <row r="56" spans="1:15" ht="13.5" outlineLevel="1" x14ac:dyDescent="0.3">
      <c r="A56" s="228"/>
      <c r="B56" s="130" t="s">
        <v>335</v>
      </c>
      <c r="C56" s="84"/>
      <c r="D56" s="233"/>
      <c r="E56" s="233"/>
      <c r="F56" s="233"/>
      <c r="G56" s="233"/>
      <c r="H56" s="233"/>
      <c r="I56" s="235"/>
      <c r="J56" s="230"/>
      <c r="K56" s="111"/>
      <c r="L56" s="88" t="s">
        <v>336</v>
      </c>
      <c r="M56" s="236"/>
      <c r="O56" s="3253"/>
    </row>
    <row r="57" spans="1:15" outlineLevel="1" x14ac:dyDescent="0.3">
      <c r="A57" s="228"/>
      <c r="B57" s="86" t="s">
        <v>190</v>
      </c>
      <c r="C57" s="261" t="s">
        <v>337</v>
      </c>
      <c r="D57" s="233">
        <f>RL!C183</f>
        <v>0</v>
      </c>
      <c r="E57" s="233"/>
      <c r="F57" s="233"/>
      <c r="G57" s="233">
        <v>0</v>
      </c>
      <c r="H57" s="233"/>
      <c r="I57" s="235">
        <f t="shared" ref="I57:I64" si="7">D57+O57</f>
        <v>0</v>
      </c>
      <c r="J57" s="230"/>
      <c r="K57" s="111" t="s">
        <v>338</v>
      </c>
      <c r="L57" s="237" t="s">
        <v>190</v>
      </c>
      <c r="M57" s="236"/>
      <c r="O57" s="3253">
        <v>0</v>
      </c>
    </row>
    <row r="58" spans="1:15" outlineLevel="1" x14ac:dyDescent="0.3">
      <c r="A58" s="228"/>
      <c r="B58" s="86" t="s">
        <v>190</v>
      </c>
      <c r="C58" s="261" t="s">
        <v>339</v>
      </c>
      <c r="D58" s="233">
        <f>RL!C169</f>
        <v>0</v>
      </c>
      <c r="E58" s="230"/>
      <c r="F58" s="234"/>
      <c r="G58" s="233">
        <v>0</v>
      </c>
      <c r="H58" s="230"/>
      <c r="I58" s="235">
        <f t="shared" si="7"/>
        <v>0</v>
      </c>
      <c r="J58" s="230"/>
      <c r="K58" s="111" t="s">
        <v>340</v>
      </c>
      <c r="L58" s="237" t="s">
        <v>190</v>
      </c>
      <c r="M58" s="236"/>
      <c r="O58" s="3253">
        <v>0</v>
      </c>
    </row>
    <row r="59" spans="1:15" outlineLevel="1" x14ac:dyDescent="0.3">
      <c r="A59" s="228"/>
      <c r="B59" s="86" t="s">
        <v>190</v>
      </c>
      <c r="C59" s="261" t="s">
        <v>3326</v>
      </c>
      <c r="D59" s="233">
        <f>RL!C174</f>
        <v>0</v>
      </c>
      <c r="E59" s="230"/>
      <c r="F59" s="234"/>
      <c r="G59" s="233">
        <v>0</v>
      </c>
      <c r="H59" s="230"/>
      <c r="I59" s="235">
        <f t="shared" si="7"/>
        <v>0</v>
      </c>
      <c r="J59" s="230"/>
      <c r="K59" s="262" t="s">
        <v>342</v>
      </c>
      <c r="L59" s="237" t="s">
        <v>190</v>
      </c>
      <c r="M59" s="236"/>
      <c r="O59" s="3253">
        <v>0</v>
      </c>
    </row>
    <row r="60" spans="1:15" outlineLevel="1" x14ac:dyDescent="0.3">
      <c r="A60" s="228"/>
      <c r="B60" s="86" t="s">
        <v>190</v>
      </c>
      <c r="C60" s="261" t="s">
        <v>3327</v>
      </c>
      <c r="D60" s="233">
        <f>RL!C188</f>
        <v>0</v>
      </c>
      <c r="E60" s="230"/>
      <c r="F60" s="234"/>
      <c r="G60" s="233">
        <v>0</v>
      </c>
      <c r="H60" s="230"/>
      <c r="I60" s="235">
        <f t="shared" si="7"/>
        <v>0</v>
      </c>
      <c r="J60" s="230"/>
      <c r="K60" s="262"/>
      <c r="L60" s="237"/>
      <c r="M60" s="236"/>
      <c r="O60" s="3253">
        <v>0</v>
      </c>
    </row>
    <row r="61" spans="1:15" outlineLevel="1" x14ac:dyDescent="0.3">
      <c r="A61" s="228"/>
      <c r="B61" s="86" t="s">
        <v>190</v>
      </c>
      <c r="C61" s="261" t="s">
        <v>343</v>
      </c>
      <c r="D61" s="233">
        <f>RL!C187+RL!C189</f>
        <v>0</v>
      </c>
      <c r="E61" s="230"/>
      <c r="F61" s="234"/>
      <c r="G61" s="233">
        <v>0</v>
      </c>
      <c r="H61" s="230"/>
      <c r="I61" s="235">
        <f t="shared" si="7"/>
        <v>0</v>
      </c>
      <c r="J61" s="230"/>
      <c r="K61" s="111" t="s">
        <v>344</v>
      </c>
      <c r="L61" s="237" t="s">
        <v>190</v>
      </c>
      <c r="M61" s="236"/>
      <c r="O61" s="3253">
        <v>0</v>
      </c>
    </row>
    <row r="62" spans="1:15" outlineLevel="1" x14ac:dyDescent="0.3">
      <c r="A62" s="228"/>
      <c r="B62" s="86" t="s">
        <v>190</v>
      </c>
      <c r="C62" s="261" t="s">
        <v>345</v>
      </c>
      <c r="D62" s="233">
        <f>RL!C178+RL!C179</f>
        <v>0</v>
      </c>
      <c r="E62" s="230"/>
      <c r="F62" s="234"/>
      <c r="G62" s="233">
        <v>0</v>
      </c>
      <c r="H62" s="230"/>
      <c r="I62" s="235">
        <f t="shared" si="7"/>
        <v>0</v>
      </c>
      <c r="J62" s="230"/>
      <c r="K62" s="111" t="s">
        <v>346</v>
      </c>
      <c r="L62" s="237" t="s">
        <v>190</v>
      </c>
      <c r="M62" s="236"/>
      <c r="O62" s="3253">
        <v>0</v>
      </c>
    </row>
    <row r="63" spans="1:15" outlineLevel="1" x14ac:dyDescent="0.3">
      <c r="A63" s="228"/>
      <c r="B63" s="86" t="s">
        <v>190</v>
      </c>
      <c r="C63" s="261" t="s">
        <v>347</v>
      </c>
      <c r="D63" s="233">
        <f>RL!C191</f>
        <v>0</v>
      </c>
      <c r="E63" s="230"/>
      <c r="F63" s="234"/>
      <c r="G63" s="233">
        <v>0</v>
      </c>
      <c r="H63" s="230"/>
      <c r="I63" s="235">
        <f t="shared" si="7"/>
        <v>0</v>
      </c>
      <c r="J63" s="230"/>
      <c r="K63" s="111" t="s">
        <v>3328</v>
      </c>
      <c r="L63" s="237"/>
      <c r="M63" s="236"/>
      <c r="O63" s="3253">
        <v>0</v>
      </c>
    </row>
    <row r="64" spans="1:15" outlineLevel="1" x14ac:dyDescent="0.3">
      <c r="A64" s="228"/>
      <c r="B64" s="86" t="s">
        <v>190</v>
      </c>
      <c r="C64" s="261" t="s">
        <v>3329</v>
      </c>
      <c r="D64" s="306">
        <f>RL!C227</f>
        <v>0</v>
      </c>
      <c r="E64" s="2203"/>
      <c r="F64" s="247"/>
      <c r="G64" s="306">
        <v>0</v>
      </c>
      <c r="H64" s="2203"/>
      <c r="I64" s="306">
        <f t="shared" si="7"/>
        <v>0</v>
      </c>
      <c r="J64" s="2202"/>
      <c r="K64" s="111" t="s">
        <v>350</v>
      </c>
      <c r="L64" s="237" t="s">
        <v>190</v>
      </c>
      <c r="M64" s="236"/>
      <c r="O64" s="3257">
        <v>0</v>
      </c>
    </row>
    <row r="65" spans="1:18" outlineLevel="1" x14ac:dyDescent="0.3">
      <c r="A65" s="228"/>
      <c r="B65" s="84"/>
      <c r="C65" s="261"/>
      <c r="D65" s="250">
        <f t="shared" ref="D65:I65" si="8">SUM(D57:D64)</f>
        <v>0</v>
      </c>
      <c r="E65" s="250">
        <f t="shared" si="8"/>
        <v>0</v>
      </c>
      <c r="F65" s="250">
        <f t="shared" si="8"/>
        <v>0</v>
      </c>
      <c r="G65" s="250">
        <v>0</v>
      </c>
      <c r="H65" s="250">
        <f t="shared" si="8"/>
        <v>0</v>
      </c>
      <c r="I65" s="250">
        <f t="shared" si="8"/>
        <v>0</v>
      </c>
      <c r="J65" s="230"/>
      <c r="K65" s="111"/>
      <c r="L65" s="87"/>
      <c r="M65" s="236"/>
      <c r="O65" s="3255">
        <v>0</v>
      </c>
    </row>
    <row r="66" spans="1:18" ht="13.5" outlineLevel="1" thickBot="1" x14ac:dyDescent="0.35">
      <c r="A66" s="228"/>
      <c r="B66" s="84"/>
      <c r="C66" s="261"/>
      <c r="D66" s="233"/>
      <c r="E66" s="230"/>
      <c r="F66" s="234"/>
      <c r="G66" s="233"/>
      <c r="H66" s="230"/>
      <c r="I66" s="235"/>
      <c r="J66" s="230"/>
      <c r="K66" s="271"/>
      <c r="L66" s="87"/>
      <c r="M66" s="236"/>
      <c r="O66" s="3253"/>
    </row>
    <row r="67" spans="1:18" ht="13.5" x14ac:dyDescent="0.3">
      <c r="A67" s="2204"/>
      <c r="B67" s="2205" t="s">
        <v>351</v>
      </c>
      <c r="C67" s="2206"/>
      <c r="D67" s="2207"/>
      <c r="E67" s="2208"/>
      <c r="F67" s="2209"/>
      <c r="G67" s="2207"/>
      <c r="H67" s="2208"/>
      <c r="I67" s="2210"/>
      <c r="J67" s="2208"/>
      <c r="K67" s="2211"/>
      <c r="L67" s="2212" t="s">
        <v>352</v>
      </c>
      <c r="M67" s="2213"/>
      <c r="O67" s="3258"/>
    </row>
    <row r="68" spans="1:18" ht="14" thickBot="1" x14ac:dyDescent="0.35">
      <c r="A68" s="295"/>
      <c r="B68" s="296" t="s">
        <v>353</v>
      </c>
      <c r="C68" s="2214"/>
      <c r="D68" s="442">
        <f>D65+D54+D44+D37+D36+D25</f>
        <v>627072350</v>
      </c>
      <c r="E68" s="442">
        <f>E65+E54+E44+E36+E25</f>
        <v>0</v>
      </c>
      <c r="F68" s="442">
        <f>F65+F54+F44+F36+F25</f>
        <v>0</v>
      </c>
      <c r="G68" s="442">
        <f>G65+G54+G44+G37+G36+G25</f>
        <v>678707218</v>
      </c>
      <c r="H68" s="2215"/>
      <c r="I68" s="442">
        <f>I65+I54+I44+I36+I25</f>
        <v>9848233310.3299999</v>
      </c>
      <c r="J68" s="2216"/>
      <c r="K68" s="2217"/>
      <c r="L68" s="304" t="s">
        <v>354</v>
      </c>
      <c r="M68" s="2218"/>
      <c r="O68" s="3259">
        <v>9221160960.3299999</v>
      </c>
    </row>
    <row r="69" spans="1:18" s="359" customFormat="1" x14ac:dyDescent="0.3">
      <c r="A69" s="353"/>
      <c r="B69" s="354"/>
      <c r="C69" s="354"/>
      <c r="D69" s="355">
        <f>D68-LR!E48</f>
        <v>0</v>
      </c>
      <c r="E69" s="356"/>
      <c r="F69" s="354"/>
      <c r="G69" s="355">
        <f>G68-'[6]9'!$D$68</f>
        <v>0</v>
      </c>
      <c r="H69" s="356"/>
      <c r="I69" s="355">
        <f>I68-LR!K48</f>
        <v>0</v>
      </c>
      <c r="J69" s="356"/>
      <c r="K69" s="358"/>
      <c r="L69" s="358"/>
      <c r="M69" s="358"/>
      <c r="O69" s="451"/>
      <c r="Q69" s="2219"/>
      <c r="R69" s="2219"/>
    </row>
    <row r="70" spans="1:18" s="2223" customFormat="1" x14ac:dyDescent="0.3">
      <c r="A70" s="381"/>
      <c r="B70" s="2220"/>
      <c r="C70" s="179"/>
      <c r="D70" s="214"/>
      <c r="E70" s="380"/>
      <c r="F70" s="2220"/>
      <c r="G70" s="379"/>
      <c r="H70" s="380"/>
      <c r="I70" s="379"/>
      <c r="J70" s="380"/>
      <c r="K70" s="2221"/>
      <c r="L70" s="2221"/>
      <c r="M70" s="2221"/>
      <c r="N70" s="2222"/>
      <c r="O70" s="2946">
        <f>O68-'[6]9'!$I$68</f>
        <v>0</v>
      </c>
      <c r="Q70" s="2224"/>
      <c r="R70" s="2224"/>
    </row>
    <row r="71" spans="1:18" x14ac:dyDescent="0.3">
      <c r="A71" s="362"/>
      <c r="B71" s="84"/>
      <c r="C71" s="179"/>
      <c r="D71" s="363"/>
      <c r="E71" s="2225"/>
      <c r="F71" s="393"/>
      <c r="G71" s="2226"/>
      <c r="H71" s="2225"/>
      <c r="I71" s="68"/>
      <c r="J71" s="215"/>
      <c r="L71" s="87"/>
      <c r="M71" s="517"/>
      <c r="N71" s="348"/>
      <c r="O71" s="87"/>
      <c r="P71" s="87"/>
    </row>
    <row r="72" spans="1:18" ht="12.75" customHeight="1" x14ac:dyDescent="0.3">
      <c r="A72" s="362"/>
      <c r="B72" s="84"/>
      <c r="C72" s="84"/>
      <c r="D72" s="368"/>
      <c r="E72" s="2227"/>
      <c r="F72" s="2153"/>
      <c r="G72" s="2228"/>
      <c r="H72" s="2227"/>
      <c r="I72" s="2153"/>
      <c r="J72" s="215"/>
      <c r="L72" s="87"/>
      <c r="M72" s="517"/>
      <c r="N72" s="348"/>
      <c r="O72" s="87"/>
      <c r="P72" s="87"/>
    </row>
    <row r="73" spans="1:18" x14ac:dyDescent="0.3">
      <c r="A73" s="362" t="str">
        <f>CLK!B681</f>
        <v>Catatan atas laporan keuangan merupakan bagian yang tidak terpisahkan dari laporan keuangan</v>
      </c>
      <c r="B73" s="84"/>
      <c r="C73" s="84"/>
      <c r="D73" s="368"/>
      <c r="E73" s="2227"/>
      <c r="F73" s="2153"/>
      <c r="G73" s="2228"/>
      <c r="H73" s="2227"/>
      <c r="I73" s="2153"/>
      <c r="J73" s="215"/>
      <c r="L73" s="2229"/>
      <c r="M73" s="517"/>
      <c r="N73" s="348"/>
      <c r="O73" s="87"/>
      <c r="P73" s="87"/>
    </row>
    <row r="74" spans="1:18" x14ac:dyDescent="0.3">
      <c r="A74" s="362"/>
      <c r="B74" s="84"/>
      <c r="C74" s="84"/>
      <c r="D74" s="368"/>
      <c r="E74" s="2227"/>
      <c r="F74" s="2153"/>
      <c r="G74" s="2228"/>
      <c r="H74" s="2227"/>
      <c r="I74" s="2153"/>
      <c r="J74" s="215"/>
      <c r="L74" s="87"/>
      <c r="M74" s="517"/>
      <c r="N74" s="348"/>
      <c r="O74" s="87"/>
      <c r="P74" s="87"/>
    </row>
    <row r="75" spans="1:18" s="2241" customFormat="1" ht="15.5" x14ac:dyDescent="0.35">
      <c r="A75" s="2230" t="str">
        <f>IN!C4</f>
        <v>Laporan Keuangan June 2026</v>
      </c>
      <c r="B75" s="2231"/>
      <c r="C75" s="2232"/>
      <c r="D75" s="2233"/>
      <c r="E75" s="514"/>
      <c r="F75" s="514"/>
      <c r="G75" s="2234">
        <v>18</v>
      </c>
      <c r="H75" s="2235"/>
      <c r="I75" s="514"/>
      <c r="J75" s="2236"/>
      <c r="K75" s="2237"/>
      <c r="L75" s="567" t="str">
        <f>IN!D4</f>
        <v>Financial Statement Jun 2026</v>
      </c>
      <c r="M75" s="2238"/>
      <c r="N75" s="2239"/>
      <c r="O75" s="462"/>
      <c r="P75" s="462"/>
      <c r="Q75" s="2240"/>
      <c r="R75" s="2240"/>
    </row>
    <row r="76" spans="1:18" x14ac:dyDescent="0.3">
      <c r="A76" s="63"/>
      <c r="B76" s="86"/>
      <c r="C76" s="86"/>
      <c r="D76" s="214"/>
      <c r="E76" s="215"/>
      <c r="F76" s="86"/>
      <c r="G76" s="214"/>
      <c r="H76" s="215"/>
      <c r="I76" s="214"/>
      <c r="J76" s="215"/>
    </row>
    <row r="77" spans="1:18" x14ac:dyDescent="0.3">
      <c r="A77" s="48"/>
      <c r="C77" s="43" t="s">
        <v>7641</v>
      </c>
      <c r="D77" s="3023">
        <f>D68-D54</f>
        <v>544500100</v>
      </c>
    </row>
    <row r="78" spans="1:18" x14ac:dyDescent="0.3">
      <c r="A78" s="48"/>
      <c r="C78" s="43" t="s">
        <v>7642</v>
      </c>
      <c r="D78" s="3023">
        <f>D54</f>
        <v>82572250</v>
      </c>
    </row>
    <row r="79" spans="1:18" x14ac:dyDescent="0.3">
      <c r="A79" s="48"/>
      <c r="I79" s="2242"/>
    </row>
    <row r="80" spans="1:18" x14ac:dyDescent="0.3">
      <c r="A80" s="48"/>
      <c r="K80" s="43"/>
      <c r="L80" s="43"/>
      <c r="M80" s="43"/>
      <c r="N80" s="43"/>
    </row>
    <row r="81" spans="1:14" x14ac:dyDescent="0.3">
      <c r="A81" s="48"/>
      <c r="K81" s="43"/>
      <c r="L81" s="43"/>
      <c r="M81" s="43"/>
      <c r="N81" s="43"/>
    </row>
    <row r="82" spans="1:14" x14ac:dyDescent="0.3">
      <c r="A82" s="48"/>
      <c r="K82" s="43"/>
      <c r="L82" s="43"/>
      <c r="M82" s="43"/>
      <c r="N82" s="43"/>
    </row>
    <row r="83" spans="1:14" x14ac:dyDescent="0.3">
      <c r="A83" s="48"/>
      <c r="K83" s="43"/>
      <c r="L83" s="43"/>
      <c r="M83" s="43"/>
      <c r="N83" s="43"/>
    </row>
    <row r="84" spans="1:14" x14ac:dyDescent="0.3">
      <c r="A84" s="48"/>
      <c r="K84" s="43"/>
      <c r="L84" s="43"/>
      <c r="M84" s="43"/>
      <c r="N84" s="43"/>
    </row>
    <row r="85" spans="1:14" x14ac:dyDescent="0.3">
      <c r="A85" s="48"/>
      <c r="K85" s="43"/>
      <c r="L85" s="43"/>
      <c r="M85" s="43"/>
      <c r="N85" s="43"/>
    </row>
    <row r="86" spans="1:14" x14ac:dyDescent="0.3">
      <c r="A86" s="48"/>
      <c r="K86" s="43"/>
      <c r="L86" s="43"/>
      <c r="M86" s="43"/>
      <c r="N86" s="43"/>
    </row>
    <row r="87" spans="1:14" x14ac:dyDescent="0.3">
      <c r="A87" s="48"/>
      <c r="K87" s="43"/>
      <c r="L87" s="43"/>
      <c r="M87" s="43"/>
      <c r="N87" s="43"/>
    </row>
    <row r="88" spans="1:14" x14ac:dyDescent="0.3">
      <c r="A88" s="48"/>
      <c r="K88" s="43"/>
      <c r="L88" s="43"/>
      <c r="M88" s="43"/>
      <c r="N88" s="43"/>
    </row>
    <row r="89" spans="1:14" x14ac:dyDescent="0.3">
      <c r="A89" s="48"/>
      <c r="K89" s="43"/>
      <c r="L89" s="43"/>
      <c r="M89" s="43"/>
      <c r="N89" s="43"/>
    </row>
    <row r="90" spans="1:14" x14ac:dyDescent="0.3">
      <c r="K90" s="43"/>
      <c r="L90" s="43"/>
      <c r="M90" s="43"/>
      <c r="N90" s="43"/>
    </row>
    <row r="91" spans="1:14" x14ac:dyDescent="0.3">
      <c r="K91" s="43"/>
      <c r="L91" s="43"/>
      <c r="M91" s="43"/>
      <c r="N91" s="43"/>
    </row>
  </sheetData>
  <mergeCells count="7">
    <mergeCell ref="A2:M2"/>
    <mergeCell ref="A4:M4"/>
    <mergeCell ref="B11:C12"/>
    <mergeCell ref="E11:E12"/>
    <mergeCell ref="H11:H12"/>
    <mergeCell ref="J11:J12"/>
    <mergeCell ref="K11:M1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S117"/>
  <sheetViews>
    <sheetView topLeftCell="A85" zoomScale="90" zoomScaleNormal="90" workbookViewId="0">
      <selection activeCell="D15" sqref="D15:D103"/>
    </sheetView>
  </sheetViews>
  <sheetFormatPr defaultColWidth="9.1796875" defaultRowHeight="13" outlineLevelRow="1" x14ac:dyDescent="0.3"/>
  <cols>
    <col min="1" max="1" width="2.7265625" style="2261" customWidth="1"/>
    <col min="2" max="2" width="1.81640625" style="2261" customWidth="1"/>
    <col min="3" max="3" width="27.26953125" style="2261" customWidth="1"/>
    <col min="4" max="4" width="16.54296875" style="2262" customWidth="1"/>
    <col min="5" max="5" width="6.6328125" style="2263" customWidth="1"/>
    <col min="6" max="6" width="16.54296875" style="2262" customWidth="1"/>
    <col min="7" max="7" width="3.26953125" style="2264" customWidth="1"/>
    <col min="8" max="8" width="16.54296875" style="2262" customWidth="1"/>
    <col min="9" max="9" width="7.36328125" style="2264" customWidth="1"/>
    <col min="10" max="10" width="27.26953125" style="2262" customWidth="1"/>
    <col min="11" max="11" width="1.81640625" style="2265" customWidth="1"/>
    <col min="12" max="12" width="2.7265625" style="2266" customWidth="1"/>
    <col min="13" max="13" width="9" style="2197" customWidth="1"/>
    <col min="14" max="14" width="19.1796875" style="2197" customWidth="1"/>
    <col min="15" max="15" width="1" style="2197" customWidth="1"/>
    <col min="16" max="16" width="10.1796875" style="2197" customWidth="1"/>
    <col min="17" max="17" width="10.7265625" style="2197" customWidth="1"/>
    <col min="18" max="18" width="17.1796875" style="2197" customWidth="1"/>
    <col min="19" max="19" width="9.1796875" style="2197"/>
    <col min="20" max="24" width="16.26953125" style="2197" customWidth="1"/>
    <col min="25" max="16384" width="9.1796875" style="2197"/>
  </cols>
  <sheetData>
    <row r="2" spans="1:14" s="2267" customFormat="1" ht="14" x14ac:dyDescent="0.3">
      <c r="A2" s="3881" t="s">
        <v>7325</v>
      </c>
      <c r="B2" s="3881"/>
      <c r="C2" s="3881"/>
      <c r="D2" s="3881"/>
      <c r="E2" s="3881"/>
      <c r="F2" s="3881"/>
      <c r="G2" s="3881"/>
      <c r="H2" s="3881"/>
      <c r="I2" s="3881"/>
      <c r="J2" s="3881"/>
      <c r="K2" s="3881"/>
      <c r="L2" s="3881"/>
    </row>
    <row r="3" spans="1:14" s="2267" customFormat="1" ht="14" x14ac:dyDescent="0.3">
      <c r="A3" s="2268"/>
      <c r="B3" s="2268"/>
      <c r="C3" s="2268"/>
      <c r="D3" s="2269"/>
      <c r="E3" s="2270"/>
      <c r="F3" s="2269"/>
      <c r="G3" s="2264"/>
      <c r="H3" s="2269"/>
      <c r="I3" s="2264"/>
      <c r="J3" s="2269"/>
      <c r="K3" s="2271"/>
      <c r="L3" s="2272"/>
    </row>
    <row r="4" spans="1:14" s="2267" customFormat="1" ht="14" x14ac:dyDescent="0.3">
      <c r="A4" s="3872" t="s">
        <v>6576</v>
      </c>
      <c r="B4" s="3872"/>
      <c r="C4" s="3872"/>
      <c r="D4" s="3872"/>
      <c r="E4" s="3872"/>
      <c r="F4" s="3872"/>
      <c r="G4" s="3872"/>
      <c r="H4" s="3872"/>
      <c r="I4" s="3872"/>
      <c r="J4" s="3872"/>
      <c r="K4" s="3872"/>
      <c r="L4" s="3872"/>
    </row>
    <row r="5" spans="1:14" s="2267" customFormat="1" ht="14" x14ac:dyDescent="0.3">
      <c r="A5" s="1734" t="s">
        <v>6577</v>
      </c>
      <c r="B5" s="1734"/>
      <c r="C5" s="2268"/>
      <c r="D5" s="2269"/>
      <c r="E5" s="2270"/>
      <c r="F5" s="2269"/>
      <c r="G5" s="2264"/>
      <c r="H5" s="2269"/>
      <c r="I5" s="2264"/>
      <c r="J5" s="2269"/>
      <c r="K5" s="2271"/>
      <c r="L5" s="82" t="s">
        <v>6578</v>
      </c>
    </row>
    <row r="6" spans="1:14" s="2267" customFormat="1" ht="14" x14ac:dyDescent="0.3">
      <c r="A6" s="1734" t="str">
        <f>'9'!A6</f>
        <v>Untuk Bulan yang Berakhir 30 June 2026</v>
      </c>
      <c r="B6" s="1734"/>
      <c r="C6" s="2273"/>
      <c r="D6" s="2273"/>
      <c r="E6" s="2273"/>
      <c r="F6" s="2273"/>
      <c r="G6" s="2274"/>
      <c r="H6" s="2273"/>
      <c r="I6" s="2274"/>
      <c r="J6" s="2273"/>
      <c r="K6" s="2272"/>
      <c r="L6" s="82" t="str">
        <f>'9'!L6</f>
        <v>For The Month Ended Jun 2026</v>
      </c>
    </row>
    <row r="7" spans="1:14" s="2267" customFormat="1" ht="14" x14ac:dyDescent="0.3">
      <c r="A7" s="2350" t="str">
        <f>'9'!A7</f>
        <v>(Dengan perbandingan informasi keuangan untuk bulan yang berakhir 31 May 2026 /</v>
      </c>
      <c r="B7" s="1734"/>
      <c r="C7" s="2275"/>
      <c r="D7" s="2275"/>
      <c r="E7" s="2273"/>
      <c r="F7" s="2275"/>
      <c r="G7" s="2274"/>
      <c r="H7" s="2275"/>
      <c r="I7" s="2274"/>
      <c r="J7" s="2275"/>
      <c r="K7" s="2271"/>
      <c r="L7" s="82" t="str">
        <f>'9'!L7</f>
        <v>With Comparative financial information for the month ended May 31, 2026 )</v>
      </c>
    </row>
    <row r="8" spans="1:14" s="2267" customFormat="1" ht="14" x14ac:dyDescent="0.3">
      <c r="A8" s="1734"/>
      <c r="B8" s="1734"/>
      <c r="C8" s="2275"/>
      <c r="D8" s="2275"/>
      <c r="E8" s="2273"/>
      <c r="F8" s="2275"/>
      <c r="G8" s="2274"/>
      <c r="H8" s="2275"/>
      <c r="I8" s="2274"/>
      <c r="J8" s="2275"/>
      <c r="K8" s="2271"/>
      <c r="L8" s="82"/>
    </row>
    <row r="9" spans="1:14" s="2267" customFormat="1" ht="14" x14ac:dyDescent="0.3">
      <c r="A9" s="213" t="s">
        <v>6579</v>
      </c>
      <c r="B9" s="213"/>
      <c r="C9" s="2273"/>
      <c r="D9" s="2273"/>
      <c r="E9" s="2273"/>
      <c r="F9" s="2273"/>
      <c r="G9" s="2274"/>
      <c r="H9" s="2273"/>
      <c r="I9" s="2274"/>
      <c r="J9" s="2273"/>
      <c r="K9" s="2272"/>
      <c r="L9" s="82" t="s">
        <v>177</v>
      </c>
      <c r="N9" s="2267" t="s">
        <v>6580</v>
      </c>
    </row>
    <row r="10" spans="1:14" ht="14" thickBot="1" x14ac:dyDescent="0.4">
      <c r="A10" s="2014"/>
      <c r="B10" s="2014"/>
      <c r="C10" s="2276"/>
      <c r="H10" s="2259"/>
      <c r="I10" s="2277"/>
      <c r="J10" s="2259"/>
      <c r="K10" s="2278"/>
    </row>
    <row r="11" spans="1:14" ht="13.5" thickBot="1" x14ac:dyDescent="0.35">
      <c r="A11" s="3882" t="s">
        <v>6581</v>
      </c>
      <c r="B11" s="3882"/>
      <c r="C11" s="3882"/>
      <c r="D11" s="2279" t="str">
        <f>'9'!D11</f>
        <v>30 June 2026/</v>
      </c>
      <c r="E11" s="3883" t="s">
        <v>295</v>
      </c>
      <c r="F11" s="2279" t="str">
        <f>'9'!G11</f>
        <v>31 May 2026/</v>
      </c>
      <c r="G11" s="3883" t="s">
        <v>295</v>
      </c>
      <c r="H11" s="2280" t="str">
        <f>'9'!I11</f>
        <v>sd 30 June 2026/</v>
      </c>
      <c r="I11" s="3883" t="s">
        <v>295</v>
      </c>
      <c r="J11" s="3884" t="s">
        <v>180</v>
      </c>
      <c r="K11" s="3884"/>
      <c r="L11" s="3884"/>
      <c r="N11" s="2937" t="str">
        <f>"sd "&amp;(F11)</f>
        <v>sd 31 May 2026/</v>
      </c>
    </row>
    <row r="12" spans="1:14" ht="14" thickBot="1" x14ac:dyDescent="0.35">
      <c r="A12" s="3882"/>
      <c r="B12" s="3882"/>
      <c r="C12" s="3882"/>
      <c r="D12" s="2281">
        <f>'9'!D12</f>
        <v>46203</v>
      </c>
      <c r="E12" s="3883"/>
      <c r="F12" s="2282">
        <f>'9'!G12</f>
        <v>46173</v>
      </c>
      <c r="G12" s="3883"/>
      <c r="H12" s="2916">
        <f>'9'!I12</f>
        <v>46203</v>
      </c>
      <c r="I12" s="3883"/>
      <c r="J12" s="3884"/>
      <c r="K12" s="3884"/>
      <c r="L12" s="3884"/>
      <c r="N12" s="2938">
        <f>F12</f>
        <v>46173</v>
      </c>
    </row>
    <row r="13" spans="1:14" ht="13.5" x14ac:dyDescent="0.35">
      <c r="A13" s="862" t="s">
        <v>371</v>
      </c>
      <c r="B13" s="84"/>
      <c r="C13" s="98"/>
      <c r="D13" s="2283"/>
      <c r="E13" s="2284"/>
      <c r="F13" s="2283"/>
      <c r="G13" s="2285"/>
      <c r="H13" s="2286"/>
      <c r="I13" s="2287"/>
      <c r="J13" s="2286"/>
      <c r="K13" s="87"/>
      <c r="L13" s="2288" t="s">
        <v>372</v>
      </c>
      <c r="N13" s="2927"/>
    </row>
    <row r="14" spans="1:14" s="2293" customFormat="1" ht="13.5" x14ac:dyDescent="0.35">
      <c r="A14" s="862" t="s">
        <v>373</v>
      </c>
      <c r="B14" s="130"/>
      <c r="C14" s="98"/>
      <c r="D14" s="140"/>
      <c r="E14" s="2289"/>
      <c r="F14" s="140"/>
      <c r="G14" s="2290"/>
      <c r="H14" s="2291"/>
      <c r="I14" s="2292"/>
      <c r="J14" s="2291"/>
      <c r="K14" s="88"/>
      <c r="L14" s="2288" t="s">
        <v>374</v>
      </c>
      <c r="N14" s="2928"/>
    </row>
    <row r="15" spans="1:14" outlineLevel="1" x14ac:dyDescent="0.3">
      <c r="A15" s="334" t="s">
        <v>190</v>
      </c>
      <c r="B15" s="109" t="s">
        <v>6582</v>
      </c>
      <c r="C15" s="109"/>
      <c r="D15" s="2283">
        <f>IF(B15="","",SUM(SDITQ))</f>
        <v>0</v>
      </c>
      <c r="E15" s="2294"/>
      <c r="F15" s="2283">
        <v>0</v>
      </c>
      <c r="G15" s="2285"/>
      <c r="H15" s="2295">
        <f>D15+N15</f>
        <v>0</v>
      </c>
      <c r="I15" s="2287"/>
      <c r="J15" s="2286"/>
      <c r="K15" s="87" t="s">
        <v>6583</v>
      </c>
      <c r="L15" s="2296" t="s">
        <v>190</v>
      </c>
      <c r="N15" s="2929">
        <v>0</v>
      </c>
    </row>
    <row r="16" spans="1:14" x14ac:dyDescent="0.3">
      <c r="A16" s="334" t="s">
        <v>190</v>
      </c>
      <c r="B16" s="109" t="s">
        <v>6584</v>
      </c>
      <c r="C16" s="109"/>
      <c r="D16" s="2283">
        <f>IF(B16="","",SUM(MTS))</f>
        <v>7361800</v>
      </c>
      <c r="E16" s="3351">
        <f>D16/D$110</f>
        <v>1.2431654089373365E-2</v>
      </c>
      <c r="F16" s="2283">
        <v>13195900</v>
      </c>
      <c r="G16" s="2285"/>
      <c r="H16" s="2295">
        <f>D16+N16</f>
        <v>93926600</v>
      </c>
      <c r="I16" s="3357">
        <f>H16/H$106</f>
        <v>1.0543196617123616E-2</v>
      </c>
      <c r="J16" s="2286"/>
      <c r="K16" s="87" t="s">
        <v>6585</v>
      </c>
      <c r="L16" s="2296" t="s">
        <v>190</v>
      </c>
      <c r="N16" s="2930">
        <v>86564800</v>
      </c>
    </row>
    <row r="17" spans="1:19" x14ac:dyDescent="0.3">
      <c r="A17" s="334" t="s">
        <v>190</v>
      </c>
      <c r="B17" s="109" t="s">
        <v>6586</v>
      </c>
      <c r="C17" s="1404"/>
      <c r="D17" s="2283">
        <f>IF(B17="","",SUM(MA))</f>
        <v>6216400</v>
      </c>
      <c r="E17" s="3351">
        <f>D17/D$110</f>
        <v>1.0497450960523321E-2</v>
      </c>
      <c r="F17" s="2283">
        <v>40423900</v>
      </c>
      <c r="G17" s="2285"/>
      <c r="H17" s="2295">
        <f>D17+N17</f>
        <v>192642500</v>
      </c>
      <c r="I17" s="3357">
        <f>H17/H$106</f>
        <v>2.1623988884024718E-2</v>
      </c>
      <c r="J17" s="2286"/>
      <c r="K17" s="87" t="s">
        <v>6587</v>
      </c>
      <c r="L17" s="2296" t="s">
        <v>190</v>
      </c>
      <c r="N17" s="2930">
        <v>186426100</v>
      </c>
    </row>
    <row r="18" spans="1:19" x14ac:dyDescent="0.3">
      <c r="A18" s="334"/>
      <c r="B18" s="86"/>
      <c r="C18" s="109"/>
      <c r="D18" s="2297">
        <f>SUM(D15:D17)</f>
        <v>13578200</v>
      </c>
      <c r="E18" s="3355">
        <f>SUM(E15:E17)</f>
        <v>2.2929105049896686E-2</v>
      </c>
      <c r="F18" s="2297">
        <v>53619800</v>
      </c>
      <c r="G18" s="2297"/>
      <c r="H18" s="2297">
        <f>SUM(H15:H17)</f>
        <v>286569100</v>
      </c>
      <c r="I18" s="3355">
        <f>SUM(I15:I17)</f>
        <v>3.2167185501148332E-2</v>
      </c>
      <c r="J18" s="2286"/>
      <c r="K18" s="87"/>
      <c r="L18" s="2298"/>
      <c r="N18" s="2931">
        <v>272990900</v>
      </c>
    </row>
    <row r="19" spans="1:19" s="2293" customFormat="1" ht="13.5" x14ac:dyDescent="0.35">
      <c r="A19" s="862" t="s">
        <v>375</v>
      </c>
      <c r="B19" s="130"/>
      <c r="C19" s="98"/>
      <c r="D19" s="140"/>
      <c r="E19" s="2299"/>
      <c r="F19" s="140"/>
      <c r="G19" s="2290"/>
      <c r="H19" s="2291"/>
      <c r="I19" s="3360"/>
      <c r="J19" s="2291"/>
      <c r="K19" s="88"/>
      <c r="L19" s="2288" t="s">
        <v>376</v>
      </c>
      <c r="M19" s="2197"/>
      <c r="N19" s="2932"/>
      <c r="P19" s="2293">
        <v>52000</v>
      </c>
      <c r="Q19" s="2293" t="s">
        <v>3928</v>
      </c>
    </row>
    <row r="20" spans="1:19" x14ac:dyDescent="0.3">
      <c r="A20" s="334" t="s">
        <v>190</v>
      </c>
      <c r="B20" s="84" t="s">
        <v>6588</v>
      </c>
      <c r="C20" s="109"/>
      <c r="D20" s="2283">
        <f>IF(OR(B20="",A20=""),"",SUM(Dakwah))</f>
        <v>0</v>
      </c>
      <c r="E20" s="2294"/>
      <c r="F20" s="2283">
        <v>76000</v>
      </c>
      <c r="G20" s="2285"/>
      <c r="H20" s="2295">
        <f>D20+N20</f>
        <v>223000</v>
      </c>
      <c r="I20" s="3357">
        <f>H20/H$106</f>
        <v>2.503159749866988E-5</v>
      </c>
      <c r="J20" s="2286"/>
      <c r="K20" s="87" t="s">
        <v>6589</v>
      </c>
      <c r="L20" s="2296" t="s">
        <v>190</v>
      </c>
      <c r="N20" s="2930">
        <v>223000</v>
      </c>
      <c r="Q20" s="2197">
        <v>52100</v>
      </c>
      <c r="R20" s="2197" t="s">
        <v>3929</v>
      </c>
    </row>
    <row r="21" spans="1:19" outlineLevel="1" x14ac:dyDescent="0.3">
      <c r="A21" s="334" t="s">
        <v>190</v>
      </c>
      <c r="B21" s="84" t="s">
        <v>6590</v>
      </c>
      <c r="C21" s="109"/>
      <c r="D21" s="2283">
        <f>IF(B21="","",SUM(Sosial))</f>
        <v>140000</v>
      </c>
      <c r="E21" s="2294"/>
      <c r="F21" s="2283">
        <v>72197100</v>
      </c>
      <c r="G21" s="2285"/>
      <c r="H21" s="2295">
        <f>D21+N21</f>
        <v>284629400</v>
      </c>
      <c r="I21" s="3357">
        <f t="shared" ref="I21:I23" si="0">H21/H$106</f>
        <v>3.1949455502636365E-2</v>
      </c>
      <c r="J21" s="2286"/>
      <c r="K21" s="87" t="s">
        <v>1006</v>
      </c>
      <c r="L21" s="2296" t="s">
        <v>190</v>
      </c>
      <c r="N21" s="2930">
        <v>284489400</v>
      </c>
      <c r="Q21" s="2197">
        <v>52200</v>
      </c>
      <c r="R21" s="2197" t="s">
        <v>3941</v>
      </c>
    </row>
    <row r="22" spans="1:19" outlineLevel="1" x14ac:dyDescent="0.3">
      <c r="A22" s="334" t="s">
        <v>190</v>
      </c>
      <c r="B22" s="84" t="s">
        <v>6591</v>
      </c>
      <c r="C22" s="109"/>
      <c r="D22" s="2283">
        <f>IF(B22="","",SUM(Radio))</f>
        <v>0</v>
      </c>
      <c r="E22" s="2294"/>
      <c r="F22" s="2283">
        <v>0</v>
      </c>
      <c r="G22" s="2285"/>
      <c r="H22" s="2295">
        <f>D22+N22</f>
        <v>0</v>
      </c>
      <c r="I22" s="3357">
        <f t="shared" si="0"/>
        <v>0</v>
      </c>
      <c r="J22" s="2286"/>
      <c r="K22" s="87"/>
      <c r="L22" s="2296"/>
      <c r="N22" s="2930">
        <v>0</v>
      </c>
      <c r="Q22" s="2197">
        <v>52300</v>
      </c>
      <c r="R22" s="2197" t="s">
        <v>3956</v>
      </c>
    </row>
    <row r="23" spans="1:19" outlineLevel="1" x14ac:dyDescent="0.3">
      <c r="A23" s="334" t="s">
        <v>190</v>
      </c>
      <c r="B23" s="84" t="s">
        <v>6592</v>
      </c>
      <c r="C23" s="109"/>
      <c r="D23" s="2300">
        <f>IF(B23="","",SUM(Humas))</f>
        <v>1250000</v>
      </c>
      <c r="E23" s="2301"/>
      <c r="F23" s="155">
        <v>15298000</v>
      </c>
      <c r="G23" s="2302"/>
      <c r="H23" s="2303">
        <f>D23+N23</f>
        <v>163528500</v>
      </c>
      <c r="I23" s="3362">
        <f t="shared" si="0"/>
        <v>1.8355962293996581E-2</v>
      </c>
      <c r="J23" s="2286"/>
      <c r="K23" s="87" t="s">
        <v>6591</v>
      </c>
      <c r="L23" s="2296" t="s">
        <v>190</v>
      </c>
      <c r="M23" s="2197" t="s">
        <v>8237</v>
      </c>
      <c r="N23" s="2933">
        <v>162278500</v>
      </c>
      <c r="Q23" s="2197">
        <v>52400</v>
      </c>
      <c r="R23" s="2197" t="s">
        <v>3965</v>
      </c>
    </row>
    <row r="24" spans="1:19" s="2293" customFormat="1" ht="13.5" x14ac:dyDescent="0.35">
      <c r="A24" s="862"/>
      <c r="B24" s="130"/>
      <c r="C24" s="98"/>
      <c r="D24" s="140">
        <f>SUM(D20:D23)</f>
        <v>1390000</v>
      </c>
      <c r="E24" s="140"/>
      <c r="F24" s="140">
        <v>87571100</v>
      </c>
      <c r="G24" s="2290"/>
      <c r="H24" s="140">
        <f>SUM(H20:H23)</f>
        <v>448380900</v>
      </c>
      <c r="I24" s="3353">
        <f>SUM(I20:I23)</f>
        <v>5.0330449394131616E-2</v>
      </c>
      <c r="J24" s="2291"/>
      <c r="K24" s="88"/>
      <c r="L24" s="2288"/>
      <c r="M24" s="2197"/>
      <c r="N24" s="2934">
        <v>446990900</v>
      </c>
    </row>
    <row r="25" spans="1:19" s="2293" customFormat="1" ht="13.5" outlineLevel="1" x14ac:dyDescent="0.35">
      <c r="A25" s="862" t="s">
        <v>377</v>
      </c>
      <c r="B25" s="130"/>
      <c r="C25" s="98"/>
      <c r="D25" s="140"/>
      <c r="E25" s="2299"/>
      <c r="F25" s="140"/>
      <c r="G25" s="2290"/>
      <c r="H25" s="2291"/>
      <c r="I25" s="3360"/>
      <c r="J25" s="2291"/>
      <c r="K25" s="88"/>
      <c r="L25" s="2288" t="s">
        <v>378</v>
      </c>
      <c r="M25" s="2197"/>
      <c r="N25" s="2932"/>
      <c r="P25" s="2293">
        <v>53000</v>
      </c>
      <c r="Q25" s="2293" t="s">
        <v>6671</v>
      </c>
    </row>
    <row r="26" spans="1:19" outlineLevel="1" x14ac:dyDescent="0.3">
      <c r="A26" s="334" t="s">
        <v>190</v>
      </c>
      <c r="B26" s="84" t="s">
        <v>3114</v>
      </c>
      <c r="C26" s="109"/>
      <c r="D26" s="2283">
        <f>IF(B26="","",SUM(Perpustakaan))</f>
        <v>0</v>
      </c>
      <c r="E26" s="2294"/>
      <c r="F26" s="2283">
        <v>0</v>
      </c>
      <c r="G26" s="2285"/>
      <c r="H26" s="2295">
        <f>D26+N26</f>
        <v>4165000</v>
      </c>
      <c r="I26" s="3357">
        <f>H26/H$106</f>
        <v>4.6751840171282538E-4</v>
      </c>
      <c r="J26" s="2286"/>
      <c r="K26" s="87" t="s">
        <v>6593</v>
      </c>
      <c r="L26" s="2296" t="s">
        <v>190</v>
      </c>
      <c r="N26" s="2930">
        <v>4165000</v>
      </c>
      <c r="Q26" s="2304">
        <v>53100</v>
      </c>
      <c r="R26" s="2304" t="s">
        <v>3978</v>
      </c>
      <c r="S26" s="2304"/>
    </row>
    <row r="27" spans="1:19" outlineLevel="1" x14ac:dyDescent="0.3">
      <c r="A27" s="334" t="s">
        <v>190</v>
      </c>
      <c r="B27" s="84" t="s">
        <v>6594</v>
      </c>
      <c r="C27" s="109"/>
      <c r="D27" s="134">
        <f>IF(B27="","",SUM(Audio))</f>
        <v>0</v>
      </c>
      <c r="E27" s="2301"/>
      <c r="F27" s="155">
        <v>0</v>
      </c>
      <c r="G27" s="2302"/>
      <c r="H27" s="2305">
        <f>D27+N27</f>
        <v>0</v>
      </c>
      <c r="I27" s="3362">
        <f>H27/H$106</f>
        <v>0</v>
      </c>
      <c r="J27" s="2286"/>
      <c r="K27" s="87" t="s">
        <v>6594</v>
      </c>
      <c r="L27" s="2296" t="s">
        <v>190</v>
      </c>
      <c r="N27" s="2935">
        <v>0</v>
      </c>
      <c r="Q27" s="2304">
        <v>53200</v>
      </c>
      <c r="R27" s="2304" t="s">
        <v>3983</v>
      </c>
      <c r="S27" s="2304"/>
    </row>
    <row r="28" spans="1:19" outlineLevel="1" x14ac:dyDescent="0.3">
      <c r="A28" s="863"/>
      <c r="B28" s="84"/>
      <c r="C28" s="109"/>
      <c r="D28" s="140">
        <f>SUM(D25:D27)</f>
        <v>0</v>
      </c>
      <c r="E28" s="140"/>
      <c r="F28" s="140">
        <v>0</v>
      </c>
      <c r="G28" s="2290"/>
      <c r="H28" s="140">
        <f>SUM(H26:H27)</f>
        <v>4165000</v>
      </c>
      <c r="I28" s="3353">
        <f>SUM(I26:I27)</f>
        <v>4.6751840171282538E-4</v>
      </c>
      <c r="J28" s="2286"/>
      <c r="K28" s="87"/>
      <c r="L28" s="2298"/>
      <c r="N28" s="2934">
        <v>4165000</v>
      </c>
      <c r="Q28" s="2197">
        <v>53300</v>
      </c>
      <c r="R28" s="2197" t="s">
        <v>3991</v>
      </c>
    </row>
    <row r="29" spans="1:19" s="2293" customFormat="1" ht="13.5" x14ac:dyDescent="0.35">
      <c r="A29" s="862" t="s">
        <v>379</v>
      </c>
      <c r="B29" s="130"/>
      <c r="C29" s="98"/>
      <c r="D29" s="140"/>
      <c r="E29" s="2299"/>
      <c r="F29" s="140"/>
      <c r="G29" s="2290"/>
      <c r="H29" s="2291"/>
      <c r="I29" s="3360"/>
      <c r="J29" s="2291"/>
      <c r="K29" s="88"/>
      <c r="L29" s="2288" t="s">
        <v>6595</v>
      </c>
      <c r="M29" s="2197"/>
      <c r="N29" s="2932"/>
      <c r="Q29" s="2293">
        <v>53400</v>
      </c>
      <c r="R29" s="2293" t="s">
        <v>4003</v>
      </c>
    </row>
    <row r="30" spans="1:19" x14ac:dyDescent="0.3">
      <c r="A30" s="334" t="s">
        <v>190</v>
      </c>
      <c r="B30" s="84" t="s">
        <v>6596</v>
      </c>
      <c r="C30" s="109"/>
      <c r="D30" s="2283">
        <f>IF(B30="","",SUM(Jummiyah))</f>
        <v>6265000</v>
      </c>
      <c r="E30" s="2294"/>
      <c r="F30" s="2283">
        <v>2946400</v>
      </c>
      <c r="G30" s="2285"/>
      <c r="H30" s="2295">
        <f t="shared" ref="H30:H41" si="1">D30+N30</f>
        <v>32977000</v>
      </c>
      <c r="I30" s="3357">
        <f>H30/H$106</f>
        <v>3.7016456982674291E-3</v>
      </c>
      <c r="J30" s="2286"/>
      <c r="K30" s="87" t="s">
        <v>6597</v>
      </c>
      <c r="L30" s="2296" t="s">
        <v>190</v>
      </c>
      <c r="N30" s="2930">
        <v>26712000</v>
      </c>
      <c r="Q30" s="2197">
        <v>53500</v>
      </c>
      <c r="R30" s="2197" t="s">
        <v>4005</v>
      </c>
    </row>
    <row r="31" spans="1:19" outlineLevel="1" x14ac:dyDescent="0.3">
      <c r="A31" s="334" t="s">
        <v>190</v>
      </c>
      <c r="B31" s="84" t="s">
        <v>6588</v>
      </c>
      <c r="C31" s="109"/>
      <c r="D31" s="2283">
        <f>IF(B31="","",SUM(Daksan))</f>
        <v>0</v>
      </c>
      <c r="E31" s="2294"/>
      <c r="F31" s="2283">
        <v>0</v>
      </c>
      <c r="G31" s="2285"/>
      <c r="H31" s="2295">
        <f t="shared" si="1"/>
        <v>0</v>
      </c>
      <c r="I31" s="3357">
        <f t="shared" ref="I31:I41" si="2">H31/H$106</f>
        <v>0</v>
      </c>
      <c r="J31" s="2286"/>
      <c r="K31" s="87" t="s">
        <v>6598</v>
      </c>
      <c r="L31" s="2296" t="s">
        <v>190</v>
      </c>
      <c r="N31" s="2930">
        <v>0</v>
      </c>
      <c r="Q31" s="2197">
        <v>53600</v>
      </c>
      <c r="R31" s="2197" t="s">
        <v>4007</v>
      </c>
    </row>
    <row r="32" spans="1:19" outlineLevel="1" x14ac:dyDescent="0.3">
      <c r="A32" s="334" t="s">
        <v>190</v>
      </c>
      <c r="B32" s="84" t="s">
        <v>6599</v>
      </c>
      <c r="C32" s="109"/>
      <c r="D32" s="2283">
        <f>IF(B32="","",SUM(ORsan))</f>
        <v>0</v>
      </c>
      <c r="E32" s="2294"/>
      <c r="F32" s="2283">
        <v>0</v>
      </c>
      <c r="G32" s="2285"/>
      <c r="H32" s="2295">
        <f t="shared" si="1"/>
        <v>556900</v>
      </c>
      <c r="I32" s="3357">
        <f t="shared" si="2"/>
        <v>6.2511644156992176E-5</v>
      </c>
      <c r="J32" s="2286"/>
      <c r="K32" s="87" t="s">
        <v>6600</v>
      </c>
      <c r="L32" s="2296" t="s">
        <v>190</v>
      </c>
      <c r="N32" s="2930">
        <v>556900</v>
      </c>
      <c r="Q32" s="2197">
        <v>53700</v>
      </c>
      <c r="R32" s="2197" t="s">
        <v>4011</v>
      </c>
    </row>
    <row r="33" spans="1:19" x14ac:dyDescent="0.3">
      <c r="A33" s="334" t="s">
        <v>190</v>
      </c>
      <c r="B33" s="84" t="s">
        <v>3112</v>
      </c>
      <c r="C33" s="109"/>
      <c r="D33" s="2283"/>
      <c r="E33" s="2294"/>
      <c r="F33" s="2283"/>
      <c r="G33" s="2285"/>
      <c r="H33" s="2295">
        <f t="shared" si="1"/>
        <v>0</v>
      </c>
      <c r="I33" s="3357">
        <f t="shared" si="2"/>
        <v>0</v>
      </c>
      <c r="J33" s="2286"/>
      <c r="K33" s="87" t="s">
        <v>6601</v>
      </c>
      <c r="L33" s="2296" t="s">
        <v>190</v>
      </c>
      <c r="N33" s="2930">
        <v>0</v>
      </c>
      <c r="P33" s="2197">
        <v>54000</v>
      </c>
      <c r="Q33" s="2304" t="s">
        <v>4021</v>
      </c>
      <c r="R33" s="2304"/>
      <c r="S33" s="2304"/>
    </row>
    <row r="34" spans="1:19" x14ac:dyDescent="0.3">
      <c r="A34" s="334"/>
      <c r="B34" s="2306" t="s">
        <v>6602</v>
      </c>
      <c r="C34" s="2307" t="s">
        <v>3112</v>
      </c>
      <c r="D34" s="2283">
        <f>IF(B34="","",SUM(KepengasuhanSDITQ))</f>
        <v>0</v>
      </c>
      <c r="E34" s="2294"/>
      <c r="F34" s="2283">
        <v>0</v>
      </c>
      <c r="G34" s="2285"/>
      <c r="H34" s="2295">
        <f t="shared" si="1"/>
        <v>0</v>
      </c>
      <c r="I34" s="3357">
        <f t="shared" si="2"/>
        <v>0</v>
      </c>
      <c r="J34" s="2286"/>
      <c r="K34" s="87"/>
      <c r="L34" s="2296"/>
      <c r="N34" s="2930">
        <v>0</v>
      </c>
      <c r="Q34" s="2304"/>
      <c r="R34" s="2304"/>
      <c r="S34" s="2304"/>
    </row>
    <row r="35" spans="1:19" x14ac:dyDescent="0.3">
      <c r="A35" s="334"/>
      <c r="B35" s="2306" t="s">
        <v>6602</v>
      </c>
      <c r="C35" s="2307" t="s">
        <v>3112</v>
      </c>
      <c r="D35" s="2283">
        <f>IF(B35="","",SUM(Kepengasuhanmts))</f>
        <v>0</v>
      </c>
      <c r="E35" s="2294"/>
      <c r="F35" s="2283">
        <v>0</v>
      </c>
      <c r="G35" s="2285"/>
      <c r="H35" s="2295">
        <f t="shared" si="1"/>
        <v>0</v>
      </c>
      <c r="I35" s="3357">
        <f t="shared" si="2"/>
        <v>0</v>
      </c>
      <c r="J35" s="2286"/>
      <c r="K35" s="87"/>
      <c r="L35" s="2296"/>
      <c r="N35" s="2930">
        <v>0</v>
      </c>
      <c r="Q35" s="2304"/>
      <c r="R35" s="2304"/>
      <c r="S35" s="2304"/>
    </row>
    <row r="36" spans="1:19" x14ac:dyDescent="0.3">
      <c r="A36" s="334"/>
      <c r="B36" s="2306" t="s">
        <v>6602</v>
      </c>
      <c r="C36" s="2307" t="s">
        <v>7787</v>
      </c>
      <c r="D36" s="2283">
        <f>IF(B36="","",SUM(KepengasuhanMA))</f>
        <v>2105200</v>
      </c>
      <c r="E36" s="3351">
        <f>D36/D$110</f>
        <v>3.5549890229222211E-3</v>
      </c>
      <c r="F36" s="2283">
        <v>2973500</v>
      </c>
      <c r="G36" s="2285"/>
      <c r="H36" s="2295">
        <f t="shared" si="1"/>
        <v>168574300</v>
      </c>
      <c r="I36" s="3357">
        <f t="shared" si="2"/>
        <v>1.8922349893363347E-2</v>
      </c>
      <c r="J36" s="2286"/>
      <c r="K36" s="87"/>
      <c r="L36" s="2296"/>
      <c r="N36" s="2930">
        <v>166469100</v>
      </c>
      <c r="Q36" s="2304"/>
      <c r="R36" s="2304"/>
      <c r="S36" s="2304"/>
    </row>
    <row r="37" spans="1:19" outlineLevel="1" x14ac:dyDescent="0.3">
      <c r="A37" s="334" t="s">
        <v>190</v>
      </c>
      <c r="B37" s="84" t="s">
        <v>6603</v>
      </c>
      <c r="C37" s="109"/>
      <c r="D37" s="2283">
        <f>IF(B37="","",SUM(Bimbangankonseling))</f>
        <v>0</v>
      </c>
      <c r="E37" s="3351">
        <f t="shared" ref="E37:E41" si="3">D37/D$110</f>
        <v>0</v>
      </c>
      <c r="F37" s="2283">
        <v>0</v>
      </c>
      <c r="G37" s="2285"/>
      <c r="H37" s="2295">
        <f t="shared" si="1"/>
        <v>3683100</v>
      </c>
      <c r="I37" s="3357">
        <f t="shared" si="2"/>
        <v>4.1342545626614816E-4</v>
      </c>
      <c r="J37" s="2286"/>
      <c r="K37" s="87" t="s">
        <v>6604</v>
      </c>
      <c r="L37" s="2296" t="s">
        <v>190</v>
      </c>
      <c r="N37" s="2930">
        <v>3683100</v>
      </c>
      <c r="Q37" s="2304">
        <v>54100</v>
      </c>
      <c r="R37" s="2304" t="s">
        <v>4022</v>
      </c>
      <c r="S37" s="2304"/>
    </row>
    <row r="38" spans="1:19" x14ac:dyDescent="0.3">
      <c r="A38" s="334" t="s">
        <v>190</v>
      </c>
      <c r="B38" s="84" t="s">
        <v>3997</v>
      </c>
      <c r="C38" s="109"/>
      <c r="D38" s="2283"/>
      <c r="E38" s="3351">
        <f t="shared" si="3"/>
        <v>0</v>
      </c>
      <c r="F38" s="2283"/>
      <c r="G38" s="2285"/>
      <c r="H38" s="2295">
        <f t="shared" si="1"/>
        <v>0</v>
      </c>
      <c r="I38" s="3357">
        <f t="shared" si="2"/>
        <v>0</v>
      </c>
      <c r="J38" s="2286"/>
      <c r="K38" s="87" t="s">
        <v>6605</v>
      </c>
      <c r="L38" s="2296" t="s">
        <v>190</v>
      </c>
      <c r="N38" s="2930">
        <v>0</v>
      </c>
      <c r="Q38" s="2304">
        <v>54300</v>
      </c>
      <c r="R38" s="2304" t="s">
        <v>4041</v>
      </c>
      <c r="S38" s="2304"/>
    </row>
    <row r="39" spans="1:19" outlineLevel="1" x14ac:dyDescent="0.3">
      <c r="A39" s="334" t="s">
        <v>190</v>
      </c>
      <c r="B39" s="84" t="s">
        <v>6606</v>
      </c>
      <c r="C39" s="109"/>
      <c r="D39" s="2283">
        <f>IF(B39="","",SUM(Lomba))</f>
        <v>0</v>
      </c>
      <c r="E39" s="3351">
        <f t="shared" si="3"/>
        <v>0</v>
      </c>
      <c r="F39" s="2283">
        <v>0</v>
      </c>
      <c r="G39" s="2285"/>
      <c r="H39" s="2295">
        <f t="shared" si="1"/>
        <v>0</v>
      </c>
      <c r="I39" s="3357">
        <f t="shared" si="2"/>
        <v>0</v>
      </c>
      <c r="J39" s="2286"/>
      <c r="K39" s="87" t="s">
        <v>6607</v>
      </c>
      <c r="L39" s="2296" t="s">
        <v>190</v>
      </c>
      <c r="N39" s="2930">
        <v>0</v>
      </c>
      <c r="Q39" s="2304">
        <v>54400</v>
      </c>
      <c r="R39" s="2304" t="s">
        <v>4043</v>
      </c>
      <c r="S39" s="2304"/>
    </row>
    <row r="40" spans="1:19" x14ac:dyDescent="0.3">
      <c r="A40" s="334" t="s">
        <v>190</v>
      </c>
      <c r="B40" s="84" t="s">
        <v>6608</v>
      </c>
      <c r="C40" s="109"/>
      <c r="D40" s="2283">
        <f>IF(B40="","",SUM(PSB))</f>
        <v>0</v>
      </c>
      <c r="E40" s="3351">
        <f t="shared" si="3"/>
        <v>0</v>
      </c>
      <c r="F40" s="2283">
        <v>0</v>
      </c>
      <c r="G40" s="2285"/>
      <c r="H40" s="2295">
        <f t="shared" si="1"/>
        <v>16540500</v>
      </c>
      <c r="I40" s="3357">
        <f t="shared" si="2"/>
        <v>1.8566598135728663E-3</v>
      </c>
      <c r="J40" s="2286"/>
      <c r="K40" s="87" t="s">
        <v>6609</v>
      </c>
      <c r="L40" s="2296" t="s">
        <v>190</v>
      </c>
      <c r="N40" s="2930">
        <v>16540500</v>
      </c>
      <c r="Q40" s="2304">
        <v>54600</v>
      </c>
      <c r="R40" s="2304" t="s">
        <v>4050</v>
      </c>
      <c r="S40" s="2304"/>
    </row>
    <row r="41" spans="1:19" x14ac:dyDescent="0.3">
      <c r="A41" s="334" t="s">
        <v>190</v>
      </c>
      <c r="B41" s="84" t="s">
        <v>6610</v>
      </c>
      <c r="C41" s="109"/>
      <c r="D41" s="2351">
        <f>IF(B41="","",SUM(Kesehatansantri))</f>
        <v>2438600</v>
      </c>
      <c r="E41" s="3352">
        <f t="shared" si="3"/>
        <v>4.1179917496190991E-3</v>
      </c>
      <c r="F41" s="155">
        <v>1979900</v>
      </c>
      <c r="G41" s="2302"/>
      <c r="H41" s="2305">
        <f t="shared" si="1"/>
        <v>42488447</v>
      </c>
      <c r="I41" s="3362">
        <f t="shared" si="2"/>
        <v>4.7692991194958198E-3</v>
      </c>
      <c r="J41" s="2286"/>
      <c r="K41" s="87" t="s">
        <v>6611</v>
      </c>
      <c r="L41" s="2296" t="s">
        <v>190</v>
      </c>
      <c r="N41" s="2935">
        <v>40049847</v>
      </c>
      <c r="Q41" s="2304">
        <v>54700</v>
      </c>
      <c r="R41" s="2304" t="s">
        <v>4054</v>
      </c>
      <c r="S41" s="2304"/>
    </row>
    <row r="42" spans="1:19" x14ac:dyDescent="0.3">
      <c r="A42" s="863"/>
      <c r="B42" s="84"/>
      <c r="C42" s="109"/>
      <c r="D42" s="2079">
        <f>SUM(D30:D41)</f>
        <v>10808800</v>
      </c>
      <c r="E42" s="140">
        <f>SUM(E30:E41)</f>
        <v>7.6729807725413202E-3</v>
      </c>
      <c r="F42" s="140">
        <v>7899800</v>
      </c>
      <c r="G42" s="2290"/>
      <c r="H42" s="140">
        <f>SUM(H30:H41)</f>
        <v>264820247</v>
      </c>
      <c r="I42" s="3353">
        <f>SUM(I30:I41)</f>
        <v>2.97258916251226E-2</v>
      </c>
      <c r="J42" s="2286"/>
      <c r="K42" s="87"/>
      <c r="L42" s="2298"/>
      <c r="N42" s="2934">
        <v>254011447</v>
      </c>
      <c r="P42" s="2197">
        <v>55000</v>
      </c>
      <c r="Q42" s="2197" t="s">
        <v>4064</v>
      </c>
    </row>
    <row r="43" spans="1:19" s="2293" customFormat="1" ht="13.5" x14ac:dyDescent="0.35">
      <c r="A43" s="862" t="s">
        <v>381</v>
      </c>
      <c r="B43" s="130"/>
      <c r="C43" s="98"/>
      <c r="D43" s="140"/>
      <c r="E43" s="2299"/>
      <c r="F43" s="140"/>
      <c r="G43" s="2290"/>
      <c r="H43" s="2291"/>
      <c r="I43" s="3360"/>
      <c r="J43" s="2291"/>
      <c r="K43" s="88"/>
      <c r="L43" s="2288" t="s">
        <v>382</v>
      </c>
      <c r="M43" s="2197"/>
      <c r="N43" s="2932"/>
      <c r="Q43" s="2293">
        <v>55100</v>
      </c>
      <c r="R43" s="2293" t="s">
        <v>4065</v>
      </c>
    </row>
    <row r="44" spans="1:19" x14ac:dyDescent="0.3">
      <c r="A44" s="334" t="s">
        <v>190</v>
      </c>
      <c r="B44" s="84" t="s">
        <v>6612</v>
      </c>
      <c r="C44" s="109"/>
      <c r="D44" s="2283">
        <f>IF(B44="","",SUM(Executive))</f>
        <v>0</v>
      </c>
      <c r="E44" s="3351">
        <f>D44/D$110</f>
        <v>0</v>
      </c>
      <c r="F44" s="2283">
        <v>5000000</v>
      </c>
      <c r="G44" s="2285"/>
      <c r="H44" s="2295">
        <f t="shared" ref="H44:H49" si="4">D44+N44</f>
        <v>18189500</v>
      </c>
      <c r="I44" s="3357">
        <f t="shared" ref="I44:I49" si="5">H44/H$106</f>
        <v>2.0417589358836582E-3</v>
      </c>
      <c r="J44" s="2286"/>
      <c r="K44" s="87" t="s">
        <v>6613</v>
      </c>
      <c r="L44" s="2296" t="s">
        <v>190</v>
      </c>
      <c r="N44" s="2930">
        <v>18189500</v>
      </c>
      <c r="Q44" s="2197">
        <v>55200</v>
      </c>
      <c r="R44" s="2197" t="s">
        <v>6672</v>
      </c>
    </row>
    <row r="45" spans="1:19" x14ac:dyDescent="0.3">
      <c r="A45" s="334" t="s">
        <v>190</v>
      </c>
      <c r="B45" s="2306" t="s">
        <v>6614</v>
      </c>
      <c r="C45" s="109"/>
      <c r="D45" s="2283">
        <f>IF(B45="","",SUM(Litbang))</f>
        <v>0</v>
      </c>
      <c r="E45" s="3351">
        <f t="shared" ref="E45:E49" si="6">D45/D$110</f>
        <v>0</v>
      </c>
      <c r="F45" s="2283">
        <v>0</v>
      </c>
      <c r="G45" s="2285"/>
      <c r="H45" s="2295">
        <f t="shared" si="4"/>
        <v>36811500</v>
      </c>
      <c r="I45" s="3357">
        <f t="shared" si="5"/>
        <v>4.1320657009967995E-3</v>
      </c>
      <c r="J45" s="2286"/>
      <c r="K45" s="87"/>
      <c r="L45" s="2296"/>
      <c r="N45" s="2930">
        <v>36811500</v>
      </c>
    </row>
    <row r="46" spans="1:19" x14ac:dyDescent="0.3">
      <c r="A46" s="334" t="s">
        <v>190</v>
      </c>
      <c r="B46" s="84" t="s">
        <v>6615</v>
      </c>
      <c r="C46" s="109"/>
      <c r="D46" s="2283">
        <f>IF(B46="","",SUM(Aktkeu))</f>
        <v>3414380</v>
      </c>
      <c r="E46" s="3351">
        <f t="shared" si="6"/>
        <v>5.7657625974183793E-3</v>
      </c>
      <c r="F46" s="2283">
        <v>4713000</v>
      </c>
      <c r="G46" s="2285"/>
      <c r="H46" s="2295">
        <f t="shared" si="4"/>
        <v>408860218</v>
      </c>
      <c r="I46" s="3357">
        <f t="shared" si="5"/>
        <v>4.5894279866342702E-2</v>
      </c>
      <c r="J46" s="2286"/>
      <c r="K46" s="87" t="s">
        <v>6616</v>
      </c>
      <c r="L46" s="2296" t="s">
        <v>190</v>
      </c>
      <c r="N46" s="2930">
        <v>405445838</v>
      </c>
      <c r="Q46" s="2197">
        <v>55300</v>
      </c>
      <c r="R46" s="2197" t="s">
        <v>4094</v>
      </c>
    </row>
    <row r="47" spans="1:19" x14ac:dyDescent="0.3">
      <c r="A47" s="334" t="s">
        <v>190</v>
      </c>
      <c r="B47" s="84" t="s">
        <v>6617</v>
      </c>
      <c r="C47" s="109"/>
      <c r="D47" s="2462">
        <f>IF(B47="","",SUM(Personalia))</f>
        <v>284756300.67000002</v>
      </c>
      <c r="E47" s="3351">
        <f t="shared" si="6"/>
        <v>0.48085954925412766</v>
      </c>
      <c r="F47" s="2283">
        <v>274074142.5</v>
      </c>
      <c r="G47" s="2285"/>
      <c r="H47" s="2295">
        <f t="shared" si="4"/>
        <v>3557597907.5</v>
      </c>
      <c r="I47" s="3357">
        <f t="shared" si="5"/>
        <v>0.39933793220919372</v>
      </c>
      <c r="J47" s="2286"/>
      <c r="K47" s="87" t="s">
        <v>6618</v>
      </c>
      <c r="L47" s="2296" t="s">
        <v>190</v>
      </c>
      <c r="N47" s="2930">
        <v>3272841606.8299999</v>
      </c>
      <c r="Q47" s="2197">
        <v>55400</v>
      </c>
      <c r="R47" s="2197" t="s">
        <v>4100</v>
      </c>
    </row>
    <row r="48" spans="1:19" x14ac:dyDescent="0.3">
      <c r="A48" s="334" t="s">
        <v>190</v>
      </c>
      <c r="B48" s="84" t="s">
        <v>6619</v>
      </c>
      <c r="C48" s="109"/>
      <c r="D48" s="2283">
        <f>IF(B48="","",SUM(Rumahtangga))</f>
        <v>9969350</v>
      </c>
      <c r="E48" s="3351">
        <f t="shared" si="6"/>
        <v>1.6834946710844408E-2</v>
      </c>
      <c r="F48" s="2283">
        <v>10146350</v>
      </c>
      <c r="G48" s="2285"/>
      <c r="H48" s="2295">
        <f t="shared" si="4"/>
        <v>115358570</v>
      </c>
      <c r="I48" s="3357">
        <f t="shared" si="5"/>
        <v>1.2948920593103741E-2</v>
      </c>
      <c r="J48" s="2286"/>
      <c r="K48" s="87" t="s">
        <v>6620</v>
      </c>
      <c r="L48" s="2296" t="s">
        <v>190</v>
      </c>
      <c r="N48" s="2930">
        <v>105389220</v>
      </c>
      <c r="Q48" s="2197">
        <v>55500</v>
      </c>
      <c r="R48" s="2197" t="s">
        <v>4107</v>
      </c>
    </row>
    <row r="49" spans="1:18" outlineLevel="1" x14ac:dyDescent="0.3">
      <c r="A49" s="334" t="s">
        <v>190</v>
      </c>
      <c r="B49" s="84" t="s">
        <v>6621</v>
      </c>
      <c r="C49" s="109"/>
      <c r="D49" s="2351">
        <f>IF(B49="","",SUM(InformasiTeknologi))</f>
        <v>177400</v>
      </c>
      <c r="E49" s="3352">
        <f t="shared" si="6"/>
        <v>2.9957013712065455E-4</v>
      </c>
      <c r="F49" s="134">
        <v>0</v>
      </c>
      <c r="G49" s="2308"/>
      <c r="H49" s="2303">
        <f t="shared" si="4"/>
        <v>8294370</v>
      </c>
      <c r="I49" s="3362">
        <f t="shared" si="5"/>
        <v>9.3103736029167042E-4</v>
      </c>
      <c r="J49" s="2286"/>
      <c r="K49" s="87"/>
      <c r="L49" s="2296"/>
      <c r="N49" s="2939">
        <v>8116970</v>
      </c>
      <c r="Q49" s="2197">
        <v>55600</v>
      </c>
      <c r="R49" s="2197" t="s">
        <v>4121</v>
      </c>
    </row>
    <row r="50" spans="1:18" x14ac:dyDescent="0.3">
      <c r="A50" s="863"/>
      <c r="B50" s="84"/>
      <c r="C50" s="109"/>
      <c r="D50" s="140">
        <f>SUM(D44:D49)</f>
        <v>298317430.67000002</v>
      </c>
      <c r="E50" s="3353">
        <f>SUM(E44:E49)</f>
        <v>0.50375982869951119</v>
      </c>
      <c r="F50" s="140">
        <v>293933492.5</v>
      </c>
      <c r="G50" s="2290"/>
      <c r="H50" s="140">
        <f>SUM(H44:H49)</f>
        <v>4145112065.5</v>
      </c>
      <c r="I50" s="3353">
        <f>SUM(I44:I49)</f>
        <v>0.46528599466581227</v>
      </c>
      <c r="J50" s="2286"/>
      <c r="K50" s="87"/>
      <c r="L50" s="2298"/>
      <c r="N50" s="2934">
        <v>3846794634.8299999</v>
      </c>
      <c r="P50" s="2293">
        <v>56000</v>
      </c>
      <c r="Q50" s="2293" t="s">
        <v>6673</v>
      </c>
      <c r="R50" s="2293"/>
    </row>
    <row r="51" spans="1:18" s="2293" customFormat="1" ht="13.5" x14ac:dyDescent="0.35">
      <c r="A51" s="862" t="s">
        <v>383</v>
      </c>
      <c r="B51" s="130"/>
      <c r="C51" s="98"/>
      <c r="D51" s="140"/>
      <c r="E51" s="2299"/>
      <c r="F51" s="140"/>
      <c r="G51" s="2290"/>
      <c r="H51" s="2291"/>
      <c r="I51" s="3360"/>
      <c r="J51" s="2291"/>
      <c r="K51" s="88"/>
      <c r="L51" s="2288" t="s">
        <v>6622</v>
      </c>
      <c r="M51" s="2197"/>
      <c r="N51" s="2932"/>
      <c r="P51" s="2197"/>
      <c r="Q51" s="2197">
        <v>56100</v>
      </c>
      <c r="R51" s="2197" t="s">
        <v>4125</v>
      </c>
    </row>
    <row r="52" spans="1:18" x14ac:dyDescent="0.3">
      <c r="A52" s="334" t="s">
        <v>190</v>
      </c>
      <c r="B52" s="84" t="s">
        <v>6623</v>
      </c>
      <c r="C52" s="109"/>
      <c r="D52" s="2283">
        <f>IF(B52="","",SUM(ASF))</f>
        <v>0</v>
      </c>
      <c r="E52" s="3351"/>
      <c r="F52" s="2283">
        <v>0</v>
      </c>
      <c r="G52" s="2285"/>
      <c r="H52" s="2295">
        <f t="shared" ref="H52:H59" si="7">D52+N52</f>
        <v>0</v>
      </c>
      <c r="I52" s="3357"/>
      <c r="J52" s="2286"/>
      <c r="K52" s="87" t="s">
        <v>6624</v>
      </c>
      <c r="L52" s="2296" t="s">
        <v>190</v>
      </c>
      <c r="N52" s="2930">
        <v>0</v>
      </c>
      <c r="Q52" s="2197">
        <v>56200</v>
      </c>
      <c r="R52" s="2197" t="s">
        <v>6674</v>
      </c>
    </row>
    <row r="53" spans="1:18" x14ac:dyDescent="0.3">
      <c r="A53" s="334" t="s">
        <v>190</v>
      </c>
      <c r="B53" s="84" t="s">
        <v>6625</v>
      </c>
      <c r="C53" s="109"/>
      <c r="D53" s="2283">
        <f>IF(B53="","",SUM(KK))</f>
        <v>5458000</v>
      </c>
      <c r="E53" s="3351">
        <f t="shared" ref="E53:E58" si="8">D53/D$110</f>
        <v>9.2167632942758322E-3</v>
      </c>
      <c r="F53" s="2283">
        <v>7659400</v>
      </c>
      <c r="G53" s="2285"/>
      <c r="H53" s="2295">
        <f t="shared" si="7"/>
        <v>75031901</v>
      </c>
      <c r="I53" s="3357">
        <f t="shared" ref="I53:I59" si="9">H53/H$106</f>
        <v>8.4222795757490851E-3</v>
      </c>
      <c r="J53" s="2286"/>
      <c r="K53" s="87" t="s">
        <v>6626</v>
      </c>
      <c r="L53" s="2296" t="s">
        <v>190</v>
      </c>
      <c r="N53" s="2930">
        <v>69573901</v>
      </c>
      <c r="Q53" s="2197">
        <v>56300</v>
      </c>
      <c r="R53" s="2197" t="s">
        <v>4138</v>
      </c>
    </row>
    <row r="54" spans="1:18" x14ac:dyDescent="0.3">
      <c r="A54" s="334" t="s">
        <v>190</v>
      </c>
      <c r="B54" s="84" t="s">
        <v>6627</v>
      </c>
      <c r="C54" s="109"/>
      <c r="D54" s="2283">
        <f>IF(B54="","",SUM(PemeliharaanGedung))</f>
        <v>55856500</v>
      </c>
      <c r="E54" s="3351">
        <f t="shared" si="8"/>
        <v>9.4323220767079149E-2</v>
      </c>
      <c r="F54" s="2283">
        <v>40840000</v>
      </c>
      <c r="G54" s="2285"/>
      <c r="H54" s="2295">
        <f t="shared" si="7"/>
        <v>171449537</v>
      </c>
      <c r="I54" s="3357">
        <f t="shared" si="9"/>
        <v>1.9245093280346678E-2</v>
      </c>
      <c r="J54" s="2286"/>
      <c r="K54" s="87" t="s">
        <v>6628</v>
      </c>
      <c r="L54" s="2296" t="s">
        <v>190</v>
      </c>
      <c r="N54" s="2930">
        <v>115593037</v>
      </c>
      <c r="Q54" s="2197">
        <v>56400</v>
      </c>
      <c r="R54" s="2197" t="s">
        <v>4217</v>
      </c>
    </row>
    <row r="55" spans="1:18" x14ac:dyDescent="0.3">
      <c r="A55" s="334" t="s">
        <v>190</v>
      </c>
      <c r="B55" s="84" t="s">
        <v>6629</v>
      </c>
      <c r="C55" s="109"/>
      <c r="D55" s="2283">
        <f>IF(B55="","",SUM(PemeliharaanInfrastruktur))</f>
        <v>541000</v>
      </c>
      <c r="E55" s="3351">
        <f t="shared" si="8"/>
        <v>9.1357071128677638E-4</v>
      </c>
      <c r="F55" s="2283">
        <v>6789000</v>
      </c>
      <c r="G55" s="2285"/>
      <c r="H55" s="2295">
        <f t="shared" si="7"/>
        <v>50757357</v>
      </c>
      <c r="I55" s="3357">
        <f t="shared" si="9"/>
        <v>5.6974786121986283E-3</v>
      </c>
      <c r="J55" s="2286"/>
      <c r="K55" s="87" t="s">
        <v>6630</v>
      </c>
      <c r="L55" s="2296" t="s">
        <v>190</v>
      </c>
      <c r="N55" s="2930">
        <v>50216357</v>
      </c>
      <c r="Q55" s="2197">
        <v>56500</v>
      </c>
      <c r="R55" s="2197" t="s">
        <v>4250</v>
      </c>
    </row>
    <row r="56" spans="1:18" x14ac:dyDescent="0.3">
      <c r="A56" s="334" t="s">
        <v>190</v>
      </c>
      <c r="B56" s="84" t="s">
        <v>6633</v>
      </c>
      <c r="C56" s="109"/>
      <c r="D56" s="2283">
        <f>IF(B56="","",SUM(PemeliharaanNonge))</f>
        <v>702000</v>
      </c>
      <c r="E56" s="3351">
        <f t="shared" si="8"/>
        <v>1.1854466530930073E-3</v>
      </c>
      <c r="F56" s="2283">
        <v>4228300</v>
      </c>
      <c r="G56" s="2285"/>
      <c r="H56" s="2295">
        <f t="shared" si="7"/>
        <v>71897398</v>
      </c>
      <c r="I56" s="3357">
        <f t="shared" si="9"/>
        <v>8.0704337575680397E-3</v>
      </c>
      <c r="J56" s="2286"/>
      <c r="K56" s="87" t="s">
        <v>6634</v>
      </c>
      <c r="L56" s="2296" t="s">
        <v>190</v>
      </c>
      <c r="N56" s="2930">
        <v>71195398</v>
      </c>
      <c r="Q56" s="2197">
        <v>56600</v>
      </c>
      <c r="R56" s="2197" t="s">
        <v>4278</v>
      </c>
    </row>
    <row r="57" spans="1:18" x14ac:dyDescent="0.3">
      <c r="A57" s="334" t="s">
        <v>190</v>
      </c>
      <c r="B57" s="84" t="s">
        <v>6635</v>
      </c>
      <c r="C57" s="109"/>
      <c r="D57" s="2283">
        <f>IF(B57="","",SUM(Utilitas))</f>
        <v>8074100</v>
      </c>
      <c r="E57" s="3351">
        <f t="shared" si="8"/>
        <v>1.3634494048060187E-2</v>
      </c>
      <c r="F57" s="2283">
        <v>6989900</v>
      </c>
      <c r="G57" s="2285"/>
      <c r="H57" s="2295">
        <f t="shared" ref="H57" si="10">D57+N57</f>
        <v>78259800</v>
      </c>
      <c r="I57" s="3357">
        <f t="shared" si="9"/>
        <v>8.7846090310601133E-3</v>
      </c>
      <c r="J57" s="2286"/>
      <c r="K57" s="87" t="s">
        <v>6636</v>
      </c>
      <c r="L57" s="2296" t="s">
        <v>190</v>
      </c>
      <c r="N57" s="2930">
        <v>70185700</v>
      </c>
      <c r="Q57" s="2197">
        <v>56700</v>
      </c>
      <c r="R57" s="2197" t="s">
        <v>4290</v>
      </c>
    </row>
    <row r="58" spans="1:18" outlineLevel="1" x14ac:dyDescent="0.3">
      <c r="A58" s="334" t="s">
        <v>190</v>
      </c>
      <c r="B58" s="84" t="s">
        <v>6631</v>
      </c>
      <c r="C58" s="109"/>
      <c r="D58" s="2283">
        <f>IF(B58="","",SUM(Keamanan))</f>
        <v>0</v>
      </c>
      <c r="E58" s="3351">
        <f t="shared" si="8"/>
        <v>0</v>
      </c>
      <c r="F58" s="2283">
        <v>200100</v>
      </c>
      <c r="G58" s="2285"/>
      <c r="H58" s="2295">
        <f t="shared" si="7"/>
        <v>2890100</v>
      </c>
      <c r="I58" s="3357">
        <f t="shared" si="9"/>
        <v>3.2441174856908441E-4</v>
      </c>
      <c r="J58" s="2286"/>
      <c r="K58" s="87" t="s">
        <v>6632</v>
      </c>
      <c r="L58" s="2296" t="s">
        <v>190</v>
      </c>
      <c r="N58" s="2930">
        <v>2890100</v>
      </c>
      <c r="Q58" s="2197">
        <v>56800</v>
      </c>
      <c r="R58" s="2197" t="s">
        <v>4296</v>
      </c>
    </row>
    <row r="59" spans="1:18" x14ac:dyDescent="0.3">
      <c r="A59" s="334" t="s">
        <v>190</v>
      </c>
      <c r="B59" s="84" t="s">
        <v>6637</v>
      </c>
      <c r="C59" s="109"/>
      <c r="D59" s="2464">
        <f>IF(B59="","",SUM(Logistik))</f>
        <v>0</v>
      </c>
      <c r="E59" s="3352"/>
      <c r="F59" s="2351">
        <v>0</v>
      </c>
      <c r="G59" s="2308"/>
      <c r="H59" s="2465">
        <f t="shared" si="7"/>
        <v>0</v>
      </c>
      <c r="I59" s="3362">
        <f t="shared" si="9"/>
        <v>0</v>
      </c>
      <c r="J59" s="2286"/>
      <c r="K59" s="87" t="s">
        <v>6638</v>
      </c>
      <c r="L59" s="2296" t="s">
        <v>190</v>
      </c>
      <c r="N59" s="2939">
        <v>0</v>
      </c>
      <c r="Q59" s="2197">
        <v>56900</v>
      </c>
      <c r="R59" s="2197" t="s">
        <v>4302</v>
      </c>
    </row>
    <row r="60" spans="1:18" x14ac:dyDescent="0.3">
      <c r="A60" s="863"/>
      <c r="B60" s="84"/>
      <c r="C60" s="109"/>
      <c r="D60" s="140">
        <f>SUM(D52:D59)</f>
        <v>70631600</v>
      </c>
      <c r="E60" s="3353">
        <f>SUM(E52:E59)</f>
        <v>0.11927349547379495</v>
      </c>
      <c r="F60" s="140">
        <v>66706700</v>
      </c>
      <c r="G60" s="140"/>
      <c r="H60" s="140">
        <f>SUM(H52:H59)</f>
        <v>450286093</v>
      </c>
      <c r="I60" s="3353">
        <f>SUM(I52:I59)</f>
        <v>5.0544306005491625E-2</v>
      </c>
      <c r="J60" s="2286"/>
      <c r="K60" s="87"/>
      <c r="L60" s="2298"/>
      <c r="N60" s="2934">
        <v>379654493</v>
      </c>
      <c r="P60" s="2293"/>
      <c r="Q60" s="2293"/>
      <c r="R60" s="2293"/>
    </row>
    <row r="61" spans="1:18" s="2293" customFormat="1" ht="13.5" outlineLevel="1" x14ac:dyDescent="0.35">
      <c r="A61" s="862" t="s">
        <v>385</v>
      </c>
      <c r="B61" s="130"/>
      <c r="C61" s="98"/>
      <c r="D61" s="140"/>
      <c r="E61" s="2299"/>
      <c r="F61" s="140"/>
      <c r="G61" s="2290"/>
      <c r="H61" s="2291"/>
      <c r="I61" s="3360"/>
      <c r="J61" s="2291"/>
      <c r="K61" s="88"/>
      <c r="L61" s="2288" t="s">
        <v>386</v>
      </c>
      <c r="M61" s="2197"/>
      <c r="N61" s="2932"/>
      <c r="P61" s="2293">
        <v>57000</v>
      </c>
      <c r="Q61" s="2293" t="s">
        <v>4311</v>
      </c>
    </row>
    <row r="62" spans="1:18" s="2293" customFormat="1" outlineLevel="1" x14ac:dyDescent="0.3">
      <c r="A62" s="334" t="s">
        <v>190</v>
      </c>
      <c r="B62" s="84" t="s">
        <v>1008</v>
      </c>
      <c r="C62" s="98"/>
      <c r="D62" s="2283">
        <f>IF(B62="","",SUM(BeasiswaSa))</f>
        <v>0</v>
      </c>
      <c r="E62" s="3351">
        <f t="shared" ref="E62:E64" si="11">D62/D$110</f>
        <v>0</v>
      </c>
      <c r="F62" s="2283">
        <v>0</v>
      </c>
      <c r="G62" s="2290"/>
      <c r="H62" s="2295">
        <f>D62+N62</f>
        <v>0</v>
      </c>
      <c r="I62" s="3357">
        <f t="shared" ref="I62:I64" si="12">H62/H$106</f>
        <v>0</v>
      </c>
      <c r="J62" s="2291"/>
      <c r="K62" s="87" t="s">
        <v>1009</v>
      </c>
      <c r="L62" s="2296" t="s">
        <v>190</v>
      </c>
      <c r="M62" s="2197"/>
      <c r="N62" s="2930">
        <v>0</v>
      </c>
      <c r="Q62" s="2293">
        <v>57100</v>
      </c>
      <c r="R62" s="2293" t="s">
        <v>4312</v>
      </c>
    </row>
    <row r="63" spans="1:18" s="2293" customFormat="1" outlineLevel="1" x14ac:dyDescent="0.3">
      <c r="A63" s="334" t="s">
        <v>190</v>
      </c>
      <c r="B63" s="84" t="s">
        <v>6639</v>
      </c>
      <c r="C63" s="98"/>
      <c r="D63" s="2283">
        <f>IF(B63="","",SUM(PKL))</f>
        <v>0</v>
      </c>
      <c r="E63" s="3351">
        <f t="shared" si="11"/>
        <v>0</v>
      </c>
      <c r="F63" s="2283">
        <v>0</v>
      </c>
      <c r="G63" s="2290"/>
      <c r="H63" s="2295">
        <f>D63+N63</f>
        <v>0</v>
      </c>
      <c r="I63" s="3357">
        <f t="shared" si="12"/>
        <v>0</v>
      </c>
      <c r="J63" s="2291"/>
      <c r="K63" s="87" t="s">
        <v>6640</v>
      </c>
      <c r="L63" s="2296" t="s">
        <v>190</v>
      </c>
      <c r="M63" s="2197"/>
      <c r="N63" s="2930">
        <v>0</v>
      </c>
      <c r="Q63" s="2293">
        <v>57200</v>
      </c>
      <c r="R63" s="2293" t="s">
        <v>4322</v>
      </c>
    </row>
    <row r="64" spans="1:18" s="2293" customFormat="1" outlineLevel="1" x14ac:dyDescent="0.3">
      <c r="A64" s="334" t="s">
        <v>190</v>
      </c>
      <c r="B64" s="84" t="s">
        <v>6641</v>
      </c>
      <c r="C64" s="98"/>
      <c r="D64" s="2351">
        <f>IF(B64="","",SUM(AdministrasiS))</f>
        <v>61850</v>
      </c>
      <c r="E64" s="3352">
        <f t="shared" si="11"/>
        <v>1.0444426708518875E-4</v>
      </c>
      <c r="F64" s="155">
        <v>53300</v>
      </c>
      <c r="G64" s="2309"/>
      <c r="H64" s="2305">
        <f>D64+N64</f>
        <v>2996487</v>
      </c>
      <c r="I64" s="3362">
        <f t="shared" si="12"/>
        <v>3.3635361656500815E-4</v>
      </c>
      <c r="J64" s="2291"/>
      <c r="K64" s="87" t="s">
        <v>6642</v>
      </c>
      <c r="L64" s="2296" t="s">
        <v>190</v>
      </c>
      <c r="M64" s="2197"/>
      <c r="N64" s="2935">
        <v>2934637</v>
      </c>
      <c r="P64" s="2293">
        <v>58000</v>
      </c>
      <c r="Q64" s="2293" t="s">
        <v>3504</v>
      </c>
    </row>
    <row r="65" spans="1:18" outlineLevel="1" x14ac:dyDescent="0.3">
      <c r="A65" s="863"/>
      <c r="B65" s="84"/>
      <c r="C65" s="109"/>
      <c r="D65" s="140">
        <f>SUM(D62:D64)</f>
        <v>61850</v>
      </c>
      <c r="E65" s="3353">
        <f>SUM(E62:E64)</f>
        <v>1.0444426708518875E-4</v>
      </c>
      <c r="F65" s="140">
        <v>53300</v>
      </c>
      <c r="G65" s="2290"/>
      <c r="H65" s="140">
        <f>SUM(H62:H64)</f>
        <v>2996487</v>
      </c>
      <c r="I65" s="3353">
        <f>SUM(I62:I64)</f>
        <v>3.3635361656500815E-4</v>
      </c>
      <c r="J65" s="2286"/>
      <c r="K65" s="87"/>
      <c r="L65" s="2298"/>
      <c r="N65" s="2934">
        <v>2934637</v>
      </c>
      <c r="Q65" s="2197">
        <v>58100</v>
      </c>
      <c r="R65" s="2197" t="s">
        <v>4327</v>
      </c>
    </row>
    <row r="66" spans="1:18" s="2293" customFormat="1" ht="13.5" x14ac:dyDescent="0.35">
      <c r="A66" s="862" t="s">
        <v>387</v>
      </c>
      <c r="B66" s="130"/>
      <c r="C66" s="98"/>
      <c r="D66" s="140"/>
      <c r="E66" s="2299"/>
      <c r="F66" s="140"/>
      <c r="G66" s="2290"/>
      <c r="H66" s="2291"/>
      <c r="I66" s="3360"/>
      <c r="J66" s="2291"/>
      <c r="K66" s="88"/>
      <c r="L66" s="2288" t="s">
        <v>6643</v>
      </c>
      <c r="M66" s="2197"/>
      <c r="N66" s="2932"/>
      <c r="Q66" s="2293">
        <v>58200</v>
      </c>
      <c r="R66" s="2293" t="s">
        <v>4332</v>
      </c>
    </row>
    <row r="67" spans="1:18" x14ac:dyDescent="0.3">
      <c r="A67" s="334" t="s">
        <v>190</v>
      </c>
      <c r="B67" s="84" t="s">
        <v>309</v>
      </c>
      <c r="C67" s="109"/>
      <c r="D67" s="2283">
        <f>IF(B67="","",SUM(Buku))</f>
        <v>0</v>
      </c>
      <c r="E67" s="3351"/>
      <c r="F67" s="2283">
        <v>0</v>
      </c>
      <c r="G67" s="2285"/>
      <c r="H67" s="2295">
        <f>D67+N67</f>
        <v>395124231</v>
      </c>
      <c r="I67" s="3357">
        <f t="shared" ref="I67:I69" si="13">H67/H$106</f>
        <v>4.4352424719118655E-2</v>
      </c>
      <c r="J67" s="2286"/>
      <c r="K67" s="87" t="s">
        <v>310</v>
      </c>
      <c r="L67" s="2296" t="s">
        <v>190</v>
      </c>
      <c r="N67" s="2930">
        <v>395124231</v>
      </c>
      <c r="Q67" s="2197">
        <v>58300</v>
      </c>
      <c r="R67" s="2197" t="s">
        <v>4336</v>
      </c>
    </row>
    <row r="68" spans="1:18" x14ac:dyDescent="0.3">
      <c r="A68" s="334" t="s">
        <v>190</v>
      </c>
      <c r="B68" s="84" t="s">
        <v>311</v>
      </c>
      <c r="C68" s="109"/>
      <c r="D68" s="2283">
        <f>IF(B68="","",SUM(Seragam))</f>
        <v>0</v>
      </c>
      <c r="E68" s="3351"/>
      <c r="F68" s="2283">
        <v>0</v>
      </c>
      <c r="G68" s="2285"/>
      <c r="H68" s="2295">
        <f>D68+N68</f>
        <v>37726000</v>
      </c>
      <c r="I68" s="3357">
        <f t="shared" si="13"/>
        <v>4.2347177006045733E-3</v>
      </c>
      <c r="J68" s="2286"/>
      <c r="K68" s="87" t="s">
        <v>312</v>
      </c>
      <c r="L68" s="2296" t="s">
        <v>190</v>
      </c>
      <c r="N68" s="2930">
        <v>37726000</v>
      </c>
      <c r="P68" s="2197">
        <v>59000</v>
      </c>
      <c r="Q68" s="2197" t="s">
        <v>4341</v>
      </c>
    </row>
    <row r="69" spans="1:18" x14ac:dyDescent="0.3">
      <c r="A69" s="334" t="s">
        <v>190</v>
      </c>
      <c r="B69" s="84" t="s">
        <v>3086</v>
      </c>
      <c r="C69" s="109"/>
      <c r="D69" s="2351">
        <f>IF(B69="","",SUM(SalesOth))</f>
        <v>0</v>
      </c>
      <c r="E69" s="3352"/>
      <c r="F69" s="155">
        <v>0</v>
      </c>
      <c r="G69" s="2302"/>
      <c r="H69" s="2305"/>
      <c r="I69" s="3362">
        <f t="shared" si="13"/>
        <v>0</v>
      </c>
      <c r="J69" s="2286"/>
      <c r="K69" s="87" t="s">
        <v>6644</v>
      </c>
      <c r="L69" s="2296" t="s">
        <v>190</v>
      </c>
      <c r="N69" s="2935"/>
      <c r="Q69" s="2197">
        <v>59100</v>
      </c>
      <c r="R69" s="2197" t="s">
        <v>4342</v>
      </c>
    </row>
    <row r="70" spans="1:18" x14ac:dyDescent="0.3">
      <c r="A70" s="863"/>
      <c r="B70" s="84"/>
      <c r="C70" s="109"/>
      <c r="D70" s="2283">
        <f>SUM(D67:D69)</f>
        <v>0</v>
      </c>
      <c r="E70" s="2283">
        <f>SUM(E67:E68)</f>
        <v>0</v>
      </c>
      <c r="F70" s="2283">
        <v>0</v>
      </c>
      <c r="G70" s="2285"/>
      <c r="H70" s="2283">
        <f>SUM(H67:H69)</f>
        <v>432850231</v>
      </c>
      <c r="I70" s="3363">
        <f>SUM(I67:I69)</f>
        <v>4.8587142419723228E-2</v>
      </c>
      <c r="J70" s="2286"/>
      <c r="K70" s="87"/>
      <c r="L70" s="2298"/>
      <c r="N70" s="2929">
        <v>432850231</v>
      </c>
      <c r="Q70" s="2197">
        <v>59200</v>
      </c>
      <c r="R70" s="2197" t="s">
        <v>4371</v>
      </c>
    </row>
    <row r="71" spans="1:18" s="2293" customFormat="1" ht="13.5" x14ac:dyDescent="0.35">
      <c r="A71" s="862" t="s">
        <v>389</v>
      </c>
      <c r="B71" s="130"/>
      <c r="C71" s="98"/>
      <c r="D71" s="140"/>
      <c r="E71" s="2299"/>
      <c r="F71" s="140"/>
      <c r="G71" s="2290"/>
      <c r="H71" s="2291"/>
      <c r="I71" s="3360"/>
      <c r="J71" s="2291"/>
      <c r="K71" s="88"/>
      <c r="L71" s="2288" t="s">
        <v>390</v>
      </c>
      <c r="M71" s="2197"/>
      <c r="N71" s="2932"/>
      <c r="Q71" s="2293">
        <v>59300</v>
      </c>
      <c r="R71" s="2293" t="s">
        <v>4386</v>
      </c>
    </row>
    <row r="72" spans="1:18" x14ac:dyDescent="0.3">
      <c r="A72" s="334" t="s">
        <v>190</v>
      </c>
      <c r="B72" s="84" t="s">
        <v>6645</v>
      </c>
      <c r="C72" s="109"/>
      <c r="D72" s="2283">
        <f>IF(B72="","",SUM(Layananmakanan))</f>
        <v>100351243</v>
      </c>
      <c r="E72" s="3351">
        <f t="shared" ref="E72:E74" si="14">D72/D$110</f>
        <v>0.16946017827360838</v>
      </c>
      <c r="F72" s="2283">
        <v>222835178</v>
      </c>
      <c r="G72" s="2285"/>
      <c r="H72" s="2295">
        <f>D72+N72</f>
        <v>1724236028</v>
      </c>
      <c r="I72" s="3357">
        <f t="shared" ref="I72:I74" si="15">H72/H$106</f>
        <v>0.19354431500269637</v>
      </c>
      <c r="J72" s="2286"/>
      <c r="K72" s="87" t="s">
        <v>6646</v>
      </c>
      <c r="L72" s="2296" t="s">
        <v>190</v>
      </c>
      <c r="N72" s="2930">
        <v>1623884785</v>
      </c>
      <c r="O72" s="2197">
        <f>D72-F72</f>
        <v>-122483935</v>
      </c>
    </row>
    <row r="73" spans="1:18" x14ac:dyDescent="0.3">
      <c r="A73" s="334" t="s">
        <v>190</v>
      </c>
      <c r="B73" s="84" t="s">
        <v>6647</v>
      </c>
      <c r="C73" s="109"/>
      <c r="D73" s="2283">
        <f>IF(B73="","",SUM(layananlaundry))</f>
        <v>0</v>
      </c>
      <c r="E73" s="3351">
        <f t="shared" si="14"/>
        <v>0</v>
      </c>
      <c r="F73" s="2283">
        <v>0</v>
      </c>
      <c r="G73" s="2285"/>
      <c r="H73" s="2295">
        <f>D73+N73</f>
        <v>0</v>
      </c>
      <c r="I73" s="3357">
        <f t="shared" si="15"/>
        <v>0</v>
      </c>
      <c r="J73" s="2286"/>
      <c r="K73" s="87" t="s">
        <v>6648</v>
      </c>
      <c r="L73" s="2296" t="s">
        <v>190</v>
      </c>
      <c r="N73" s="2930">
        <v>0</v>
      </c>
    </row>
    <row r="74" spans="1:18" outlineLevel="1" x14ac:dyDescent="0.3">
      <c r="A74" s="334" t="s">
        <v>190</v>
      </c>
      <c r="B74" s="84" t="s">
        <v>7785</v>
      </c>
      <c r="C74" s="109"/>
      <c r="D74" s="2351">
        <f>IF(B74="","",SUM(Layanankamar))</f>
        <v>5222000</v>
      </c>
      <c r="E74" s="3352">
        <f t="shared" si="14"/>
        <v>8.8182370690194928E-3</v>
      </c>
      <c r="F74" s="155">
        <v>3822600</v>
      </c>
      <c r="G74" s="2302"/>
      <c r="H74" s="2305">
        <f>D74+N74</f>
        <v>38130794</v>
      </c>
      <c r="I74" s="3362">
        <f t="shared" si="15"/>
        <v>4.2801555502811504E-3</v>
      </c>
      <c r="J74" s="2286"/>
      <c r="K74" s="87" t="s">
        <v>6649</v>
      </c>
      <c r="L74" s="2296" t="s">
        <v>190</v>
      </c>
      <c r="N74" s="2935">
        <v>32908794</v>
      </c>
    </row>
    <row r="75" spans="1:18" x14ac:dyDescent="0.3">
      <c r="A75" s="863"/>
      <c r="B75" s="84"/>
      <c r="C75" s="109"/>
      <c r="D75" s="140">
        <f>SUM(D72:D74)</f>
        <v>105573243</v>
      </c>
      <c r="E75" s="3353">
        <f>SUM(E72:E74)</f>
        <v>0.17827841534262787</v>
      </c>
      <c r="F75" s="140">
        <v>226657778</v>
      </c>
      <c r="G75" s="2290"/>
      <c r="H75" s="140">
        <f>SUM(H72:H74)</f>
        <v>1762366822</v>
      </c>
      <c r="I75" s="3353">
        <f>SUM(I72:I74)</f>
        <v>0.19782447055297753</v>
      </c>
      <c r="J75" s="2286"/>
      <c r="K75" s="87"/>
      <c r="L75" s="2298"/>
      <c r="N75" s="2934">
        <v>1656793579</v>
      </c>
    </row>
    <row r="76" spans="1:18" ht="13.5" thickBot="1" x14ac:dyDescent="0.35">
      <c r="A76" s="863"/>
      <c r="B76" s="84"/>
      <c r="C76" s="109"/>
      <c r="D76" s="2283"/>
      <c r="E76" s="2294"/>
      <c r="F76" s="2283"/>
      <c r="G76" s="2285"/>
      <c r="H76" s="2286"/>
      <c r="I76" s="3357"/>
      <c r="J76" s="2286"/>
      <c r="K76" s="87"/>
      <c r="L76" s="2298"/>
      <c r="N76" s="2930"/>
    </row>
    <row r="77" spans="1:18" ht="13.5" x14ac:dyDescent="0.35">
      <c r="A77" s="862"/>
      <c r="B77" s="130"/>
      <c r="C77" s="98"/>
      <c r="D77" s="2310">
        <f>D75+D70+D65+D60+D50+D42+D28+D24+D18</f>
        <v>500361123.67000002</v>
      </c>
      <c r="E77" s="3354">
        <f>E75+E70+E65+E60+E50+E42+E28+E24+E18</f>
        <v>0.83201826960545711</v>
      </c>
      <c r="F77" s="2310">
        <v>736441970.5</v>
      </c>
      <c r="G77" s="2311"/>
      <c r="H77" s="2310">
        <f>H75+H70+H65+H60+H50+H42+H28+H24+H18</f>
        <v>7797546945.5</v>
      </c>
      <c r="I77" s="3354">
        <f>I75+I70+I65+I60+I50+I42+I28+I24+I18</f>
        <v>0.87526931218268489</v>
      </c>
      <c r="J77" s="2286"/>
      <c r="K77" s="87"/>
      <c r="L77" s="2288"/>
      <c r="N77" s="2936">
        <v>7297185821.8299999</v>
      </c>
    </row>
    <row r="78" spans="1:18" s="2293" customFormat="1" ht="13.5" x14ac:dyDescent="0.35">
      <c r="A78" s="862" t="s">
        <v>391</v>
      </c>
      <c r="B78" s="130"/>
      <c r="C78" s="98"/>
      <c r="D78" s="140"/>
      <c r="E78" s="2299"/>
      <c r="F78" s="140"/>
      <c r="G78" s="2290"/>
      <c r="H78" s="2291"/>
      <c r="I78" s="3360"/>
      <c r="J78" s="2291"/>
      <c r="K78" s="88"/>
      <c r="L78" s="2288" t="s">
        <v>392</v>
      </c>
      <c r="M78" s="2197"/>
      <c r="N78" s="2932"/>
    </row>
    <row r="79" spans="1:18" x14ac:dyDescent="0.3">
      <c r="A79" s="334" t="s">
        <v>190</v>
      </c>
      <c r="B79" s="84" t="s">
        <v>3252</v>
      </c>
      <c r="C79" s="109"/>
      <c r="D79" s="2080">
        <f>IF(B79="","",SUM(DepB))</f>
        <v>51343184.620000005</v>
      </c>
      <c r="E79" s="3351">
        <f t="shared" ref="E79:E83" si="16">D79/D$110</f>
        <v>8.6701718471389425E-2</v>
      </c>
      <c r="F79" s="2283">
        <v>51343184.620000005</v>
      </c>
      <c r="G79" s="2285"/>
      <c r="H79" s="2295">
        <f t="shared" ref="H79:H85" si="17">D79+N79</f>
        <v>584592707.87</v>
      </c>
      <c r="I79" s="3357">
        <f t="shared" ref="I79:I83" si="18">H79/H$106</f>
        <v>6.5620131677396165E-2</v>
      </c>
      <c r="J79" s="2286"/>
      <c r="K79" s="87" t="s">
        <v>558</v>
      </c>
      <c r="L79" s="2296" t="s">
        <v>190</v>
      </c>
      <c r="N79" s="2930">
        <v>533249523.25</v>
      </c>
    </row>
    <row r="80" spans="1:18" x14ac:dyDescent="0.3">
      <c r="A80" s="334" t="s">
        <v>190</v>
      </c>
      <c r="B80" s="84" t="s">
        <v>559</v>
      </c>
      <c r="C80" s="109"/>
      <c r="D80" s="2080">
        <f>IF(B80="","",SUM(DepInf))</f>
        <v>6247598.4199999999</v>
      </c>
      <c r="E80" s="3351">
        <f t="shared" si="16"/>
        <v>1.055013481033926E-2</v>
      </c>
      <c r="F80" s="2283">
        <v>6247589.9199999999</v>
      </c>
      <c r="G80" s="2285"/>
      <c r="H80" s="2295">
        <f t="shared" si="17"/>
        <v>74919275.070000008</v>
      </c>
      <c r="I80" s="3357">
        <f t="shared" si="18"/>
        <v>8.4096373921272328E-3</v>
      </c>
      <c r="J80" s="2286"/>
      <c r="K80" s="87" t="s">
        <v>561</v>
      </c>
      <c r="L80" s="2296" t="s">
        <v>190</v>
      </c>
      <c r="N80" s="2930">
        <v>68671676.650000006</v>
      </c>
    </row>
    <row r="81" spans="1:14" x14ac:dyDescent="0.3">
      <c r="A81" s="334" t="s">
        <v>190</v>
      </c>
      <c r="B81" s="84" t="s">
        <v>6650</v>
      </c>
      <c r="C81" s="109"/>
      <c r="D81" s="2080">
        <f>IF(B81="","",SUM(DepEq))</f>
        <v>12982655.410000002</v>
      </c>
      <c r="E81" s="3351">
        <f t="shared" si="16"/>
        <v>2.1923426501487646E-2</v>
      </c>
      <c r="F81" s="2283">
        <v>13006306.160000002</v>
      </c>
      <c r="G81" s="2285"/>
      <c r="H81" s="2295">
        <f t="shared" si="17"/>
        <v>149586053.09</v>
      </c>
      <c r="I81" s="3357">
        <f t="shared" si="18"/>
        <v>1.6790932163065219E-2</v>
      </c>
      <c r="J81" s="2286"/>
      <c r="K81" s="87" t="s">
        <v>1096</v>
      </c>
      <c r="L81" s="2296" t="s">
        <v>190</v>
      </c>
      <c r="N81" s="2930">
        <v>136603397.68000001</v>
      </c>
    </row>
    <row r="82" spans="1:14" x14ac:dyDescent="0.3">
      <c r="A82" s="334" t="s">
        <v>190</v>
      </c>
      <c r="B82" s="84" t="s">
        <v>6651</v>
      </c>
      <c r="C82" s="109"/>
      <c r="D82" s="2080">
        <f>IF(B82="","",SUM(DepFu))</f>
        <v>18917086.210000005</v>
      </c>
      <c r="E82" s="3351">
        <f t="shared" si="16"/>
        <v>3.1944724407288301E-2</v>
      </c>
      <c r="F82" s="2283">
        <v>20509899.880000003</v>
      </c>
      <c r="G82" s="2285"/>
      <c r="H82" s="2295">
        <f t="shared" si="17"/>
        <v>275164013.22000003</v>
      </c>
      <c r="I82" s="3357">
        <f t="shared" si="18"/>
        <v>3.0886972309604119E-2</v>
      </c>
      <c r="J82" s="2286"/>
      <c r="K82" s="87" t="s">
        <v>3111</v>
      </c>
      <c r="L82" s="2296" t="s">
        <v>190</v>
      </c>
      <c r="N82" s="2930">
        <v>256246927.01000005</v>
      </c>
    </row>
    <row r="83" spans="1:14" outlineLevel="1" x14ac:dyDescent="0.3">
      <c r="A83" s="334" t="s">
        <v>190</v>
      </c>
      <c r="B83" s="84" t="s">
        <v>566</v>
      </c>
      <c r="C83" s="109"/>
      <c r="D83" s="2080">
        <f>IF(B83="","",SUM(Depv))</f>
        <v>2330208.33</v>
      </c>
      <c r="E83" s="3351">
        <f t="shared" si="16"/>
        <v>3.9349539398973593E-3</v>
      </c>
      <c r="F83" s="2283">
        <v>2330208.33</v>
      </c>
      <c r="G83" s="2285"/>
      <c r="H83" s="2295">
        <f t="shared" si="17"/>
        <v>26931248.93</v>
      </c>
      <c r="I83" s="3357">
        <f t="shared" si="18"/>
        <v>3.0230142751221699E-3</v>
      </c>
      <c r="J83" s="2286"/>
      <c r="K83" s="87" t="s">
        <v>1102</v>
      </c>
      <c r="L83" s="2296" t="s">
        <v>190</v>
      </c>
      <c r="N83" s="2930">
        <v>24601040.600000001</v>
      </c>
    </row>
    <row r="84" spans="1:14" outlineLevel="1" x14ac:dyDescent="0.3">
      <c r="A84" s="334" t="s">
        <v>190</v>
      </c>
      <c r="B84" s="84" t="s">
        <v>6652</v>
      </c>
      <c r="C84" s="109"/>
      <c r="D84" s="2080">
        <f>IF(B84="","",SUM(DepLi))</f>
        <v>0</v>
      </c>
      <c r="E84" s="2294"/>
      <c r="F84" s="2283">
        <v>0</v>
      </c>
      <c r="G84" s="2285"/>
      <c r="H84" s="2295">
        <f t="shared" si="17"/>
        <v>0</v>
      </c>
      <c r="I84" s="3357"/>
      <c r="J84" s="2286"/>
      <c r="K84" s="87" t="s">
        <v>6653</v>
      </c>
      <c r="L84" s="2296" t="s">
        <v>190</v>
      </c>
      <c r="N84" s="2930">
        <v>0</v>
      </c>
    </row>
    <row r="85" spans="1:14" x14ac:dyDescent="0.3">
      <c r="A85" s="334" t="s">
        <v>190</v>
      </c>
      <c r="B85" s="84" t="s">
        <v>6654</v>
      </c>
      <c r="C85" s="109"/>
      <c r="D85" s="2464">
        <f>IF(B85="","",SUM(Depoth))</f>
        <v>0</v>
      </c>
      <c r="E85" s="2301"/>
      <c r="F85" s="155">
        <v>0</v>
      </c>
      <c r="G85" s="2302"/>
      <c r="H85" s="2305">
        <f t="shared" si="17"/>
        <v>0</v>
      </c>
      <c r="I85" s="3361"/>
      <c r="J85" s="2286"/>
      <c r="K85" s="87" t="s">
        <v>571</v>
      </c>
      <c r="L85" s="2296" t="s">
        <v>190</v>
      </c>
      <c r="N85" s="2935">
        <v>0</v>
      </c>
    </row>
    <row r="86" spans="1:14" x14ac:dyDescent="0.3">
      <c r="A86" s="334"/>
      <c r="B86" s="84"/>
      <c r="C86" s="109"/>
      <c r="D86" s="140">
        <f>SUM(D79:D85)</f>
        <v>91820732.99000001</v>
      </c>
      <c r="E86" s="3353">
        <f>SUM(E79:E85)</f>
        <v>0.15505495813040199</v>
      </c>
      <c r="F86" s="140">
        <v>93437188.910000011</v>
      </c>
      <c r="G86" s="2290"/>
      <c r="H86" s="140">
        <f>SUM(H79:H85)</f>
        <v>1111193298.1800001</v>
      </c>
      <c r="I86" s="3353">
        <f>SUM(I79:I85)</f>
        <v>0.1247306878173149</v>
      </c>
      <c r="J86" s="2286"/>
      <c r="K86" s="87"/>
      <c r="L86" s="2298"/>
      <c r="N86" s="2934">
        <v>1019372565.1899999</v>
      </c>
    </row>
    <row r="87" spans="1:14" s="2293" customFormat="1" ht="13.5" outlineLevel="1" x14ac:dyDescent="0.35">
      <c r="A87" s="862" t="s">
        <v>273</v>
      </c>
      <c r="B87" s="130"/>
      <c r="C87" s="98"/>
      <c r="D87" s="140"/>
      <c r="E87" s="2299"/>
      <c r="F87" s="140"/>
      <c r="G87" s="2290"/>
      <c r="H87" s="2291"/>
      <c r="I87" s="3360"/>
      <c r="J87" s="2291"/>
      <c r="K87" s="88"/>
      <c r="L87" s="2288" t="s">
        <v>677</v>
      </c>
      <c r="M87" s="2197"/>
      <c r="N87" s="2932"/>
    </row>
    <row r="88" spans="1:14" outlineLevel="1" x14ac:dyDescent="0.3">
      <c r="A88" s="334" t="s">
        <v>190</v>
      </c>
      <c r="B88" s="84" t="s">
        <v>7294</v>
      </c>
      <c r="C88" s="109"/>
      <c r="D88" s="2283">
        <f>'13'!E22+'13'!E49</f>
        <v>77692361.716666669</v>
      </c>
      <c r="E88" s="2294"/>
      <c r="F88" s="2283">
        <v>123833495.71666667</v>
      </c>
      <c r="G88" s="2285"/>
      <c r="H88" s="2295">
        <f>D88+N88</f>
        <v>1215122249.9100003</v>
      </c>
      <c r="I88" s="3357"/>
      <c r="J88" s="2286"/>
      <c r="K88" s="87" t="s">
        <v>6655</v>
      </c>
      <c r="L88" s="2296" t="s">
        <v>190</v>
      </c>
      <c r="N88" s="3139">
        <v>1137429888.1933336</v>
      </c>
    </row>
    <row r="89" spans="1:14" outlineLevel="1" x14ac:dyDescent="0.3">
      <c r="A89" s="334" t="s">
        <v>190</v>
      </c>
      <c r="B89" s="84" t="s">
        <v>6656</v>
      </c>
      <c r="C89" s="109"/>
      <c r="D89" s="2283"/>
      <c r="E89" s="2294"/>
      <c r="F89" s="2283"/>
      <c r="G89" s="2285"/>
      <c r="H89" s="2295">
        <f t="shared" ref="H89:H92" si="19">D89+N89</f>
        <v>0</v>
      </c>
      <c r="I89" s="3357"/>
      <c r="J89" s="2286"/>
      <c r="K89" s="87" t="s">
        <v>6657</v>
      </c>
      <c r="L89" s="2296" t="s">
        <v>190</v>
      </c>
      <c r="N89" s="2930">
        <v>0</v>
      </c>
    </row>
    <row r="90" spans="1:14" outlineLevel="1" x14ac:dyDescent="0.3">
      <c r="A90" s="334" t="s">
        <v>190</v>
      </c>
      <c r="B90" s="84" t="s">
        <v>326</v>
      </c>
      <c r="C90" s="109"/>
      <c r="D90" s="2283"/>
      <c r="E90" s="2294"/>
      <c r="F90" s="2283"/>
      <c r="G90" s="2285"/>
      <c r="H90" s="2295">
        <f t="shared" si="19"/>
        <v>0</v>
      </c>
      <c r="I90" s="3357"/>
      <c r="J90" s="2286"/>
      <c r="K90" s="87" t="s">
        <v>6658</v>
      </c>
      <c r="L90" s="2296" t="s">
        <v>190</v>
      </c>
      <c r="N90" s="2930">
        <v>0</v>
      </c>
    </row>
    <row r="91" spans="1:14" outlineLevel="1" x14ac:dyDescent="0.3">
      <c r="A91" s="334" t="s">
        <v>190</v>
      </c>
      <c r="B91" s="84" t="s">
        <v>328</v>
      </c>
      <c r="C91" s="109"/>
      <c r="D91" s="2283"/>
      <c r="E91" s="2294"/>
      <c r="F91" s="2283"/>
      <c r="G91" s="2285"/>
      <c r="H91" s="2295">
        <f t="shared" si="19"/>
        <v>0</v>
      </c>
      <c r="I91" s="3357"/>
      <c r="J91" s="2286"/>
      <c r="K91" s="87" t="s">
        <v>722</v>
      </c>
      <c r="L91" s="2296" t="s">
        <v>190</v>
      </c>
      <c r="N91" s="2930">
        <v>0</v>
      </c>
    </row>
    <row r="92" spans="1:14" outlineLevel="1" x14ac:dyDescent="0.3">
      <c r="A92" s="334" t="s">
        <v>190</v>
      </c>
      <c r="B92" s="84" t="s">
        <v>684</v>
      </c>
      <c r="C92" s="109"/>
      <c r="D92" s="2283"/>
      <c r="E92" s="2294"/>
      <c r="F92" s="2283"/>
      <c r="G92" s="2285"/>
      <c r="H92" s="2295">
        <f t="shared" si="19"/>
        <v>0</v>
      </c>
      <c r="I92" s="3357"/>
      <c r="J92" s="2286"/>
      <c r="K92" s="87" t="s">
        <v>330</v>
      </c>
      <c r="L92" s="2296" t="s">
        <v>190</v>
      </c>
      <c r="N92" s="2930">
        <v>0</v>
      </c>
    </row>
    <row r="93" spans="1:14" outlineLevel="1" x14ac:dyDescent="0.3">
      <c r="A93" s="334"/>
      <c r="B93" s="84"/>
      <c r="C93" s="109"/>
      <c r="D93" s="2297">
        <f>SUM(D88:D92)</f>
        <v>77692361.716666669</v>
      </c>
      <c r="E93" s="2297">
        <f>SUM(E88:E92)</f>
        <v>0</v>
      </c>
      <c r="F93" s="2297">
        <v>123833495.71666667</v>
      </c>
      <c r="G93" s="2312"/>
      <c r="H93" s="2297">
        <f>SUM(H88:H92)</f>
        <v>1215122249.9100003</v>
      </c>
      <c r="I93" s="3359"/>
      <c r="J93" s="2286"/>
      <c r="K93" s="87"/>
      <c r="L93" s="2298"/>
      <c r="N93" s="2297">
        <v>1137429888.1933336</v>
      </c>
    </row>
    <row r="94" spans="1:14" s="2293" customFormat="1" ht="13.5" outlineLevel="1" x14ac:dyDescent="0.35">
      <c r="A94" s="862" t="s">
        <v>394</v>
      </c>
      <c r="B94" s="130"/>
      <c r="C94" s="98"/>
      <c r="D94" s="140"/>
      <c r="E94" s="2299"/>
      <c r="F94" s="140"/>
      <c r="G94" s="2290"/>
      <c r="H94" s="2291"/>
      <c r="I94" s="3360"/>
      <c r="J94" s="2291"/>
      <c r="K94" s="88"/>
      <c r="L94" s="2288" t="s">
        <v>6659</v>
      </c>
      <c r="M94" s="2197"/>
      <c r="N94" s="2932"/>
    </row>
    <row r="95" spans="1:14" outlineLevel="1" x14ac:dyDescent="0.3">
      <c r="A95" s="334" t="s">
        <v>190</v>
      </c>
      <c r="B95" s="261" t="s">
        <v>6660</v>
      </c>
      <c r="C95" s="109"/>
      <c r="D95" s="2283"/>
      <c r="E95" s="2294"/>
      <c r="F95" s="2283"/>
      <c r="G95" s="2285"/>
      <c r="H95" s="2295">
        <f t="shared" ref="H95:H100" si="20">D95+N95</f>
        <v>0</v>
      </c>
      <c r="I95" s="3357"/>
      <c r="J95" s="2286"/>
      <c r="K95" s="87" t="s">
        <v>6661</v>
      </c>
      <c r="L95" s="2296" t="s">
        <v>190</v>
      </c>
      <c r="N95" s="2930">
        <v>0</v>
      </c>
    </row>
    <row r="96" spans="1:14" outlineLevel="1" x14ac:dyDescent="0.3">
      <c r="A96" s="334" t="s">
        <v>190</v>
      </c>
      <c r="B96" s="261" t="s">
        <v>6662</v>
      </c>
      <c r="C96" s="109"/>
      <c r="D96" s="2283"/>
      <c r="E96" s="2294"/>
      <c r="F96" s="2283"/>
      <c r="G96" s="2285"/>
      <c r="H96" s="2295">
        <f t="shared" si="20"/>
        <v>0</v>
      </c>
      <c r="I96" s="3357"/>
      <c r="J96" s="2286"/>
      <c r="K96" s="87" t="s">
        <v>6663</v>
      </c>
      <c r="L96" s="2296" t="s">
        <v>190</v>
      </c>
      <c r="N96" s="2930">
        <v>0</v>
      </c>
    </row>
    <row r="97" spans="1:14" outlineLevel="1" x14ac:dyDescent="0.3">
      <c r="A97" s="334" t="s">
        <v>190</v>
      </c>
      <c r="B97" s="261" t="s">
        <v>4412</v>
      </c>
      <c r="C97" s="109"/>
      <c r="D97" s="2313"/>
      <c r="E97" s="2294"/>
      <c r="F97" s="2283"/>
      <c r="G97" s="2285"/>
      <c r="H97" s="2295">
        <f t="shared" si="20"/>
        <v>0</v>
      </c>
      <c r="I97" s="3357"/>
      <c r="J97" s="2286"/>
      <c r="K97" s="87" t="s">
        <v>6664</v>
      </c>
      <c r="L97" s="2296" t="s">
        <v>190</v>
      </c>
      <c r="N97" s="2930">
        <v>0</v>
      </c>
    </row>
    <row r="98" spans="1:14" outlineLevel="1" x14ac:dyDescent="0.3">
      <c r="A98" s="334" t="s">
        <v>190</v>
      </c>
      <c r="B98" s="261" t="s">
        <v>6665</v>
      </c>
      <c r="C98" s="109"/>
      <c r="D98" s="2283"/>
      <c r="E98" s="2294"/>
      <c r="F98" s="2283"/>
      <c r="G98" s="2285"/>
      <c r="H98" s="2295">
        <f t="shared" si="20"/>
        <v>0</v>
      </c>
      <c r="I98" s="3357"/>
      <c r="J98" s="2286"/>
      <c r="K98" s="87" t="s">
        <v>6666</v>
      </c>
      <c r="L98" s="2296" t="s">
        <v>190</v>
      </c>
      <c r="M98" s="86"/>
      <c r="N98" s="2930">
        <v>0</v>
      </c>
    </row>
    <row r="99" spans="1:14" outlineLevel="1" x14ac:dyDescent="0.3">
      <c r="A99" s="334" t="s">
        <v>190</v>
      </c>
      <c r="B99" s="261" t="s">
        <v>6667</v>
      </c>
      <c r="C99" s="109"/>
      <c r="D99" s="2283"/>
      <c r="E99" s="2294"/>
      <c r="F99" s="2283"/>
      <c r="G99" s="2285"/>
      <c r="H99" s="2295">
        <f t="shared" si="20"/>
        <v>0</v>
      </c>
      <c r="I99" s="3358"/>
      <c r="J99" s="2286"/>
      <c r="K99" s="87" t="s">
        <v>6668</v>
      </c>
      <c r="L99" s="2296" t="s">
        <v>190</v>
      </c>
      <c r="N99" s="2930">
        <v>0</v>
      </c>
    </row>
    <row r="100" spans="1:14" outlineLevel="1" x14ac:dyDescent="0.3">
      <c r="A100" s="334" t="s">
        <v>190</v>
      </c>
      <c r="B100" s="261" t="s">
        <v>6669</v>
      </c>
      <c r="C100" s="109"/>
      <c r="D100" s="2314"/>
      <c r="E100" s="2301"/>
      <c r="F100" s="155"/>
      <c r="G100" s="2302"/>
      <c r="H100" s="2305">
        <f t="shared" si="20"/>
        <v>0</v>
      </c>
      <c r="I100" s="3361"/>
      <c r="J100" s="2286"/>
      <c r="K100" s="87" t="s">
        <v>6670</v>
      </c>
      <c r="L100" s="2296" t="s">
        <v>190</v>
      </c>
      <c r="N100" s="2935">
        <v>0</v>
      </c>
    </row>
    <row r="101" spans="1:14" outlineLevel="1" x14ac:dyDescent="0.3">
      <c r="A101" s="334"/>
      <c r="B101" s="86"/>
      <c r="C101" s="109"/>
      <c r="D101" s="140">
        <f>SUM(D95:D100)</f>
        <v>0</v>
      </c>
      <c r="E101" s="140">
        <f>SUM(E95:E100)</f>
        <v>0</v>
      </c>
      <c r="F101" s="140">
        <v>0</v>
      </c>
      <c r="G101" s="2290"/>
      <c r="H101" s="140">
        <f>SUM(H95:H100)</f>
        <v>0</v>
      </c>
      <c r="I101" s="3357"/>
      <c r="J101" s="2286"/>
      <c r="K101" s="87"/>
      <c r="L101" s="2298"/>
      <c r="N101" s="2934">
        <v>0</v>
      </c>
    </row>
    <row r="102" spans="1:14" ht="13.5" outlineLevel="1" thickBot="1" x14ac:dyDescent="0.35">
      <c r="A102" s="334"/>
      <c r="B102" s="86"/>
      <c r="C102" s="109"/>
      <c r="D102" s="2283"/>
      <c r="E102" s="2294"/>
      <c r="F102" s="2283"/>
      <c r="G102" s="2285"/>
      <c r="H102" s="2286"/>
      <c r="I102" s="3357"/>
      <c r="J102" s="2286"/>
      <c r="K102" s="87"/>
      <c r="L102" s="2298"/>
      <c r="N102" s="2930"/>
    </row>
    <row r="103" spans="1:14" ht="14" thickBot="1" x14ac:dyDescent="0.4">
      <c r="A103" s="2315" t="s">
        <v>396</v>
      </c>
      <c r="B103" s="2316"/>
      <c r="C103" s="2317"/>
      <c r="D103" s="2318">
        <f t="shared" ref="D103:I103" si="21">D101+D93+D86+D77</f>
        <v>669874218.37666667</v>
      </c>
      <c r="E103" s="3364">
        <f t="shared" si="21"/>
        <v>0.98707322773585915</v>
      </c>
      <c r="F103" s="2318">
        <f t="shared" si="21"/>
        <v>953712655.12666667</v>
      </c>
      <c r="G103" s="2318">
        <f t="shared" si="21"/>
        <v>0</v>
      </c>
      <c r="H103" s="2318">
        <f t="shared" si="21"/>
        <v>10123862493.59</v>
      </c>
      <c r="I103" s="3356">
        <f t="shared" si="21"/>
        <v>0.99999999999999978</v>
      </c>
      <c r="J103" s="2319"/>
      <c r="K103" s="2320"/>
      <c r="L103" s="2321" t="s">
        <v>1039</v>
      </c>
      <c r="N103" s="2318">
        <v>9453988275.2133331</v>
      </c>
    </row>
    <row r="104" spans="1:14" s="2328" customFormat="1" ht="13.5" x14ac:dyDescent="0.35">
      <c r="A104" s="2322"/>
      <c r="B104" s="192"/>
      <c r="C104" s="2322"/>
      <c r="D104" s="2323">
        <f>D103-LR!E75</f>
        <v>0</v>
      </c>
      <c r="E104" s="2324"/>
      <c r="F104" s="2323">
        <f>F103-'[6]10'!$D$103</f>
        <v>0</v>
      </c>
      <c r="G104" s="2324"/>
      <c r="H104" s="2323">
        <f>H103-LR!K75</f>
        <v>0</v>
      </c>
      <c r="I104" s="2324"/>
      <c r="J104" s="2325"/>
      <c r="K104" s="2326"/>
      <c r="L104" s="2327"/>
      <c r="N104" s="2336"/>
    </row>
    <row r="105" spans="1:14" s="2336" customFormat="1" ht="13.5" x14ac:dyDescent="0.35">
      <c r="A105" s="742"/>
      <c r="B105" s="190"/>
      <c r="C105" s="742"/>
      <c r="D105" s="2329">
        <v>1275143549.1300001</v>
      </c>
      <c r="E105" s="2330"/>
      <c r="F105" s="2331"/>
      <c r="G105" s="2330"/>
      <c r="H105" s="2329"/>
      <c r="I105" s="2332"/>
      <c r="J105" s="2333"/>
      <c r="K105" s="2334"/>
      <c r="L105" s="2335"/>
      <c r="N105" s="2947">
        <f>N103-'[6]10'!$H$103</f>
        <v>0</v>
      </c>
    </row>
    <row r="106" spans="1:14" s="2343" customFormat="1" ht="13.5" x14ac:dyDescent="0.35">
      <c r="A106" s="2337"/>
      <c r="B106" s="2338"/>
      <c r="C106" s="2337"/>
      <c r="D106" s="2329"/>
      <c r="E106" s="2330"/>
      <c r="F106" s="2329"/>
      <c r="G106" s="2330"/>
      <c r="H106" s="2329">
        <f>H103-H88</f>
        <v>8908740243.6800003</v>
      </c>
      <c r="I106" s="2339"/>
      <c r="J106" s="2340"/>
      <c r="K106" s="2341"/>
      <c r="L106" s="2342"/>
    </row>
    <row r="107" spans="1:14" s="2349" customFormat="1" ht="16.5" x14ac:dyDescent="0.35">
      <c r="A107" s="2231" t="str">
        <f>IN!C4</f>
        <v>Laporan Keuangan June 2026</v>
      </c>
      <c r="B107" s="2344"/>
      <c r="C107" s="2344"/>
      <c r="D107" s="2345"/>
      <c r="E107" s="2346"/>
      <c r="F107" s="2347" t="s">
        <v>171</v>
      </c>
      <c r="G107" s="2346"/>
      <c r="H107" s="2345"/>
      <c r="I107" s="2346"/>
      <c r="J107" s="2345"/>
      <c r="K107" s="2345"/>
      <c r="L107" s="2238" t="str">
        <f>IN!D4</f>
        <v>Financial Statement Jun 2026</v>
      </c>
      <c r="M107" s="2348"/>
      <c r="N107" s="2348"/>
    </row>
    <row r="108" spans="1:14" x14ac:dyDescent="0.3">
      <c r="A108" s="2197"/>
      <c r="B108" s="2197"/>
      <c r="C108" s="2197"/>
      <c r="D108" s="2197"/>
      <c r="E108" s="2197"/>
      <c r="F108" s="2197"/>
      <c r="G108" s="2197"/>
      <c r="H108" s="2197"/>
      <c r="I108" s="2197"/>
      <c r="J108" s="2197"/>
      <c r="K108" s="2197"/>
      <c r="L108" s="2197"/>
    </row>
    <row r="110" spans="1:14" x14ac:dyDescent="0.3">
      <c r="C110" s="3024" t="s">
        <v>7643</v>
      </c>
      <c r="D110" s="3022">
        <f>D103-D93</f>
        <v>592181856.65999997</v>
      </c>
      <c r="F110" s="2262">
        <f>D86</f>
        <v>91820732.99000001</v>
      </c>
      <c r="H110" s="2262">
        <f>D110-F110</f>
        <v>500361123.66999996</v>
      </c>
    </row>
    <row r="111" spans="1:14" x14ac:dyDescent="0.3">
      <c r="C111" s="2261" t="s">
        <v>7644</v>
      </c>
      <c r="D111" s="2262">
        <f>D93</f>
        <v>77692361.716666669</v>
      </c>
    </row>
    <row r="112" spans="1:14" x14ac:dyDescent="0.3">
      <c r="D112" s="2262">
        <f>SUM(D110:D111)</f>
        <v>669874218.37666667</v>
      </c>
    </row>
    <row r="114" spans="3:6" x14ac:dyDescent="0.3">
      <c r="C114" s="3025" t="s">
        <v>7645</v>
      </c>
      <c r="D114" s="2262">
        <f>'9'!D77-'10'!D110</f>
        <v>-47681756.659999967</v>
      </c>
      <c r="F114" s="2261"/>
    </row>
    <row r="115" spans="3:6" x14ac:dyDescent="0.3">
      <c r="C115" s="2261" t="s">
        <v>7646</v>
      </c>
      <c r="D115" s="2262">
        <f>LR!E52</f>
        <v>14078200</v>
      </c>
      <c r="F115" s="2261"/>
    </row>
    <row r="116" spans="3:6" x14ac:dyDescent="0.3">
      <c r="C116" s="2261" t="s">
        <v>7647</v>
      </c>
      <c r="D116" s="2262">
        <f>LR!E53</f>
        <v>0</v>
      </c>
      <c r="F116" s="2261"/>
    </row>
    <row r="117" spans="3:6" x14ac:dyDescent="0.3">
      <c r="C117" s="3026" t="s">
        <v>7648</v>
      </c>
      <c r="D117" s="3027">
        <f>SUM(D114:D116)</f>
        <v>-33603556.659999967</v>
      </c>
      <c r="F117" s="3119"/>
    </row>
  </sheetData>
  <mergeCells count="7">
    <mergeCell ref="A2:L2"/>
    <mergeCell ref="A4:L4"/>
    <mergeCell ref="A11:C12"/>
    <mergeCell ref="E11:E12"/>
    <mergeCell ref="G11:G12"/>
    <mergeCell ref="I11:I12"/>
    <mergeCell ref="J11:L12"/>
  </mergeCells>
  <pageMargins left="0.7" right="0.7" top="0.75" bottom="0.75" header="0.3" footer="0.3"/>
  <pageSetup paperSize="9" orientation="portrait" horizontalDpi="0" verticalDpi="0"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E196"/>
  <sheetViews>
    <sheetView topLeftCell="A13" zoomScale="60" zoomScaleNormal="60" zoomScaleSheetLayoutView="70" workbookViewId="0">
      <pane xSplit="5" ySplit="6" topLeftCell="N127" activePane="bottomRight" state="frozen"/>
      <selection activeCell="I81" sqref="I81"/>
      <selection pane="topRight" activeCell="I81" sqref="I81"/>
      <selection pane="bottomLeft" activeCell="I81" sqref="I81"/>
      <selection pane="bottomRight" activeCell="R20" sqref="R20:R153"/>
    </sheetView>
  </sheetViews>
  <sheetFormatPr defaultColWidth="9.1796875" defaultRowHeight="13" outlineLevelRow="1" outlineLevelCol="1" x14ac:dyDescent="0.35"/>
  <cols>
    <col min="1" max="1" width="2.7265625" style="2481" customWidth="1"/>
    <col min="2" max="2" width="1.81640625" style="1143" customWidth="1"/>
    <col min="3" max="3" width="21.7265625" style="1143" customWidth="1"/>
    <col min="4" max="5" width="9.1796875" style="1143" hidden="1" customWidth="1"/>
    <col min="6" max="6" width="17.26953125" style="1145" customWidth="1"/>
    <col min="7" max="7" width="17" style="1145" customWidth="1" outlineLevel="1"/>
    <col min="8" max="8" width="15.453125" style="1145" customWidth="1" outlineLevel="1"/>
    <col min="9" max="9" width="18.26953125" style="1145" customWidth="1"/>
    <col min="10" max="10" width="16.81640625" style="1145" customWidth="1"/>
    <col min="11" max="11" width="17.7265625" style="1145" customWidth="1"/>
    <col min="12" max="12" width="15.453125" style="1145" customWidth="1" outlineLevel="1"/>
    <col min="13" max="13" width="18.7265625" style="1145" customWidth="1" outlineLevel="1"/>
    <col min="14" max="14" width="16.81640625" style="1145" customWidth="1"/>
    <col min="15" max="15" width="17.26953125" style="1145" customWidth="1"/>
    <col min="16" max="16" width="16.1796875" style="1145" customWidth="1" outlineLevel="1"/>
    <col min="17" max="17" width="15.453125" style="1145" customWidth="1" outlineLevel="1"/>
    <col min="18" max="18" width="19.453125" style="1145" customWidth="1"/>
    <col min="19" max="19" width="2.1796875" style="2482" customWidth="1" outlineLevel="1"/>
    <col min="20" max="20" width="19.7265625" style="1302" customWidth="1"/>
    <col min="21" max="21" width="1.54296875" style="2483" customWidth="1" outlineLevel="1"/>
    <col min="22" max="22" width="18.54296875" style="1302" customWidth="1"/>
    <col min="23" max="23" width="2.1796875" style="2483" hidden="1" customWidth="1" outlineLevel="1"/>
    <col min="24" max="24" width="19.81640625" style="2668" customWidth="1" collapsed="1"/>
    <col min="25" max="25" width="1.81640625" style="2484" customWidth="1"/>
    <col min="26" max="26" width="3" style="2485" customWidth="1"/>
    <col min="27" max="27" width="9.1796875" style="1242" customWidth="1" outlineLevel="1"/>
    <col min="28" max="28" width="17.26953125" style="1147" customWidth="1" outlineLevel="1"/>
    <col min="29" max="29" width="24.7265625" style="1147" customWidth="1" outlineLevel="1"/>
    <col min="30" max="30" width="18.453125" style="1147" customWidth="1"/>
    <col min="31" max="31" width="18.26953125" style="1147" customWidth="1"/>
    <col min="32" max="32" width="14.81640625" style="1147" customWidth="1"/>
    <col min="33" max="33" width="16.1796875" style="1147" customWidth="1"/>
    <col min="34" max="34" width="17.1796875" style="1147" customWidth="1"/>
    <col min="35" max="35" width="9.1796875" style="1147"/>
    <col min="36" max="40" width="16.26953125" style="1147" customWidth="1"/>
    <col min="41" max="16384" width="9.1796875" style="1147"/>
  </cols>
  <sheetData>
    <row r="1" spans="1:29" x14ac:dyDescent="0.35">
      <c r="X1" s="1302"/>
    </row>
    <row r="2" spans="1:29" s="1986" customFormat="1" ht="18" x14ac:dyDescent="0.35">
      <c r="A2" s="3888" t="str">
        <f>[19]NRC!B2</f>
        <v>PESANTREN ISLAM AL-IRSYAD, TENGARAN</v>
      </c>
      <c r="B2" s="3888"/>
      <c r="C2" s="3888"/>
      <c r="D2" s="3888"/>
      <c r="E2" s="3888"/>
      <c r="F2" s="3888"/>
      <c r="G2" s="3888"/>
      <c r="H2" s="3888"/>
      <c r="I2" s="3888"/>
      <c r="J2" s="3888"/>
      <c r="K2" s="3888"/>
      <c r="L2" s="3888"/>
      <c r="M2" s="3888"/>
      <c r="N2" s="3888"/>
      <c r="O2" s="3888"/>
      <c r="P2" s="3888"/>
      <c r="Q2" s="3888"/>
      <c r="R2" s="3888"/>
      <c r="S2" s="3888"/>
      <c r="T2" s="3888"/>
      <c r="U2" s="3888"/>
      <c r="V2" s="3888"/>
      <c r="W2" s="3888"/>
      <c r="X2" s="3888"/>
      <c r="Y2" s="3888"/>
      <c r="Z2" s="3888"/>
      <c r="AA2" s="2486"/>
    </row>
    <row r="3" spans="1:29" s="1153" customFormat="1" ht="14" x14ac:dyDescent="0.35">
      <c r="A3" s="1154"/>
      <c r="B3" s="1163"/>
      <c r="C3" s="1163"/>
      <c r="D3" s="1163"/>
      <c r="E3" s="1163"/>
      <c r="F3" s="1151"/>
      <c r="G3" s="1151"/>
      <c r="H3" s="1151"/>
      <c r="I3" s="1151"/>
      <c r="J3" s="1151"/>
      <c r="K3" s="1151"/>
      <c r="L3" s="1151"/>
      <c r="M3" s="1151"/>
      <c r="N3" s="1151"/>
      <c r="O3" s="1151"/>
      <c r="P3" s="1151"/>
      <c r="Q3" s="1151"/>
      <c r="R3" s="1151"/>
      <c r="S3" s="2487"/>
      <c r="T3" s="2488"/>
      <c r="U3" s="2489"/>
      <c r="V3" s="2488"/>
      <c r="W3" s="2489"/>
      <c r="X3" s="2488"/>
      <c r="Y3" s="2490"/>
      <c r="Z3" s="2491"/>
      <c r="AA3" s="2492"/>
    </row>
    <row r="4" spans="1:29" s="1153" customFormat="1" ht="17.5" x14ac:dyDescent="0.35">
      <c r="A4" s="3889" t="s">
        <v>6703</v>
      </c>
      <c r="B4" s="3889"/>
      <c r="C4" s="3889"/>
      <c r="D4" s="3889"/>
      <c r="E4" s="3889"/>
      <c r="F4" s="3889"/>
      <c r="G4" s="3889"/>
      <c r="H4" s="3889"/>
      <c r="I4" s="3889"/>
      <c r="J4" s="3889"/>
      <c r="K4" s="3889"/>
      <c r="L4" s="3889"/>
      <c r="M4" s="3889"/>
      <c r="N4" s="3889"/>
      <c r="O4" s="3889"/>
      <c r="P4" s="3889"/>
      <c r="Q4" s="3889"/>
      <c r="R4" s="3889"/>
      <c r="S4" s="3889"/>
      <c r="T4" s="3889"/>
      <c r="U4" s="3889"/>
      <c r="V4" s="3889"/>
      <c r="W4" s="3889"/>
      <c r="X4" s="3889"/>
      <c r="Y4" s="3889"/>
      <c r="Z4" s="3889"/>
      <c r="AA4" s="2492"/>
    </row>
    <row r="5" spans="1:29" s="2498" customFormat="1" ht="15.5" x14ac:dyDescent="0.35">
      <c r="A5" s="376" t="s">
        <v>6704</v>
      </c>
      <c r="B5" s="529"/>
      <c r="C5" s="2493"/>
      <c r="D5" s="2493"/>
      <c r="E5" s="2493"/>
      <c r="F5" s="2494"/>
      <c r="G5" s="2494"/>
      <c r="H5" s="2494"/>
      <c r="I5" s="2494"/>
      <c r="J5" s="2494"/>
      <c r="K5" s="2494"/>
      <c r="L5" s="2494"/>
      <c r="M5" s="2494"/>
      <c r="N5" s="2494"/>
      <c r="O5" s="2494"/>
      <c r="P5" s="2494"/>
      <c r="Q5" s="2494"/>
      <c r="R5" s="2494"/>
      <c r="S5" s="2495"/>
      <c r="T5" s="2494"/>
      <c r="U5" s="2495"/>
      <c r="V5" s="2494"/>
      <c r="W5" s="2495"/>
      <c r="X5" s="2494"/>
      <c r="Y5" s="2496"/>
      <c r="Z5" s="531" t="s">
        <v>6705</v>
      </c>
      <c r="AA5" s="2497"/>
    </row>
    <row r="6" spans="1:29" s="1986" customFormat="1" ht="18" x14ac:dyDescent="0.35">
      <c r="A6" s="2499" t="str">
        <f>LR!C6</f>
        <v>Untuk Bulan yang Berakhir 30 June 2026</v>
      </c>
      <c r="B6" s="2500"/>
      <c r="C6" s="2501"/>
      <c r="D6" s="2501"/>
      <c r="E6" s="2501"/>
      <c r="F6" s="2501"/>
      <c r="G6" s="2501"/>
      <c r="H6" s="2501"/>
      <c r="I6" s="2501"/>
      <c r="J6" s="2501"/>
      <c r="K6" s="2501"/>
      <c r="L6" s="2501"/>
      <c r="M6" s="2501"/>
      <c r="N6" s="2501"/>
      <c r="O6" s="2501"/>
      <c r="P6" s="2501"/>
      <c r="Q6" s="2501"/>
      <c r="R6" s="2501"/>
      <c r="S6" s="2502"/>
      <c r="T6" s="2501"/>
      <c r="U6" s="2502"/>
      <c r="V6" s="2501"/>
      <c r="W6" s="2502"/>
      <c r="X6" s="2501"/>
      <c r="Y6" s="2503"/>
      <c r="Z6" s="2504" t="str">
        <f>LR!I6</f>
        <v>For The Month Ended Jun 2026</v>
      </c>
      <c r="AA6" s="2486"/>
    </row>
    <row r="7" spans="1:29" s="1986" customFormat="1" ht="18" x14ac:dyDescent="0.35">
      <c r="A7" s="2670" t="str">
        <f>LR!C7</f>
        <v>(Dengan perbandingan informasi keuangan untuk bulan yang berakhir 31 May 2026 /</v>
      </c>
      <c r="B7" s="2500"/>
      <c r="C7" s="2505"/>
      <c r="D7" s="2505"/>
      <c r="E7" s="2505"/>
      <c r="F7" s="2505"/>
      <c r="G7" s="2505"/>
      <c r="H7" s="2505"/>
      <c r="I7" s="2505"/>
      <c r="J7" s="2505"/>
      <c r="K7" s="2505"/>
      <c r="L7" s="2505"/>
      <c r="M7" s="2505"/>
      <c r="N7" s="2505"/>
      <c r="O7" s="2505"/>
      <c r="P7" s="2505"/>
      <c r="Q7" s="2505"/>
      <c r="R7" s="2505"/>
      <c r="S7" s="2502"/>
      <c r="T7" s="2505"/>
      <c r="U7" s="2502"/>
      <c r="V7" s="2505"/>
      <c r="W7" s="2502"/>
      <c r="X7" s="2505"/>
      <c r="Y7" s="2506"/>
      <c r="Z7" s="2504" t="str">
        <f>LR!O7</f>
        <v>With Comparative financial information for the month ended May 31, 2026 )</v>
      </c>
      <c r="AA7" s="2486"/>
    </row>
    <row r="8" spans="1:29" s="1986" customFormat="1" ht="18" x14ac:dyDescent="0.35">
      <c r="A8" s="2499" t="str">
        <f>[18]RL!C8</f>
        <v>yang berakhir 30 June 2023 )</v>
      </c>
      <c r="B8" s="2500"/>
      <c r="C8" s="2505"/>
      <c r="D8" s="2505"/>
      <c r="E8" s="2505"/>
      <c r="F8" s="2505"/>
      <c r="G8" s="2505"/>
      <c r="H8" s="2505"/>
      <c r="I8" s="2505" t="s">
        <v>690</v>
      </c>
      <c r="J8" s="2505"/>
      <c r="K8" s="2505"/>
      <c r="L8" s="2505"/>
      <c r="M8" s="2505"/>
      <c r="N8" s="2505"/>
      <c r="O8" s="2505"/>
      <c r="P8" s="2505"/>
      <c r="Q8" s="2505"/>
      <c r="R8" s="2505"/>
      <c r="S8" s="2502"/>
      <c r="T8" s="2505"/>
      <c r="U8" s="2502"/>
      <c r="V8" s="2505"/>
      <c r="W8" s="2502"/>
      <c r="X8" s="2505"/>
      <c r="Y8" s="2506"/>
      <c r="Z8" s="2504"/>
      <c r="AA8" s="2486"/>
    </row>
    <row r="9" spans="1:29" s="1986" customFormat="1" ht="18" x14ac:dyDescent="0.35">
      <c r="A9" s="2499" t="s">
        <v>6579</v>
      </c>
      <c r="B9" s="2500"/>
      <c r="C9" s="2501"/>
      <c r="D9" s="2501"/>
      <c r="E9" s="2501"/>
      <c r="F9" s="2501"/>
      <c r="G9" s="2501"/>
      <c r="H9" s="2501"/>
      <c r="I9" s="2507"/>
      <c r="J9" s="2507"/>
      <c r="K9" s="2501"/>
      <c r="L9" s="2501"/>
      <c r="M9" s="2501"/>
      <c r="N9" s="2501"/>
      <c r="O9" s="2501"/>
      <c r="P9" s="2501"/>
      <c r="Q9" s="2501"/>
      <c r="R9" s="2501"/>
      <c r="S9" s="2502"/>
      <c r="T9" s="2501"/>
      <c r="U9" s="2502"/>
      <c r="V9" s="2501"/>
      <c r="W9" s="2502"/>
      <c r="X9" s="2501"/>
      <c r="Y9" s="2503"/>
      <c r="Z9" s="2504"/>
      <c r="AA9" s="2486"/>
    </row>
    <row r="10" spans="1:29" s="2514" customFormat="1" ht="18" x14ac:dyDescent="0.35">
      <c r="A10" s="2508"/>
      <c r="B10" s="2509"/>
      <c r="C10" s="2507"/>
      <c r="D10" s="2507"/>
      <c r="E10" s="2507"/>
      <c r="F10" s="2510"/>
      <c r="G10" s="2501"/>
      <c r="H10" s="2507"/>
      <c r="I10" s="2510"/>
      <c r="J10" s="2507"/>
      <c r="K10" s="2507"/>
      <c r="L10" s="2507"/>
      <c r="M10" s="2507"/>
      <c r="N10" s="2510"/>
      <c r="O10" s="2507"/>
      <c r="P10" s="2507"/>
      <c r="Q10" s="2507"/>
      <c r="R10" s="2507"/>
      <c r="S10" s="2511"/>
      <c r="T10" s="2507"/>
      <c r="U10" s="2511"/>
      <c r="V10" s="2507"/>
      <c r="W10" s="2511"/>
      <c r="X10" s="2507"/>
      <c r="Y10" s="2512"/>
      <c r="Z10" s="2513"/>
    </row>
    <row r="11" spans="1:29" ht="14" thickBot="1" x14ac:dyDescent="0.4">
      <c r="A11" s="1322"/>
      <c r="B11" s="1169"/>
      <c r="C11" s="1166"/>
      <c r="D11" s="1166"/>
      <c r="E11" s="1166"/>
      <c r="F11" s="2515">
        <v>1</v>
      </c>
      <c r="G11" s="2515">
        <v>2</v>
      </c>
      <c r="H11" s="2515">
        <v>3</v>
      </c>
      <c r="I11" s="2515">
        <v>4</v>
      </c>
      <c r="J11" s="2515">
        <v>5</v>
      </c>
      <c r="K11" s="2515">
        <v>6</v>
      </c>
      <c r="L11" s="2515">
        <v>7</v>
      </c>
      <c r="M11" s="2515">
        <v>8</v>
      </c>
      <c r="N11" s="2515">
        <v>9</v>
      </c>
      <c r="O11" s="2515">
        <v>10</v>
      </c>
      <c r="P11" s="2515">
        <v>11</v>
      </c>
      <c r="Q11" s="2515">
        <v>12</v>
      </c>
      <c r="R11" s="509"/>
      <c r="S11" s="2516"/>
      <c r="T11" s="509"/>
      <c r="U11" s="2516"/>
      <c r="V11" s="509"/>
      <c r="W11" s="2516"/>
      <c r="X11" s="509"/>
      <c r="Y11" s="2010"/>
      <c r="Z11" s="2517"/>
      <c r="AC11" s="1147" t="s">
        <v>6580</v>
      </c>
    </row>
    <row r="12" spans="1:29" s="1371" customFormat="1" ht="13.5" thickBot="1" x14ac:dyDescent="0.4">
      <c r="A12" s="3882" t="s">
        <v>6581</v>
      </c>
      <c r="B12" s="3882"/>
      <c r="C12" s="3882"/>
      <c r="D12" s="2518" t="e">
        <f>#REF!</f>
        <v>#REF!</v>
      </c>
      <c r="E12" s="2519" t="s">
        <v>6706</v>
      </c>
      <c r="F12" s="3890" t="e">
        <f>[18]IN!H23</f>
        <v>#N/A</v>
      </c>
      <c r="G12" s="3891"/>
      <c r="H12" s="3891"/>
      <c r="I12" s="3891"/>
      <c r="J12" s="3891"/>
      <c r="K12" s="3891"/>
      <c r="L12" s="3891"/>
      <c r="M12" s="3891"/>
      <c r="N12" s="3891"/>
      <c r="O12" s="3891"/>
      <c r="P12" s="3891"/>
      <c r="Q12" s="3891"/>
      <c r="R12" s="3891"/>
      <c r="S12" s="2520"/>
      <c r="T12" s="2521" t="str">
        <f>[18]IN!$G$26</f>
        <v>30 June 2023 /</v>
      </c>
      <c r="U12" s="2520"/>
      <c r="V12" s="2522" t="str">
        <f>[18]IN!$C$37</f>
        <v>s/d 31 July 2023 /</v>
      </c>
      <c r="W12" s="2520"/>
      <c r="X12" s="3892" t="s">
        <v>180</v>
      </c>
      <c r="Y12" s="3892"/>
      <c r="Z12" s="3893"/>
      <c r="AA12" s="2523"/>
    </row>
    <row r="13" spans="1:29" s="1371" customFormat="1" ht="14.25" customHeight="1" thickBot="1" x14ac:dyDescent="0.4">
      <c r="A13" s="3882"/>
      <c r="B13" s="3882"/>
      <c r="C13" s="3882"/>
      <c r="D13" s="2524" t="e">
        <f>#REF!</f>
        <v>#REF!</v>
      </c>
      <c r="E13" s="2525" t="s">
        <v>6706</v>
      </c>
      <c r="F13" s="2526" t="s">
        <v>6707</v>
      </c>
      <c r="G13" s="2527" t="s">
        <v>6708</v>
      </c>
      <c r="H13" s="2527" t="s">
        <v>6709</v>
      </c>
      <c r="I13" s="2528" t="s">
        <v>6710</v>
      </c>
      <c r="J13" s="2527" t="s">
        <v>6709</v>
      </c>
      <c r="K13" s="2688" t="s">
        <v>6711</v>
      </c>
      <c r="L13" s="2527" t="s">
        <v>428</v>
      </c>
      <c r="M13" s="2527" t="s">
        <v>6712</v>
      </c>
      <c r="N13" s="2527" t="s">
        <v>6713</v>
      </c>
      <c r="O13" s="2527" t="s">
        <v>6714</v>
      </c>
      <c r="P13" s="2527" t="s">
        <v>6715</v>
      </c>
      <c r="Q13" s="2529" t="s">
        <v>6716</v>
      </c>
      <c r="R13" s="2527" t="s">
        <v>417</v>
      </c>
      <c r="S13" s="2530"/>
      <c r="T13" s="2926"/>
      <c r="U13" s="2530"/>
      <c r="V13" s="3900" t="str">
        <f>'10'!H11</f>
        <v>sd 30 June 2026/</v>
      </c>
      <c r="W13" s="2530"/>
      <c r="X13" s="3884"/>
      <c r="Y13" s="3884"/>
      <c r="Z13" s="3894"/>
      <c r="AA13" s="2523"/>
    </row>
    <row r="14" spans="1:29" s="1371" customFormat="1" ht="14" thickBot="1" x14ac:dyDescent="0.4">
      <c r="A14" s="3882"/>
      <c r="B14" s="3882"/>
      <c r="C14" s="3882"/>
      <c r="D14" s="2524"/>
      <c r="E14" s="2525"/>
      <c r="F14" s="2531" t="s">
        <v>374</v>
      </c>
      <c r="G14" s="2527" t="s">
        <v>6717</v>
      </c>
      <c r="H14" s="2527" t="s">
        <v>6718</v>
      </c>
      <c r="I14" s="2528" t="s">
        <v>6719</v>
      </c>
      <c r="J14" s="2527" t="s">
        <v>6720</v>
      </c>
      <c r="K14" s="2688" t="s">
        <v>6721</v>
      </c>
      <c r="L14" s="2527" t="s">
        <v>6722</v>
      </c>
      <c r="M14" s="2527" t="s">
        <v>6723</v>
      </c>
      <c r="N14" s="2527" t="s">
        <v>6724</v>
      </c>
      <c r="O14" s="2532" t="s">
        <v>392</v>
      </c>
      <c r="P14" s="2527" t="s">
        <v>6725</v>
      </c>
      <c r="Q14" s="2529" t="s">
        <v>6726</v>
      </c>
      <c r="R14" s="2532" t="s">
        <v>421</v>
      </c>
      <c r="S14" s="2530"/>
      <c r="T14" s="2926"/>
      <c r="U14" s="2530"/>
      <c r="V14" s="3900"/>
      <c r="W14" s="2530"/>
      <c r="X14" s="3884"/>
      <c r="Y14" s="3884"/>
      <c r="Z14" s="3894"/>
      <c r="AA14" s="2523"/>
    </row>
    <row r="15" spans="1:29" s="1371" customFormat="1" ht="15.75" customHeight="1" thickBot="1" x14ac:dyDescent="0.4">
      <c r="A15" s="3882"/>
      <c r="B15" s="3882"/>
      <c r="C15" s="3882"/>
      <c r="D15" s="2524"/>
      <c r="E15" s="2525"/>
      <c r="F15" s="2526"/>
      <c r="G15" s="2532" t="s">
        <v>6589</v>
      </c>
      <c r="H15" s="2532" t="s">
        <v>374</v>
      </c>
      <c r="I15" s="2534" t="s">
        <v>6727</v>
      </c>
      <c r="J15" s="2532" t="s">
        <v>6728</v>
      </c>
      <c r="K15" s="2688" t="s">
        <v>6729</v>
      </c>
      <c r="L15" s="2532" t="s">
        <v>6730</v>
      </c>
      <c r="M15" s="2532" t="s">
        <v>6731</v>
      </c>
      <c r="N15" s="2532" t="s">
        <v>6732</v>
      </c>
      <c r="O15" s="2527"/>
      <c r="P15" s="2532" t="s">
        <v>6733</v>
      </c>
      <c r="Q15" s="2533" t="s">
        <v>6734</v>
      </c>
      <c r="R15" s="2527" t="str">
        <f>IN!C5</f>
        <v>30 June 2026</v>
      </c>
      <c r="S15" s="2530"/>
      <c r="T15" s="2925" t="str">
        <f>'10'!F11</f>
        <v>31 May 2026/</v>
      </c>
      <c r="U15" s="2530"/>
      <c r="V15" s="3900"/>
      <c r="W15" s="2530"/>
      <c r="X15" s="3884"/>
      <c r="Y15" s="3884"/>
      <c r="Z15" s="3894"/>
      <c r="AA15" s="2523"/>
    </row>
    <row r="16" spans="1:29" s="1371" customFormat="1" ht="15.75" customHeight="1" thickBot="1" x14ac:dyDescent="0.4">
      <c r="A16" s="3882"/>
      <c r="B16" s="3882"/>
      <c r="C16" s="3882"/>
      <c r="D16" s="2524"/>
      <c r="E16" s="2525"/>
      <c r="F16" s="2526"/>
      <c r="G16" s="2532" t="s">
        <v>6735</v>
      </c>
      <c r="H16" s="2532" t="s">
        <v>6736</v>
      </c>
      <c r="I16" s="2534" t="s">
        <v>6737</v>
      </c>
      <c r="J16" s="2532" t="s">
        <v>6736</v>
      </c>
      <c r="K16" s="2689" t="s">
        <v>6738</v>
      </c>
      <c r="L16" s="2532" t="s">
        <v>6739</v>
      </c>
      <c r="M16" s="2532" t="s">
        <v>6740</v>
      </c>
      <c r="N16" s="2532" t="s">
        <v>6740</v>
      </c>
      <c r="O16" s="2527"/>
      <c r="P16" s="2532" t="s">
        <v>6741</v>
      </c>
      <c r="Q16" s="2533" t="s">
        <v>6742</v>
      </c>
      <c r="R16" s="2527"/>
      <c r="S16" s="2530"/>
      <c r="T16" s="3898">
        <f>'10'!F12</f>
        <v>46173</v>
      </c>
      <c r="U16" s="2530"/>
      <c r="V16" s="3898">
        <f>R17</f>
        <v>46203</v>
      </c>
      <c r="W16" s="2530"/>
      <c r="X16" s="3884"/>
      <c r="Y16" s="3884"/>
      <c r="Z16" s="3894"/>
      <c r="AA16" s="2523"/>
    </row>
    <row r="17" spans="1:31" s="1371" customFormat="1" ht="15.75" customHeight="1" thickBot="1" x14ac:dyDescent="0.4">
      <c r="A17" s="3882"/>
      <c r="B17" s="3882"/>
      <c r="C17" s="3882"/>
      <c r="D17" s="2524"/>
      <c r="E17" s="2525"/>
      <c r="F17" s="2526"/>
      <c r="G17" s="2527"/>
      <c r="H17" s="2527"/>
      <c r="I17" s="2534"/>
      <c r="J17" s="2527"/>
      <c r="K17" s="2689" t="s">
        <v>6743</v>
      </c>
      <c r="L17" s="2532" t="s">
        <v>6744</v>
      </c>
      <c r="M17" s="2527"/>
      <c r="N17" s="2532"/>
      <c r="O17" s="2527"/>
      <c r="P17" s="2527"/>
      <c r="Q17" s="2529"/>
      <c r="R17" s="2925">
        <f>IN!D5</f>
        <v>46203</v>
      </c>
      <c r="S17" s="2530"/>
      <c r="T17" s="3898"/>
      <c r="U17" s="2530"/>
      <c r="V17" s="3898"/>
      <c r="W17" s="2530"/>
      <c r="X17" s="3884"/>
      <c r="Y17" s="3884"/>
      <c r="Z17" s="3894"/>
      <c r="AA17" s="2523"/>
      <c r="AC17" s="2958" t="str">
        <f>"sd "&amp;(T15)</f>
        <v>sd 31 May 2026/</v>
      </c>
    </row>
    <row r="18" spans="1:31" s="1371" customFormat="1" ht="15.75" customHeight="1" thickBot="1" x14ac:dyDescent="0.35">
      <c r="A18" s="3882"/>
      <c r="B18" s="3882"/>
      <c r="C18" s="3882"/>
      <c r="D18" s="2524"/>
      <c r="E18" s="2525"/>
      <c r="F18" s="2535"/>
      <c r="G18" s="2536"/>
      <c r="H18" s="2536"/>
      <c r="I18" s="2537"/>
      <c r="J18" s="2536"/>
      <c r="K18" s="2690" t="s">
        <v>6745</v>
      </c>
      <c r="L18" s="2536"/>
      <c r="M18" s="2536"/>
      <c r="N18" s="2536"/>
      <c r="O18" s="2536"/>
      <c r="P18" s="2536"/>
      <c r="Q18" s="2538"/>
      <c r="R18" s="2536"/>
      <c r="S18" s="2539"/>
      <c r="T18" s="3899"/>
      <c r="U18" s="2539"/>
      <c r="V18" s="3899"/>
      <c r="W18" s="2539"/>
      <c r="X18" s="3884"/>
      <c r="Y18" s="3884"/>
      <c r="Z18" s="3894"/>
      <c r="AA18" s="2523"/>
      <c r="AC18" s="2959">
        <f>T16</f>
        <v>46173</v>
      </c>
    </row>
    <row r="19" spans="1:31" ht="13.5" x14ac:dyDescent="0.35">
      <c r="A19" s="859" t="s">
        <v>3230</v>
      </c>
      <c r="B19" s="84"/>
      <c r="C19" s="109"/>
      <c r="D19" s="255">
        <v>77125590.920000002</v>
      </c>
      <c r="E19" s="2540">
        <v>193177740.91999999</v>
      </c>
      <c r="F19" s="1191"/>
      <c r="G19" s="136"/>
      <c r="H19" s="136"/>
      <c r="I19" s="136"/>
      <c r="J19" s="136"/>
      <c r="K19" s="136"/>
      <c r="L19" s="136"/>
      <c r="M19" s="136"/>
      <c r="N19" s="136"/>
      <c r="O19" s="136"/>
      <c r="P19" s="136"/>
      <c r="Q19" s="110"/>
      <c r="R19" s="2541"/>
      <c r="S19" s="2542">
        <v>100</v>
      </c>
      <c r="T19" s="2543"/>
      <c r="U19" s="2542">
        <v>100</v>
      </c>
      <c r="V19" s="2543"/>
      <c r="W19" s="2542">
        <v>100</v>
      </c>
      <c r="X19" s="2544"/>
      <c r="Y19" s="87"/>
      <c r="Z19" s="2545" t="s">
        <v>6746</v>
      </c>
      <c r="AA19" s="2480" t="s">
        <v>1038</v>
      </c>
      <c r="AB19" s="882"/>
      <c r="AC19" s="2917"/>
    </row>
    <row r="20" spans="1:31" x14ac:dyDescent="0.35">
      <c r="A20" s="874" t="s">
        <v>6747</v>
      </c>
      <c r="B20" s="84"/>
      <c r="C20" s="109"/>
      <c r="D20" s="255"/>
      <c r="E20" s="2540"/>
      <c r="F20" s="1191">
        <f>IF($AA20="","",SUMIF(Bakademik1,AA20,Bakademik2))</f>
        <v>0</v>
      </c>
      <c r="G20" s="1191">
        <f>IF($AA20="","",SUMIF(BDaksos1,AA20,BDaksos2))</f>
        <v>0</v>
      </c>
      <c r="H20" s="1191">
        <f>IF($AA20="","",SUMIF(BDukunganAka1,AA20,BDukunganAka2))</f>
        <v>0</v>
      </c>
      <c r="I20" s="1191">
        <f>IF($AA20="","",SUMIF(BKegiatanSantri1,AA20,BKegiatanSantri2))</f>
        <v>0</v>
      </c>
      <c r="J20" s="1191">
        <f>IF($AA20="","",SUMIF(DukunganInstitusi1,AA20,DukunganInstitusi2))</f>
        <v>246488430</v>
      </c>
      <c r="K20" s="1191">
        <f>IF($AA20="","",SUMIF(BPemeliharaan1,AA20,BPemeliharaan2))</f>
        <v>0</v>
      </c>
      <c r="L20" s="1191">
        <f>IF($AA20="","",SUMIF(BBantuan1,AA20,BBantuan2))</f>
        <v>0</v>
      </c>
      <c r="M20" s="1191">
        <f>IF($AA20="","",SUMIF(BPenjualan1,AA20,BPenjualan2))</f>
        <v>0</v>
      </c>
      <c r="N20" s="1191">
        <f>IF($AA20="","",SUMIF(BLayananAsrama1,AA20,BlayananAsrama2))</f>
        <v>0</v>
      </c>
      <c r="O20" s="1191"/>
      <c r="P20" s="136"/>
      <c r="Q20" s="136"/>
      <c r="R20" s="2541">
        <f>SUM(F20:Q20)</f>
        <v>246488430</v>
      </c>
      <c r="S20" s="2546"/>
      <c r="T20" s="2544">
        <v>236651951.83000001</v>
      </c>
      <c r="U20" s="2546"/>
      <c r="V20" s="2544">
        <f>R20+AC20</f>
        <v>2869752814.1599998</v>
      </c>
      <c r="W20" s="2546"/>
      <c r="X20" s="2544"/>
      <c r="Y20" s="87"/>
      <c r="Z20" s="2547" t="s">
        <v>6748</v>
      </c>
      <c r="AA20" s="1242" t="s">
        <v>2586</v>
      </c>
      <c r="AC20" s="2918">
        <v>2623264384.1599998</v>
      </c>
    </row>
    <row r="21" spans="1:31" x14ac:dyDescent="0.35">
      <c r="A21" s="874" t="s">
        <v>6749</v>
      </c>
      <c r="B21" s="84"/>
      <c r="C21" s="109"/>
      <c r="D21" s="255"/>
      <c r="E21" s="2540"/>
      <c r="F21" s="1191">
        <f>IF($AA21="","",SUMIF(Bakademik1,AA21,Bakademik2))</f>
        <v>0</v>
      </c>
      <c r="G21" s="1191">
        <f>IF($AA21="","",SUMIF(BDaksos1,AA21,BDaksos2))</f>
        <v>0</v>
      </c>
      <c r="H21" s="1191">
        <f>IF($AA21="","",SUMIF(BDukunganAka1,AA21,BDukunganAka2))</f>
        <v>0</v>
      </c>
      <c r="I21" s="1191">
        <f>IF($AA21="","",SUMIF(BKegiatanSantri1,AA21,BKegiatanSantri2))</f>
        <v>0</v>
      </c>
      <c r="J21" s="1191">
        <f>IF($AA21="","",SUMIF(DukunganInstitusi1,AA21,DukunganInstitusi2))</f>
        <v>0</v>
      </c>
      <c r="K21" s="1191">
        <f>IF($AA21="","",SUMIF(BPemeliharaan1,AA21,BPemeliharaan2))</f>
        <v>0</v>
      </c>
      <c r="L21" s="1191">
        <f>IF($AA21="","",SUMIF(BBantuan1,AA21,BBantuan2))</f>
        <v>0</v>
      </c>
      <c r="M21" s="1191">
        <f>IF($AA21="","",SUMIF(BPenjualan1,AA21,BPenjualan2))</f>
        <v>0</v>
      </c>
      <c r="N21" s="1191">
        <f>IF($AA21="","",SUMIF(BLayananAsrama1,AA21,BlayananAsrama2))</f>
        <v>0</v>
      </c>
      <c r="O21" s="1191"/>
      <c r="P21" s="136"/>
      <c r="Q21" s="136"/>
      <c r="R21" s="2541">
        <f>SUM(F21:Q21)</f>
        <v>0</v>
      </c>
      <c r="S21" s="2546"/>
      <c r="T21" s="2544">
        <v>1460000</v>
      </c>
      <c r="U21" s="2546"/>
      <c r="V21" s="2544">
        <f>R21+AC21</f>
        <v>7805000</v>
      </c>
      <c r="W21" s="2546"/>
      <c r="X21" s="2544"/>
      <c r="Y21" s="87"/>
      <c r="Z21" s="2547" t="s">
        <v>6750</v>
      </c>
      <c r="AA21" s="1242" t="s">
        <v>2585</v>
      </c>
      <c r="AC21" s="2918">
        <v>7805000</v>
      </c>
    </row>
    <row r="22" spans="1:31" x14ac:dyDescent="0.35">
      <c r="A22" s="874" t="s">
        <v>6751</v>
      </c>
      <c r="B22" s="84"/>
      <c r="C22" s="109"/>
      <c r="D22" s="255"/>
      <c r="E22" s="2540"/>
      <c r="F22" s="1191">
        <f>IF($AA22="","",SUMIF(Bakademik1,AA22,Bakademik2))</f>
        <v>0</v>
      </c>
      <c r="G22" s="1191">
        <f>IF($AA22="","",SUMIF(BDaksos1,AA22,BDaksos2))</f>
        <v>0</v>
      </c>
      <c r="H22" s="1191">
        <f>IF($AA22="","",SUMIF(BDukunganAka1,AA22,BDukunganAka2))</f>
        <v>0</v>
      </c>
      <c r="I22" s="1191">
        <f>IF($AA22="","",SUMIF(BKegiatanSantri1,AA22,BKegiatanSantri2))</f>
        <v>0</v>
      </c>
      <c r="J22" s="1191">
        <f>IF($AA22="","",SUMIF(DukunganInstitusi1,AA22,DukunganInstitusi2))</f>
        <v>0</v>
      </c>
      <c r="K22" s="1191">
        <f>IF($AA22="","",SUMIF(BPemeliharaan1,AA22,BPemeliharaan2))</f>
        <v>0</v>
      </c>
      <c r="L22" s="1191">
        <f>IF($AA22="","",SUMIF(BBantuan1,AA22,BBantuan2))</f>
        <v>0</v>
      </c>
      <c r="M22" s="1191">
        <f>IF($AA22="","",SUMIF(BPenjualan1,AA22,BPenjualan2))</f>
        <v>0</v>
      </c>
      <c r="N22" s="1191">
        <f>IF($AA22="","",SUMIF(BLayananAsrama1,AA22,BlayananAsrama2))</f>
        <v>0</v>
      </c>
      <c r="O22" s="1191"/>
      <c r="P22" s="136"/>
      <c r="Q22" s="136"/>
      <c r="R22" s="2541">
        <f>SUM(F22:Q22)</f>
        <v>0</v>
      </c>
      <c r="S22" s="2546"/>
      <c r="T22" s="2544">
        <v>0</v>
      </c>
      <c r="U22" s="2546"/>
      <c r="V22" s="2544">
        <f>R22+AC22</f>
        <v>0</v>
      </c>
      <c r="W22" s="2546"/>
      <c r="X22" s="2544"/>
      <c r="Y22" s="87"/>
      <c r="Z22" s="2547" t="s">
        <v>6752</v>
      </c>
      <c r="AA22" s="1242" t="s">
        <v>6753</v>
      </c>
      <c r="AC22" s="2918">
        <v>0</v>
      </c>
    </row>
    <row r="23" spans="1:31" outlineLevel="1" x14ac:dyDescent="0.35">
      <c r="A23" s="2548" t="s">
        <v>6754</v>
      </c>
      <c r="B23" s="2549"/>
      <c r="C23" s="2550"/>
      <c r="D23" s="2551"/>
      <c r="E23" s="2552"/>
      <c r="F23" s="2678">
        <f>IF($AA23="","",SUMIF(Bakademik1,AA23,Bakademik2))</f>
        <v>0</v>
      </c>
      <c r="G23" s="2677">
        <f>IF($AA23="","",SUMIF(BDaksos1,AA23,BDaksos2))</f>
        <v>0</v>
      </c>
      <c r="H23" s="2678">
        <f>IF($AA23="","",SUMIF(BDukunganAka1,AA23,BDukunganAka2))</f>
        <v>0</v>
      </c>
      <c r="I23" s="2677">
        <f>IF($AA23="","",SUMIF(BKegiatanSantri1,AA23,BKegiatanSantri2))</f>
        <v>0</v>
      </c>
      <c r="J23" s="2677">
        <f>IF($AA23="","",SUMIF(DukunganInstitusi1,AA23,DukunganInstitusi2))</f>
        <v>0</v>
      </c>
      <c r="K23" s="2678">
        <f>IF($AA23="","",SUMIF(BPemeliharaan1,AA23,BPemeliharaan2))</f>
        <v>0</v>
      </c>
      <c r="L23" s="2677">
        <f>IF($AA23="","",SUMIF(BBantuan1,AA23,BBantuan2))</f>
        <v>0</v>
      </c>
      <c r="M23" s="2677">
        <f>IF($AA23="","",SUMIF(BPenjualan1,AA23,BPenjualan2))</f>
        <v>0</v>
      </c>
      <c r="N23" s="2678">
        <f>IF($AA23="","",SUMIF(BLayananAsrama1,AA23,BlayananAsrama2))</f>
        <v>0</v>
      </c>
      <c r="O23" s="1207"/>
      <c r="P23" s="2553"/>
      <c r="Q23" s="2569"/>
      <c r="R23" s="2554">
        <f>SUM(F23:Q23)</f>
        <v>0</v>
      </c>
      <c r="S23" s="2555"/>
      <c r="T23" s="2592">
        <v>1815000</v>
      </c>
      <c r="U23" s="2555"/>
      <c r="V23" s="2554">
        <f>R23+AC23</f>
        <v>12259830</v>
      </c>
      <c r="W23" s="2555"/>
      <c r="X23" s="2556"/>
      <c r="Y23" s="2557"/>
      <c r="Z23" s="2558" t="s">
        <v>6755</v>
      </c>
      <c r="AA23" s="1242" t="s">
        <v>6505</v>
      </c>
      <c r="AC23" s="2919">
        <v>12259830</v>
      </c>
    </row>
    <row r="24" spans="1:31" s="882" customFormat="1" ht="13.5" x14ac:dyDescent="0.35">
      <c r="A24" s="859"/>
      <c r="B24" s="130"/>
      <c r="C24" s="98"/>
      <c r="D24" s="2559"/>
      <c r="E24" s="2560"/>
      <c r="F24" s="1208">
        <f>SUM(F20:F23)</f>
        <v>0</v>
      </c>
      <c r="G24" s="1208">
        <f>SUM(G20:G23)</f>
        <v>0</v>
      </c>
      <c r="H24" s="100">
        <f t="shared" ref="H24:V24" si="0">SUM(H20:H23)</f>
        <v>0</v>
      </c>
      <c r="I24" s="100">
        <f t="shared" si="0"/>
        <v>0</v>
      </c>
      <c r="J24" s="100">
        <f t="shared" si="0"/>
        <v>246488430</v>
      </c>
      <c r="K24" s="100">
        <f t="shared" si="0"/>
        <v>0</v>
      </c>
      <c r="L24" s="100">
        <f t="shared" si="0"/>
        <v>0</v>
      </c>
      <c r="M24" s="100">
        <f t="shared" si="0"/>
        <v>0</v>
      </c>
      <c r="N24" s="100">
        <f t="shared" si="0"/>
        <v>0</v>
      </c>
      <c r="O24" s="100">
        <f t="shared" si="0"/>
        <v>0</v>
      </c>
      <c r="P24" s="100">
        <f t="shared" si="0"/>
        <v>0</v>
      </c>
      <c r="Q24" s="100">
        <f t="shared" si="0"/>
        <v>0</v>
      </c>
      <c r="R24" s="100">
        <f t="shared" si="0"/>
        <v>246488430</v>
      </c>
      <c r="S24" s="100"/>
      <c r="T24" s="100">
        <v>239926951.83000001</v>
      </c>
      <c r="U24" s="100">
        <f t="shared" si="0"/>
        <v>0</v>
      </c>
      <c r="V24" s="100">
        <f t="shared" si="0"/>
        <v>2889817644.1599998</v>
      </c>
      <c r="W24" s="2561"/>
      <c r="X24" s="2562"/>
      <c r="Y24" s="88"/>
      <c r="Z24" s="2545"/>
      <c r="AA24" s="2480" t="s">
        <v>2581</v>
      </c>
      <c r="AC24" s="2920">
        <v>2643329214.1599998</v>
      </c>
      <c r="AE24" s="1147"/>
    </row>
    <row r="25" spans="1:31" ht="13.5" x14ac:dyDescent="0.35">
      <c r="A25" s="859" t="s">
        <v>6756</v>
      </c>
      <c r="B25" s="84"/>
      <c r="C25" s="109"/>
      <c r="D25" s="255"/>
      <c r="E25" s="2540"/>
      <c r="F25" s="1191"/>
      <c r="G25" s="136"/>
      <c r="H25" s="136"/>
      <c r="I25" s="136"/>
      <c r="J25" s="136"/>
      <c r="K25" s="136"/>
      <c r="L25" s="136"/>
      <c r="M25" s="136"/>
      <c r="N25" s="136"/>
      <c r="O25" s="136"/>
      <c r="P25" s="136"/>
      <c r="Q25" s="110"/>
      <c r="R25" s="2541"/>
      <c r="S25" s="2546"/>
      <c r="T25" s="2544"/>
      <c r="U25" s="2546"/>
      <c r="V25" s="2544"/>
      <c r="W25" s="2546"/>
      <c r="X25" s="2544"/>
      <c r="Y25" s="87"/>
      <c r="Z25" s="2545" t="s">
        <v>6757</v>
      </c>
      <c r="AA25" s="2480"/>
      <c r="AB25" s="882"/>
      <c r="AC25" s="2918"/>
    </row>
    <row r="26" spans="1:31" x14ac:dyDescent="0.35">
      <c r="A26" s="2563" t="s">
        <v>7786</v>
      </c>
      <c r="B26" s="84"/>
      <c r="C26" s="109"/>
      <c r="D26" s="255"/>
      <c r="E26" s="2540"/>
      <c r="F26" s="1191">
        <f t="shared" ref="F26:F34" si="1">IF($AA26="","",SUMIF(Bakademik1,AA26,Bakademik2))</f>
        <v>0</v>
      </c>
      <c r="G26" s="1191">
        <f t="shared" ref="G26:G34" si="2">IF($AA26="","",SUMIF(BDaksos1,AA26,BDaksos2))</f>
        <v>0</v>
      </c>
      <c r="H26" s="1191">
        <f t="shared" ref="H26:H34" si="3">IF($AA26="","",SUMIF(BDukunganAka1,AA26,BDukunganAka2))</f>
        <v>0</v>
      </c>
      <c r="I26" s="1191">
        <f t="shared" ref="I26:I34" si="4">IF($AA26="","",SUMIF(BKegiatanSantri1,AA26,BKegiatanSantri2))</f>
        <v>0</v>
      </c>
      <c r="J26" s="1191">
        <f t="shared" ref="J26:J34" si="5">IF($AA26="","",SUMIF(DukunganInstitusi1,AA26,DukunganInstitusi2))</f>
        <v>1720000</v>
      </c>
      <c r="K26" s="1191">
        <f t="shared" ref="K26:K34" si="6">IF($AA26="","",SUMIF(BPemeliharaan1,AA26,BPemeliharaan2))</f>
        <v>0</v>
      </c>
      <c r="L26" s="1191">
        <f t="shared" ref="L26:L34" si="7">IF($AA26="","",SUMIF(BBantuan1,AA26,BBantuan2))</f>
        <v>0</v>
      </c>
      <c r="M26" s="1191">
        <f t="shared" ref="M26:M34" si="8">IF($AA26="","",SUMIF(BPenjualan1,AA26,BPenjualan2))</f>
        <v>0</v>
      </c>
      <c r="N26" s="1191">
        <f t="shared" ref="N26:N34" si="9">IF($AA26="","",SUMIF(BLayananAsrama1,AA26,BlayananAsrama2))</f>
        <v>0</v>
      </c>
      <c r="O26" s="1191"/>
      <c r="P26" s="136"/>
      <c r="Q26" s="136"/>
      <c r="R26" s="2541">
        <f t="shared" ref="R26:R34" si="10">SUM(F26:Q26)</f>
        <v>1720000</v>
      </c>
      <c r="S26" s="2546"/>
      <c r="T26" s="2544">
        <v>0</v>
      </c>
      <c r="U26" s="2546"/>
      <c r="V26" s="2544">
        <f t="shared" ref="V26:V34" si="11">R26+AC26</f>
        <v>12170000</v>
      </c>
      <c r="W26" s="2546"/>
      <c r="X26" s="2544"/>
      <c r="Y26" s="87"/>
      <c r="Z26" s="2547" t="s">
        <v>3325</v>
      </c>
      <c r="AA26" s="1242" t="s">
        <v>6506</v>
      </c>
      <c r="AC26" s="2918">
        <v>10450000</v>
      </c>
    </row>
    <row r="27" spans="1:31" x14ac:dyDescent="0.35">
      <c r="A27" s="2563" t="s">
        <v>7792</v>
      </c>
      <c r="B27" s="84"/>
      <c r="C27" s="109"/>
      <c r="D27" s="255"/>
      <c r="E27" s="2540"/>
      <c r="F27" s="1191">
        <f t="shared" si="1"/>
        <v>0</v>
      </c>
      <c r="G27" s="1191">
        <f t="shared" si="2"/>
        <v>0</v>
      </c>
      <c r="H27" s="1191">
        <f t="shared" si="3"/>
        <v>0</v>
      </c>
      <c r="I27" s="1191">
        <f t="shared" si="4"/>
        <v>0</v>
      </c>
      <c r="J27" s="1191">
        <f t="shared" si="5"/>
        <v>0</v>
      </c>
      <c r="K27" s="1191">
        <f t="shared" si="6"/>
        <v>0</v>
      </c>
      <c r="L27" s="1191">
        <f t="shared" si="7"/>
        <v>0</v>
      </c>
      <c r="M27" s="1191">
        <f t="shared" si="8"/>
        <v>0</v>
      </c>
      <c r="N27" s="1191">
        <f t="shared" si="9"/>
        <v>0</v>
      </c>
      <c r="O27" s="1191"/>
      <c r="P27" s="136"/>
      <c r="Q27" s="136"/>
      <c r="R27" s="2541">
        <f t="shared" si="10"/>
        <v>0</v>
      </c>
      <c r="S27" s="2546"/>
      <c r="T27" s="2544">
        <v>0</v>
      </c>
      <c r="U27" s="2546"/>
      <c r="V27" s="2544">
        <f t="shared" si="11"/>
        <v>8633798</v>
      </c>
      <c r="W27" s="2546"/>
      <c r="X27" s="2544"/>
      <c r="Y27" s="87"/>
      <c r="Z27" s="2547" t="s">
        <v>6758</v>
      </c>
      <c r="AA27" s="1242" t="s">
        <v>6508</v>
      </c>
      <c r="AC27" s="2918">
        <v>8633798</v>
      </c>
    </row>
    <row r="28" spans="1:31" outlineLevel="1" x14ac:dyDescent="0.35">
      <c r="A28" s="2563" t="s">
        <v>7935</v>
      </c>
      <c r="B28" s="84"/>
      <c r="C28" s="109"/>
      <c r="D28" s="255"/>
      <c r="E28" s="2540"/>
      <c r="F28" s="1191">
        <f t="shared" si="1"/>
        <v>0</v>
      </c>
      <c r="G28" s="1191">
        <f t="shared" si="2"/>
        <v>0</v>
      </c>
      <c r="H28" s="1191">
        <f t="shared" si="3"/>
        <v>0</v>
      </c>
      <c r="I28" s="1191">
        <f t="shared" si="4"/>
        <v>0</v>
      </c>
      <c r="J28" s="1191">
        <f t="shared" si="5"/>
        <v>8203104</v>
      </c>
      <c r="K28" s="1191">
        <f t="shared" si="6"/>
        <v>0</v>
      </c>
      <c r="L28" s="1191">
        <f t="shared" si="7"/>
        <v>0</v>
      </c>
      <c r="M28" s="1191">
        <f>IF($AA28="","",SUMIF(BPenjualan1,AA28,BPenjualan2))</f>
        <v>0</v>
      </c>
      <c r="N28" s="1191">
        <f t="shared" si="9"/>
        <v>0</v>
      </c>
      <c r="O28" s="1191"/>
      <c r="P28" s="136"/>
      <c r="Q28" s="136"/>
      <c r="R28" s="2541">
        <f t="shared" si="10"/>
        <v>8203104</v>
      </c>
      <c r="S28" s="2546"/>
      <c r="T28" s="2544">
        <v>8935524</v>
      </c>
      <c r="U28" s="2546"/>
      <c r="V28" s="2544">
        <f t="shared" si="11"/>
        <v>90673593</v>
      </c>
      <c r="W28" s="2546"/>
      <c r="X28" s="2544"/>
      <c r="Y28" s="87"/>
      <c r="Z28" s="2547" t="s">
        <v>6759</v>
      </c>
      <c r="AA28" s="1242" t="s">
        <v>6507</v>
      </c>
      <c r="AC28" s="2918">
        <v>82470489</v>
      </c>
    </row>
    <row r="29" spans="1:31" outlineLevel="1" x14ac:dyDescent="0.35">
      <c r="A29" s="2563" t="s">
        <v>7936</v>
      </c>
      <c r="B29" s="84"/>
      <c r="C29" s="109"/>
      <c r="D29" s="255"/>
      <c r="E29" s="2540"/>
      <c r="F29" s="1191">
        <f t="shared" si="1"/>
        <v>0</v>
      </c>
      <c r="G29" s="1191">
        <f t="shared" si="2"/>
        <v>0</v>
      </c>
      <c r="H29" s="1191">
        <f t="shared" si="3"/>
        <v>0</v>
      </c>
      <c r="I29" s="1191">
        <f t="shared" si="4"/>
        <v>0</v>
      </c>
      <c r="J29" s="1191">
        <f t="shared" si="5"/>
        <v>12318000</v>
      </c>
      <c r="K29" s="1191">
        <f t="shared" si="6"/>
        <v>0</v>
      </c>
      <c r="L29" s="1191">
        <f t="shared" si="7"/>
        <v>0</v>
      </c>
      <c r="M29" s="1191">
        <f t="shared" si="8"/>
        <v>0</v>
      </c>
      <c r="N29" s="1191">
        <f t="shared" si="9"/>
        <v>0</v>
      </c>
      <c r="O29" s="1191"/>
      <c r="P29" s="136"/>
      <c r="Q29" s="136"/>
      <c r="R29" s="2541">
        <f t="shared" si="10"/>
        <v>12318000</v>
      </c>
      <c r="S29" s="2546"/>
      <c r="T29" s="2544">
        <v>12318000</v>
      </c>
      <c r="U29" s="2546"/>
      <c r="V29" s="2544">
        <f t="shared" si="11"/>
        <v>149678766</v>
      </c>
      <c r="W29" s="2546"/>
      <c r="X29" s="2544"/>
      <c r="Y29" s="87"/>
      <c r="Z29" s="2547" t="s">
        <v>6760</v>
      </c>
      <c r="AA29" s="1242" t="s">
        <v>6509</v>
      </c>
      <c r="AC29" s="2918">
        <v>137360766</v>
      </c>
    </row>
    <row r="30" spans="1:31" outlineLevel="1" x14ac:dyDescent="0.35">
      <c r="A30" s="2563" t="s">
        <v>6761</v>
      </c>
      <c r="B30" s="84"/>
      <c r="C30" s="109"/>
      <c r="D30" s="255"/>
      <c r="E30" s="2540"/>
      <c r="F30" s="1191">
        <f t="shared" si="1"/>
        <v>0</v>
      </c>
      <c r="G30" s="1191">
        <f t="shared" si="2"/>
        <v>0</v>
      </c>
      <c r="H30" s="1191">
        <f t="shared" si="3"/>
        <v>0</v>
      </c>
      <c r="I30" s="1191">
        <f t="shared" si="4"/>
        <v>0</v>
      </c>
      <c r="J30" s="1191">
        <f t="shared" si="5"/>
        <v>0</v>
      </c>
      <c r="K30" s="1191">
        <f t="shared" si="6"/>
        <v>0</v>
      </c>
      <c r="L30" s="1191">
        <f t="shared" si="7"/>
        <v>0</v>
      </c>
      <c r="M30" s="1191">
        <f t="shared" si="8"/>
        <v>0</v>
      </c>
      <c r="N30" s="1191">
        <f t="shared" si="9"/>
        <v>0</v>
      </c>
      <c r="O30" s="1191"/>
      <c r="P30" s="136"/>
      <c r="Q30" s="136"/>
      <c r="R30" s="2541">
        <f t="shared" si="10"/>
        <v>0</v>
      </c>
      <c r="S30" s="2546"/>
      <c r="T30" s="2544">
        <v>0</v>
      </c>
      <c r="U30" s="2546"/>
      <c r="V30" s="2544">
        <f t="shared" si="11"/>
        <v>608800</v>
      </c>
      <c r="W30" s="2546"/>
      <c r="X30" s="2544"/>
      <c r="Y30" s="87"/>
      <c r="Z30" s="2547" t="s">
        <v>6762</v>
      </c>
      <c r="AA30" s="1242" t="s">
        <v>6510</v>
      </c>
      <c r="AC30" s="2918">
        <v>608800</v>
      </c>
    </row>
    <row r="31" spans="1:31" outlineLevel="1" x14ac:dyDescent="0.35">
      <c r="A31" s="2563" t="s">
        <v>6763</v>
      </c>
      <c r="B31" s="84"/>
      <c r="C31" s="109"/>
      <c r="D31" s="255"/>
      <c r="E31" s="2540"/>
      <c r="F31" s="1191">
        <f t="shared" si="1"/>
        <v>0</v>
      </c>
      <c r="G31" s="1191">
        <f t="shared" si="2"/>
        <v>0</v>
      </c>
      <c r="H31" s="1191">
        <f t="shared" si="3"/>
        <v>0</v>
      </c>
      <c r="I31" s="1191">
        <f t="shared" si="4"/>
        <v>0</v>
      </c>
      <c r="J31" s="1191">
        <f t="shared" si="5"/>
        <v>0</v>
      </c>
      <c r="K31" s="1191">
        <f t="shared" si="6"/>
        <v>0</v>
      </c>
      <c r="L31" s="1191">
        <f t="shared" si="7"/>
        <v>0</v>
      </c>
      <c r="M31" s="1191">
        <f t="shared" si="8"/>
        <v>0</v>
      </c>
      <c r="N31" s="1191">
        <f t="shared" si="9"/>
        <v>0</v>
      </c>
      <c r="O31" s="1191"/>
      <c r="P31" s="136"/>
      <c r="Q31" s="136"/>
      <c r="R31" s="2541">
        <f t="shared" si="10"/>
        <v>0</v>
      </c>
      <c r="S31" s="2546"/>
      <c r="T31" s="2544">
        <v>0</v>
      </c>
      <c r="U31" s="2546"/>
      <c r="V31" s="2544">
        <f t="shared" si="11"/>
        <v>221329918</v>
      </c>
      <c r="W31" s="2546"/>
      <c r="X31" s="2544"/>
      <c r="Y31" s="87"/>
      <c r="Z31" s="2547" t="s">
        <v>6764</v>
      </c>
      <c r="AA31" s="1242" t="s">
        <v>6511</v>
      </c>
      <c r="AC31" s="2918">
        <v>221329918</v>
      </c>
    </row>
    <row r="32" spans="1:31" outlineLevel="1" x14ac:dyDescent="0.35">
      <c r="A32" s="2563" t="s">
        <v>6765</v>
      </c>
      <c r="B32" s="84"/>
      <c r="C32" s="109"/>
      <c r="D32" s="255"/>
      <c r="E32" s="2540"/>
      <c r="F32" s="1191">
        <f t="shared" si="1"/>
        <v>0</v>
      </c>
      <c r="G32" s="1191">
        <f t="shared" si="2"/>
        <v>0</v>
      </c>
      <c r="H32" s="1191">
        <f t="shared" si="3"/>
        <v>0</v>
      </c>
      <c r="I32" s="1191">
        <f t="shared" si="4"/>
        <v>0</v>
      </c>
      <c r="J32" s="1191">
        <f t="shared" si="5"/>
        <v>0</v>
      </c>
      <c r="K32" s="1191">
        <f t="shared" si="6"/>
        <v>0</v>
      </c>
      <c r="L32" s="1191">
        <f t="shared" si="7"/>
        <v>0</v>
      </c>
      <c r="M32" s="1191">
        <f t="shared" si="8"/>
        <v>0</v>
      </c>
      <c r="N32" s="1191">
        <f t="shared" si="9"/>
        <v>0</v>
      </c>
      <c r="O32" s="1191"/>
      <c r="P32" s="136"/>
      <c r="Q32" s="136"/>
      <c r="R32" s="2541">
        <f t="shared" si="10"/>
        <v>0</v>
      </c>
      <c r="S32" s="2546"/>
      <c r="T32" s="2544">
        <v>0</v>
      </c>
      <c r="U32" s="2546"/>
      <c r="V32" s="2544">
        <f t="shared" si="11"/>
        <v>4500000</v>
      </c>
      <c r="W32" s="2546"/>
      <c r="X32" s="2544"/>
      <c r="Y32" s="87"/>
      <c r="Z32" s="2547" t="s">
        <v>6766</v>
      </c>
      <c r="AA32" s="1242" t="s">
        <v>6512</v>
      </c>
      <c r="AC32" s="2918">
        <v>4500000</v>
      </c>
    </row>
    <row r="33" spans="1:31" outlineLevel="1" x14ac:dyDescent="0.35">
      <c r="A33" s="2563" t="s">
        <v>6767</v>
      </c>
      <c r="B33" s="84"/>
      <c r="C33" s="109"/>
      <c r="D33" s="255"/>
      <c r="E33" s="2540"/>
      <c r="F33" s="1191">
        <f t="shared" si="1"/>
        <v>0</v>
      </c>
      <c r="G33" s="1191">
        <f t="shared" si="2"/>
        <v>0</v>
      </c>
      <c r="H33" s="1191">
        <f t="shared" si="3"/>
        <v>0</v>
      </c>
      <c r="I33" s="1191">
        <f t="shared" si="4"/>
        <v>0</v>
      </c>
      <c r="J33" s="1191">
        <f t="shared" si="5"/>
        <v>500000</v>
      </c>
      <c r="K33" s="1191">
        <f t="shared" si="6"/>
        <v>0</v>
      </c>
      <c r="L33" s="1191">
        <f t="shared" si="7"/>
        <v>0</v>
      </c>
      <c r="M33" s="1191">
        <f>IF($AA33="","",SUMIF(BPenjualan1,AA33,BPenjualan2))</f>
        <v>0</v>
      </c>
      <c r="N33" s="1191">
        <f t="shared" si="9"/>
        <v>0</v>
      </c>
      <c r="O33" s="1191"/>
      <c r="P33" s="136"/>
      <c r="Q33" s="136"/>
      <c r="R33" s="2541">
        <f t="shared" si="10"/>
        <v>500000</v>
      </c>
      <c r="S33" s="2546"/>
      <c r="T33" s="2544">
        <v>0</v>
      </c>
      <c r="U33" s="2546"/>
      <c r="V33" s="2544">
        <f t="shared" si="11"/>
        <v>6380800</v>
      </c>
      <c r="W33" s="2546"/>
      <c r="X33" s="2544"/>
      <c r="Y33" s="87"/>
      <c r="Z33" s="2547" t="s">
        <v>6768</v>
      </c>
      <c r="AA33" s="1242" t="s">
        <v>6513</v>
      </c>
      <c r="AC33" s="2918">
        <v>5880800</v>
      </c>
    </row>
    <row r="34" spans="1:31" outlineLevel="1" x14ac:dyDescent="0.35">
      <c r="A34" s="2564" t="s">
        <v>6769</v>
      </c>
      <c r="B34" s="2565"/>
      <c r="C34" s="2566"/>
      <c r="D34" s="2567"/>
      <c r="E34" s="2568"/>
      <c r="F34" s="2677">
        <f t="shared" si="1"/>
        <v>0</v>
      </c>
      <c r="G34" s="2677">
        <f t="shared" si="2"/>
        <v>0</v>
      </c>
      <c r="H34" s="2678">
        <f t="shared" si="3"/>
        <v>0</v>
      </c>
      <c r="I34" s="2677">
        <f t="shared" si="4"/>
        <v>0</v>
      </c>
      <c r="J34" s="2677">
        <f t="shared" si="5"/>
        <v>2493666.67</v>
      </c>
      <c r="K34" s="2569">
        <f t="shared" si="6"/>
        <v>0</v>
      </c>
      <c r="L34" s="2677">
        <f t="shared" si="7"/>
        <v>0</v>
      </c>
      <c r="M34" s="2677">
        <f t="shared" si="8"/>
        <v>0</v>
      </c>
      <c r="N34" s="2678">
        <f t="shared" si="9"/>
        <v>0</v>
      </c>
      <c r="O34" s="1207"/>
      <c r="P34" s="2569"/>
      <c r="Q34" s="2569"/>
      <c r="R34" s="2554">
        <f t="shared" si="10"/>
        <v>2493666.67</v>
      </c>
      <c r="S34" s="2555"/>
      <c r="T34" s="2592">
        <v>5973666.6699999999</v>
      </c>
      <c r="U34" s="2555"/>
      <c r="V34" s="2554">
        <f t="shared" si="11"/>
        <v>32961001.340000004</v>
      </c>
      <c r="W34" s="2555"/>
      <c r="X34" s="2556"/>
      <c r="Y34" s="2557"/>
      <c r="Z34" s="2558" t="s">
        <v>6770</v>
      </c>
      <c r="AA34" s="1242" t="s">
        <v>6514</v>
      </c>
      <c r="AC34" s="2919">
        <v>30467334.670000002</v>
      </c>
    </row>
    <row r="35" spans="1:31" s="882" customFormat="1" ht="13.5" x14ac:dyDescent="0.35">
      <c r="A35" s="859"/>
      <c r="B35" s="130"/>
      <c r="C35" s="98"/>
      <c r="D35" s="2559"/>
      <c r="E35" s="2560"/>
      <c r="F35" s="1208">
        <f>SUM(F26:F34)</f>
        <v>0</v>
      </c>
      <c r="G35" s="1208">
        <f>SUM(G26:G34)</f>
        <v>0</v>
      </c>
      <c r="H35" s="100">
        <f t="shared" ref="H35:V35" si="12">SUM(H26:H34)</f>
        <v>0</v>
      </c>
      <c r="I35" s="100">
        <f t="shared" si="12"/>
        <v>0</v>
      </c>
      <c r="J35" s="100">
        <f t="shared" si="12"/>
        <v>25234770.670000002</v>
      </c>
      <c r="K35" s="100">
        <f t="shared" si="12"/>
        <v>0</v>
      </c>
      <c r="L35" s="100">
        <f t="shared" si="12"/>
        <v>0</v>
      </c>
      <c r="M35" s="100">
        <f t="shared" si="12"/>
        <v>0</v>
      </c>
      <c r="N35" s="100">
        <f t="shared" si="12"/>
        <v>0</v>
      </c>
      <c r="O35" s="100">
        <f t="shared" si="12"/>
        <v>0</v>
      </c>
      <c r="P35" s="100">
        <f t="shared" si="12"/>
        <v>0</v>
      </c>
      <c r="Q35" s="100">
        <f t="shared" si="12"/>
        <v>0</v>
      </c>
      <c r="R35" s="100">
        <f t="shared" si="12"/>
        <v>25234770.670000002</v>
      </c>
      <c r="S35" s="100">
        <f t="shared" si="12"/>
        <v>0</v>
      </c>
      <c r="T35" s="100">
        <v>27227190.670000002</v>
      </c>
      <c r="U35" s="100">
        <f t="shared" si="12"/>
        <v>0</v>
      </c>
      <c r="V35" s="100">
        <f t="shared" si="12"/>
        <v>526936676.34000003</v>
      </c>
      <c r="W35" s="2561"/>
      <c r="X35" s="2562"/>
      <c r="Y35" s="88"/>
      <c r="Z35" s="2545"/>
      <c r="AA35" s="2480" t="s">
        <v>6687</v>
      </c>
      <c r="AC35" s="2920">
        <v>501701905.67000002</v>
      </c>
      <c r="AE35" s="1147"/>
    </row>
    <row r="36" spans="1:31" ht="13.5" x14ac:dyDescent="0.35">
      <c r="A36" s="859" t="s">
        <v>6771</v>
      </c>
      <c r="B36" s="84"/>
      <c r="C36" s="109"/>
      <c r="D36" s="255"/>
      <c r="E36" s="2540"/>
      <c r="F36" s="1191"/>
      <c r="G36" s="136"/>
      <c r="H36" s="136"/>
      <c r="I36" s="136"/>
      <c r="J36" s="136"/>
      <c r="K36" s="136"/>
      <c r="L36" s="136"/>
      <c r="M36" s="136"/>
      <c r="N36" s="136"/>
      <c r="O36" s="136"/>
      <c r="P36" s="136"/>
      <c r="Q36" s="110"/>
      <c r="R36" s="2541"/>
      <c r="S36" s="2546"/>
      <c r="T36" s="2544"/>
      <c r="U36" s="2546"/>
      <c r="V36" s="2544"/>
      <c r="W36" s="2546"/>
      <c r="X36" s="2544"/>
      <c r="Y36" s="87"/>
      <c r="Z36" s="2545" t="s">
        <v>6772</v>
      </c>
      <c r="AA36" s="2480"/>
      <c r="AB36" s="882"/>
      <c r="AC36" s="2918"/>
    </row>
    <row r="37" spans="1:31" x14ac:dyDescent="0.35">
      <c r="A37" s="874" t="s">
        <v>671</v>
      </c>
      <c r="B37" s="84"/>
      <c r="C37" s="109"/>
      <c r="D37" s="255"/>
      <c r="E37" s="2540"/>
      <c r="F37" s="1191">
        <f>IF($AA37="","",SUMIF(Bakademik1,AA37,Bakademik2))</f>
        <v>37500</v>
      </c>
      <c r="G37" s="1191">
        <f>IF($AA37="","",SUMIF(BDaksos1,AA37,BDaksos2))</f>
        <v>40000</v>
      </c>
      <c r="H37" s="1191">
        <f>IF($AA37="","",SUMIF(BDukunganAka1,AA37,BDukunganAka2))</f>
        <v>0</v>
      </c>
      <c r="I37" s="1191">
        <f>IF($AA37="","",SUMIF(BKegiatanSantri1,AA37,BKegiatanSantri2))</f>
        <v>181500</v>
      </c>
      <c r="J37" s="1191">
        <f>IF($AA37="","",SUMIF(DukunganInstitusi1,AA37,DukunganInstitusi2))</f>
        <v>314500</v>
      </c>
      <c r="K37" s="1191">
        <f>IF($AA37="","",SUMIF(BPemeliharaan1,AA37,BPemeliharaan2))</f>
        <v>0</v>
      </c>
      <c r="L37" s="1191">
        <f>IF($AA37="","",SUMIF(BBantuan1,AA37,BBantuan2))</f>
        <v>0</v>
      </c>
      <c r="M37" s="1191">
        <f>IF($AA37="","",SUMIF(BPenjualan1,AA37,BPenjualan2))</f>
        <v>0</v>
      </c>
      <c r="N37" s="1191">
        <f>IF($AA37="","",SUMIF(BLayananAsrama1,AA37,BlayananAsrama2))</f>
        <v>0</v>
      </c>
      <c r="O37" s="1191"/>
      <c r="P37" s="136"/>
      <c r="Q37" s="1191"/>
      <c r="R37" s="2541">
        <f>SUM(F37:Q37)</f>
        <v>573500</v>
      </c>
      <c r="S37" s="2546"/>
      <c r="T37" s="2544">
        <v>3868600</v>
      </c>
      <c r="U37" s="2546"/>
      <c r="V37" s="2544">
        <f>R37+AC37</f>
        <v>98794010</v>
      </c>
      <c r="W37" s="2546"/>
      <c r="X37" s="2544"/>
      <c r="Y37" s="87"/>
      <c r="Z37" s="2547" t="s">
        <v>6773</v>
      </c>
      <c r="AA37" s="1242" t="s">
        <v>6515</v>
      </c>
      <c r="AC37" s="2918">
        <v>98220510</v>
      </c>
    </row>
    <row r="38" spans="1:31" x14ac:dyDescent="0.35">
      <c r="A38" s="874" t="s">
        <v>6774</v>
      </c>
      <c r="B38" s="84"/>
      <c r="C38" s="109"/>
      <c r="D38" s="255"/>
      <c r="E38" s="2540"/>
      <c r="F38" s="1191">
        <f>IF($AA38="","",SUMIF(Bakademik1,AA38,Bakademik2))</f>
        <v>4585200</v>
      </c>
      <c r="G38" s="1191">
        <f>IF($AA38="","",SUMIF(BDaksos1,AA38,BDaksos2))</f>
        <v>0</v>
      </c>
      <c r="H38" s="1191">
        <f>IF($AA38="","",SUMIF(BDukunganAka1,AA38,BDukunganAka2))</f>
        <v>0</v>
      </c>
      <c r="I38" s="1191">
        <f>IF($AA38="","",SUMIF(BKegiatanSantri1,AA38,BKegiatanSantri2))</f>
        <v>380200</v>
      </c>
      <c r="J38" s="1191">
        <f>IF($AA38="","",SUMIF(DukunganInstitusi1,AA38,DukunganInstitusi2))</f>
        <v>1463500</v>
      </c>
      <c r="K38" s="1191">
        <f>IF($AA38="","",SUMIF(BPemeliharaan1,AA38,BPemeliharaan2))</f>
        <v>0</v>
      </c>
      <c r="L38" s="1191">
        <f>IF($AA38="","",SUMIF(BBantuan1,AA38,BBantuan2))</f>
        <v>0</v>
      </c>
      <c r="M38" s="1191">
        <f>IF($AA38="","",SUMIF(BPenjualan1,AA38,BPenjualan2))</f>
        <v>0</v>
      </c>
      <c r="N38" s="1191">
        <f>IF($AA38="","",SUMIF(BLayananAsrama1,AA38,BlayananAsrama2))</f>
        <v>0</v>
      </c>
      <c r="O38" s="1191"/>
      <c r="P38" s="136"/>
      <c r="Q38" s="1191"/>
      <c r="R38" s="2541">
        <f>SUM(F38:Q38)</f>
        <v>6428900</v>
      </c>
      <c r="S38" s="2546"/>
      <c r="T38" s="2544">
        <v>7898800</v>
      </c>
      <c r="U38" s="2546"/>
      <c r="V38" s="2544">
        <f>R38+AC38</f>
        <v>55274100</v>
      </c>
      <c r="W38" s="2546"/>
      <c r="X38" s="2544"/>
      <c r="Y38" s="87"/>
      <c r="Z38" s="2547" t="s">
        <v>6775</v>
      </c>
      <c r="AA38" s="1242" t="s">
        <v>6517</v>
      </c>
      <c r="AC38" s="2918">
        <v>48845200</v>
      </c>
    </row>
    <row r="39" spans="1:31" x14ac:dyDescent="0.35">
      <c r="A39" s="874" t="s">
        <v>6776</v>
      </c>
      <c r="B39" s="84"/>
      <c r="C39" s="109"/>
      <c r="D39" s="255"/>
      <c r="E39" s="2540"/>
      <c r="F39" s="1191">
        <f>IF($AA39="","",SUMIF(Bakademik1,AA39,Bakademik2))</f>
        <v>829500</v>
      </c>
      <c r="G39" s="1191">
        <f>IF($AA39="","",SUMIF(BDaksos1,AA39,BDaksos2))</f>
        <v>100000</v>
      </c>
      <c r="H39" s="1191">
        <f>IF($AA39="","",SUMIF(BDukunganAka1,AA39,BDukunganAka2))</f>
        <v>0</v>
      </c>
      <c r="I39" s="1191">
        <f>IF($AA39="","",SUMIF(BKegiatanSantri1,AA39,BKegiatanSantri2))</f>
        <v>2398500</v>
      </c>
      <c r="J39" s="1191">
        <f>IF($AA39="","",SUMIF(DukunganInstitusi1,AA39,DukunganInstitusi2))</f>
        <v>5005000</v>
      </c>
      <c r="K39" s="1191">
        <f>IF($AA39="","",SUMIF(BPemeliharaan1,AA39,BPemeliharaan2))</f>
        <v>0</v>
      </c>
      <c r="L39" s="1191">
        <f>IF($AA39="","",SUMIF(BBantuan1,AA39,BBantuan2))</f>
        <v>0</v>
      </c>
      <c r="M39" s="1191">
        <f>IF($AA39="","",SUMIF(BPenjualan1,AA39,BPenjualan2))</f>
        <v>0</v>
      </c>
      <c r="N39" s="1191">
        <f>IF($AA39="","",SUMIF(BLayananAsrama1,AA39,BlayananAsrama2))</f>
        <v>3682000</v>
      </c>
      <c r="O39" s="1191"/>
      <c r="P39" s="136"/>
      <c r="Q39" s="1191"/>
      <c r="R39" s="2541">
        <f>SUM(F39:Q39)</f>
        <v>12015000</v>
      </c>
      <c r="S39" s="2546"/>
      <c r="T39" s="2544">
        <v>16688800</v>
      </c>
      <c r="U39" s="2546"/>
      <c r="V39" s="2544">
        <f>R39+AC39</f>
        <v>163360444</v>
      </c>
      <c r="W39" s="2546"/>
      <c r="X39" s="2544"/>
      <c r="Y39" s="87"/>
      <c r="Z39" s="2547" t="s">
        <v>3718</v>
      </c>
      <c r="AA39" s="1242" t="s">
        <v>6516</v>
      </c>
      <c r="AC39" s="2918">
        <v>151345444</v>
      </c>
    </row>
    <row r="40" spans="1:31" outlineLevel="1" x14ac:dyDescent="0.35">
      <c r="A40" s="874" t="s">
        <v>6777</v>
      </c>
      <c r="B40" s="84"/>
      <c r="C40" s="109"/>
      <c r="D40" s="255"/>
      <c r="E40" s="2540"/>
      <c r="F40" s="1191">
        <f>IF($AA40="","",SUMIF(Bakademik1,AA40,Bakademik2))</f>
        <v>0</v>
      </c>
      <c r="G40" s="1191">
        <f>IF($AA40="","",SUMIF(BDaksos1,AA40,BDaksos2))</f>
        <v>0</v>
      </c>
      <c r="H40" s="1191">
        <f>IF($AA40="","",SUMIF(BDukunganAka1,AA40,BDukunganAka2))</f>
        <v>0</v>
      </c>
      <c r="I40" s="1191">
        <f>IF($AA40="","",SUMIF(BKegiatanSantri1,AA40,BKegiatanSantri2))</f>
        <v>0</v>
      </c>
      <c r="J40" s="1191">
        <f>IF($AA40="","",SUMIF(DukunganInstitusi1,AA40,DukunganInstitusi2))</f>
        <v>2319880</v>
      </c>
      <c r="K40" s="1191">
        <f>IF($AA40="","",SUMIF(BPemeliharaan1,AA40,BPemeliharaan2))</f>
        <v>0</v>
      </c>
      <c r="L40" s="1191">
        <f>IF($AA40="","",SUMIF(BBantuan1,AA40,BBantuan2))</f>
        <v>0</v>
      </c>
      <c r="M40" s="1191">
        <f>IF($AA40="","",SUMIF(BPenjualan1,AA40,BPenjualan2))</f>
        <v>0</v>
      </c>
      <c r="N40" s="1191">
        <f>IF($AA40="","",SUMIF(BLayananAsrama1,AA40,BlayananAsrama2))</f>
        <v>0</v>
      </c>
      <c r="O40" s="1191"/>
      <c r="P40" s="136"/>
      <c r="Q40" s="1191"/>
      <c r="R40" s="2541">
        <f>SUM(F40:Q40)</f>
        <v>2319880</v>
      </c>
      <c r="S40" s="2546"/>
      <c r="T40" s="2544">
        <v>2262000</v>
      </c>
      <c r="U40" s="2546"/>
      <c r="V40" s="2544">
        <f>R40+AC40</f>
        <v>20147331</v>
      </c>
      <c r="W40" s="2546"/>
      <c r="X40" s="2544"/>
      <c r="Y40" s="87"/>
      <c r="Z40" s="2547" t="s">
        <v>6778</v>
      </c>
      <c r="AA40" s="1242" t="s">
        <v>6549</v>
      </c>
      <c r="AC40" s="2918">
        <v>17827451</v>
      </c>
    </row>
    <row r="41" spans="1:31" outlineLevel="1" x14ac:dyDescent="0.35">
      <c r="A41" s="2570" t="s">
        <v>6779</v>
      </c>
      <c r="B41" s="2565"/>
      <c r="C41" s="2566"/>
      <c r="D41" s="2567"/>
      <c r="E41" s="2568"/>
      <c r="F41" s="2677">
        <f>IF($AA41="","",SUMIF(Bakademik1,AA41,Bakademik2))</f>
        <v>0</v>
      </c>
      <c r="G41" s="2677">
        <f>IF($AA41="","",SUMIF(BDaksos1,AA41,BDaksos2))</f>
        <v>0</v>
      </c>
      <c r="H41" s="2678">
        <f>IF($AA41="","",SUMIF(BDukunganAka1,AA41,BDukunganAka2))</f>
        <v>0</v>
      </c>
      <c r="I41" s="2677">
        <f>IF($AA41="","",SUMIF(BKegiatanSantri1,AA41,BKegiatanSantri2))</f>
        <v>460500</v>
      </c>
      <c r="J41" s="2569">
        <f>IF($AA41="","",SUMIF(DukunganInstitusi1,AA41,DukunganInstitusi2))</f>
        <v>2129700</v>
      </c>
      <c r="K41" s="2677">
        <f>IF($AA41="","",SUMIF(BPemeliharaan1,AA41,BPemeliharaan2))</f>
        <v>0</v>
      </c>
      <c r="L41" s="2677">
        <f>IF($AA41="","",SUMIF(BBantuan1,AA41,BBantuan2))</f>
        <v>0</v>
      </c>
      <c r="M41" s="2677">
        <f>IF($AA41="","",SUMIF(BPenjualan1,AA41,BPenjualan2))</f>
        <v>0</v>
      </c>
      <c r="N41" s="2678">
        <f>IF($AA41="","",SUMIF(BLayananAsrama1,AA41,BlayananAsrama2))</f>
        <v>1540000</v>
      </c>
      <c r="O41" s="1207"/>
      <c r="P41" s="2569"/>
      <c r="Q41" s="2569"/>
      <c r="R41" s="2554">
        <f>SUM(F41:Q41)</f>
        <v>4130200</v>
      </c>
      <c r="S41" s="2555"/>
      <c r="T41" s="2592">
        <v>6471500</v>
      </c>
      <c r="U41" s="2555"/>
      <c r="V41" s="2554">
        <f>R41+AC41</f>
        <v>99292760</v>
      </c>
      <c r="W41" s="2555"/>
      <c r="X41" s="2556"/>
      <c r="Y41" s="2557"/>
      <c r="Z41" s="2558" t="s">
        <v>350</v>
      </c>
      <c r="AA41" s="1242" t="s">
        <v>6518</v>
      </c>
      <c r="AC41" s="2919">
        <v>95162560</v>
      </c>
    </row>
    <row r="42" spans="1:31" s="882" customFormat="1" ht="13.5" x14ac:dyDescent="0.35">
      <c r="A42" s="859"/>
      <c r="B42" s="130"/>
      <c r="C42" s="98"/>
      <c r="D42" s="2559"/>
      <c r="E42" s="2560"/>
      <c r="F42" s="1208">
        <f>SUM(F37:F41)</f>
        <v>5452200</v>
      </c>
      <c r="G42" s="1208">
        <f>SUM(G37:G41)</f>
        <v>140000</v>
      </c>
      <c r="H42" s="100">
        <f t="shared" ref="H42:V42" si="13">SUM(H37:H41)</f>
        <v>0</v>
      </c>
      <c r="I42" s="100">
        <f t="shared" si="13"/>
        <v>3420700</v>
      </c>
      <c r="J42" s="100">
        <f t="shared" si="13"/>
        <v>11232580</v>
      </c>
      <c r="K42" s="100">
        <f t="shared" si="13"/>
        <v>0</v>
      </c>
      <c r="L42" s="100">
        <f t="shared" si="13"/>
        <v>0</v>
      </c>
      <c r="M42" s="100">
        <f t="shared" si="13"/>
        <v>0</v>
      </c>
      <c r="N42" s="100">
        <f t="shared" si="13"/>
        <v>5222000</v>
      </c>
      <c r="O42" s="100">
        <f t="shared" si="13"/>
        <v>0</v>
      </c>
      <c r="P42" s="100">
        <f t="shared" si="13"/>
        <v>0</v>
      </c>
      <c r="Q42" s="100">
        <f t="shared" si="13"/>
        <v>0</v>
      </c>
      <c r="R42" s="100">
        <f t="shared" si="13"/>
        <v>25467480</v>
      </c>
      <c r="S42" s="100">
        <f t="shared" si="13"/>
        <v>0</v>
      </c>
      <c r="T42" s="100">
        <v>37189700</v>
      </c>
      <c r="U42" s="100">
        <f t="shared" si="13"/>
        <v>0</v>
      </c>
      <c r="V42" s="100">
        <f t="shared" si="13"/>
        <v>436868645</v>
      </c>
      <c r="W42" s="2561"/>
      <c r="X42" s="2562"/>
      <c r="Y42" s="88"/>
      <c r="Z42" s="2545"/>
      <c r="AA42" s="2480" t="s">
        <v>6688</v>
      </c>
      <c r="AC42" s="2920">
        <v>411401165</v>
      </c>
      <c r="AE42" s="1147"/>
    </row>
    <row r="43" spans="1:31" s="882" customFormat="1" ht="13.5" x14ac:dyDescent="0.35">
      <c r="A43" s="859" t="s">
        <v>6780</v>
      </c>
      <c r="B43" s="63"/>
      <c r="C43" s="98"/>
      <c r="D43" s="2559"/>
      <c r="E43" s="2560"/>
      <c r="F43" s="1208"/>
      <c r="G43" s="100"/>
      <c r="H43" s="100"/>
      <c r="I43" s="100"/>
      <c r="J43" s="100"/>
      <c r="K43" s="100"/>
      <c r="L43" s="100"/>
      <c r="M43" s="100"/>
      <c r="N43" s="100"/>
      <c r="O43" s="100"/>
      <c r="P43" s="100"/>
      <c r="Q43" s="118"/>
      <c r="R43" s="2571"/>
      <c r="S43" s="2561"/>
      <c r="T43" s="2562"/>
      <c r="U43" s="2561"/>
      <c r="V43" s="2544"/>
      <c r="W43" s="2561"/>
      <c r="X43" s="2562"/>
      <c r="Y43" s="88"/>
      <c r="Z43" s="2545" t="s">
        <v>6781</v>
      </c>
      <c r="AA43" s="2480"/>
      <c r="AC43" s="2918"/>
      <c r="AE43" s="1147"/>
    </row>
    <row r="44" spans="1:31" x14ac:dyDescent="0.35">
      <c r="A44" s="2572" t="s">
        <v>6782</v>
      </c>
      <c r="B44" s="86"/>
      <c r="C44" s="109"/>
      <c r="D44" s="255"/>
      <c r="E44" s="2540"/>
      <c r="F44" s="1191">
        <f t="shared" ref="F44:F51" si="14">IF($AA44="","",SUMIF(Bakademik1,AA44,Bakademik2))</f>
        <v>0</v>
      </c>
      <c r="G44" s="1191">
        <f t="shared" ref="G44:G51" si="15">IF($AA44="","",SUMIF(BDaksos1,AA44,BDaksos2))</f>
        <v>0</v>
      </c>
      <c r="H44" s="1191">
        <f t="shared" ref="H44:H51" si="16">IF($AA44="","",SUMIF(BDukunganAka1,AA44,BDukunganAka2))</f>
        <v>0</v>
      </c>
      <c r="I44" s="1191">
        <f t="shared" ref="I44:I51" si="17">IF($AA44="","",SUMIF(BKegiatanSantri1,AA44,BKegiatanSantri2))</f>
        <v>0</v>
      </c>
      <c r="J44" s="1191">
        <f t="shared" ref="J44:J51" si="18">IF($AA44="","",SUMIF(DukunganInstitusi1,AA44,DukunganInstitusi2))</f>
        <v>0</v>
      </c>
      <c r="K44" s="1191">
        <f t="shared" ref="K44:K51" si="19">IF($AA44="","",SUMIF(BPemeliharaan1,AA44,BPemeliharaan2))</f>
        <v>0</v>
      </c>
      <c r="L44" s="1191">
        <f t="shared" ref="L44:L51" si="20">IF($AA44="","",SUMIF(BBantuan1,AA44,BBantuan2))</f>
        <v>0</v>
      </c>
      <c r="M44" s="1191">
        <f t="shared" ref="M44:M51" si="21">IF($AA44="","",SUMIF(BPenjualan1,AA44,BPenjualan2))</f>
        <v>0</v>
      </c>
      <c r="N44" s="1191">
        <f t="shared" ref="N44:N51" si="22">IF($AA44="","",SUMIF(BLayananAsrama1,AA44,BlayananAsrama2))</f>
        <v>0</v>
      </c>
      <c r="O44" s="1191"/>
      <c r="P44" s="136"/>
      <c r="Q44" s="136"/>
      <c r="R44" s="2541">
        <f t="shared" ref="R44:R51" si="23">SUM(F44:Q44)</f>
        <v>0</v>
      </c>
      <c r="S44" s="2546"/>
      <c r="T44" s="2544">
        <v>0</v>
      </c>
      <c r="U44" s="2546"/>
      <c r="V44" s="2544">
        <f t="shared" ref="V44:V51" si="24">R44+AC44</f>
        <v>0</v>
      </c>
      <c r="W44" s="2546"/>
      <c r="X44" s="2544"/>
      <c r="Y44" s="87"/>
      <c r="Z44" s="2547" t="s">
        <v>6783</v>
      </c>
      <c r="AA44" s="1242" t="s">
        <v>6529</v>
      </c>
      <c r="AC44" s="2918">
        <v>0</v>
      </c>
    </row>
    <row r="45" spans="1:31" outlineLevel="1" x14ac:dyDescent="0.35">
      <c r="A45" s="2572" t="s">
        <v>6784</v>
      </c>
      <c r="B45" s="86"/>
      <c r="C45" s="109"/>
      <c r="D45" s="255"/>
      <c r="E45" s="2540"/>
      <c r="F45" s="1191">
        <f t="shared" si="14"/>
        <v>0</v>
      </c>
      <c r="G45" s="1191">
        <f t="shared" si="15"/>
        <v>0</v>
      </c>
      <c r="H45" s="1191">
        <f t="shared" si="16"/>
        <v>0</v>
      </c>
      <c r="I45" s="1191">
        <f t="shared" si="17"/>
        <v>0</v>
      </c>
      <c r="J45" s="1191">
        <f t="shared" si="18"/>
        <v>0</v>
      </c>
      <c r="K45" s="1191">
        <f t="shared" si="19"/>
        <v>0</v>
      </c>
      <c r="L45" s="1191">
        <f t="shared" si="20"/>
        <v>0</v>
      </c>
      <c r="M45" s="1191">
        <f t="shared" si="21"/>
        <v>0</v>
      </c>
      <c r="N45" s="1191">
        <f t="shared" si="22"/>
        <v>0</v>
      </c>
      <c r="O45" s="1191"/>
      <c r="P45" s="136"/>
      <c r="Q45" s="136"/>
      <c r="R45" s="2541">
        <f t="shared" si="23"/>
        <v>0</v>
      </c>
      <c r="S45" s="2546"/>
      <c r="T45" s="2544">
        <v>0</v>
      </c>
      <c r="U45" s="2546"/>
      <c r="V45" s="2544">
        <f t="shared" si="24"/>
        <v>0</v>
      </c>
      <c r="W45" s="2546"/>
      <c r="X45" s="2544"/>
      <c r="Y45" s="87"/>
      <c r="Z45" s="2547" t="s">
        <v>6785</v>
      </c>
      <c r="AA45" s="1242" t="s">
        <v>6530</v>
      </c>
      <c r="AC45" s="2918">
        <v>0</v>
      </c>
    </row>
    <row r="46" spans="1:31" outlineLevel="1" x14ac:dyDescent="0.35">
      <c r="A46" s="2572" t="s">
        <v>6786</v>
      </c>
      <c r="B46" s="86"/>
      <c r="C46" s="109"/>
      <c r="D46" s="255"/>
      <c r="E46" s="2540"/>
      <c r="F46" s="1191">
        <f t="shared" si="14"/>
        <v>0</v>
      </c>
      <c r="G46" s="1191">
        <f t="shared" si="15"/>
        <v>0</v>
      </c>
      <c r="H46" s="1191">
        <f t="shared" si="16"/>
        <v>0</v>
      </c>
      <c r="I46" s="1191">
        <f t="shared" si="17"/>
        <v>0</v>
      </c>
      <c r="J46" s="1191">
        <f t="shared" si="18"/>
        <v>0</v>
      </c>
      <c r="K46" s="1191">
        <f t="shared" si="19"/>
        <v>0</v>
      </c>
      <c r="L46" s="1191">
        <f t="shared" si="20"/>
        <v>0</v>
      </c>
      <c r="M46" s="1191">
        <f t="shared" si="21"/>
        <v>0</v>
      </c>
      <c r="N46" s="1191">
        <f t="shared" si="22"/>
        <v>0</v>
      </c>
      <c r="O46" s="1191"/>
      <c r="P46" s="136"/>
      <c r="Q46" s="136"/>
      <c r="R46" s="2541">
        <f t="shared" si="23"/>
        <v>0</v>
      </c>
      <c r="S46" s="2546"/>
      <c r="T46" s="2544">
        <v>0</v>
      </c>
      <c r="U46" s="2546"/>
      <c r="V46" s="2544">
        <f t="shared" si="24"/>
        <v>0</v>
      </c>
      <c r="W46" s="2546"/>
      <c r="X46" s="2544"/>
      <c r="Y46" s="87"/>
      <c r="Z46" s="2547" t="s">
        <v>6787</v>
      </c>
      <c r="AA46" s="1242" t="s">
        <v>6788</v>
      </c>
      <c r="AC46" s="2918">
        <v>0</v>
      </c>
    </row>
    <row r="47" spans="1:31" outlineLevel="1" x14ac:dyDescent="0.35">
      <c r="A47" s="2572" t="s">
        <v>6789</v>
      </c>
      <c r="B47" s="86"/>
      <c r="C47" s="109"/>
      <c r="D47" s="255"/>
      <c r="E47" s="2540"/>
      <c r="F47" s="1191">
        <f t="shared" si="14"/>
        <v>0</v>
      </c>
      <c r="G47" s="1191">
        <f t="shared" si="15"/>
        <v>0</v>
      </c>
      <c r="H47" s="1191">
        <f t="shared" si="16"/>
        <v>0</v>
      </c>
      <c r="I47" s="1191">
        <f t="shared" si="17"/>
        <v>0</v>
      </c>
      <c r="J47" s="1191">
        <f t="shared" si="18"/>
        <v>0</v>
      </c>
      <c r="K47" s="1191">
        <f t="shared" si="19"/>
        <v>0</v>
      </c>
      <c r="L47" s="1191">
        <f t="shared" si="20"/>
        <v>0</v>
      </c>
      <c r="M47" s="1191">
        <f t="shared" si="21"/>
        <v>0</v>
      </c>
      <c r="N47" s="1191">
        <f t="shared" si="22"/>
        <v>0</v>
      </c>
      <c r="O47" s="1191"/>
      <c r="P47" s="136"/>
      <c r="Q47" s="136"/>
      <c r="R47" s="2541">
        <f t="shared" si="23"/>
        <v>0</v>
      </c>
      <c r="S47" s="2546"/>
      <c r="T47" s="2544">
        <v>0</v>
      </c>
      <c r="U47" s="2546"/>
      <c r="V47" s="2544">
        <f t="shared" si="24"/>
        <v>0</v>
      </c>
      <c r="W47" s="2546"/>
      <c r="X47" s="2544"/>
      <c r="Y47" s="87"/>
      <c r="Z47" s="2547" t="s">
        <v>6790</v>
      </c>
      <c r="AA47" s="1242" t="s">
        <v>6532</v>
      </c>
      <c r="AC47" s="2918">
        <v>0</v>
      </c>
    </row>
    <row r="48" spans="1:31" outlineLevel="1" x14ac:dyDescent="0.35">
      <c r="A48" s="2572" t="s">
        <v>6791</v>
      </c>
      <c r="B48" s="86"/>
      <c r="C48" s="109"/>
      <c r="D48" s="255"/>
      <c r="E48" s="2540"/>
      <c r="F48" s="1191">
        <f t="shared" si="14"/>
        <v>0</v>
      </c>
      <c r="G48" s="1191">
        <f t="shared" si="15"/>
        <v>0</v>
      </c>
      <c r="H48" s="1191">
        <f t="shared" si="16"/>
        <v>0</v>
      </c>
      <c r="I48" s="1191">
        <f t="shared" si="17"/>
        <v>0</v>
      </c>
      <c r="J48" s="1191">
        <f t="shared" si="18"/>
        <v>0</v>
      </c>
      <c r="K48" s="1191">
        <f t="shared" si="19"/>
        <v>0</v>
      </c>
      <c r="L48" s="1191">
        <f t="shared" si="20"/>
        <v>0</v>
      </c>
      <c r="M48" s="1191">
        <f t="shared" si="21"/>
        <v>0</v>
      </c>
      <c r="N48" s="1191">
        <f t="shared" si="22"/>
        <v>0</v>
      </c>
      <c r="O48" s="1191"/>
      <c r="P48" s="136"/>
      <c r="Q48" s="136"/>
      <c r="R48" s="2541">
        <f t="shared" si="23"/>
        <v>0</v>
      </c>
      <c r="S48" s="2546"/>
      <c r="T48" s="2544">
        <v>0</v>
      </c>
      <c r="U48" s="2546"/>
      <c r="V48" s="2544">
        <f t="shared" si="24"/>
        <v>12527900</v>
      </c>
      <c r="W48" s="2546"/>
      <c r="X48" s="2544"/>
      <c r="Y48" s="87"/>
      <c r="Z48" s="2547" t="s">
        <v>6792</v>
      </c>
      <c r="AA48" s="1242" t="s">
        <v>6533</v>
      </c>
      <c r="AC48" s="2918">
        <v>12527900</v>
      </c>
    </row>
    <row r="49" spans="1:31" x14ac:dyDescent="0.35">
      <c r="A49" s="2572" t="s">
        <v>6793</v>
      </c>
      <c r="B49" s="86"/>
      <c r="C49" s="109"/>
      <c r="D49" s="255"/>
      <c r="E49" s="2540"/>
      <c r="F49" s="1191">
        <f t="shared" si="14"/>
        <v>0</v>
      </c>
      <c r="G49" s="1191">
        <f t="shared" si="15"/>
        <v>0</v>
      </c>
      <c r="H49" s="1191">
        <f t="shared" si="16"/>
        <v>0</v>
      </c>
      <c r="I49" s="1191">
        <f t="shared" si="17"/>
        <v>0</v>
      </c>
      <c r="J49" s="1191">
        <f t="shared" si="18"/>
        <v>0</v>
      </c>
      <c r="K49" s="1191">
        <f t="shared" si="19"/>
        <v>0</v>
      </c>
      <c r="L49" s="1191">
        <f t="shared" si="20"/>
        <v>0</v>
      </c>
      <c r="M49" s="1191">
        <f t="shared" si="21"/>
        <v>0</v>
      </c>
      <c r="N49" s="1191">
        <f t="shared" si="22"/>
        <v>0</v>
      </c>
      <c r="O49" s="1191"/>
      <c r="P49" s="136"/>
      <c r="Q49" s="136"/>
      <c r="R49" s="2541">
        <f t="shared" si="23"/>
        <v>0</v>
      </c>
      <c r="S49" s="2546"/>
      <c r="T49" s="2544">
        <v>0</v>
      </c>
      <c r="U49" s="2546"/>
      <c r="V49" s="2544">
        <f t="shared" si="24"/>
        <v>2721600</v>
      </c>
      <c r="W49" s="2546"/>
      <c r="X49" s="2544"/>
      <c r="Y49" s="87"/>
      <c r="Z49" s="2547" t="s">
        <v>6794</v>
      </c>
      <c r="AA49" s="1242" t="s">
        <v>6534</v>
      </c>
      <c r="AC49" s="2918">
        <v>2721600</v>
      </c>
    </row>
    <row r="50" spans="1:31" outlineLevel="1" x14ac:dyDescent="0.35">
      <c r="A50" s="2572" t="s">
        <v>6795</v>
      </c>
      <c r="B50" s="86"/>
      <c r="C50" s="109"/>
      <c r="D50" s="255"/>
      <c r="E50" s="2540"/>
      <c r="F50" s="1191">
        <f t="shared" si="14"/>
        <v>0</v>
      </c>
      <c r="G50" s="1191">
        <f t="shared" si="15"/>
        <v>0</v>
      </c>
      <c r="H50" s="1191">
        <f t="shared" si="16"/>
        <v>0</v>
      </c>
      <c r="I50" s="1191">
        <f t="shared" si="17"/>
        <v>0</v>
      </c>
      <c r="J50" s="1191">
        <f t="shared" si="18"/>
        <v>0</v>
      </c>
      <c r="K50" s="1191">
        <f t="shared" si="19"/>
        <v>0</v>
      </c>
      <c r="L50" s="1191">
        <f t="shared" si="20"/>
        <v>0</v>
      </c>
      <c r="M50" s="1191">
        <f t="shared" si="21"/>
        <v>0</v>
      </c>
      <c r="N50" s="2694">
        <f t="shared" si="22"/>
        <v>0</v>
      </c>
      <c r="O50" s="1191"/>
      <c r="P50" s="136"/>
      <c r="Q50" s="136"/>
      <c r="R50" s="2541">
        <f t="shared" si="23"/>
        <v>0</v>
      </c>
      <c r="S50" s="2546"/>
      <c r="T50" s="2544">
        <v>0</v>
      </c>
      <c r="U50" s="2546"/>
      <c r="V50" s="2544">
        <f t="shared" si="24"/>
        <v>9906900</v>
      </c>
      <c r="W50" s="2546"/>
      <c r="X50" s="2544"/>
      <c r="Y50" s="87"/>
      <c r="Z50" s="2547" t="s">
        <v>6796</v>
      </c>
      <c r="AA50" s="1242" t="s">
        <v>6535</v>
      </c>
      <c r="AC50" s="2918">
        <v>9906900</v>
      </c>
    </row>
    <row r="51" spans="1:31" x14ac:dyDescent="0.35">
      <c r="A51" s="2573" t="s">
        <v>349</v>
      </c>
      <c r="B51" s="2574"/>
      <c r="C51" s="2566"/>
      <c r="D51" s="2567"/>
      <c r="E51" s="2568"/>
      <c r="F51" s="2677">
        <f t="shared" si="14"/>
        <v>0</v>
      </c>
      <c r="G51" s="2677">
        <f t="shared" si="15"/>
        <v>0</v>
      </c>
      <c r="H51" s="2678">
        <f t="shared" si="16"/>
        <v>0</v>
      </c>
      <c r="I51" s="2677">
        <f t="shared" si="17"/>
        <v>4761000</v>
      </c>
      <c r="J51" s="2677">
        <f t="shared" si="18"/>
        <v>0</v>
      </c>
      <c r="K51" s="2677">
        <f t="shared" si="19"/>
        <v>0</v>
      </c>
      <c r="L51" s="2677">
        <f t="shared" si="20"/>
        <v>0</v>
      </c>
      <c r="M51" s="2677">
        <f t="shared" si="21"/>
        <v>0</v>
      </c>
      <c r="N51" s="2678">
        <f t="shared" si="22"/>
        <v>0</v>
      </c>
      <c r="O51" s="1207"/>
      <c r="P51" s="2569"/>
      <c r="Q51" s="2569"/>
      <c r="R51" s="2554">
        <f t="shared" si="23"/>
        <v>4761000</v>
      </c>
      <c r="S51" s="2555"/>
      <c r="T51" s="2592">
        <v>23755300</v>
      </c>
      <c r="U51" s="2555"/>
      <c r="V51" s="2554">
        <f t="shared" si="24"/>
        <v>252377500</v>
      </c>
      <c r="W51" s="2555"/>
      <c r="X51" s="2556"/>
      <c r="Y51" s="2557"/>
      <c r="Z51" s="2558" t="s">
        <v>350</v>
      </c>
      <c r="AA51" s="1242" t="s">
        <v>6536</v>
      </c>
      <c r="AC51" s="2919">
        <v>247616500</v>
      </c>
      <c r="AD51" s="1147" t="s">
        <v>7161</v>
      </c>
    </row>
    <row r="52" spans="1:31" s="882" customFormat="1" ht="13.5" x14ac:dyDescent="0.35">
      <c r="A52" s="859"/>
      <c r="B52" s="130"/>
      <c r="C52" s="98"/>
      <c r="D52" s="2559"/>
      <c r="E52" s="2560"/>
      <c r="F52" s="1208">
        <f>SUM(F44:F51)</f>
        <v>0</v>
      </c>
      <c r="G52" s="1208">
        <f>SUM(G44:G51)</f>
        <v>0</v>
      </c>
      <c r="H52" s="100">
        <f t="shared" ref="H52:V52" si="25">SUM(H44:H51)</f>
        <v>0</v>
      </c>
      <c r="I52" s="100">
        <f t="shared" si="25"/>
        <v>4761000</v>
      </c>
      <c r="J52" s="100">
        <f t="shared" si="25"/>
        <v>0</v>
      </c>
      <c r="K52" s="100">
        <f t="shared" si="25"/>
        <v>0</v>
      </c>
      <c r="L52" s="100">
        <f t="shared" si="25"/>
        <v>0</v>
      </c>
      <c r="M52" s="100">
        <f t="shared" si="25"/>
        <v>0</v>
      </c>
      <c r="N52" s="100">
        <f t="shared" si="25"/>
        <v>0</v>
      </c>
      <c r="O52" s="100">
        <f t="shared" si="25"/>
        <v>0</v>
      </c>
      <c r="P52" s="100">
        <f t="shared" si="25"/>
        <v>0</v>
      </c>
      <c r="Q52" s="100">
        <f t="shared" si="25"/>
        <v>0</v>
      </c>
      <c r="R52" s="100">
        <f t="shared" si="25"/>
        <v>4761000</v>
      </c>
      <c r="S52" s="100">
        <f t="shared" si="25"/>
        <v>0</v>
      </c>
      <c r="T52" s="100">
        <v>23755300</v>
      </c>
      <c r="U52" s="100">
        <f t="shared" si="25"/>
        <v>0</v>
      </c>
      <c r="V52" s="100">
        <f t="shared" si="25"/>
        <v>277533900</v>
      </c>
      <c r="W52" s="2561"/>
      <c r="X52" s="2562"/>
      <c r="Y52" s="88"/>
      <c r="Z52" s="2545"/>
      <c r="AA52" s="2480" t="s">
        <v>6689</v>
      </c>
      <c r="AC52" s="2920">
        <v>272772900</v>
      </c>
      <c r="AE52" s="1147"/>
    </row>
    <row r="53" spans="1:31" ht="13.5" x14ac:dyDescent="0.35">
      <c r="A53" s="862" t="s">
        <v>807</v>
      </c>
      <c r="B53" s="84"/>
      <c r="C53" s="109"/>
      <c r="D53" s="255"/>
      <c r="E53" s="2540"/>
      <c r="F53" s="1191"/>
      <c r="G53" s="136"/>
      <c r="H53" s="136"/>
      <c r="I53" s="136"/>
      <c r="J53" s="136"/>
      <c r="K53" s="136"/>
      <c r="L53" s="136"/>
      <c r="M53" s="136"/>
      <c r="N53" s="136"/>
      <c r="O53" s="136"/>
      <c r="P53" s="136"/>
      <c r="Q53" s="110"/>
      <c r="R53" s="2541"/>
      <c r="S53" s="2546"/>
      <c r="T53" s="2544"/>
      <c r="U53" s="2546"/>
      <c r="V53" s="2544"/>
      <c r="W53" s="2546"/>
      <c r="X53" s="2544"/>
      <c r="Y53" s="87"/>
      <c r="Z53" s="2545" t="s">
        <v>808</v>
      </c>
      <c r="AA53" s="2480"/>
      <c r="AB53" s="882"/>
      <c r="AC53" s="2918"/>
    </row>
    <row r="54" spans="1:31" x14ac:dyDescent="0.35">
      <c r="A54" s="863" t="s">
        <v>6797</v>
      </c>
      <c r="B54" s="84"/>
      <c r="C54" s="109"/>
      <c r="D54" s="255"/>
      <c r="E54" s="2540"/>
      <c r="F54" s="1191">
        <f t="shared" ref="F54:F61" si="26">IF($AA54="","",SUMIF(Bakademik1,AA54,Bakademik2))</f>
        <v>0</v>
      </c>
      <c r="G54" s="1191">
        <f t="shared" ref="G54:G61" si="27">IF($AA54="","",SUMIF(BDaksos1,AA54,BDaksos2))</f>
        <v>0</v>
      </c>
      <c r="H54" s="1191">
        <f t="shared" ref="H54:H61" si="28">IF($AA54="","",SUMIF(BDukunganAka1,AA54,BDukunganAka2))</f>
        <v>0</v>
      </c>
      <c r="I54" s="1191">
        <f t="shared" ref="I54:I61" si="29">IF($AA54="","",SUMIF(BKegiatanSantri1,AA54,BKegiatanSantri2))</f>
        <v>0</v>
      </c>
      <c r="J54" s="1191">
        <f t="shared" ref="J54:J61" si="30">IF($AA54="","",SUMIF(DukunganInstitusi1,AA54,DukunganInstitusi2))</f>
        <v>0</v>
      </c>
      <c r="K54" s="1191">
        <f t="shared" ref="K54:K61" si="31">IF($AA54="","",SUMIF(BPemeliharaan1,AA54,BPemeliharaan2))</f>
        <v>0</v>
      </c>
      <c r="L54" s="1191">
        <f t="shared" ref="L54:L61" si="32">IF($AA54="","",SUMIF(BBantuan1,AA54,BBantuan2))</f>
        <v>0</v>
      </c>
      <c r="M54" s="1191">
        <f t="shared" ref="M54:M61" si="33">IF($AA54="","",SUMIF(BPenjualan1,AA54,BPenjualan2))</f>
        <v>0</v>
      </c>
      <c r="N54" s="1191">
        <f t="shared" ref="N54:N61" si="34">IF($AA54="","",SUMIF(BLayananAsrama1,AA54,BlayananAsrama2))</f>
        <v>1154500</v>
      </c>
      <c r="O54" s="1191"/>
      <c r="P54" s="136"/>
      <c r="Q54" s="136"/>
      <c r="R54" s="2541">
        <f t="shared" ref="R54:R61" si="35">SUM(F54:Q54)</f>
        <v>1154500</v>
      </c>
      <c r="S54" s="2546"/>
      <c r="T54" s="2544">
        <v>48875000</v>
      </c>
      <c r="U54" s="2546"/>
      <c r="V54" s="2544">
        <f t="shared" ref="V54:V61" si="36">R54+AC54</f>
        <v>388777000</v>
      </c>
      <c r="W54" s="2546"/>
      <c r="X54" s="2544"/>
      <c r="Y54" s="87"/>
      <c r="Z54" s="2547" t="s">
        <v>3325</v>
      </c>
      <c r="AA54" s="1242" t="s">
        <v>6798</v>
      </c>
      <c r="AC54" s="2918">
        <v>387622500</v>
      </c>
    </row>
    <row r="55" spans="1:31" x14ac:dyDescent="0.35">
      <c r="A55" s="863" t="s">
        <v>6799</v>
      </c>
      <c r="B55" s="84"/>
      <c r="C55" s="109"/>
      <c r="D55" s="255"/>
      <c r="E55" s="2540"/>
      <c r="F55" s="1191">
        <f t="shared" si="26"/>
        <v>0</v>
      </c>
      <c r="G55" s="1191">
        <f t="shared" si="27"/>
        <v>0</v>
      </c>
      <c r="H55" s="1191">
        <f t="shared" si="28"/>
        <v>0</v>
      </c>
      <c r="I55" s="1191">
        <f t="shared" si="29"/>
        <v>0</v>
      </c>
      <c r="J55" s="1191">
        <f t="shared" si="30"/>
        <v>0</v>
      </c>
      <c r="K55" s="1191">
        <f t="shared" si="31"/>
        <v>0</v>
      </c>
      <c r="L55" s="1191">
        <f t="shared" si="32"/>
        <v>0</v>
      </c>
      <c r="M55" s="1191">
        <f t="shared" si="33"/>
        <v>0</v>
      </c>
      <c r="N55" s="1191">
        <f t="shared" si="34"/>
        <v>88281143</v>
      </c>
      <c r="O55" s="1191"/>
      <c r="P55" s="136"/>
      <c r="Q55" s="136"/>
      <c r="R55" s="2541">
        <f t="shared" si="35"/>
        <v>88281143</v>
      </c>
      <c r="S55" s="2546"/>
      <c r="T55" s="2544">
        <v>221620778</v>
      </c>
      <c r="U55" s="2546"/>
      <c r="V55" s="2544">
        <f t="shared" si="36"/>
        <v>1404006963</v>
      </c>
      <c r="W55" s="2546"/>
      <c r="X55" s="2544"/>
      <c r="Y55" s="87"/>
      <c r="Z55" s="2547" t="s">
        <v>6800</v>
      </c>
      <c r="AA55" s="1242" t="s">
        <v>6543</v>
      </c>
      <c r="AC55" s="2918">
        <v>1315725820</v>
      </c>
    </row>
    <row r="56" spans="1:31" x14ac:dyDescent="0.35">
      <c r="A56" s="863" t="s">
        <v>6801</v>
      </c>
      <c r="B56" s="84"/>
      <c r="C56" s="109"/>
      <c r="D56" s="255"/>
      <c r="E56" s="2540"/>
      <c r="F56" s="1191">
        <f t="shared" si="26"/>
        <v>0</v>
      </c>
      <c r="G56" s="1191">
        <f t="shared" si="27"/>
        <v>0</v>
      </c>
      <c r="H56" s="1191">
        <f t="shared" si="28"/>
        <v>0</v>
      </c>
      <c r="I56" s="1191">
        <f t="shared" si="29"/>
        <v>0</v>
      </c>
      <c r="J56" s="1191">
        <f t="shared" si="30"/>
        <v>0</v>
      </c>
      <c r="K56" s="1191">
        <f t="shared" si="31"/>
        <v>0</v>
      </c>
      <c r="L56" s="1191">
        <f t="shared" si="32"/>
        <v>0</v>
      </c>
      <c r="M56" s="1191">
        <f t="shared" si="33"/>
        <v>0</v>
      </c>
      <c r="N56" s="1191">
        <f t="shared" si="34"/>
        <v>190000</v>
      </c>
      <c r="O56" s="1191"/>
      <c r="P56" s="136"/>
      <c r="Q56" s="136"/>
      <c r="R56" s="2541">
        <f t="shared" si="35"/>
        <v>190000</v>
      </c>
      <c r="S56" s="2546"/>
      <c r="T56" s="2544">
        <v>850000</v>
      </c>
      <c r="U56" s="2546"/>
      <c r="V56" s="2544">
        <f t="shared" si="36"/>
        <v>8530000</v>
      </c>
      <c r="W56" s="2546"/>
      <c r="X56" s="2544"/>
      <c r="Y56" s="87"/>
      <c r="Z56" s="2547" t="s">
        <v>6802</v>
      </c>
      <c r="AA56" s="1242" t="s">
        <v>6803</v>
      </c>
      <c r="AC56" s="2918">
        <v>8340000</v>
      </c>
    </row>
    <row r="57" spans="1:31" x14ac:dyDescent="0.35">
      <c r="A57" s="863" t="s">
        <v>6804</v>
      </c>
      <c r="B57" s="84"/>
      <c r="C57" s="109"/>
      <c r="D57" s="255"/>
      <c r="E57" s="2540"/>
      <c r="F57" s="1191">
        <f t="shared" si="26"/>
        <v>0</v>
      </c>
      <c r="G57" s="1191">
        <f t="shared" si="27"/>
        <v>0</v>
      </c>
      <c r="H57" s="1191">
        <f t="shared" si="28"/>
        <v>0</v>
      </c>
      <c r="I57" s="1191">
        <f t="shared" si="29"/>
        <v>0</v>
      </c>
      <c r="J57" s="1191">
        <f t="shared" si="30"/>
        <v>0</v>
      </c>
      <c r="K57" s="1191">
        <f t="shared" si="31"/>
        <v>0</v>
      </c>
      <c r="L57" s="1191">
        <f t="shared" si="32"/>
        <v>0</v>
      </c>
      <c r="M57" s="1191">
        <f t="shared" si="33"/>
        <v>0</v>
      </c>
      <c r="N57" s="1191">
        <f t="shared" si="34"/>
        <v>2458000</v>
      </c>
      <c r="O57" s="1191"/>
      <c r="P57" s="136"/>
      <c r="Q57" s="136"/>
      <c r="R57" s="2541">
        <f t="shared" si="35"/>
        <v>2458000</v>
      </c>
      <c r="S57" s="2546"/>
      <c r="T57" s="2544">
        <v>3800000</v>
      </c>
      <c r="U57" s="2546"/>
      <c r="V57" s="2544">
        <f t="shared" si="36"/>
        <v>38731700</v>
      </c>
      <c r="W57" s="2546"/>
      <c r="X57" s="2544"/>
      <c r="Y57" s="87"/>
      <c r="Z57" s="2547" t="s">
        <v>6805</v>
      </c>
      <c r="AA57" s="1242" t="s">
        <v>6806</v>
      </c>
      <c r="AC57" s="2918">
        <v>36273700</v>
      </c>
    </row>
    <row r="58" spans="1:31" x14ac:dyDescent="0.35">
      <c r="A58" s="863" t="s">
        <v>6807</v>
      </c>
      <c r="B58" s="84"/>
      <c r="C58" s="109"/>
      <c r="D58" s="255"/>
      <c r="E58" s="2540"/>
      <c r="F58" s="1191">
        <f t="shared" si="26"/>
        <v>0</v>
      </c>
      <c r="G58" s="1191">
        <f t="shared" si="27"/>
        <v>0</v>
      </c>
      <c r="H58" s="1191">
        <f t="shared" si="28"/>
        <v>0</v>
      </c>
      <c r="I58" s="1191">
        <f t="shared" si="29"/>
        <v>0</v>
      </c>
      <c r="J58" s="1191">
        <f t="shared" si="30"/>
        <v>0</v>
      </c>
      <c r="K58" s="1191">
        <f t="shared" si="31"/>
        <v>0</v>
      </c>
      <c r="L58" s="1191">
        <f t="shared" si="32"/>
        <v>0</v>
      </c>
      <c r="M58" s="1191">
        <f t="shared" si="33"/>
        <v>0</v>
      </c>
      <c r="N58" s="1191">
        <f t="shared" si="34"/>
        <v>3060000</v>
      </c>
      <c r="O58" s="1191"/>
      <c r="P58" s="136"/>
      <c r="Q58" s="136"/>
      <c r="R58" s="2541">
        <f t="shared" si="35"/>
        <v>3060000</v>
      </c>
      <c r="S58" s="2546"/>
      <c r="T58" s="2544">
        <v>4985000</v>
      </c>
      <c r="U58" s="2546"/>
      <c r="V58" s="2544">
        <f t="shared" si="36"/>
        <v>54689000</v>
      </c>
      <c r="W58" s="2546"/>
      <c r="X58" s="2544"/>
      <c r="Y58" s="87"/>
      <c r="Z58" s="2547" t="s">
        <v>6808</v>
      </c>
      <c r="AA58" s="1242" t="s">
        <v>6809</v>
      </c>
      <c r="AC58" s="2918">
        <v>51629000</v>
      </c>
    </row>
    <row r="59" spans="1:31" outlineLevel="1" x14ac:dyDescent="0.35">
      <c r="A59" s="863" t="s">
        <v>6810</v>
      </c>
      <c r="B59" s="84"/>
      <c r="C59" s="109"/>
      <c r="D59" s="255"/>
      <c r="E59" s="2540"/>
      <c r="F59" s="1191">
        <f t="shared" si="26"/>
        <v>0</v>
      </c>
      <c r="G59" s="1191">
        <f t="shared" si="27"/>
        <v>0</v>
      </c>
      <c r="H59" s="1191">
        <f t="shared" si="28"/>
        <v>0</v>
      </c>
      <c r="I59" s="1191">
        <f t="shared" si="29"/>
        <v>0</v>
      </c>
      <c r="J59" s="1191">
        <f t="shared" si="30"/>
        <v>0</v>
      </c>
      <c r="K59" s="1191">
        <f t="shared" si="31"/>
        <v>0</v>
      </c>
      <c r="L59" s="1191">
        <f t="shared" si="32"/>
        <v>0</v>
      </c>
      <c r="M59" s="1191">
        <f t="shared" si="33"/>
        <v>0</v>
      </c>
      <c r="N59" s="1191">
        <f t="shared" si="34"/>
        <v>0</v>
      </c>
      <c r="O59" s="1191"/>
      <c r="P59" s="136"/>
      <c r="Q59" s="136"/>
      <c r="R59" s="2541">
        <f t="shared" si="35"/>
        <v>0</v>
      </c>
      <c r="S59" s="2546"/>
      <c r="T59" s="2544">
        <v>76000</v>
      </c>
      <c r="U59" s="2546"/>
      <c r="V59" s="2544">
        <f t="shared" si="36"/>
        <v>669600</v>
      </c>
      <c r="W59" s="2546"/>
      <c r="X59" s="2544"/>
      <c r="Y59" s="87"/>
      <c r="Z59" s="2547" t="s">
        <v>6811</v>
      </c>
      <c r="AA59" s="1242" t="s">
        <v>6812</v>
      </c>
      <c r="AC59" s="2918">
        <v>669600</v>
      </c>
    </row>
    <row r="60" spans="1:31" x14ac:dyDescent="0.35">
      <c r="A60" s="863" t="s">
        <v>6813</v>
      </c>
      <c r="B60" s="84"/>
      <c r="C60" s="109"/>
      <c r="D60" s="255"/>
      <c r="E60" s="2540"/>
      <c r="F60" s="1191">
        <f t="shared" si="26"/>
        <v>0</v>
      </c>
      <c r="G60" s="1191">
        <f t="shared" si="27"/>
        <v>0</v>
      </c>
      <c r="H60" s="1191">
        <f t="shared" si="28"/>
        <v>0</v>
      </c>
      <c r="I60" s="1191">
        <f t="shared" si="29"/>
        <v>0</v>
      </c>
      <c r="J60" s="1191">
        <f t="shared" si="30"/>
        <v>0</v>
      </c>
      <c r="K60" s="1191">
        <f t="shared" si="31"/>
        <v>0</v>
      </c>
      <c r="L60" s="1191">
        <f t="shared" si="32"/>
        <v>0</v>
      </c>
      <c r="M60" s="1191">
        <f t="shared" si="33"/>
        <v>0</v>
      </c>
      <c r="N60" s="1191">
        <f t="shared" si="34"/>
        <v>4458000</v>
      </c>
      <c r="O60" s="1191"/>
      <c r="P60" s="136"/>
      <c r="Q60" s="136"/>
      <c r="R60" s="2541">
        <f t="shared" si="35"/>
        <v>4458000</v>
      </c>
      <c r="S60" s="2546"/>
      <c r="T60" s="2544">
        <v>7239000</v>
      </c>
      <c r="U60" s="2546"/>
      <c r="V60" s="2544">
        <f t="shared" si="36"/>
        <v>47622000</v>
      </c>
      <c r="W60" s="2546"/>
      <c r="X60" s="2544"/>
      <c r="Y60" s="87"/>
      <c r="Z60" s="2547" t="s">
        <v>4367</v>
      </c>
      <c r="AA60" s="1242" t="s">
        <v>6814</v>
      </c>
      <c r="AC60" s="2918">
        <v>43164000</v>
      </c>
    </row>
    <row r="61" spans="1:31" x14ac:dyDescent="0.35">
      <c r="A61" s="2575" t="s">
        <v>6815</v>
      </c>
      <c r="B61" s="2565"/>
      <c r="C61" s="2566"/>
      <c r="D61" s="2567"/>
      <c r="E61" s="2568"/>
      <c r="F61" s="2677">
        <f t="shared" si="26"/>
        <v>0</v>
      </c>
      <c r="G61" s="2677">
        <f t="shared" si="27"/>
        <v>0</v>
      </c>
      <c r="H61" s="2678">
        <f t="shared" si="28"/>
        <v>0</v>
      </c>
      <c r="I61" s="2677">
        <f t="shared" si="29"/>
        <v>0</v>
      </c>
      <c r="J61" s="2677">
        <f t="shared" si="30"/>
        <v>0</v>
      </c>
      <c r="K61" s="2677">
        <f t="shared" si="31"/>
        <v>0</v>
      </c>
      <c r="L61" s="2677">
        <f t="shared" si="32"/>
        <v>0</v>
      </c>
      <c r="M61" s="2677">
        <f t="shared" si="33"/>
        <v>0</v>
      </c>
      <c r="N61" s="2613">
        <f t="shared" si="34"/>
        <v>749600</v>
      </c>
      <c r="O61" s="1207"/>
      <c r="P61" s="2569"/>
      <c r="Q61" s="2569"/>
      <c r="R61" s="2554">
        <f t="shared" si="35"/>
        <v>749600</v>
      </c>
      <c r="S61" s="2555"/>
      <c r="T61" s="2592">
        <v>1589400</v>
      </c>
      <c r="U61" s="2555"/>
      <c r="V61" s="2554">
        <f t="shared" si="36"/>
        <v>12841265</v>
      </c>
      <c r="W61" s="2555"/>
      <c r="X61" s="2556"/>
      <c r="Y61" s="2557"/>
      <c r="Z61" s="2558" t="s">
        <v>6816</v>
      </c>
      <c r="AA61" s="1242" t="s">
        <v>6817</v>
      </c>
      <c r="AC61" s="2919">
        <v>12091665</v>
      </c>
    </row>
    <row r="62" spans="1:31" s="882" customFormat="1" ht="13.5" x14ac:dyDescent="0.35">
      <c r="A62" s="859"/>
      <c r="B62" s="130"/>
      <c r="C62" s="98"/>
      <c r="D62" s="2559"/>
      <c r="E62" s="2560"/>
      <c r="F62" s="1208">
        <f>SUM(F54:F61)</f>
        <v>0</v>
      </c>
      <c r="G62" s="1208">
        <f>SUM(G54:G61)</f>
        <v>0</v>
      </c>
      <c r="H62" s="100">
        <f t="shared" ref="H62:V62" si="37">SUM(H54:H61)</f>
        <v>0</v>
      </c>
      <c r="I62" s="100">
        <f t="shared" si="37"/>
        <v>0</v>
      </c>
      <c r="J62" s="100">
        <f t="shared" si="37"/>
        <v>0</v>
      </c>
      <c r="K62" s="100">
        <f t="shared" si="37"/>
        <v>0</v>
      </c>
      <c r="L62" s="100">
        <f t="shared" si="37"/>
        <v>0</v>
      </c>
      <c r="M62" s="100">
        <f t="shared" si="37"/>
        <v>0</v>
      </c>
      <c r="N62" s="100">
        <f t="shared" si="37"/>
        <v>100351243</v>
      </c>
      <c r="O62" s="100">
        <f t="shared" si="37"/>
        <v>0</v>
      </c>
      <c r="P62" s="100">
        <f t="shared" si="37"/>
        <v>0</v>
      </c>
      <c r="Q62" s="100">
        <f t="shared" si="37"/>
        <v>0</v>
      </c>
      <c r="R62" s="100">
        <f t="shared" si="37"/>
        <v>100351243</v>
      </c>
      <c r="S62" s="100">
        <f t="shared" si="37"/>
        <v>0</v>
      </c>
      <c r="T62" s="100">
        <v>289035178</v>
      </c>
      <c r="U62" s="100">
        <f t="shared" si="37"/>
        <v>0</v>
      </c>
      <c r="V62" s="100">
        <f t="shared" si="37"/>
        <v>1955867528</v>
      </c>
      <c r="W62" s="2561"/>
      <c r="X62" s="2562"/>
      <c r="Y62" s="88"/>
      <c r="Z62" s="2545"/>
      <c r="AA62" s="2480" t="s">
        <v>6690</v>
      </c>
      <c r="AC62" s="2920">
        <v>1855516285</v>
      </c>
      <c r="AE62" s="1147"/>
    </row>
    <row r="63" spans="1:31" ht="13.5" outlineLevel="1" x14ac:dyDescent="0.35">
      <c r="A63" s="862" t="s">
        <v>6818</v>
      </c>
      <c r="B63" s="84"/>
      <c r="C63" s="109"/>
      <c r="D63" s="255"/>
      <c r="E63" s="2540"/>
      <c r="F63" s="1191"/>
      <c r="G63" s="136"/>
      <c r="H63" s="136"/>
      <c r="I63" s="136"/>
      <c r="J63" s="136"/>
      <c r="K63" s="136"/>
      <c r="L63" s="136"/>
      <c r="M63" s="136"/>
      <c r="N63" s="136"/>
      <c r="O63" s="136"/>
      <c r="P63" s="136"/>
      <c r="Q63" s="110"/>
      <c r="R63" s="2541"/>
      <c r="S63" s="2546"/>
      <c r="T63" s="2544"/>
      <c r="U63" s="2546"/>
      <c r="V63" s="2544"/>
      <c r="W63" s="2546"/>
      <c r="X63" s="2544"/>
      <c r="Y63" s="87"/>
      <c r="Z63" s="2545" t="s">
        <v>6819</v>
      </c>
      <c r="AA63" s="2480"/>
      <c r="AB63" s="882"/>
      <c r="AC63" s="2918"/>
    </row>
    <row r="64" spans="1:31" outlineLevel="1" x14ac:dyDescent="0.35">
      <c r="A64" s="2576" t="s">
        <v>6820</v>
      </c>
      <c r="B64" s="84"/>
      <c r="C64" s="109"/>
      <c r="D64" s="255"/>
      <c r="E64" s="2540"/>
      <c r="F64" s="1191">
        <f>IF($AA64="","",SUMIF(Bakademik1,AA64,Bakademik2))</f>
        <v>0</v>
      </c>
      <c r="G64" s="1191">
        <f>IF($AA64="","",SUMIF(BDaksos1,AA64,BDaksos2))</f>
        <v>0</v>
      </c>
      <c r="H64" s="1191">
        <f>IF($AA64="","",SUMIF(BDukunganAka1,AA64,BDukunganAka2))</f>
        <v>0</v>
      </c>
      <c r="I64" s="1191">
        <f>IF($AA64="","",SUMIF(BKegiatanSantri1,AA64,BKegiatanSantri2))</f>
        <v>0</v>
      </c>
      <c r="J64" s="1191">
        <f>IF($AA64="","",SUMIF(DukunganInstitusi1,AA64,DukunganInstitusi2))</f>
        <v>0</v>
      </c>
      <c r="K64" s="1191">
        <f>IF($AA64="","",SUMIF(BPemeliharaan1,AA64,BPemeliharaan2))</f>
        <v>0</v>
      </c>
      <c r="L64" s="1191">
        <f>IF($AA64="","",SUMIF(BBantuan1,AA64,BBantuan2))</f>
        <v>0</v>
      </c>
      <c r="M64" s="1191">
        <f>IF($AA64="","",SUMIF(BPenjualan1,AA64,BPenjualan2))</f>
        <v>0</v>
      </c>
      <c r="N64" s="1191">
        <f>IF($AA64="","",SUMIF(BLayananAsrama1,AA64,BlayananAsrama2))</f>
        <v>0</v>
      </c>
      <c r="O64" s="1191"/>
      <c r="P64" s="136"/>
      <c r="Q64" s="136"/>
      <c r="R64" s="2541">
        <f>SUM(F64:Q64)</f>
        <v>0</v>
      </c>
      <c r="S64" s="2546"/>
      <c r="T64" s="2544">
        <v>0</v>
      </c>
      <c r="U64" s="2546"/>
      <c r="V64" s="2544">
        <f>R64+AC64</f>
        <v>0</v>
      </c>
      <c r="W64" s="2546"/>
      <c r="X64" s="2544"/>
      <c r="Y64" s="87"/>
      <c r="Z64" s="2547" t="s">
        <v>6821</v>
      </c>
      <c r="AA64" s="1242" t="s">
        <v>6822</v>
      </c>
      <c r="AC64" s="2918">
        <v>0</v>
      </c>
    </row>
    <row r="65" spans="1:31" outlineLevel="1" x14ac:dyDescent="0.35">
      <c r="A65" s="2576" t="s">
        <v>6823</v>
      </c>
      <c r="B65" s="84"/>
      <c r="C65" s="109"/>
      <c r="D65" s="255"/>
      <c r="E65" s="2540"/>
      <c r="F65" s="1191">
        <f>IF($AA65="","",SUMIF(Bakademik1,AA65,Bakademik2))</f>
        <v>0</v>
      </c>
      <c r="G65" s="1191">
        <f>IF($AA65="","",SUMIF(BDaksos1,AA65,BDaksos2))</f>
        <v>0</v>
      </c>
      <c r="H65" s="1191">
        <f>IF($AA65="","",SUMIF(BDukunganAka1,AA65,BDukunganAka2))</f>
        <v>0</v>
      </c>
      <c r="I65" s="1191">
        <f>IF($AA65="","",SUMIF(BKegiatanSantri1,AA65,BKegiatanSantri2))</f>
        <v>0</v>
      </c>
      <c r="J65" s="1191">
        <f>IF($AA65="","",SUMIF(DukunganInstitusi1,AA65,DukunganInstitusi2))</f>
        <v>0</v>
      </c>
      <c r="K65" s="1191">
        <f>IF($AA65="","",SUMIF(BPemeliharaan1,AA65,BPemeliharaan2))</f>
        <v>0</v>
      </c>
      <c r="L65" s="1191">
        <f>IF($AA65="","",SUMIF(BBantuan1,AA65,BBantuan2))</f>
        <v>0</v>
      </c>
      <c r="M65" s="1191">
        <f>IF($AA65="","",SUMIF(BPenjualan1,AA65,BPenjualan2))</f>
        <v>0</v>
      </c>
      <c r="N65" s="1191">
        <f>IF($AA65="","",SUMIF(BLayananAsrama1,AA65,BlayananAsrama2))</f>
        <v>0</v>
      </c>
      <c r="O65" s="1191"/>
      <c r="P65" s="136"/>
      <c r="Q65" s="136"/>
      <c r="R65" s="2541">
        <f>SUM(F65:Q65)</f>
        <v>0</v>
      </c>
      <c r="S65" s="2546"/>
      <c r="T65" s="2544">
        <v>0</v>
      </c>
      <c r="U65" s="2546"/>
      <c r="V65" s="2544">
        <f>R65+AC65</f>
        <v>0</v>
      </c>
      <c r="W65" s="2546"/>
      <c r="X65" s="2544"/>
      <c r="Y65" s="87"/>
      <c r="Z65" s="2547" t="s">
        <v>4381</v>
      </c>
      <c r="AA65" s="1242" t="s">
        <v>6824</v>
      </c>
      <c r="AC65" s="2918">
        <v>0</v>
      </c>
    </row>
    <row r="66" spans="1:31" outlineLevel="1" x14ac:dyDescent="0.35">
      <c r="A66" s="2576" t="s">
        <v>6825</v>
      </c>
      <c r="B66" s="84"/>
      <c r="C66" s="109"/>
      <c r="D66" s="255"/>
      <c r="E66" s="2540"/>
      <c r="F66" s="1191">
        <f>IF($AA66="","",SUMIF(Bakademik1,AA66,Bakademik2))</f>
        <v>0</v>
      </c>
      <c r="G66" s="1191">
        <f>IF($AA66="","",SUMIF(BDaksos1,AA66,BDaksos2))</f>
        <v>0</v>
      </c>
      <c r="H66" s="1191">
        <f>IF($AA66="","",SUMIF(BDukunganAka1,AA66,BDukunganAka2))</f>
        <v>0</v>
      </c>
      <c r="I66" s="1191">
        <f>IF($AA66="","",SUMIF(BKegiatanSantri1,AA66,BKegiatanSantri2))</f>
        <v>0</v>
      </c>
      <c r="J66" s="1191">
        <f>IF($AA66="","",SUMIF(DukunganInstitusi1,AA66,DukunganInstitusi2))</f>
        <v>0</v>
      </c>
      <c r="K66" s="1191">
        <f>IF($AA66="","",SUMIF(BPemeliharaan1,AA66,BPemeliharaan2))</f>
        <v>0</v>
      </c>
      <c r="L66" s="1191">
        <f>IF($AA66="","",SUMIF(BBantuan1,AA66,BBantuan2))</f>
        <v>0</v>
      </c>
      <c r="M66" s="1191">
        <f>IF($AA66="","",SUMIF(BPenjualan1,AA66,BPenjualan2))</f>
        <v>0</v>
      </c>
      <c r="N66" s="1191">
        <f>IF($AA66="","",SUMIF(BLayananAsrama1,AA66,BlayananAsrama2))</f>
        <v>0</v>
      </c>
      <c r="O66" s="1191"/>
      <c r="P66" s="136"/>
      <c r="Q66" s="136"/>
      <c r="R66" s="2541">
        <f>SUM(F66:Q66)</f>
        <v>0</v>
      </c>
      <c r="S66" s="2546"/>
      <c r="T66" s="2544">
        <v>0</v>
      </c>
      <c r="U66" s="2546"/>
      <c r="V66" s="2544">
        <f>R66+AC66</f>
        <v>0</v>
      </c>
      <c r="W66" s="2546"/>
      <c r="X66" s="2544"/>
      <c r="Y66" s="87"/>
      <c r="Z66" s="2547" t="s">
        <v>6826</v>
      </c>
      <c r="AA66" s="1242" t="s">
        <v>6827</v>
      </c>
      <c r="AC66" s="2918">
        <v>0</v>
      </c>
    </row>
    <row r="67" spans="1:31" outlineLevel="1" x14ac:dyDescent="0.35">
      <c r="A67" s="2575" t="s">
        <v>6828</v>
      </c>
      <c r="B67" s="2565"/>
      <c r="C67" s="2566"/>
      <c r="D67" s="2567"/>
      <c r="E67" s="2568"/>
      <c r="F67" s="2677">
        <f>IF($AA67="","",SUMIF(Bakademik1,AA67,Bakademik2))</f>
        <v>0</v>
      </c>
      <c r="G67" s="2677">
        <f>IF($AA67="","",SUMIF(BDaksos1,AA67,BDaksos2))</f>
        <v>0</v>
      </c>
      <c r="H67" s="2678">
        <f>IF($AA67="","",SUMIF(BDukunganAka1,AA67,BDukunganAka2))</f>
        <v>0</v>
      </c>
      <c r="I67" s="2677">
        <f>IF($AA67="","",SUMIF(BKegiatanSantri1,AA67,BKegiatanSantri2))</f>
        <v>0</v>
      </c>
      <c r="J67" s="2677">
        <f>IF($AA67="","",SUMIF(DukunganInstitusi1,AA67,DukunganInstitusi2))</f>
        <v>0</v>
      </c>
      <c r="K67" s="2677">
        <f>IF($AA67="","",SUMIF(BPemeliharaan1,AA67,BPemeliharaan2))</f>
        <v>0</v>
      </c>
      <c r="L67" s="2677">
        <f>IF($AA67="","",SUMIF(BBantuan1,AA67,BBantuan2))</f>
        <v>0</v>
      </c>
      <c r="M67" s="2677">
        <f>IF($AA67="","",SUMIF(BPenjualan1,AA67,BPenjualan2))</f>
        <v>0</v>
      </c>
      <c r="N67" s="2678">
        <f>IF($AA67="","",SUMIF(BLayananAsrama1,AA67,BlayananAsrama2))</f>
        <v>0</v>
      </c>
      <c r="O67" s="1207"/>
      <c r="P67" s="2569"/>
      <c r="Q67" s="2569"/>
      <c r="R67" s="2554">
        <f>SUM(F67:Q67)</f>
        <v>0</v>
      </c>
      <c r="S67" s="2555"/>
      <c r="T67" s="2592">
        <v>0</v>
      </c>
      <c r="U67" s="2555"/>
      <c r="V67" s="2554">
        <f>R67+AC67</f>
        <v>0</v>
      </c>
      <c r="W67" s="2555"/>
      <c r="X67" s="2556"/>
      <c r="Y67" s="2557"/>
      <c r="Z67" s="2558" t="s">
        <v>6829</v>
      </c>
      <c r="AA67" s="1242" t="s">
        <v>6830</v>
      </c>
      <c r="AC67" s="2919">
        <v>0</v>
      </c>
    </row>
    <row r="68" spans="1:31" s="882" customFormat="1" ht="13.5" outlineLevel="1" x14ac:dyDescent="0.35">
      <c r="A68" s="2577"/>
      <c r="B68" s="130"/>
      <c r="C68" s="98"/>
      <c r="D68" s="2559"/>
      <c r="E68" s="2560"/>
      <c r="F68" s="1208">
        <f>SUM(F64:F67)</f>
        <v>0</v>
      </c>
      <c r="G68" s="1208">
        <f>SUM(G64:G67)</f>
        <v>0</v>
      </c>
      <c r="H68" s="100">
        <f t="shared" ref="H68:V68" si="38">SUM(H64:H67)</f>
        <v>0</v>
      </c>
      <c r="I68" s="100">
        <f t="shared" si="38"/>
        <v>0</v>
      </c>
      <c r="J68" s="100">
        <f t="shared" si="38"/>
        <v>0</v>
      </c>
      <c r="K68" s="100">
        <f t="shared" si="38"/>
        <v>0</v>
      </c>
      <c r="L68" s="100">
        <f t="shared" si="38"/>
        <v>0</v>
      </c>
      <c r="M68" s="100">
        <f t="shared" si="38"/>
        <v>0</v>
      </c>
      <c r="N68" s="100">
        <f t="shared" si="38"/>
        <v>0</v>
      </c>
      <c r="O68" s="100">
        <f t="shared" si="38"/>
        <v>0</v>
      </c>
      <c r="P68" s="100">
        <f t="shared" si="38"/>
        <v>0</v>
      </c>
      <c r="Q68" s="100">
        <f t="shared" si="38"/>
        <v>0</v>
      </c>
      <c r="R68" s="100">
        <f t="shared" si="38"/>
        <v>0</v>
      </c>
      <c r="S68" s="100">
        <f t="shared" si="38"/>
        <v>0</v>
      </c>
      <c r="T68" s="100">
        <v>0</v>
      </c>
      <c r="U68" s="100">
        <f t="shared" si="38"/>
        <v>0</v>
      </c>
      <c r="V68" s="100">
        <f t="shared" si="38"/>
        <v>0</v>
      </c>
      <c r="W68" s="2561"/>
      <c r="X68" s="2562"/>
      <c r="Y68" s="88"/>
      <c r="Z68" s="2545"/>
      <c r="AA68" s="2480" t="s">
        <v>6691</v>
      </c>
      <c r="AC68" s="2920">
        <v>0</v>
      </c>
      <c r="AE68" s="1147"/>
    </row>
    <row r="69" spans="1:31" ht="13.5" x14ac:dyDescent="0.35">
      <c r="A69" s="862" t="s">
        <v>6831</v>
      </c>
      <c r="B69" s="84"/>
      <c r="C69" s="109"/>
      <c r="D69" s="255"/>
      <c r="E69" s="2540"/>
      <c r="F69" s="1191"/>
      <c r="G69" s="136"/>
      <c r="H69" s="136"/>
      <c r="I69" s="1191"/>
      <c r="J69" s="136"/>
      <c r="K69" s="136"/>
      <c r="L69" s="136"/>
      <c r="M69" s="136"/>
      <c r="N69" s="136"/>
      <c r="O69" s="136"/>
      <c r="P69" s="136"/>
      <c r="Q69" s="110"/>
      <c r="R69" s="2541"/>
      <c r="S69" s="2546"/>
      <c r="T69" s="2544"/>
      <c r="U69" s="2546"/>
      <c r="V69" s="2544"/>
      <c r="W69" s="2546"/>
      <c r="X69" s="2544"/>
      <c r="Y69" s="87"/>
      <c r="Z69" s="2545" t="s">
        <v>6832</v>
      </c>
      <c r="AA69" s="2480"/>
      <c r="AB69" s="882"/>
      <c r="AC69" s="2918"/>
    </row>
    <row r="70" spans="1:31" x14ac:dyDescent="0.35">
      <c r="A70" s="874" t="s">
        <v>6833</v>
      </c>
      <c r="B70" s="84"/>
      <c r="C70" s="109"/>
      <c r="D70" s="255"/>
      <c r="E70" s="2540"/>
      <c r="F70" s="1191">
        <f>IF($AA70="","",SUMIF(Bakademik1,AA70,Bakademik2))</f>
        <v>0</v>
      </c>
      <c r="G70" s="1191">
        <f>IF($AA70="","",SUMIF(BDaksos1,AA70,BDaksos2))</f>
        <v>0</v>
      </c>
      <c r="H70" s="1191">
        <f>IF($AA70="","",SUMIF(BDukunganAka1,AA70,BDukunganAka2))</f>
        <v>0</v>
      </c>
      <c r="I70" s="1191">
        <f>IF($AA70="","",SUMIF(BKegiatanSantri1,AA70,BKegiatanSantri2))</f>
        <v>2252100</v>
      </c>
      <c r="J70" s="1191">
        <f>IF($AA70="","",SUMIF(DukunganInstitusi1,AA70,DukunganInstitusi2))</f>
        <v>0</v>
      </c>
      <c r="K70" s="1191">
        <f>IF($AA70="","",SUMIF(BPemeliharaan1,AA70,BPemeliharaan2))</f>
        <v>0</v>
      </c>
      <c r="L70" s="1191">
        <f>IF($AA70="","",SUMIF(BBantuan1,AA70,BBantuan2))</f>
        <v>0</v>
      </c>
      <c r="M70" s="1191">
        <f>IF($AA70="","",SUMIF(BPenjualan1,AA70,BPenjualan2))</f>
        <v>0</v>
      </c>
      <c r="N70" s="1191">
        <f>IF($AA70="","",SUMIF(BLayananAsrama1,AA70,BlayananAsrama2))</f>
        <v>0</v>
      </c>
      <c r="O70" s="1191"/>
      <c r="P70" s="136"/>
      <c r="Q70" s="1191"/>
      <c r="R70" s="2541">
        <f>SUM(F70:Q70)</f>
        <v>2252100</v>
      </c>
      <c r="S70" s="2546"/>
      <c r="T70" s="2544">
        <v>1509500</v>
      </c>
      <c r="U70" s="2546"/>
      <c r="V70" s="2544">
        <f>R70+AC70</f>
        <v>32924700</v>
      </c>
      <c r="W70" s="2546"/>
      <c r="X70" s="2544"/>
      <c r="Y70" s="87"/>
      <c r="Z70" s="2547" t="s">
        <v>3250</v>
      </c>
      <c r="AA70" s="1242" t="s">
        <v>6548</v>
      </c>
      <c r="AC70" s="2918">
        <v>30672600</v>
      </c>
    </row>
    <row r="71" spans="1:31" outlineLevel="1" x14ac:dyDescent="0.35">
      <c r="A71" s="2570" t="s">
        <v>6834</v>
      </c>
      <c r="B71" s="2565"/>
      <c r="C71" s="2566"/>
      <c r="D71" s="2567"/>
      <c r="E71" s="2568"/>
      <c r="F71" s="2678">
        <f>IF($AA71="","",SUMIF(Bakademik1,AA71,Bakademik2))</f>
        <v>0</v>
      </c>
      <c r="G71" s="1191">
        <f>IF($AA71="","",SUMIF(BDaksos1,AA71,BDaksos2))</f>
        <v>0</v>
      </c>
      <c r="H71" s="1191">
        <f>IF($AA71="","",SUMIF(BDukunganAka1,AA71,BDukunganAka2))</f>
        <v>0</v>
      </c>
      <c r="I71" s="2613">
        <f>IF($AA71="","",SUMIF(BKegiatanSantri1,AA71,BKegiatanSantri2))</f>
        <v>186500</v>
      </c>
      <c r="J71" s="1191">
        <f>IF($AA71="","",SUMIF(DukunganInstitusi1,AA71,DukunganInstitusi2))</f>
        <v>0</v>
      </c>
      <c r="K71" s="1191">
        <f>IF($AA71="","",SUMIF(BPemeliharaan1,AA71,BPemeliharaan2))</f>
        <v>0</v>
      </c>
      <c r="L71" s="1191">
        <f>IF($AA71="","",SUMIF(BBantuan1,AA71,BBantuan2))</f>
        <v>0</v>
      </c>
      <c r="M71" s="1191">
        <f>IF($AA71="","",SUMIF(BPenjualan1,AA71,BPenjualan2))</f>
        <v>0</v>
      </c>
      <c r="N71" s="1191">
        <f>IF($AA71="","",SUMIF(BLayananAsrama1,AA71,BlayananAsrama2))</f>
        <v>0</v>
      </c>
      <c r="O71" s="1191"/>
      <c r="P71" s="136"/>
      <c r="Q71" s="1191"/>
      <c r="R71" s="2554">
        <f>SUM(F71:Q71)</f>
        <v>186500</v>
      </c>
      <c r="S71" s="2555"/>
      <c r="T71" s="2544">
        <v>0</v>
      </c>
      <c r="U71" s="2555"/>
      <c r="V71" s="2544">
        <f>R71+AC71</f>
        <v>2062300</v>
      </c>
      <c r="W71" s="2555"/>
      <c r="X71" s="2556"/>
      <c r="Y71" s="2557"/>
      <c r="Z71" s="2558" t="s">
        <v>6835</v>
      </c>
      <c r="AA71" s="1242" t="s">
        <v>6547</v>
      </c>
      <c r="AC71" s="2918">
        <v>1875800</v>
      </c>
    </row>
    <row r="72" spans="1:31" s="882" customFormat="1" ht="13.5" x14ac:dyDescent="0.35">
      <c r="A72" s="2578"/>
      <c r="B72" s="2579"/>
      <c r="C72" s="2580"/>
      <c r="D72" s="2581"/>
      <c r="E72" s="2582"/>
      <c r="F72" s="1208">
        <f>SUM(F70:F71)</f>
        <v>0</v>
      </c>
      <c r="G72" s="2583">
        <f>SUM(G70:G71)</f>
        <v>0</v>
      </c>
      <c r="H72" s="2584">
        <f t="shared" ref="H72:V72" si="39">SUM(H70:H71)</f>
        <v>0</v>
      </c>
      <c r="I72" s="100">
        <f t="shared" si="39"/>
        <v>2438600</v>
      </c>
      <c r="J72" s="2584">
        <f t="shared" si="39"/>
        <v>0</v>
      </c>
      <c r="K72" s="2584">
        <f t="shared" si="39"/>
        <v>0</v>
      </c>
      <c r="L72" s="2584">
        <f t="shared" si="39"/>
        <v>0</v>
      </c>
      <c r="M72" s="2584">
        <f t="shared" si="39"/>
        <v>0</v>
      </c>
      <c r="N72" s="2584">
        <f t="shared" si="39"/>
        <v>0</v>
      </c>
      <c r="O72" s="2584">
        <f t="shared" si="39"/>
        <v>0</v>
      </c>
      <c r="P72" s="2584">
        <f t="shared" si="39"/>
        <v>0</v>
      </c>
      <c r="Q72" s="2584">
        <f t="shared" si="39"/>
        <v>0</v>
      </c>
      <c r="R72" s="2584">
        <f t="shared" si="39"/>
        <v>2438600</v>
      </c>
      <c r="S72" s="2584">
        <f t="shared" si="39"/>
        <v>0</v>
      </c>
      <c r="T72" s="2584">
        <v>1509500</v>
      </c>
      <c r="U72" s="2584">
        <f t="shared" si="39"/>
        <v>0</v>
      </c>
      <c r="V72" s="2584">
        <f t="shared" si="39"/>
        <v>34987000</v>
      </c>
      <c r="W72" s="2585"/>
      <c r="X72" s="2586"/>
      <c r="Y72" s="2587"/>
      <c r="Z72" s="2588"/>
      <c r="AA72" s="2480" t="s">
        <v>6692</v>
      </c>
      <c r="AC72" s="2921">
        <v>32548400</v>
      </c>
      <c r="AE72" s="1147"/>
    </row>
    <row r="73" spans="1:31" s="882" customFormat="1" ht="13.5" x14ac:dyDescent="0.35">
      <c r="A73" s="859" t="s">
        <v>6836</v>
      </c>
      <c r="B73" s="130"/>
      <c r="C73" s="98"/>
      <c r="D73" s="2559"/>
      <c r="E73" s="2560"/>
      <c r="F73" s="1208"/>
      <c r="G73" s="100"/>
      <c r="H73" s="100"/>
      <c r="I73" s="100"/>
      <c r="J73" s="100"/>
      <c r="K73" s="100"/>
      <c r="L73" s="100"/>
      <c r="M73" s="100"/>
      <c r="N73" s="100"/>
      <c r="O73" s="100"/>
      <c r="P73" s="100"/>
      <c r="Q73" s="118"/>
      <c r="R73" s="2571"/>
      <c r="S73" s="2561"/>
      <c r="T73" s="2562"/>
      <c r="U73" s="2561"/>
      <c r="V73" s="2544"/>
      <c r="W73" s="2561"/>
      <c r="X73" s="2562"/>
      <c r="Y73" s="88"/>
      <c r="Z73" s="2545" t="s">
        <v>6837</v>
      </c>
      <c r="AA73" s="2480"/>
      <c r="AC73" s="2918"/>
      <c r="AE73" s="1147"/>
    </row>
    <row r="74" spans="1:31" outlineLevel="1" x14ac:dyDescent="0.35">
      <c r="A74" s="2576" t="s">
        <v>6838</v>
      </c>
      <c r="B74" s="84"/>
      <c r="C74" s="109"/>
      <c r="D74" s="255"/>
      <c r="E74" s="2540"/>
      <c r="F74" s="1191">
        <f t="shared" ref="F74:F79" si="40">IF($AA74="","",SUMIF(Bakademik1,AA74,Bakademik2))</f>
        <v>0</v>
      </c>
      <c r="G74" s="1191">
        <f>IF($AA74="","",SUMIF(BDaksos1,AA74,BDaksos2))</f>
        <v>0</v>
      </c>
      <c r="H74" s="1191">
        <f t="shared" ref="H74:H80" si="41">IF($AA74="","",SUMIF(BDukunganAka1,AA74,BDukunganAka2))</f>
        <v>0</v>
      </c>
      <c r="I74" s="1191">
        <f t="shared" ref="I74:I80" si="42">IF($AA74="","",SUMIF(BKegiatanSantri1,AA74,BKegiatanSantri2))</f>
        <v>0</v>
      </c>
      <c r="J74" s="1191">
        <f t="shared" ref="J74:J80" si="43">IF($AA74="","",SUMIF(DukunganInstitusi1,AA74,DukunganInstitusi2))</f>
        <v>0</v>
      </c>
      <c r="K74" s="1191">
        <f t="shared" ref="K74:K79" si="44">IF($AA74="","",SUMIF(BPemeliharaan1,AA74,BPemeliharaan2))</f>
        <v>0</v>
      </c>
      <c r="L74" s="1191">
        <f t="shared" ref="L74:L80" si="45">IF($AA74="","",SUMIF(BBantuan1,AA74,BBantuan2))</f>
        <v>0</v>
      </c>
      <c r="M74" s="1191">
        <f t="shared" ref="M74:M80" si="46">IF($AA74="","",SUMIF(BPenjualan1,AA74,BPenjualan2))</f>
        <v>0</v>
      </c>
      <c r="N74" s="1191">
        <f t="shared" ref="N74:N80" si="47">IF($AA74="","",SUMIF(BLayananAsrama1,AA74,BlayananAsrama2))</f>
        <v>0</v>
      </c>
      <c r="O74" s="1191"/>
      <c r="P74" s="136"/>
      <c r="Q74" s="1191"/>
      <c r="R74" s="2541">
        <f t="shared" ref="R74:R80" si="48">SUM(F74:Q74)</f>
        <v>0</v>
      </c>
      <c r="S74" s="2546"/>
      <c r="T74" s="2544">
        <v>0</v>
      </c>
      <c r="U74" s="2546"/>
      <c r="V74" s="2544">
        <f t="shared" ref="V74:V80" si="49">R74+AC74</f>
        <v>38000</v>
      </c>
      <c r="W74" s="2546"/>
      <c r="X74" s="2544"/>
      <c r="Y74" s="87"/>
      <c r="Z74" s="2589" t="s">
        <v>4131</v>
      </c>
      <c r="AA74" s="1242" t="s">
        <v>6557</v>
      </c>
      <c r="AC74" s="2918">
        <v>38000</v>
      </c>
    </row>
    <row r="75" spans="1:31" outlineLevel="1" x14ac:dyDescent="0.35">
      <c r="A75" s="2576" t="s">
        <v>6839</v>
      </c>
      <c r="B75" s="84"/>
      <c r="C75" s="109"/>
      <c r="D75" s="255"/>
      <c r="E75" s="2540"/>
      <c r="F75" s="1191">
        <f t="shared" si="40"/>
        <v>0</v>
      </c>
      <c r="G75" s="1191">
        <f t="shared" ref="G75:G80" si="50">IF($AA75="","",SUMIF(BDaksos1,AA75,BDaksos2))</f>
        <v>0</v>
      </c>
      <c r="H75" s="1191">
        <f t="shared" si="41"/>
        <v>0</v>
      </c>
      <c r="I75" s="1191">
        <f t="shared" si="42"/>
        <v>0</v>
      </c>
      <c r="J75" s="1191">
        <f t="shared" si="43"/>
        <v>0</v>
      </c>
      <c r="K75" s="1191">
        <f t="shared" si="44"/>
        <v>0</v>
      </c>
      <c r="L75" s="1191">
        <f t="shared" si="45"/>
        <v>0</v>
      </c>
      <c r="M75" s="1191">
        <f t="shared" si="46"/>
        <v>0</v>
      </c>
      <c r="N75" s="1191">
        <f t="shared" si="47"/>
        <v>0</v>
      </c>
      <c r="O75" s="1191"/>
      <c r="P75" s="136"/>
      <c r="Q75" s="1191"/>
      <c r="R75" s="2541">
        <f t="shared" si="48"/>
        <v>0</v>
      </c>
      <c r="S75" s="2546"/>
      <c r="T75" s="2544">
        <v>0</v>
      </c>
      <c r="U75" s="2546"/>
      <c r="V75" s="2544">
        <f t="shared" si="49"/>
        <v>6682528</v>
      </c>
      <c r="W75" s="2546"/>
      <c r="X75" s="2544"/>
      <c r="Y75" s="87"/>
      <c r="Z75" s="2589" t="s">
        <v>4132</v>
      </c>
      <c r="AA75" s="1242" t="s">
        <v>6558</v>
      </c>
      <c r="AC75" s="2918">
        <v>6682528</v>
      </c>
    </row>
    <row r="76" spans="1:31" outlineLevel="1" x14ac:dyDescent="0.35">
      <c r="A76" s="2576" t="s">
        <v>6840</v>
      </c>
      <c r="B76" s="84"/>
      <c r="C76" s="109"/>
      <c r="D76" s="255"/>
      <c r="E76" s="2540"/>
      <c r="F76" s="1191">
        <f t="shared" si="40"/>
        <v>0</v>
      </c>
      <c r="G76" s="1191">
        <f t="shared" si="50"/>
        <v>0</v>
      </c>
      <c r="H76" s="1191">
        <f t="shared" si="41"/>
        <v>0</v>
      </c>
      <c r="I76" s="1191">
        <f t="shared" si="42"/>
        <v>0</v>
      </c>
      <c r="J76" s="1191">
        <f t="shared" si="43"/>
        <v>0</v>
      </c>
      <c r="K76" s="1191">
        <f t="shared" si="44"/>
        <v>0</v>
      </c>
      <c r="L76" s="1191">
        <f t="shared" si="45"/>
        <v>0</v>
      </c>
      <c r="M76" s="1191">
        <f t="shared" si="46"/>
        <v>0</v>
      </c>
      <c r="N76" s="1191">
        <f t="shared" si="47"/>
        <v>0</v>
      </c>
      <c r="O76" s="1191"/>
      <c r="P76" s="136"/>
      <c r="Q76" s="1191"/>
      <c r="R76" s="2541">
        <f t="shared" si="48"/>
        <v>0</v>
      </c>
      <c r="S76" s="2546"/>
      <c r="T76" s="2544">
        <v>741950</v>
      </c>
      <c r="U76" s="2546"/>
      <c r="V76" s="2544">
        <f t="shared" si="49"/>
        <v>2557797</v>
      </c>
      <c r="W76" s="2546"/>
      <c r="X76" s="2544"/>
      <c r="Y76" s="87"/>
      <c r="Z76" s="2589" t="s">
        <v>6841</v>
      </c>
      <c r="AA76" s="1242" t="s">
        <v>6559</v>
      </c>
      <c r="AC76" s="2918">
        <v>2557797</v>
      </c>
    </row>
    <row r="77" spans="1:31" outlineLevel="1" x14ac:dyDescent="0.35">
      <c r="A77" s="2576" t="s">
        <v>4136</v>
      </c>
      <c r="B77" s="84"/>
      <c r="C77" s="109"/>
      <c r="D77" s="255"/>
      <c r="E77" s="2540"/>
      <c r="F77" s="1191">
        <f t="shared" si="40"/>
        <v>0</v>
      </c>
      <c r="G77" s="1191">
        <f t="shared" si="50"/>
        <v>0</v>
      </c>
      <c r="H77" s="1191">
        <f t="shared" si="41"/>
        <v>0</v>
      </c>
      <c r="I77" s="1191">
        <f t="shared" si="42"/>
        <v>0</v>
      </c>
      <c r="J77" s="1191">
        <f t="shared" si="43"/>
        <v>0</v>
      </c>
      <c r="K77" s="1191">
        <f t="shared" si="44"/>
        <v>369000</v>
      </c>
      <c r="L77" s="1191">
        <f t="shared" si="45"/>
        <v>0</v>
      </c>
      <c r="M77" s="1191">
        <f t="shared" si="46"/>
        <v>0</v>
      </c>
      <c r="N77" s="1191">
        <f t="shared" si="47"/>
        <v>0</v>
      </c>
      <c r="O77" s="1191"/>
      <c r="P77" s="136"/>
      <c r="Q77" s="1191"/>
      <c r="R77" s="2541">
        <f t="shared" si="48"/>
        <v>369000</v>
      </c>
      <c r="S77" s="2546"/>
      <c r="T77" s="2544">
        <v>732200</v>
      </c>
      <c r="U77" s="2546"/>
      <c r="V77" s="2544">
        <f t="shared" si="49"/>
        <v>3736700</v>
      </c>
      <c r="W77" s="2546"/>
      <c r="X77" s="2544"/>
      <c r="Y77" s="87"/>
      <c r="Z77" s="2589" t="s">
        <v>6842</v>
      </c>
      <c r="AA77" s="1242" t="s">
        <v>6562</v>
      </c>
      <c r="AC77" s="2918">
        <v>3367700</v>
      </c>
    </row>
    <row r="78" spans="1:31" x14ac:dyDescent="0.35">
      <c r="A78" s="2576" t="s">
        <v>6843</v>
      </c>
      <c r="B78" s="84"/>
      <c r="C78" s="109"/>
      <c r="D78" s="255"/>
      <c r="E78" s="2540"/>
      <c r="F78" s="1191">
        <f t="shared" si="40"/>
        <v>0</v>
      </c>
      <c r="G78" s="1191">
        <f t="shared" si="50"/>
        <v>0</v>
      </c>
      <c r="H78" s="1191">
        <f t="shared" si="41"/>
        <v>0</v>
      </c>
      <c r="I78" s="1191">
        <f t="shared" si="42"/>
        <v>0</v>
      </c>
      <c r="J78" s="1191">
        <f t="shared" si="43"/>
        <v>0</v>
      </c>
      <c r="K78" s="1191">
        <f t="shared" si="44"/>
        <v>4655000</v>
      </c>
      <c r="L78" s="1191">
        <f t="shared" si="45"/>
        <v>0</v>
      </c>
      <c r="M78" s="1191">
        <f t="shared" si="46"/>
        <v>0</v>
      </c>
      <c r="N78" s="1191">
        <f t="shared" si="47"/>
        <v>0</v>
      </c>
      <c r="O78" s="1191"/>
      <c r="P78" s="136"/>
      <c r="Q78" s="1191"/>
      <c r="R78" s="2541">
        <f t="shared" si="48"/>
        <v>4655000</v>
      </c>
      <c r="S78" s="2546"/>
      <c r="T78" s="2544">
        <v>4546100</v>
      </c>
      <c r="U78" s="2546"/>
      <c r="V78" s="2544">
        <f t="shared" si="49"/>
        <v>43600363</v>
      </c>
      <c r="W78" s="2546"/>
      <c r="X78" s="2544"/>
      <c r="Y78" s="87"/>
      <c r="Z78" s="2589" t="s">
        <v>6844</v>
      </c>
      <c r="AA78" s="1242" t="s">
        <v>6560</v>
      </c>
      <c r="AC78" s="2918">
        <v>38945363</v>
      </c>
    </row>
    <row r="79" spans="1:31" outlineLevel="1" x14ac:dyDescent="0.35">
      <c r="A79" s="2576" t="s">
        <v>6845</v>
      </c>
      <c r="B79" s="84"/>
      <c r="C79" s="109"/>
      <c r="D79" s="255"/>
      <c r="E79" s="2540"/>
      <c r="F79" s="1191">
        <f t="shared" si="40"/>
        <v>0</v>
      </c>
      <c r="G79" s="1191">
        <f t="shared" si="50"/>
        <v>0</v>
      </c>
      <c r="H79" s="1191">
        <f t="shared" si="41"/>
        <v>0</v>
      </c>
      <c r="I79" s="1191">
        <f t="shared" si="42"/>
        <v>0</v>
      </c>
      <c r="J79" s="1191">
        <f t="shared" si="43"/>
        <v>0</v>
      </c>
      <c r="K79" s="1191">
        <f t="shared" si="44"/>
        <v>0</v>
      </c>
      <c r="L79" s="1191">
        <f t="shared" si="45"/>
        <v>0</v>
      </c>
      <c r="M79" s="1191">
        <f t="shared" si="46"/>
        <v>0</v>
      </c>
      <c r="N79" s="1191">
        <f t="shared" si="47"/>
        <v>0</v>
      </c>
      <c r="O79" s="1191"/>
      <c r="P79" s="136"/>
      <c r="Q79" s="1191"/>
      <c r="R79" s="2541">
        <f t="shared" si="48"/>
        <v>0</v>
      </c>
      <c r="S79" s="2546"/>
      <c r="T79" s="2544">
        <v>317000</v>
      </c>
      <c r="U79" s="2546"/>
      <c r="V79" s="2590">
        <f t="shared" si="49"/>
        <v>5106813</v>
      </c>
      <c r="W79" s="2546"/>
      <c r="X79" s="2544"/>
      <c r="Y79" s="87"/>
      <c r="Z79" s="2589" t="s">
        <v>4135</v>
      </c>
      <c r="AA79" s="1242" t="s">
        <v>6561</v>
      </c>
      <c r="AC79" s="2918">
        <v>5106813</v>
      </c>
    </row>
    <row r="80" spans="1:31" x14ac:dyDescent="0.35">
      <c r="A80" s="2591" t="s">
        <v>349</v>
      </c>
      <c r="B80" s="2565"/>
      <c r="C80" s="2566"/>
      <c r="D80" s="2567"/>
      <c r="E80" s="2568"/>
      <c r="F80" s="2677">
        <f>IF($AA80="","",SUMIF(Bakademik1,AA80,Bakademik2))</f>
        <v>0</v>
      </c>
      <c r="G80" s="2677">
        <f t="shared" si="50"/>
        <v>0</v>
      </c>
      <c r="H80" s="2678">
        <f t="shared" si="41"/>
        <v>0</v>
      </c>
      <c r="I80" s="2677">
        <f t="shared" si="42"/>
        <v>0</v>
      </c>
      <c r="J80" s="2677">
        <f t="shared" si="43"/>
        <v>0</v>
      </c>
      <c r="K80" s="1191">
        <f>IF($AA80="","",SUMIF(BPemeliharaan1,AA80,BPemeliharaan2))</f>
        <v>0</v>
      </c>
      <c r="L80" s="2677">
        <f t="shared" si="45"/>
        <v>0</v>
      </c>
      <c r="M80" s="2677">
        <f t="shared" si="46"/>
        <v>0</v>
      </c>
      <c r="N80" s="2678">
        <f t="shared" si="47"/>
        <v>0</v>
      </c>
      <c r="O80" s="1207"/>
      <c r="P80" s="2569"/>
      <c r="Q80" s="2569"/>
      <c r="R80" s="2554">
        <f t="shared" si="48"/>
        <v>0</v>
      </c>
      <c r="S80" s="2555"/>
      <c r="T80" s="2592">
        <v>572150</v>
      </c>
      <c r="U80" s="2555"/>
      <c r="V80" s="2592">
        <f t="shared" si="49"/>
        <v>7955700</v>
      </c>
      <c r="W80" s="2555"/>
      <c r="X80" s="2556"/>
      <c r="Y80" s="2557"/>
      <c r="Z80" s="2593" t="s">
        <v>350</v>
      </c>
      <c r="AA80" s="1242" t="s">
        <v>6563</v>
      </c>
      <c r="AC80" s="2922">
        <v>7955700</v>
      </c>
    </row>
    <row r="81" spans="1:31" s="882" customFormat="1" ht="13.5" x14ac:dyDescent="0.35">
      <c r="A81" s="2594"/>
      <c r="B81" s="2595"/>
      <c r="C81" s="2596"/>
      <c r="D81" s="2597"/>
      <c r="E81" s="2598"/>
      <c r="F81" s="2599">
        <f>SUM(F74:F80)</f>
        <v>0</v>
      </c>
      <c r="G81" s="2599">
        <f>SUM(G74:G80)</f>
        <v>0</v>
      </c>
      <c r="H81" s="2600">
        <f t="shared" ref="H81:V81" si="51">SUM(H74:H80)</f>
        <v>0</v>
      </c>
      <c r="I81" s="2600">
        <f t="shared" si="51"/>
        <v>0</v>
      </c>
      <c r="J81" s="2600">
        <f t="shared" si="51"/>
        <v>0</v>
      </c>
      <c r="K81" s="2948">
        <f t="shared" si="51"/>
        <v>5024000</v>
      </c>
      <c r="L81" s="2600">
        <f t="shared" si="51"/>
        <v>0</v>
      </c>
      <c r="M81" s="2600">
        <f t="shared" si="51"/>
        <v>0</v>
      </c>
      <c r="N81" s="2600">
        <f t="shared" si="51"/>
        <v>0</v>
      </c>
      <c r="O81" s="2600">
        <f t="shared" si="51"/>
        <v>0</v>
      </c>
      <c r="P81" s="2600">
        <f t="shared" si="51"/>
        <v>0</v>
      </c>
      <c r="Q81" s="2600">
        <f t="shared" si="51"/>
        <v>0</v>
      </c>
      <c r="R81" s="2600">
        <f t="shared" si="51"/>
        <v>5024000</v>
      </c>
      <c r="S81" s="2600">
        <f t="shared" si="51"/>
        <v>0</v>
      </c>
      <c r="T81" s="2600">
        <v>6909400</v>
      </c>
      <c r="U81" s="2600">
        <f t="shared" si="51"/>
        <v>0</v>
      </c>
      <c r="V81" s="2600">
        <f t="shared" si="51"/>
        <v>69677901</v>
      </c>
      <c r="W81" s="2601"/>
      <c r="X81" s="2602"/>
      <c r="Y81" s="2603"/>
      <c r="Z81" s="2604"/>
      <c r="AA81" s="2480" t="s">
        <v>6693</v>
      </c>
      <c r="AC81" s="2923">
        <v>64653901</v>
      </c>
      <c r="AE81" s="1147"/>
    </row>
    <row r="82" spans="1:31" s="882" customFormat="1" ht="13.5" x14ac:dyDescent="0.35">
      <c r="A82" s="859" t="s">
        <v>6846</v>
      </c>
      <c r="B82" s="130"/>
      <c r="C82" s="98"/>
      <c r="D82" s="2559"/>
      <c r="E82" s="2560"/>
      <c r="F82" s="1191"/>
      <c r="G82" s="100"/>
      <c r="H82" s="100"/>
      <c r="I82" s="100"/>
      <c r="J82" s="100"/>
      <c r="K82" s="100"/>
      <c r="L82" s="100"/>
      <c r="M82" s="100"/>
      <c r="N82" s="100"/>
      <c r="O82" s="100"/>
      <c r="P82" s="100"/>
      <c r="Q82" s="118"/>
      <c r="R82" s="2571"/>
      <c r="S82" s="2561"/>
      <c r="T82" s="2562"/>
      <c r="U82" s="2561"/>
      <c r="V82" s="2544"/>
      <c r="W82" s="2561"/>
      <c r="X82" s="2562"/>
      <c r="Y82" s="88"/>
      <c r="Z82" s="2545" t="s">
        <v>6847</v>
      </c>
      <c r="AA82" s="2480"/>
      <c r="AC82" s="2918"/>
      <c r="AE82" s="1147"/>
    </row>
    <row r="83" spans="1:31" outlineLevel="1" x14ac:dyDescent="0.35">
      <c r="A83" s="874" t="s">
        <v>6848</v>
      </c>
      <c r="B83" s="84"/>
      <c r="C83" s="109"/>
      <c r="D83" s="255"/>
      <c r="E83" s="2540"/>
      <c r="F83" s="1191">
        <f t="shared" ref="F83:F88" si="52">IF($AA83="","",SUMIF(Bakademik1,AA83,Bakademik2))</f>
        <v>0</v>
      </c>
      <c r="G83" s="1191">
        <f t="shared" ref="G83:G88" si="53">IF($AA83="","",SUMIF(BDaksos1,AA83,BDaksos2))</f>
        <v>0</v>
      </c>
      <c r="H83" s="1191">
        <f t="shared" ref="H83:H88" si="54">IF($AA83="","",SUMIF(BDukunganAka1,AA83,BDukunganAka2))</f>
        <v>0</v>
      </c>
      <c r="I83" s="1191">
        <f t="shared" ref="I83:I88" si="55">IF($AA83="","",SUMIF(BKegiatanSantri1,AA83,BKegiatanSantri2))</f>
        <v>0</v>
      </c>
      <c r="J83" s="1191">
        <f t="shared" ref="J83:J88" si="56">IF($AA83="","",SUMIF(DukunganInstitusi1,AA83,DukunganInstitusi2))</f>
        <v>0</v>
      </c>
      <c r="K83" s="1191">
        <f t="shared" ref="K83:K88" si="57">IF($AA83="","",SUMIF(BPemeliharaan1,AA83,BPemeliharaan2))</f>
        <v>0</v>
      </c>
      <c r="L83" s="1191">
        <f t="shared" ref="L83:L88" si="58">IF($AA83="","",SUMIF(BBantuan1,AA83,BBantuan2))</f>
        <v>0</v>
      </c>
      <c r="M83" s="1191">
        <f t="shared" ref="M83:M88" si="59">IF($AA83="","",SUMIF(BPenjualan1,AA83,BPenjualan2))</f>
        <v>0</v>
      </c>
      <c r="N83" s="1191">
        <f t="shared" ref="N83:N88" si="60">IF($AA83="","",SUMIF(BLayananAsrama1,AA83,BlayananAsrama2))</f>
        <v>0</v>
      </c>
      <c r="O83" s="1191"/>
      <c r="P83" s="136"/>
      <c r="Q83" s="1191"/>
      <c r="R83" s="2541">
        <f t="shared" ref="R83:R88" si="61">SUM(F83:Q83)</f>
        <v>0</v>
      </c>
      <c r="S83" s="2546"/>
      <c r="T83" s="2544">
        <v>0</v>
      </c>
      <c r="U83" s="2546"/>
      <c r="V83" s="2544">
        <f t="shared" ref="V83:V88" si="62">R83+AC83</f>
        <v>105550</v>
      </c>
      <c r="W83" s="2546"/>
      <c r="X83" s="2544"/>
      <c r="Y83" s="87"/>
      <c r="Z83" s="2547" t="s">
        <v>6849</v>
      </c>
      <c r="AA83" s="1242" t="s">
        <v>6850</v>
      </c>
      <c r="AC83" s="2918">
        <v>105550</v>
      </c>
    </row>
    <row r="84" spans="1:31" outlineLevel="1" x14ac:dyDescent="0.35">
      <c r="A84" s="874" t="s">
        <v>6851</v>
      </c>
      <c r="B84" s="84"/>
      <c r="C84" s="109"/>
      <c r="D84" s="255"/>
      <c r="E84" s="2540"/>
      <c r="F84" s="1191">
        <f t="shared" si="52"/>
        <v>0</v>
      </c>
      <c r="G84" s="1191">
        <f t="shared" si="53"/>
        <v>0</v>
      </c>
      <c r="H84" s="1191">
        <f t="shared" si="54"/>
        <v>0</v>
      </c>
      <c r="I84" s="1191">
        <f t="shared" si="55"/>
        <v>0</v>
      </c>
      <c r="J84" s="1191">
        <f t="shared" si="56"/>
        <v>0</v>
      </c>
      <c r="K84" s="1191">
        <f t="shared" si="57"/>
        <v>0</v>
      </c>
      <c r="L84" s="1191">
        <f t="shared" si="58"/>
        <v>0</v>
      </c>
      <c r="M84" s="1191">
        <f t="shared" si="59"/>
        <v>0</v>
      </c>
      <c r="N84" s="1191">
        <f t="shared" si="60"/>
        <v>0</v>
      </c>
      <c r="O84" s="1191"/>
      <c r="P84" s="136"/>
      <c r="Q84" s="1191"/>
      <c r="R84" s="2541">
        <f t="shared" si="61"/>
        <v>0</v>
      </c>
      <c r="S84" s="2546"/>
      <c r="T84" s="2544">
        <v>0</v>
      </c>
      <c r="U84" s="2546"/>
      <c r="V84" s="2544">
        <f t="shared" si="62"/>
        <v>0</v>
      </c>
      <c r="W84" s="2546"/>
      <c r="X84" s="2544"/>
      <c r="Y84" s="87"/>
      <c r="Z84" s="2547" t="s">
        <v>6852</v>
      </c>
      <c r="AA84" s="1242" t="s">
        <v>6853</v>
      </c>
      <c r="AC84" s="2918">
        <v>0</v>
      </c>
    </row>
    <row r="85" spans="1:31" outlineLevel="1" x14ac:dyDescent="0.35">
      <c r="A85" s="874" t="s">
        <v>6854</v>
      </c>
      <c r="B85" s="84"/>
      <c r="C85" s="109"/>
      <c r="D85" s="255"/>
      <c r="E85" s="2540"/>
      <c r="F85" s="1191">
        <f t="shared" si="52"/>
        <v>0</v>
      </c>
      <c r="G85" s="1191">
        <f t="shared" si="53"/>
        <v>0</v>
      </c>
      <c r="H85" s="1191">
        <f t="shared" si="54"/>
        <v>0</v>
      </c>
      <c r="I85" s="1191">
        <f t="shared" si="55"/>
        <v>0</v>
      </c>
      <c r="J85" s="1191">
        <f t="shared" si="56"/>
        <v>0</v>
      </c>
      <c r="K85" s="1191">
        <f t="shared" si="57"/>
        <v>0</v>
      </c>
      <c r="L85" s="1191">
        <f t="shared" si="58"/>
        <v>0</v>
      </c>
      <c r="M85" s="1191">
        <f t="shared" si="59"/>
        <v>0</v>
      </c>
      <c r="N85" s="1191">
        <f t="shared" si="60"/>
        <v>0</v>
      </c>
      <c r="O85" s="1191"/>
      <c r="P85" s="136"/>
      <c r="Q85" s="1191"/>
      <c r="R85" s="2541">
        <f t="shared" si="61"/>
        <v>0</v>
      </c>
      <c r="S85" s="2546"/>
      <c r="T85" s="2544">
        <v>0</v>
      </c>
      <c r="U85" s="2546"/>
      <c r="V85" s="2544">
        <f t="shared" si="62"/>
        <v>0</v>
      </c>
      <c r="W85" s="2546"/>
      <c r="X85" s="2544"/>
      <c r="Y85" s="87"/>
      <c r="Z85" s="2547" t="s">
        <v>3115</v>
      </c>
      <c r="AA85" s="1242" t="s">
        <v>6855</v>
      </c>
      <c r="AC85" s="2918">
        <v>0</v>
      </c>
    </row>
    <row r="86" spans="1:31" outlineLevel="1" x14ac:dyDescent="0.35">
      <c r="A86" s="874" t="s">
        <v>6856</v>
      </c>
      <c r="B86" s="84"/>
      <c r="C86" s="109"/>
      <c r="D86" s="255"/>
      <c r="E86" s="2540"/>
      <c r="F86" s="1191">
        <f t="shared" si="52"/>
        <v>0</v>
      </c>
      <c r="G86" s="1191">
        <f t="shared" si="53"/>
        <v>0</v>
      </c>
      <c r="H86" s="1191">
        <f t="shared" si="54"/>
        <v>0</v>
      </c>
      <c r="I86" s="1191">
        <f t="shared" si="55"/>
        <v>0</v>
      </c>
      <c r="J86" s="1191">
        <f t="shared" si="56"/>
        <v>0</v>
      </c>
      <c r="K86" s="1191">
        <f t="shared" si="57"/>
        <v>0</v>
      </c>
      <c r="L86" s="1191">
        <f t="shared" si="58"/>
        <v>0</v>
      </c>
      <c r="M86" s="1191">
        <f t="shared" si="59"/>
        <v>0</v>
      </c>
      <c r="N86" s="1191">
        <f t="shared" si="60"/>
        <v>0</v>
      </c>
      <c r="O86" s="1191"/>
      <c r="P86" s="136"/>
      <c r="Q86" s="1191"/>
      <c r="R86" s="2541">
        <f t="shared" si="61"/>
        <v>0</v>
      </c>
      <c r="S86" s="2546"/>
      <c r="T86" s="2544">
        <v>0</v>
      </c>
      <c r="U86" s="2546"/>
      <c r="V86" s="2544">
        <f t="shared" si="62"/>
        <v>0</v>
      </c>
      <c r="W86" s="2546"/>
      <c r="X86" s="2544"/>
      <c r="Y86" s="87"/>
      <c r="Z86" s="2547" t="s">
        <v>6857</v>
      </c>
      <c r="AA86" s="1242" t="s">
        <v>6858</v>
      </c>
      <c r="AC86" s="2918">
        <v>0</v>
      </c>
    </row>
    <row r="87" spans="1:31" outlineLevel="1" x14ac:dyDescent="0.35">
      <c r="A87" s="874" t="s">
        <v>6859</v>
      </c>
      <c r="B87" s="84"/>
      <c r="C87" s="109"/>
      <c r="D87" s="255"/>
      <c r="E87" s="2540"/>
      <c r="F87" s="1191">
        <f t="shared" si="52"/>
        <v>0</v>
      </c>
      <c r="G87" s="1191">
        <f t="shared" si="53"/>
        <v>0</v>
      </c>
      <c r="H87" s="1191">
        <f t="shared" si="54"/>
        <v>0</v>
      </c>
      <c r="I87" s="1191">
        <f t="shared" si="55"/>
        <v>0</v>
      </c>
      <c r="J87" s="1191">
        <f t="shared" si="56"/>
        <v>0</v>
      </c>
      <c r="K87" s="1191">
        <f t="shared" si="57"/>
        <v>0</v>
      </c>
      <c r="L87" s="1191">
        <f t="shared" si="58"/>
        <v>0</v>
      </c>
      <c r="M87" s="1191">
        <f t="shared" si="59"/>
        <v>0</v>
      </c>
      <c r="N87" s="2694">
        <f t="shared" si="60"/>
        <v>0</v>
      </c>
      <c r="O87" s="1191"/>
      <c r="P87" s="136"/>
      <c r="Q87" s="1191"/>
      <c r="R87" s="2541">
        <f t="shared" si="61"/>
        <v>0</v>
      </c>
      <c r="S87" s="2541">
        <f>SUM(G87:R87)</f>
        <v>0</v>
      </c>
      <c r="T87" s="2544">
        <v>0</v>
      </c>
      <c r="U87" s="2546"/>
      <c r="V87" s="2544">
        <f t="shared" si="62"/>
        <v>0</v>
      </c>
      <c r="W87" s="2546"/>
      <c r="X87" s="2544"/>
      <c r="Y87" s="87"/>
      <c r="Z87" s="2547" t="s">
        <v>6860</v>
      </c>
      <c r="AA87" s="1242" t="s">
        <v>6861</v>
      </c>
      <c r="AC87" s="2918">
        <v>0</v>
      </c>
    </row>
    <row r="88" spans="1:31" x14ac:dyDescent="0.35">
      <c r="A88" s="2591" t="s">
        <v>6862</v>
      </c>
      <c r="B88" s="2565"/>
      <c r="C88" s="2566"/>
      <c r="D88" s="2567"/>
      <c r="E88" s="2568"/>
      <c r="F88" s="2677">
        <f t="shared" si="52"/>
        <v>0</v>
      </c>
      <c r="G88" s="2677">
        <f t="shared" si="53"/>
        <v>0</v>
      </c>
      <c r="H88" s="2678">
        <f t="shared" si="54"/>
        <v>0</v>
      </c>
      <c r="I88" s="2677">
        <f t="shared" si="55"/>
        <v>0</v>
      </c>
      <c r="J88" s="2677">
        <f t="shared" si="56"/>
        <v>0</v>
      </c>
      <c r="K88" s="2677">
        <f t="shared" si="57"/>
        <v>0</v>
      </c>
      <c r="L88" s="2677">
        <f t="shared" si="58"/>
        <v>0</v>
      </c>
      <c r="M88" s="2677">
        <f t="shared" si="59"/>
        <v>0</v>
      </c>
      <c r="N88" s="2678">
        <f t="shared" si="60"/>
        <v>0</v>
      </c>
      <c r="O88" s="1207"/>
      <c r="P88" s="2605"/>
      <c r="Q88" s="2677"/>
      <c r="R88" s="2554">
        <f t="shared" si="61"/>
        <v>0</v>
      </c>
      <c r="S88" s="2555"/>
      <c r="T88" s="2592">
        <v>0</v>
      </c>
      <c r="U88" s="2555"/>
      <c r="V88" s="2592">
        <f t="shared" si="62"/>
        <v>40000</v>
      </c>
      <c r="W88" s="2555"/>
      <c r="X88" s="2556"/>
      <c r="Y88" s="2557"/>
      <c r="Z88" s="2558" t="s">
        <v>6863</v>
      </c>
      <c r="AA88" s="1242" t="s">
        <v>6864</v>
      </c>
      <c r="AC88" s="2922">
        <v>40000</v>
      </c>
    </row>
    <row r="89" spans="1:31" s="882" customFormat="1" ht="13.5" x14ac:dyDescent="0.35">
      <c r="A89" s="2577"/>
      <c r="B89" s="130"/>
      <c r="C89" s="98"/>
      <c r="D89" s="2559"/>
      <c r="E89" s="2560"/>
      <c r="F89" s="1208">
        <f>SUM(F83:F88)</f>
        <v>0</v>
      </c>
      <c r="G89" s="1208">
        <f>SUM(G83:G88)</f>
        <v>0</v>
      </c>
      <c r="H89" s="100">
        <f t="shared" ref="H89:V89" si="63">SUM(H83:H88)</f>
        <v>0</v>
      </c>
      <c r="I89" s="100">
        <f t="shared" si="63"/>
        <v>0</v>
      </c>
      <c r="J89" s="100">
        <f t="shared" si="63"/>
        <v>0</v>
      </c>
      <c r="K89" s="100">
        <f t="shared" si="63"/>
        <v>0</v>
      </c>
      <c r="L89" s="100">
        <f t="shared" si="63"/>
        <v>0</v>
      </c>
      <c r="M89" s="100">
        <f t="shared" si="63"/>
        <v>0</v>
      </c>
      <c r="N89" s="100">
        <f t="shared" si="63"/>
        <v>0</v>
      </c>
      <c r="O89" s="100">
        <f t="shared" si="63"/>
        <v>0</v>
      </c>
      <c r="P89" s="100">
        <f t="shared" si="63"/>
        <v>0</v>
      </c>
      <c r="Q89" s="100">
        <f t="shared" si="63"/>
        <v>0</v>
      </c>
      <c r="R89" s="100">
        <f t="shared" si="63"/>
        <v>0</v>
      </c>
      <c r="S89" s="100">
        <f t="shared" si="63"/>
        <v>0</v>
      </c>
      <c r="T89" s="100">
        <v>0</v>
      </c>
      <c r="U89" s="100">
        <f t="shared" si="63"/>
        <v>0</v>
      </c>
      <c r="V89" s="100">
        <f t="shared" si="63"/>
        <v>145550</v>
      </c>
      <c r="W89" s="2561"/>
      <c r="X89" s="2562"/>
      <c r="Y89" s="88"/>
      <c r="Z89" s="2545"/>
      <c r="AA89" s="2480" t="s">
        <v>6694</v>
      </c>
      <c r="AC89" s="2920">
        <v>145550</v>
      </c>
      <c r="AE89" s="1147"/>
    </row>
    <row r="90" spans="1:31" s="882" customFormat="1" ht="13.5" outlineLevel="1" x14ac:dyDescent="0.35">
      <c r="A90" s="859" t="s">
        <v>6865</v>
      </c>
      <c r="B90" s="130"/>
      <c r="C90" s="98"/>
      <c r="D90" s="2559"/>
      <c r="E90" s="2560"/>
      <c r="F90" s="1191"/>
      <c r="G90" s="1191"/>
      <c r="H90" s="100"/>
      <c r="I90" s="136"/>
      <c r="J90" s="1191"/>
      <c r="K90" s="100"/>
      <c r="L90" s="100"/>
      <c r="M90" s="100"/>
      <c r="N90" s="100"/>
      <c r="O90" s="100"/>
      <c r="P90" s="100"/>
      <c r="Q90" s="118"/>
      <c r="R90" s="2571"/>
      <c r="S90" s="2561"/>
      <c r="T90" s="2562"/>
      <c r="U90" s="2561"/>
      <c r="V90" s="2544">
        <f t="shared" ref="V90:V95" si="64">R90+AC90</f>
        <v>0</v>
      </c>
      <c r="W90" s="2561"/>
      <c r="X90" s="2562"/>
      <c r="Y90" s="88"/>
      <c r="Z90" s="2545" t="s">
        <v>6866</v>
      </c>
      <c r="AA90" s="2480"/>
      <c r="AC90" s="2918">
        <v>0</v>
      </c>
      <c r="AE90" s="1147"/>
    </row>
    <row r="91" spans="1:31" outlineLevel="1" x14ac:dyDescent="0.35">
      <c r="A91" s="2576" t="s">
        <v>6867</v>
      </c>
      <c r="B91" s="84"/>
      <c r="C91" s="109"/>
      <c r="D91" s="255"/>
      <c r="E91" s="2540"/>
      <c r="F91" s="1191">
        <f>IF($AA91="","",SUMIF(Bakademik1,AA91,Bakademik2))</f>
        <v>0</v>
      </c>
      <c r="G91" s="1191">
        <f>IF($AA91="","",SUMIF(BDaksos1,AA91,BDaksos2))</f>
        <v>0</v>
      </c>
      <c r="H91" s="1191">
        <f>IF($AA91="","",SUMIF(BDukunganAka1,AA91,BDukunganAka2))</f>
        <v>0</v>
      </c>
      <c r="I91" s="1191">
        <f>IF($AA91="","",SUMIF(BKegiatanSantri1,AA91,BKegiatanSantri2))</f>
        <v>0</v>
      </c>
      <c r="J91" s="1191">
        <f>IF($AA91="","",SUMIF(DukunganInstitusi1,AA91,DukunganInstitusi2))</f>
        <v>0</v>
      </c>
      <c r="K91" s="1191">
        <f>IF($AA91="","",SUMIF(BPemeliharaan1,AA91,BPemeliharaan2))</f>
        <v>0</v>
      </c>
      <c r="L91" s="1191">
        <f>IF($AA91="","",SUMIF(BBantuan1,AA91,BBantuan2))</f>
        <v>0</v>
      </c>
      <c r="M91" s="1191">
        <f>IF($AA91="","",SUMIF(BPenjualan1,AA91,BPenjualan2))</f>
        <v>0</v>
      </c>
      <c r="N91" s="1191">
        <f>IF($AA91="","",SUMIF(BLayananAsrama1,AA91,BlayananAsrama2))</f>
        <v>0</v>
      </c>
      <c r="O91" s="1191"/>
      <c r="P91" s="136"/>
      <c r="Q91" s="1191"/>
      <c r="R91" s="2541">
        <f>SUM(F91:Q91)</f>
        <v>0</v>
      </c>
      <c r="S91" s="2546"/>
      <c r="T91" s="2544">
        <v>0</v>
      </c>
      <c r="U91" s="2546"/>
      <c r="V91" s="2544">
        <f t="shared" si="64"/>
        <v>1060000</v>
      </c>
      <c r="W91" s="2546"/>
      <c r="X91" s="2544"/>
      <c r="Y91" s="87"/>
      <c r="Z91" s="2547" t="s">
        <v>6868</v>
      </c>
      <c r="AA91" s="1242" t="s">
        <v>6569</v>
      </c>
      <c r="AC91" s="2918">
        <v>1060000</v>
      </c>
    </row>
    <row r="92" spans="1:31" outlineLevel="1" x14ac:dyDescent="0.35">
      <c r="A92" s="2576" t="s">
        <v>6869</v>
      </c>
      <c r="B92" s="84"/>
      <c r="C92" s="109"/>
      <c r="D92" s="255"/>
      <c r="E92" s="2540"/>
      <c r="F92" s="1191">
        <f>IF($AA92="","",SUMIF(Bakademik1,AA92,Bakademik2))</f>
        <v>0</v>
      </c>
      <c r="G92" s="1191">
        <f>IF($AA92="","",SUMIF(BDaksos1,AA92,BDaksos2))</f>
        <v>0</v>
      </c>
      <c r="H92" s="1191">
        <f>IF($AA92="","",SUMIF(BDukunganAka1,AA92,BDukunganAka2))</f>
        <v>0</v>
      </c>
      <c r="I92" s="1191">
        <f>IF($AA92="","",SUMIF(BKegiatanSantri1,AA92,BKegiatanSantri2))</f>
        <v>0</v>
      </c>
      <c r="J92" s="1191">
        <f>IF($AA92="","",SUMIF(DukunganInstitusi1,AA92,DukunganInstitusi2))</f>
        <v>0</v>
      </c>
      <c r="K92" s="1191">
        <f>IF($AA92="","",SUMIF(BPemeliharaan1,AA92,BPemeliharaan2))</f>
        <v>0</v>
      </c>
      <c r="L92" s="1191">
        <f>IF($AA92="","",SUMIF(BBantuan1,AA92,BBantuan2))</f>
        <v>0</v>
      </c>
      <c r="M92" s="1191">
        <f>IF($AA92="","",SUMIF(BPenjualan1,AA92,BPenjualan2))</f>
        <v>0</v>
      </c>
      <c r="N92" s="1191">
        <f>IF($AA92="","",SUMIF(BLayananAsrama1,AA92,BlayananAsrama2))</f>
        <v>0</v>
      </c>
      <c r="O92" s="1191"/>
      <c r="P92" s="136"/>
      <c r="Q92" s="1191"/>
      <c r="R92" s="2541">
        <f>SUM(F92:Q92)</f>
        <v>0</v>
      </c>
      <c r="S92" s="2546"/>
      <c r="T92" s="2544">
        <v>0</v>
      </c>
      <c r="U92" s="2546"/>
      <c r="V92" s="2544">
        <f t="shared" si="64"/>
        <v>0</v>
      </c>
      <c r="W92" s="2546"/>
      <c r="X92" s="2544"/>
      <c r="Y92" s="87"/>
      <c r="Z92" s="2547" t="s">
        <v>6870</v>
      </c>
      <c r="AA92" s="1242" t="s">
        <v>6570</v>
      </c>
      <c r="AC92" s="2918">
        <v>0</v>
      </c>
    </row>
    <row r="93" spans="1:31" outlineLevel="1" x14ac:dyDescent="0.35">
      <c r="A93" s="2576" t="s">
        <v>6871</v>
      </c>
      <c r="B93" s="84"/>
      <c r="C93" s="109"/>
      <c r="D93" s="255"/>
      <c r="E93" s="2540"/>
      <c r="F93" s="1191">
        <f>IF($AA93="","",SUMIF(Bakademik1,AA93,Bakademik2))</f>
        <v>0</v>
      </c>
      <c r="G93" s="1191">
        <f>IF($AA93="","",SUMIF(BDaksos1,AA93,BDaksos2))</f>
        <v>0</v>
      </c>
      <c r="H93" s="1191">
        <f>IF($AA93="","",SUMIF(BDukunganAka1,AA93,BDukunganAka2))</f>
        <v>0</v>
      </c>
      <c r="I93" s="1191">
        <f>IF($AA93="","",SUMIF(BKegiatanSantri1,AA93,BKegiatanSantri2))</f>
        <v>0</v>
      </c>
      <c r="J93" s="1191">
        <f>IF($AA93="","",SUMIF(DukunganInstitusi1,AA93,DukunganInstitusi2))</f>
        <v>0</v>
      </c>
      <c r="K93" s="1191">
        <f>IF($AA93="","",SUMIF(BPemeliharaan1,AA93,BPemeliharaan2))</f>
        <v>0</v>
      </c>
      <c r="L93" s="1191">
        <f>IF($AA93="","",SUMIF(BBantuan1,AA93,BBantuan2))</f>
        <v>0</v>
      </c>
      <c r="M93" s="1191">
        <f>IF($AA93="","",SUMIF(BPenjualan1,AA93,BPenjualan2))</f>
        <v>0</v>
      </c>
      <c r="N93" s="1191">
        <f>IF($AA93="","",SUMIF(BLayananAsrama1,AA93,BlayananAsrama2))</f>
        <v>0</v>
      </c>
      <c r="O93" s="1191"/>
      <c r="P93" s="136"/>
      <c r="Q93" s="1191"/>
      <c r="R93" s="2541">
        <f>SUM(F93:Q93)</f>
        <v>0</v>
      </c>
      <c r="S93" s="2546"/>
      <c r="T93" s="2544">
        <v>0</v>
      </c>
      <c r="U93" s="2546"/>
      <c r="V93" s="2544">
        <f t="shared" si="64"/>
        <v>0</v>
      </c>
      <c r="W93" s="2546"/>
      <c r="X93" s="2544"/>
      <c r="Y93" s="87"/>
      <c r="Z93" s="2547" t="s">
        <v>6872</v>
      </c>
      <c r="AA93" s="1242" t="s">
        <v>6544</v>
      </c>
      <c r="AC93" s="2918">
        <v>0</v>
      </c>
    </row>
    <row r="94" spans="1:31" outlineLevel="1" x14ac:dyDescent="0.35">
      <c r="A94" s="2576" t="s">
        <v>6873</v>
      </c>
      <c r="B94" s="84"/>
      <c r="C94" s="109"/>
      <c r="D94" s="255"/>
      <c r="E94" s="2540"/>
      <c r="F94" s="1191">
        <f>IF($AA94="","",SUMIF(Bakademik1,AA94,Bakademik2))</f>
        <v>0</v>
      </c>
      <c r="G94" s="1191">
        <f>IF($AA94="","",SUMIF(BDaksos1,AA94,BDaksos2))</f>
        <v>0</v>
      </c>
      <c r="H94" s="1191">
        <f>IF($AA94="","",SUMIF(BDukunganAka1,AA94,BDukunganAka2))</f>
        <v>0</v>
      </c>
      <c r="I94" s="1191">
        <f>IF($AA94="","",SUMIF(BKegiatanSantri1,AA94,BKegiatanSantri2))</f>
        <v>0</v>
      </c>
      <c r="J94" s="1191">
        <f>IF($AA94="","",SUMIF(DukunganInstitusi1,AA94,DukunganInstitusi2))</f>
        <v>0</v>
      </c>
      <c r="K94" s="1191">
        <f>IF($AA94="","",SUMIF(BPemeliharaan1,AA94,BPemeliharaan2))</f>
        <v>0</v>
      </c>
      <c r="L94" s="1191">
        <f>IF($AA94="","",SUMIF(BBantuan1,AA94,BBantuan2))</f>
        <v>0</v>
      </c>
      <c r="M94" s="1191">
        <f>IF($AA94="","",SUMIF(BPenjualan1,AA94,BPenjualan2))</f>
        <v>0</v>
      </c>
      <c r="N94" s="1191">
        <f>IF($AA94="","",SUMIF(BLayananAsrama1,AA94,BlayananAsrama2))</f>
        <v>0</v>
      </c>
      <c r="O94" s="1191"/>
      <c r="P94" s="136"/>
      <c r="Q94" s="1191"/>
      <c r="R94" s="2541">
        <f>SUM(F94:Q94)</f>
        <v>0</v>
      </c>
      <c r="S94" s="2546"/>
      <c r="T94" s="2544">
        <v>0</v>
      </c>
      <c r="U94" s="2546"/>
      <c r="V94" s="2544">
        <f t="shared" si="64"/>
        <v>14063900</v>
      </c>
      <c r="W94" s="2546"/>
      <c r="X94" s="2544"/>
      <c r="Y94" s="87"/>
      <c r="Z94" s="2547" t="s">
        <v>6874</v>
      </c>
      <c r="AA94" s="1242" t="s">
        <v>6550</v>
      </c>
      <c r="AC94" s="2918">
        <v>14063900</v>
      </c>
    </row>
    <row r="95" spans="1:31" outlineLevel="1" x14ac:dyDescent="0.35">
      <c r="A95" s="2576" t="s">
        <v>349</v>
      </c>
      <c r="B95" s="84"/>
      <c r="C95" s="109"/>
      <c r="D95" s="255"/>
      <c r="E95" s="2540"/>
      <c r="F95" s="2678">
        <f>IF($AA95="","",SUMIF(Bakademik1,AA95,Bakademik2))</f>
        <v>0</v>
      </c>
      <c r="G95" s="1191">
        <f>IF($AA95="","",SUMIF(BDaksos1,AA95,BDaksos2))</f>
        <v>0</v>
      </c>
      <c r="H95" s="1191">
        <f>IF($AA95="","",SUMIF(BDukunganAka1,AA95,BDukunganAka2))</f>
        <v>0</v>
      </c>
      <c r="I95" s="1191">
        <f>IF($AA95="","",SUMIF(BKegiatanSantri1,AA95,BKegiatanSantri2))</f>
        <v>0</v>
      </c>
      <c r="J95" s="1191">
        <f>IF($AA95="","",SUMIF(DukunganInstitusi1,AA95,DukunganInstitusi2))</f>
        <v>0</v>
      </c>
      <c r="K95" s="1191">
        <f>IF($AA95="","",SUMIF(BPemeliharaan1,AA95,BPemeliharaan2))</f>
        <v>0</v>
      </c>
      <c r="L95" s="1191">
        <f>IF($AA95="","",SUMIF(BBantuan1,AA95,BBantuan2))</f>
        <v>0</v>
      </c>
      <c r="M95" s="1191">
        <f>IF($AA95="","",SUMIF(BPenjualan1,AA95,BPenjualan2))</f>
        <v>0</v>
      </c>
      <c r="N95" s="1191">
        <f>IF($AA95="","",SUMIF(BLayananAsrama1,AA95,BlayananAsrama2))</f>
        <v>0</v>
      </c>
      <c r="O95" s="1191"/>
      <c r="P95" s="136"/>
      <c r="Q95" s="1191"/>
      <c r="R95" s="2541">
        <f>SUM(F95:Q95)</f>
        <v>0</v>
      </c>
      <c r="S95" s="2541">
        <f>SUM(G95:R95)</f>
        <v>0</v>
      </c>
      <c r="T95" s="2544">
        <v>0</v>
      </c>
      <c r="U95" s="2546"/>
      <c r="V95" s="2541">
        <f t="shared" si="64"/>
        <v>0</v>
      </c>
      <c r="W95" s="2546"/>
      <c r="X95" s="2544"/>
      <c r="Y95" s="87"/>
      <c r="Z95" s="2547" t="s">
        <v>350</v>
      </c>
      <c r="AA95" s="1242" t="s">
        <v>6875</v>
      </c>
      <c r="AC95" s="2918">
        <v>0</v>
      </c>
    </row>
    <row r="96" spans="1:31" ht="13.5" outlineLevel="1" x14ac:dyDescent="0.35">
      <c r="A96" s="2606"/>
      <c r="B96" s="2579"/>
      <c r="C96" s="2580"/>
      <c r="D96" s="2581"/>
      <c r="E96" s="2582"/>
      <c r="F96" s="1208">
        <f t="shared" ref="F96:V96" si="65">SUM(F91:F95)</f>
        <v>0</v>
      </c>
      <c r="G96" s="2583">
        <f t="shared" si="65"/>
        <v>0</v>
      </c>
      <c r="H96" s="2584">
        <f t="shared" si="65"/>
        <v>0</v>
      </c>
      <c r="I96" s="2584">
        <f t="shared" si="65"/>
        <v>0</v>
      </c>
      <c r="J96" s="2584">
        <f t="shared" si="65"/>
        <v>0</v>
      </c>
      <c r="K96" s="2584">
        <f t="shared" si="65"/>
        <v>0</v>
      </c>
      <c r="L96" s="2584">
        <f t="shared" si="65"/>
        <v>0</v>
      </c>
      <c r="M96" s="2584">
        <f t="shared" si="65"/>
        <v>0</v>
      </c>
      <c r="N96" s="2584">
        <f t="shared" si="65"/>
        <v>0</v>
      </c>
      <c r="O96" s="2584">
        <f t="shared" si="65"/>
        <v>0</v>
      </c>
      <c r="P96" s="2584">
        <f t="shared" si="65"/>
        <v>0</v>
      </c>
      <c r="Q96" s="2584">
        <f t="shared" si="65"/>
        <v>0</v>
      </c>
      <c r="R96" s="2584">
        <f t="shared" si="65"/>
        <v>0</v>
      </c>
      <c r="S96" s="2584">
        <f t="shared" si="65"/>
        <v>0</v>
      </c>
      <c r="T96" s="2584">
        <v>0</v>
      </c>
      <c r="U96" s="2584">
        <f t="shared" si="65"/>
        <v>0</v>
      </c>
      <c r="V96" s="2584">
        <f t="shared" si="65"/>
        <v>15123900</v>
      </c>
      <c r="W96" s="2585"/>
      <c r="X96" s="2586"/>
      <c r="Y96" s="2587"/>
      <c r="Z96" s="2588"/>
      <c r="AA96" s="2480" t="s">
        <v>6695</v>
      </c>
      <c r="AC96" s="2921">
        <v>15123900</v>
      </c>
    </row>
    <row r="97" spans="1:31" ht="13.5" x14ac:dyDescent="0.35">
      <c r="A97" s="859" t="s">
        <v>6876</v>
      </c>
      <c r="B97" s="84"/>
      <c r="C97" s="109"/>
      <c r="D97" s="255"/>
      <c r="E97" s="2540"/>
      <c r="F97" s="1191"/>
      <c r="G97" s="136"/>
      <c r="H97" s="136"/>
      <c r="I97" s="136"/>
      <c r="J97" s="136"/>
      <c r="K97" s="136"/>
      <c r="L97" s="136"/>
      <c r="M97" s="136"/>
      <c r="N97" s="1191"/>
      <c r="O97" s="136"/>
      <c r="P97" s="136"/>
      <c r="Q97" s="110"/>
      <c r="R97" s="2541"/>
      <c r="S97" s="2546"/>
      <c r="T97" s="2544"/>
      <c r="U97" s="2546"/>
      <c r="V97" s="2544"/>
      <c r="W97" s="2546"/>
      <c r="X97" s="2544"/>
      <c r="Y97" s="87"/>
      <c r="Z97" s="2545" t="s">
        <v>6877</v>
      </c>
      <c r="AA97" s="2480"/>
      <c r="AB97" s="882"/>
      <c r="AC97" s="2918"/>
    </row>
    <row r="98" spans="1:31" x14ac:dyDescent="0.35">
      <c r="A98" s="874" t="s">
        <v>6878</v>
      </c>
      <c r="B98" s="84"/>
      <c r="C98" s="109"/>
      <c r="D98" s="255"/>
      <c r="E98" s="2540"/>
      <c r="F98" s="1191">
        <f t="shared" ref="F98:F103" si="66">IF($AA98="","",SUMIF(Bakademik1,AA98,Bakademik2))</f>
        <v>0</v>
      </c>
      <c r="G98" s="1191">
        <f t="shared" ref="G98:G103" si="67">IF($AA98="","",SUMIF(BDaksos1,AA98,BDaksos2))</f>
        <v>0</v>
      </c>
      <c r="H98" s="1191">
        <f t="shared" ref="H98:H103" si="68">IF($AA98="","",SUMIF(BDukunganAka1,AA98,BDukunganAka2))</f>
        <v>0</v>
      </c>
      <c r="I98" s="1191">
        <f t="shared" ref="I98:I103" si="69">IF($AA98="","",SUMIF(BKegiatanSantri1,AA98,BKegiatanSantri2))</f>
        <v>0</v>
      </c>
      <c r="J98" s="1191">
        <f t="shared" ref="J98:J103" si="70">IF($AA98="","",SUMIF(DukunganInstitusi1,AA98,DukunganInstitusi2))</f>
        <v>1530000</v>
      </c>
      <c r="K98" s="1191">
        <f t="shared" ref="K98:K103" si="71">IF($AA98="","",SUMIF(BPemeliharaan1,AA98,BPemeliharaan2))</f>
        <v>434000</v>
      </c>
      <c r="L98" s="1191">
        <f t="shared" ref="L98:L103" si="72">IF($AA98="","",SUMIF(BBantuan1,AA98,BBantuan2))</f>
        <v>0</v>
      </c>
      <c r="M98" s="1191">
        <f t="shared" ref="M98:M103" si="73">IF($AA98="","",SUMIF(BPenjualan1,AA98,BPenjualan2))</f>
        <v>0</v>
      </c>
      <c r="N98" s="1191">
        <f t="shared" ref="N98:N103" si="74">IF($AA98="","",SUMIF(BLayananAsrama1,AA98,BlayananAsrama2))</f>
        <v>0</v>
      </c>
      <c r="O98" s="1191"/>
      <c r="P98" s="136"/>
      <c r="Q98" s="1191"/>
      <c r="R98" s="2541">
        <f t="shared" ref="R98:R103" si="75">SUM(F98:Q98)</f>
        <v>1964000</v>
      </c>
      <c r="S98" s="2546"/>
      <c r="T98" s="2544">
        <v>2731300</v>
      </c>
      <c r="U98" s="2546"/>
      <c r="V98" s="2544">
        <f t="shared" ref="V98:V103" si="76">R98+AC98</f>
        <v>19453300</v>
      </c>
      <c r="W98" s="2546"/>
      <c r="X98" s="2544"/>
      <c r="Y98" s="87"/>
      <c r="Z98" s="2589" t="s">
        <v>3662</v>
      </c>
      <c r="AA98" s="1242" t="s">
        <v>6521</v>
      </c>
      <c r="AC98" s="2918">
        <v>17489300</v>
      </c>
    </row>
    <row r="99" spans="1:31" x14ac:dyDescent="0.35">
      <c r="A99" s="874" t="s">
        <v>6879</v>
      </c>
      <c r="B99" s="84"/>
      <c r="C99" s="109"/>
      <c r="D99" s="255"/>
      <c r="E99" s="2540"/>
      <c r="F99" s="1191">
        <f t="shared" si="66"/>
        <v>0</v>
      </c>
      <c r="G99" s="1191">
        <f t="shared" si="67"/>
        <v>0</v>
      </c>
      <c r="H99" s="1191">
        <f t="shared" si="68"/>
        <v>0</v>
      </c>
      <c r="I99" s="1191">
        <f t="shared" si="69"/>
        <v>0</v>
      </c>
      <c r="J99" s="1191">
        <f t="shared" si="70"/>
        <v>24000</v>
      </c>
      <c r="K99" s="1191">
        <f t="shared" si="71"/>
        <v>0</v>
      </c>
      <c r="L99" s="1191">
        <f t="shared" si="72"/>
        <v>0</v>
      </c>
      <c r="M99" s="1191">
        <f t="shared" si="73"/>
        <v>0</v>
      </c>
      <c r="N99" s="1191">
        <f t="shared" si="74"/>
        <v>0</v>
      </c>
      <c r="O99" s="1191"/>
      <c r="P99" s="136"/>
      <c r="Q99" s="1191"/>
      <c r="R99" s="2541">
        <f t="shared" si="75"/>
        <v>24000</v>
      </c>
      <c r="S99" s="2546"/>
      <c r="T99" s="2544">
        <v>7000</v>
      </c>
      <c r="U99" s="2546"/>
      <c r="V99" s="2544">
        <f t="shared" si="76"/>
        <v>130000</v>
      </c>
      <c r="W99" s="2607"/>
      <c r="X99" s="2544"/>
      <c r="Y99" s="87"/>
      <c r="Z99" s="2589" t="s">
        <v>6880</v>
      </c>
      <c r="AA99" s="1242" t="s">
        <v>6553</v>
      </c>
      <c r="AC99" s="2918">
        <v>106000</v>
      </c>
    </row>
    <row r="100" spans="1:31" outlineLevel="1" x14ac:dyDescent="0.35">
      <c r="A100" s="874" t="s">
        <v>6881</v>
      </c>
      <c r="B100" s="84"/>
      <c r="C100" s="109"/>
      <c r="D100" s="255"/>
      <c r="E100" s="2540"/>
      <c r="F100" s="1191">
        <f t="shared" si="66"/>
        <v>560000</v>
      </c>
      <c r="G100" s="1191">
        <f t="shared" si="67"/>
        <v>0</v>
      </c>
      <c r="H100" s="1191">
        <f t="shared" si="68"/>
        <v>0</v>
      </c>
      <c r="I100" s="1191">
        <f t="shared" si="69"/>
        <v>188500</v>
      </c>
      <c r="J100" s="1191">
        <f t="shared" si="70"/>
        <v>8876600</v>
      </c>
      <c r="K100" s="1191">
        <f t="shared" si="71"/>
        <v>0</v>
      </c>
      <c r="L100" s="1191">
        <f t="shared" si="72"/>
        <v>0</v>
      </c>
      <c r="M100" s="1191">
        <f t="shared" si="73"/>
        <v>0</v>
      </c>
      <c r="N100" s="1191">
        <f t="shared" si="74"/>
        <v>0</v>
      </c>
      <c r="O100" s="1191"/>
      <c r="P100" s="136"/>
      <c r="Q100" s="1191"/>
      <c r="R100" s="2544">
        <f t="shared" si="75"/>
        <v>9625100</v>
      </c>
      <c r="S100" s="2546"/>
      <c r="T100" s="2544">
        <v>15385800</v>
      </c>
      <c r="U100" s="2546"/>
      <c r="V100" s="2544">
        <f t="shared" si="76"/>
        <v>156657830</v>
      </c>
      <c r="W100" s="2546"/>
      <c r="X100" s="2544"/>
      <c r="Y100" s="87"/>
      <c r="Z100" s="2589" t="s">
        <v>3664</v>
      </c>
      <c r="AA100" s="1242" t="s">
        <v>6522</v>
      </c>
      <c r="AC100" s="2918">
        <v>147032730</v>
      </c>
    </row>
    <row r="101" spans="1:31" x14ac:dyDescent="0.35">
      <c r="A101" s="874" t="s">
        <v>6882</v>
      </c>
      <c r="B101" s="84"/>
      <c r="C101" s="109"/>
      <c r="D101" s="255"/>
      <c r="E101" s="2540"/>
      <c r="F101" s="1191">
        <f t="shared" si="66"/>
        <v>0</v>
      </c>
      <c r="G101" s="1191">
        <f t="shared" si="67"/>
        <v>0</v>
      </c>
      <c r="H101" s="1191">
        <f t="shared" si="68"/>
        <v>0</v>
      </c>
      <c r="I101" s="1191">
        <f t="shared" si="69"/>
        <v>0</v>
      </c>
      <c r="J101" s="1191">
        <f t="shared" si="70"/>
        <v>0</v>
      </c>
      <c r="K101" s="1191">
        <f t="shared" si="71"/>
        <v>0</v>
      </c>
      <c r="L101" s="1191">
        <f t="shared" si="72"/>
        <v>0</v>
      </c>
      <c r="M101" s="1191">
        <f t="shared" si="73"/>
        <v>0</v>
      </c>
      <c r="N101" s="1191">
        <f t="shared" si="74"/>
        <v>0</v>
      </c>
      <c r="O101" s="1191"/>
      <c r="P101" s="136"/>
      <c r="Q101" s="1191"/>
      <c r="R101" s="2544">
        <f t="shared" si="75"/>
        <v>0</v>
      </c>
      <c r="S101" s="2546"/>
      <c r="T101" s="2544">
        <v>0</v>
      </c>
      <c r="U101" s="2546"/>
      <c r="V101" s="2544">
        <f t="shared" si="76"/>
        <v>0</v>
      </c>
      <c r="W101" s="2546"/>
      <c r="X101" s="2544"/>
      <c r="Y101" s="87"/>
      <c r="Z101" s="2589" t="s">
        <v>6883</v>
      </c>
      <c r="AA101" s="1242" t="s">
        <v>6523</v>
      </c>
      <c r="AC101" s="2918">
        <v>0</v>
      </c>
    </row>
    <row r="102" spans="1:31" outlineLevel="1" x14ac:dyDescent="0.35">
      <c r="A102" s="874" t="s">
        <v>6884</v>
      </c>
      <c r="B102" s="84"/>
      <c r="C102" s="109"/>
      <c r="D102" s="255"/>
      <c r="E102" s="2540"/>
      <c r="F102" s="1191">
        <f t="shared" si="66"/>
        <v>0</v>
      </c>
      <c r="G102" s="1191">
        <f t="shared" si="67"/>
        <v>0</v>
      </c>
      <c r="H102" s="1191">
        <f t="shared" si="68"/>
        <v>0</v>
      </c>
      <c r="I102" s="1191">
        <f t="shared" si="69"/>
        <v>0</v>
      </c>
      <c r="J102" s="1191">
        <f t="shared" si="70"/>
        <v>0</v>
      </c>
      <c r="K102" s="1191">
        <f t="shared" si="71"/>
        <v>0</v>
      </c>
      <c r="L102" s="1191">
        <f t="shared" si="72"/>
        <v>0</v>
      </c>
      <c r="M102" s="1191">
        <f t="shared" si="73"/>
        <v>0</v>
      </c>
      <c r="N102" s="1191">
        <f t="shared" si="74"/>
        <v>0</v>
      </c>
      <c r="O102" s="1191"/>
      <c r="P102" s="136"/>
      <c r="Q102" s="1191"/>
      <c r="R102" s="2544">
        <f t="shared" si="75"/>
        <v>0</v>
      </c>
      <c r="S102" s="2546"/>
      <c r="T102" s="2544">
        <v>0</v>
      </c>
      <c r="U102" s="2546"/>
      <c r="V102" s="2544">
        <f t="shared" si="76"/>
        <v>0</v>
      </c>
      <c r="W102" s="2546"/>
      <c r="X102" s="2544"/>
      <c r="Y102" s="87"/>
      <c r="Z102" s="2589" t="s">
        <v>6885</v>
      </c>
      <c r="AA102" s="1242" t="s">
        <v>6554</v>
      </c>
      <c r="AC102" s="2918">
        <v>0</v>
      </c>
    </row>
    <row r="103" spans="1:31" outlineLevel="1" x14ac:dyDescent="0.35">
      <c r="A103" s="2570" t="s">
        <v>6779</v>
      </c>
      <c r="B103" s="2565"/>
      <c r="C103" s="2566"/>
      <c r="D103" s="2567"/>
      <c r="E103" s="2568"/>
      <c r="F103" s="2677">
        <f t="shared" si="66"/>
        <v>0</v>
      </c>
      <c r="G103" s="2677">
        <f t="shared" si="67"/>
        <v>0</v>
      </c>
      <c r="H103" s="2678">
        <f t="shared" si="68"/>
        <v>0</v>
      </c>
      <c r="I103" s="2677">
        <f t="shared" si="69"/>
        <v>0</v>
      </c>
      <c r="J103" s="2677">
        <f t="shared" si="70"/>
        <v>0</v>
      </c>
      <c r="K103" s="2677">
        <f t="shared" si="71"/>
        <v>0</v>
      </c>
      <c r="L103" s="2677">
        <f t="shared" si="72"/>
        <v>0</v>
      </c>
      <c r="M103" s="2677">
        <f t="shared" si="73"/>
        <v>0</v>
      </c>
      <c r="N103" s="2678">
        <f t="shared" si="74"/>
        <v>0</v>
      </c>
      <c r="O103" s="1207"/>
      <c r="P103" s="2569"/>
      <c r="Q103" s="2569"/>
      <c r="R103" s="2554">
        <f t="shared" si="75"/>
        <v>0</v>
      </c>
      <c r="S103" s="2555"/>
      <c r="T103" s="2592">
        <v>0</v>
      </c>
      <c r="U103" s="2555"/>
      <c r="V103" s="2554">
        <f t="shared" si="76"/>
        <v>1000000</v>
      </c>
      <c r="W103" s="2555"/>
      <c r="X103" s="2556"/>
      <c r="Y103" s="2557"/>
      <c r="Z103" s="2558" t="s">
        <v>350</v>
      </c>
      <c r="AA103" s="1242" t="s">
        <v>6524</v>
      </c>
      <c r="AC103" s="2919">
        <v>1000000</v>
      </c>
    </row>
    <row r="104" spans="1:31" s="882" customFormat="1" ht="13.5" x14ac:dyDescent="0.35">
      <c r="A104" s="2578"/>
      <c r="B104" s="2608"/>
      <c r="C104" s="98"/>
      <c r="D104" s="2559"/>
      <c r="E104" s="2560"/>
      <c r="F104" s="1208">
        <f t="shared" ref="F104:V104" si="77">SUM(F98:F103)</f>
        <v>560000</v>
      </c>
      <c r="G104" s="1208">
        <f t="shared" si="77"/>
        <v>0</v>
      </c>
      <c r="H104" s="100">
        <f t="shared" si="77"/>
        <v>0</v>
      </c>
      <c r="I104" s="100">
        <f t="shared" si="77"/>
        <v>188500</v>
      </c>
      <c r="J104" s="100">
        <f t="shared" si="77"/>
        <v>10430600</v>
      </c>
      <c r="K104" s="100">
        <f t="shared" si="77"/>
        <v>434000</v>
      </c>
      <c r="L104" s="100">
        <f t="shared" si="77"/>
        <v>0</v>
      </c>
      <c r="M104" s="100">
        <f t="shared" si="77"/>
        <v>0</v>
      </c>
      <c r="N104" s="100">
        <f t="shared" si="77"/>
        <v>0</v>
      </c>
      <c r="O104" s="100">
        <f t="shared" si="77"/>
        <v>0</v>
      </c>
      <c r="P104" s="100">
        <f t="shared" si="77"/>
        <v>0</v>
      </c>
      <c r="Q104" s="100">
        <f t="shared" si="77"/>
        <v>0</v>
      </c>
      <c r="R104" s="100">
        <f t="shared" si="77"/>
        <v>11613100</v>
      </c>
      <c r="S104" s="100">
        <f t="shared" si="77"/>
        <v>0</v>
      </c>
      <c r="T104" s="100">
        <v>18124100</v>
      </c>
      <c r="U104" s="100">
        <f t="shared" si="77"/>
        <v>0</v>
      </c>
      <c r="V104" s="100">
        <f t="shared" si="77"/>
        <v>177241130</v>
      </c>
      <c r="W104" s="2561"/>
      <c r="X104" s="2562"/>
      <c r="Y104" s="88"/>
      <c r="Z104" s="2545"/>
      <c r="AA104" s="2480" t="s">
        <v>6696</v>
      </c>
      <c r="AC104" s="2920">
        <v>165628030</v>
      </c>
      <c r="AE104" s="1147"/>
    </row>
    <row r="105" spans="1:31" ht="13.5" x14ac:dyDescent="0.35">
      <c r="A105" s="859" t="s">
        <v>6886</v>
      </c>
      <c r="B105" s="86"/>
      <c r="C105" s="109"/>
      <c r="D105" s="255"/>
      <c r="E105" s="2540"/>
      <c r="F105" s="1191"/>
      <c r="G105" s="136"/>
      <c r="H105" s="136"/>
      <c r="I105" s="136"/>
      <c r="J105" s="136"/>
      <c r="K105" s="136"/>
      <c r="L105" s="136"/>
      <c r="M105" s="136"/>
      <c r="N105" s="136"/>
      <c r="O105" s="136"/>
      <c r="P105" s="136"/>
      <c r="Q105" s="110"/>
      <c r="R105" s="2544"/>
      <c r="S105" s="2546"/>
      <c r="T105" s="2544"/>
      <c r="U105" s="2546"/>
      <c r="V105" s="2544"/>
      <c r="W105" s="2546"/>
      <c r="X105" s="2544"/>
      <c r="Y105" s="87"/>
      <c r="Z105" s="2545" t="s">
        <v>6887</v>
      </c>
      <c r="AA105" s="2480"/>
      <c r="AB105" s="882"/>
      <c r="AC105" s="2918"/>
    </row>
    <row r="106" spans="1:31" x14ac:dyDescent="0.35">
      <c r="A106" s="874" t="s">
        <v>6888</v>
      </c>
      <c r="B106" s="86"/>
      <c r="C106" s="109"/>
      <c r="D106" s="255"/>
      <c r="E106" s="2540"/>
      <c r="F106" s="1191">
        <f>IF($AA106="","",SUMIF(Bakademik1,AA106,Bakademik2))</f>
        <v>1349200</v>
      </c>
      <c r="G106" s="1191">
        <f>IF($AA106="","",SUMIF(BDaksos1,AA106,BDaksos2))</f>
        <v>0</v>
      </c>
      <c r="H106" s="1191">
        <f>IF($AA106="","",SUMIF(BDukunganAka1,AA106,BDukunganAka2))</f>
        <v>0</v>
      </c>
      <c r="I106" s="1191">
        <f>IF($AA106="","",SUMIF(BKegiatanSantri1,AA106,BKegiatanSantri2))</f>
        <v>0</v>
      </c>
      <c r="J106" s="1191">
        <f>IF($AA106="","",SUMIF(DukunganInstitusi1,AA106,DukunganInstitusi2))</f>
        <v>312000</v>
      </c>
      <c r="K106" s="1191">
        <f>IF($AA106="","",SUMIF(BPemeliharaan1,AA106,BPemeliharaan2))</f>
        <v>0</v>
      </c>
      <c r="L106" s="1191">
        <f>IF($AA106="","",SUMIF(BBantuan1,AA106,BBantuan2))</f>
        <v>0</v>
      </c>
      <c r="M106" s="1191">
        <f>IF($AA106="","",SUMIF(BPenjualan1,AA106,BPenjualan2))</f>
        <v>0</v>
      </c>
      <c r="N106" s="1191">
        <f>IF($AA106="","",SUMIF(BLayananAsrama1,AA106,BlayananAsrama2))</f>
        <v>0</v>
      </c>
      <c r="O106" s="1191"/>
      <c r="P106" s="136"/>
      <c r="Q106" s="1191"/>
      <c r="R106" s="2544">
        <f>SUM(F106:Q106)</f>
        <v>1661200</v>
      </c>
      <c r="S106" s="2546"/>
      <c r="T106" s="2544">
        <v>3154900</v>
      </c>
      <c r="U106" s="2546"/>
      <c r="V106" s="2544">
        <f>R106+AC106</f>
        <v>37375550</v>
      </c>
      <c r="W106" s="2546"/>
      <c r="X106" s="2544"/>
      <c r="Y106" s="87"/>
      <c r="Z106" s="2547" t="s">
        <v>6889</v>
      </c>
      <c r="AA106" s="1242" t="s">
        <v>6520</v>
      </c>
      <c r="AC106" s="2918">
        <v>35714350</v>
      </c>
    </row>
    <row r="107" spans="1:31" x14ac:dyDescent="0.35">
      <c r="A107" s="874" t="s">
        <v>4109</v>
      </c>
      <c r="B107" s="86"/>
      <c r="C107" s="109"/>
      <c r="D107" s="255"/>
      <c r="E107" s="2540"/>
      <c r="F107" s="1191">
        <f>IF($AA107="","",SUMIF(Bakademik1,AA107,Bakademik2))</f>
        <v>0</v>
      </c>
      <c r="G107" s="1191">
        <f>IF($AA107="","",SUMIF(BDaksos1,AA107,BDaksos2))</f>
        <v>0</v>
      </c>
      <c r="H107" s="1191">
        <f>IF($AA107="","",SUMIF(BDukunganAka1,AA107,BDukunganAka2))</f>
        <v>0</v>
      </c>
      <c r="I107" s="1191">
        <f>IF($AA107="","",SUMIF(BKegiatanSantri1,AA107,BKegiatanSantri2))</f>
        <v>0</v>
      </c>
      <c r="J107" s="1191">
        <f>IF($AA107="","",SUMIF(DukunganInstitusi1,AA107,DukunganInstitusi2))</f>
        <v>734550</v>
      </c>
      <c r="K107" s="1191">
        <f>IF($AA107="","",SUMIF(BPemeliharaan1,AA107,BPemeliharaan2))</f>
        <v>0</v>
      </c>
      <c r="L107" s="1191">
        <f>IF($AA107="","",SUMIF(BBantuan1,AA107,BBantuan2))</f>
        <v>0</v>
      </c>
      <c r="M107" s="1191">
        <f>IF($AA107="","",SUMIF(BPenjualan1,AA107,BPenjualan2))</f>
        <v>0</v>
      </c>
      <c r="N107" s="1191">
        <f>IF($AA107="","",SUMIF(BLayananAsrama1,AA107,BlayananAsrama2))</f>
        <v>0</v>
      </c>
      <c r="O107" s="1191"/>
      <c r="P107" s="136"/>
      <c r="Q107" s="1191"/>
      <c r="R107" s="2544">
        <f>SUM(F107:Q107)</f>
        <v>734550</v>
      </c>
      <c r="S107" s="2546"/>
      <c r="T107" s="2544">
        <v>674550</v>
      </c>
      <c r="U107" s="2546"/>
      <c r="V107" s="2544">
        <f>R107+AC107</f>
        <v>13351380</v>
      </c>
      <c r="W107" s="2546"/>
      <c r="X107" s="2544"/>
      <c r="Y107" s="87"/>
      <c r="Z107" s="2547" t="s">
        <v>4109</v>
      </c>
      <c r="AA107" s="1242" t="s">
        <v>6551</v>
      </c>
      <c r="AC107" s="2918">
        <v>12616830</v>
      </c>
    </row>
    <row r="108" spans="1:31" x14ac:dyDescent="0.35">
      <c r="A108" s="874" t="s">
        <v>6890</v>
      </c>
      <c r="B108" s="86"/>
      <c r="C108" s="109"/>
      <c r="D108" s="255"/>
      <c r="E108" s="2540"/>
      <c r="F108" s="1191">
        <f>IF($AA108="","",SUMIF(Bakademik1,AA108,Bakademik2))</f>
        <v>0</v>
      </c>
      <c r="G108" s="1191">
        <f>IF($AA108="","",SUMIF(BDaksos1,AA108,BDaksos2))</f>
        <v>0</v>
      </c>
      <c r="H108" s="1191">
        <f>IF($AA108="","",SUMIF(BDukunganAka1,AA108,BDukunganAka2))</f>
        <v>0</v>
      </c>
      <c r="I108" s="1191">
        <f>IF($AA108="","",SUMIF(BKegiatanSantri1,AA108,BKegiatanSantri2))</f>
        <v>0</v>
      </c>
      <c r="J108" s="1191">
        <f>IF($AA108="","",SUMIF(DukunganInstitusi1,AA108,DukunganInstitusi2))</f>
        <v>0</v>
      </c>
      <c r="K108" s="1191">
        <f>IF($AA108="","",SUMIF(BPemeliharaan1,AA108,BPemeliharaan2))</f>
        <v>0</v>
      </c>
      <c r="L108" s="1191">
        <f>IF($AA108="","",SUMIF(BBantuan1,AA108,BBantuan2))</f>
        <v>0</v>
      </c>
      <c r="M108" s="1191">
        <f>IF($AA108="","",SUMIF(BPenjualan1,AA108,BPenjualan2))</f>
        <v>0</v>
      </c>
      <c r="N108" s="1191">
        <f>IF($AA108="","",SUMIF(BLayananAsrama1,AA108,BlayananAsrama2))</f>
        <v>0</v>
      </c>
      <c r="O108" s="1191"/>
      <c r="P108" s="136"/>
      <c r="Q108" s="1191"/>
      <c r="R108" s="2544">
        <f>SUM(F108:Q108)</f>
        <v>0</v>
      </c>
      <c r="S108" s="2546"/>
      <c r="T108" s="2544">
        <v>0</v>
      </c>
      <c r="U108" s="2546"/>
      <c r="V108" s="2544">
        <f>R108+AC108</f>
        <v>0</v>
      </c>
      <c r="W108" s="2546"/>
      <c r="X108" s="2544"/>
      <c r="Y108" s="87"/>
      <c r="Z108" s="2547" t="s">
        <v>6891</v>
      </c>
      <c r="AA108" s="1242" t="s">
        <v>6519</v>
      </c>
      <c r="AC108" s="2918">
        <v>0</v>
      </c>
    </row>
    <row r="109" spans="1:31" outlineLevel="1" x14ac:dyDescent="0.35">
      <c r="A109" s="2570" t="s">
        <v>6892</v>
      </c>
      <c r="B109" s="2574"/>
      <c r="C109" s="2566"/>
      <c r="D109" s="2567"/>
      <c r="E109" s="2568"/>
      <c r="F109" s="2677">
        <f>IF($AA109="","",SUMIF(Bakademik1,AA109,Bakademik2))</f>
        <v>0</v>
      </c>
      <c r="G109" s="2677">
        <f>IF($AA109="","",SUMIF(BDaksos1,AA109,BDaksos2))</f>
        <v>0</v>
      </c>
      <c r="H109" s="2678">
        <f>IF($AA109="","",SUMIF(BDukunganAka1,AA109,BDukunganAka2))</f>
        <v>0</v>
      </c>
      <c r="I109" s="2677">
        <f>IF($AA109="","",SUMIF(BKegiatanSantri1,AA109,BKegiatanSantri2))</f>
        <v>0</v>
      </c>
      <c r="J109" s="2677">
        <f>IF($AA109="","",SUMIF(DukunganInstitusi1,AA109,DukunganInstitusi2))</f>
        <v>0</v>
      </c>
      <c r="K109" s="2677">
        <f>IF($AA109="","",SUMIF(BPemeliharaan1,AA109,BPemeliharaan2))</f>
        <v>0</v>
      </c>
      <c r="L109" s="2677">
        <f>IF($AA109="","",SUMIF(BBantuan1,AA109,BBantuan2))</f>
        <v>0</v>
      </c>
      <c r="M109" s="2677">
        <f>IF($AA109="","",SUMIF(BPenjualan1,AA109,BPenjualan2))</f>
        <v>0</v>
      </c>
      <c r="N109" s="2678">
        <f>IF($AA109="","",SUMIF(BLayananAsrama1,AA109,BlayananAsrama2))</f>
        <v>0</v>
      </c>
      <c r="O109" s="1207"/>
      <c r="P109" s="2569"/>
      <c r="Q109" s="2569"/>
      <c r="R109" s="2554">
        <f>SUM(F109:Q109)</f>
        <v>0</v>
      </c>
      <c r="S109" s="2555"/>
      <c r="T109" s="2592">
        <v>0</v>
      </c>
      <c r="U109" s="2555"/>
      <c r="V109" s="2554">
        <f>R109+AC109</f>
        <v>0</v>
      </c>
      <c r="W109" s="2555"/>
      <c r="X109" s="2556"/>
      <c r="Y109" s="2557"/>
      <c r="Z109" s="2558" t="s">
        <v>6893</v>
      </c>
      <c r="AA109" s="1242" t="s">
        <v>6552</v>
      </c>
      <c r="AC109" s="2919">
        <v>0</v>
      </c>
    </row>
    <row r="110" spans="1:31" s="882" customFormat="1" ht="13.5" x14ac:dyDescent="0.35">
      <c r="A110" s="859"/>
      <c r="B110" s="63"/>
      <c r="C110" s="98"/>
      <c r="D110" s="2559"/>
      <c r="E110" s="2560"/>
      <c r="F110" s="1208">
        <f>SUM(F106:F109)</f>
        <v>1349200</v>
      </c>
      <c r="G110" s="1208">
        <f>SUM(G106:G109)</f>
        <v>0</v>
      </c>
      <c r="H110" s="100">
        <f t="shared" ref="H110:V110" si="78">SUM(H106:H109)</f>
        <v>0</v>
      </c>
      <c r="I110" s="100">
        <f t="shared" si="78"/>
        <v>0</v>
      </c>
      <c r="J110" s="100">
        <f t="shared" si="78"/>
        <v>1046550</v>
      </c>
      <c r="K110" s="100">
        <f t="shared" si="78"/>
        <v>0</v>
      </c>
      <c r="L110" s="100">
        <f t="shared" si="78"/>
        <v>0</v>
      </c>
      <c r="M110" s="100">
        <f t="shared" si="78"/>
        <v>0</v>
      </c>
      <c r="N110" s="100">
        <f t="shared" si="78"/>
        <v>0</v>
      </c>
      <c r="O110" s="100">
        <f t="shared" si="78"/>
        <v>0</v>
      </c>
      <c r="P110" s="100">
        <f t="shared" si="78"/>
        <v>0</v>
      </c>
      <c r="Q110" s="100">
        <f t="shared" si="78"/>
        <v>0</v>
      </c>
      <c r="R110" s="100">
        <f t="shared" si="78"/>
        <v>2395750</v>
      </c>
      <c r="S110" s="100">
        <f t="shared" si="78"/>
        <v>0</v>
      </c>
      <c r="T110" s="100">
        <v>3829450</v>
      </c>
      <c r="U110" s="100">
        <f t="shared" si="78"/>
        <v>0</v>
      </c>
      <c r="V110" s="100">
        <f t="shared" si="78"/>
        <v>50726930</v>
      </c>
      <c r="W110" s="2561"/>
      <c r="X110" s="2562"/>
      <c r="Y110" s="88"/>
      <c r="Z110" s="2545"/>
      <c r="AA110" s="2480" t="s">
        <v>6697</v>
      </c>
      <c r="AC110" s="2920">
        <v>48331180</v>
      </c>
      <c r="AE110" s="1147"/>
    </row>
    <row r="111" spans="1:31" s="882" customFormat="1" ht="13.5" x14ac:dyDescent="0.35">
      <c r="A111" s="859" t="s">
        <v>6894</v>
      </c>
      <c r="B111" s="63"/>
      <c r="C111" s="98"/>
      <c r="D111" s="2559"/>
      <c r="E111" s="2560"/>
      <c r="F111" s="1208"/>
      <c r="G111" s="100"/>
      <c r="H111" s="100"/>
      <c r="I111" s="100"/>
      <c r="J111" s="100"/>
      <c r="K111" s="100"/>
      <c r="L111" s="100"/>
      <c r="M111" s="100"/>
      <c r="N111" s="100"/>
      <c r="O111" s="100"/>
      <c r="P111" s="100"/>
      <c r="Q111" s="118"/>
      <c r="R111" s="2562"/>
      <c r="S111" s="2561"/>
      <c r="T111" s="2562"/>
      <c r="U111" s="2561"/>
      <c r="V111" s="2544"/>
      <c r="W111" s="2561"/>
      <c r="X111" s="2562"/>
      <c r="Y111" s="88"/>
      <c r="Z111" s="2545" t="s">
        <v>6895</v>
      </c>
      <c r="AA111" s="2480"/>
      <c r="AC111" s="2918"/>
      <c r="AE111" s="1147"/>
    </row>
    <row r="112" spans="1:31" x14ac:dyDescent="0.35">
      <c r="A112" s="874" t="s">
        <v>6896</v>
      </c>
      <c r="B112" s="86"/>
      <c r="C112" s="109"/>
      <c r="D112" s="255"/>
      <c r="E112" s="2540"/>
      <c r="F112" s="1191">
        <f t="shared" ref="F112:F118" si="79">IF($AA112="","",SUMIF(Bakademik1,AA112,Bakademik2))</f>
        <v>5000000</v>
      </c>
      <c r="G112" s="1191">
        <f t="shared" ref="G112:G118" si="80">IF($AA112="","",SUMIF(BDaksos1,AA112,BDaksos2))</f>
        <v>0</v>
      </c>
      <c r="H112" s="1191">
        <f t="shared" ref="H112:H118" si="81">IF($AA112="","",SUMIF(BDukunganAka1,AA112,BDukunganAka2))</f>
        <v>0</v>
      </c>
      <c r="I112" s="1191">
        <f t="shared" ref="I112:I118" si="82">IF($AA112="","",SUMIF(BKegiatanSantri1,AA112,BKegiatanSantri2))</f>
        <v>0</v>
      </c>
      <c r="J112" s="1191">
        <f t="shared" ref="J112:J118" si="83">IF($AA112="","",SUMIF(DukunganInstitusi1,AA112,DukunganInstitusi2))</f>
        <v>0</v>
      </c>
      <c r="K112" s="1191">
        <f t="shared" ref="K112:K118" si="84">IF($AA112="","",SUMIF(BPemeliharaan1,AA112,BPemeliharaan2))</f>
        <v>55856500</v>
      </c>
      <c r="L112" s="1191">
        <f t="shared" ref="L112:L118" si="85">IF($AA112="","",SUMIF(BBantuan1,AA112,BBantuan2))</f>
        <v>0</v>
      </c>
      <c r="M112" s="1191">
        <f t="shared" ref="M112:M118" si="86">IF($AA112="","",SUMIF(BPenjualan1,AA112,BPenjualan2))</f>
        <v>0</v>
      </c>
      <c r="N112" s="1191">
        <f t="shared" ref="N112:N118" si="87">IF($AA112="","",SUMIF(BLayananAsrama1,AA112,BlayananAsrama2))</f>
        <v>0</v>
      </c>
      <c r="O112" s="1191"/>
      <c r="P112" s="136"/>
      <c r="Q112" s="1191"/>
      <c r="R112" s="2544">
        <f t="shared" ref="R112:R118" si="88">SUM(F112:Q112)</f>
        <v>60856500</v>
      </c>
      <c r="S112" s="2546"/>
      <c r="T112" s="2544">
        <v>40915000</v>
      </c>
      <c r="U112" s="2546"/>
      <c r="V112" s="2544">
        <f t="shared" ref="V112:V118" si="89">R112+AC112</f>
        <v>176559537</v>
      </c>
      <c r="W112" s="2546"/>
      <c r="X112" s="2544"/>
      <c r="Y112" s="87"/>
      <c r="Z112" s="2547" t="s">
        <v>6897</v>
      </c>
      <c r="AA112" s="1242" t="s">
        <v>6525</v>
      </c>
      <c r="AC112" s="2918">
        <v>115703037</v>
      </c>
    </row>
    <row r="113" spans="1:31" x14ac:dyDescent="0.35">
      <c r="A113" s="874" t="s">
        <v>559</v>
      </c>
      <c r="B113" s="86"/>
      <c r="C113" s="109"/>
      <c r="D113" s="255"/>
      <c r="E113" s="2540"/>
      <c r="F113" s="1191">
        <f t="shared" si="79"/>
        <v>0</v>
      </c>
      <c r="G113" s="1191">
        <f t="shared" si="80"/>
        <v>0</v>
      </c>
      <c r="H113" s="1191">
        <f t="shared" si="81"/>
        <v>0</v>
      </c>
      <c r="I113" s="1191">
        <f t="shared" si="82"/>
        <v>0</v>
      </c>
      <c r="J113" s="1191">
        <f t="shared" si="83"/>
        <v>0</v>
      </c>
      <c r="K113" s="1191">
        <f t="shared" si="84"/>
        <v>541000</v>
      </c>
      <c r="L113" s="1191">
        <f t="shared" si="85"/>
        <v>0</v>
      </c>
      <c r="M113" s="1191">
        <f t="shared" si="86"/>
        <v>0</v>
      </c>
      <c r="N113" s="1191">
        <f t="shared" si="87"/>
        <v>0</v>
      </c>
      <c r="O113" s="1191"/>
      <c r="P113" s="136"/>
      <c r="Q113" s="1191"/>
      <c r="R113" s="2544">
        <f t="shared" si="88"/>
        <v>541000</v>
      </c>
      <c r="S113" s="2546"/>
      <c r="T113" s="2544">
        <v>6789000</v>
      </c>
      <c r="U113" s="2546"/>
      <c r="V113" s="2544">
        <f t="shared" si="89"/>
        <v>50757357</v>
      </c>
      <c r="W113" s="2546"/>
      <c r="X113" s="2544"/>
      <c r="Y113" s="87"/>
      <c r="Z113" s="2547" t="s">
        <v>561</v>
      </c>
      <c r="AA113" s="1242" t="s">
        <v>6564</v>
      </c>
      <c r="AC113" s="2918">
        <v>50216357</v>
      </c>
    </row>
    <row r="114" spans="1:31" x14ac:dyDescent="0.35">
      <c r="A114" s="874" t="s">
        <v>6898</v>
      </c>
      <c r="B114" s="86"/>
      <c r="C114" s="109"/>
      <c r="D114" s="255"/>
      <c r="E114" s="2540"/>
      <c r="F114" s="1191">
        <f t="shared" si="79"/>
        <v>37500</v>
      </c>
      <c r="G114" s="1191">
        <f t="shared" si="80"/>
        <v>0</v>
      </c>
      <c r="H114" s="1191">
        <f t="shared" si="81"/>
        <v>0</v>
      </c>
      <c r="I114" s="1191">
        <f t="shared" si="82"/>
        <v>0</v>
      </c>
      <c r="J114" s="1191">
        <f t="shared" si="83"/>
        <v>0</v>
      </c>
      <c r="K114" s="1191">
        <f t="shared" si="84"/>
        <v>171000</v>
      </c>
      <c r="L114" s="1191">
        <f t="shared" si="85"/>
        <v>0</v>
      </c>
      <c r="M114" s="1191">
        <f t="shared" si="86"/>
        <v>0</v>
      </c>
      <c r="N114" s="1191">
        <f t="shared" si="87"/>
        <v>0</v>
      </c>
      <c r="O114" s="1191"/>
      <c r="P114" s="136"/>
      <c r="Q114" s="1191"/>
      <c r="R114" s="2544">
        <f t="shared" si="88"/>
        <v>208500</v>
      </c>
      <c r="S114" s="2546"/>
      <c r="T114" s="2544">
        <v>3290100</v>
      </c>
      <c r="U114" s="2546"/>
      <c r="V114" s="2544">
        <f t="shared" si="89"/>
        <v>18519800</v>
      </c>
      <c r="W114" s="2546"/>
      <c r="X114" s="2544"/>
      <c r="Y114" s="87"/>
      <c r="Z114" s="2547" t="s">
        <v>6899</v>
      </c>
      <c r="AA114" s="1242" t="s">
        <v>6526</v>
      </c>
      <c r="AC114" s="2918">
        <v>18311300</v>
      </c>
    </row>
    <row r="115" spans="1:31" x14ac:dyDescent="0.35">
      <c r="A115" s="874" t="s">
        <v>6900</v>
      </c>
      <c r="B115" s="86"/>
      <c r="C115" s="109"/>
      <c r="D115" s="255"/>
      <c r="E115" s="2540"/>
      <c r="F115" s="1191">
        <f t="shared" si="79"/>
        <v>0</v>
      </c>
      <c r="G115" s="1191">
        <f t="shared" si="80"/>
        <v>0</v>
      </c>
      <c r="H115" s="1191">
        <f t="shared" si="81"/>
        <v>0</v>
      </c>
      <c r="I115" s="1191">
        <f t="shared" si="82"/>
        <v>0</v>
      </c>
      <c r="J115" s="1191">
        <f t="shared" si="83"/>
        <v>0</v>
      </c>
      <c r="K115" s="1191">
        <f t="shared" si="84"/>
        <v>0</v>
      </c>
      <c r="L115" s="1191">
        <f t="shared" si="85"/>
        <v>0</v>
      </c>
      <c r="M115" s="1191">
        <f t="shared" si="86"/>
        <v>0</v>
      </c>
      <c r="N115" s="1191">
        <f t="shared" si="87"/>
        <v>0</v>
      </c>
      <c r="O115" s="1191"/>
      <c r="P115" s="136"/>
      <c r="Q115" s="1191"/>
      <c r="R115" s="2544">
        <f t="shared" si="88"/>
        <v>0</v>
      </c>
      <c r="S115" s="2546"/>
      <c r="T115" s="2544">
        <v>1754200</v>
      </c>
      <c r="U115" s="2546"/>
      <c r="V115" s="2544">
        <f t="shared" si="89"/>
        <v>38879607</v>
      </c>
      <c r="W115" s="2546"/>
      <c r="X115" s="2544"/>
      <c r="Y115" s="87"/>
      <c r="Z115" s="2547" t="s">
        <v>6901</v>
      </c>
      <c r="AA115" s="1242" t="s">
        <v>6528</v>
      </c>
      <c r="AC115" s="2918">
        <v>38879607</v>
      </c>
    </row>
    <row r="116" spans="1:31" outlineLevel="1" x14ac:dyDescent="0.35">
      <c r="A116" s="874" t="s">
        <v>566</v>
      </c>
      <c r="B116" s="86"/>
      <c r="C116" s="109"/>
      <c r="D116" s="255"/>
      <c r="E116" s="2540"/>
      <c r="F116" s="1191">
        <f t="shared" si="79"/>
        <v>0</v>
      </c>
      <c r="G116" s="1191">
        <f t="shared" si="80"/>
        <v>0</v>
      </c>
      <c r="H116" s="1191">
        <f t="shared" si="81"/>
        <v>0</v>
      </c>
      <c r="I116" s="1191">
        <f t="shared" si="82"/>
        <v>0</v>
      </c>
      <c r="J116" s="1191">
        <f t="shared" si="83"/>
        <v>0</v>
      </c>
      <c r="K116" s="1191">
        <f t="shared" si="84"/>
        <v>451000</v>
      </c>
      <c r="L116" s="1191">
        <f t="shared" si="85"/>
        <v>0</v>
      </c>
      <c r="M116" s="1191">
        <f t="shared" si="86"/>
        <v>0</v>
      </c>
      <c r="N116" s="1191">
        <f t="shared" si="87"/>
        <v>0</v>
      </c>
      <c r="O116" s="1191"/>
      <c r="P116" s="136"/>
      <c r="Q116" s="1191"/>
      <c r="R116" s="2544">
        <f t="shared" si="88"/>
        <v>451000</v>
      </c>
      <c r="S116" s="2546"/>
      <c r="T116" s="2544">
        <v>959000</v>
      </c>
      <c r="U116" s="2546"/>
      <c r="V116" s="2544">
        <f t="shared" si="89"/>
        <v>29799638</v>
      </c>
      <c r="W116" s="2546"/>
      <c r="X116" s="2544"/>
      <c r="Y116" s="87"/>
      <c r="Z116" s="2547" t="s">
        <v>1102</v>
      </c>
      <c r="AA116" s="1242" t="s">
        <v>6565</v>
      </c>
      <c r="AC116" s="2918">
        <v>29348638</v>
      </c>
    </row>
    <row r="117" spans="1:31" outlineLevel="1" x14ac:dyDescent="0.35">
      <c r="A117" s="874" t="s">
        <v>6902</v>
      </c>
      <c r="B117" s="86"/>
      <c r="C117" s="109"/>
      <c r="D117" s="255"/>
      <c r="E117" s="2540"/>
      <c r="F117" s="1191">
        <f t="shared" si="79"/>
        <v>0</v>
      </c>
      <c r="G117" s="1191">
        <f t="shared" si="80"/>
        <v>0</v>
      </c>
      <c r="H117" s="1191">
        <f t="shared" si="81"/>
        <v>0</v>
      </c>
      <c r="I117" s="1191">
        <f t="shared" si="82"/>
        <v>0</v>
      </c>
      <c r="J117" s="1191">
        <f t="shared" si="83"/>
        <v>0</v>
      </c>
      <c r="K117" s="1191">
        <f t="shared" si="84"/>
        <v>0</v>
      </c>
      <c r="L117" s="1191">
        <f t="shared" si="85"/>
        <v>0</v>
      </c>
      <c r="M117" s="1191">
        <f t="shared" si="86"/>
        <v>0</v>
      </c>
      <c r="N117" s="2694">
        <f t="shared" si="87"/>
        <v>0</v>
      </c>
      <c r="O117" s="1191"/>
      <c r="P117" s="136"/>
      <c r="Q117" s="1191"/>
      <c r="R117" s="2544">
        <f t="shared" si="88"/>
        <v>0</v>
      </c>
      <c r="S117" s="2546"/>
      <c r="T117" s="2544">
        <v>0</v>
      </c>
      <c r="U117" s="2546"/>
      <c r="V117" s="2544">
        <f t="shared" si="89"/>
        <v>0</v>
      </c>
      <c r="W117" s="2546"/>
      <c r="X117" s="2544"/>
      <c r="Y117" s="87"/>
      <c r="Z117" s="2547" t="s">
        <v>6903</v>
      </c>
      <c r="AA117" s="1242" t="s">
        <v>6546</v>
      </c>
      <c r="AC117" s="2918">
        <v>0</v>
      </c>
    </row>
    <row r="118" spans="1:31" outlineLevel="1" x14ac:dyDescent="0.35">
      <c r="A118" s="2570" t="s">
        <v>349</v>
      </c>
      <c r="B118" s="2574"/>
      <c r="C118" s="2566"/>
      <c r="D118" s="2567"/>
      <c r="E118" s="2568"/>
      <c r="F118" s="2677">
        <f t="shared" si="79"/>
        <v>0</v>
      </c>
      <c r="G118" s="2677">
        <f t="shared" si="80"/>
        <v>0</v>
      </c>
      <c r="H118" s="2678">
        <f t="shared" si="81"/>
        <v>0</v>
      </c>
      <c r="I118" s="2677">
        <f t="shared" si="82"/>
        <v>0</v>
      </c>
      <c r="J118" s="2677">
        <f t="shared" si="83"/>
        <v>0</v>
      </c>
      <c r="K118" s="2677">
        <f t="shared" si="84"/>
        <v>80000</v>
      </c>
      <c r="L118" s="2677">
        <f t="shared" si="85"/>
        <v>0</v>
      </c>
      <c r="M118" s="2677">
        <f t="shared" si="86"/>
        <v>0</v>
      </c>
      <c r="N118" s="2678">
        <f t="shared" si="87"/>
        <v>0</v>
      </c>
      <c r="O118" s="1207"/>
      <c r="P118" s="2569"/>
      <c r="Q118" s="2569"/>
      <c r="R118" s="2554">
        <f t="shared" si="88"/>
        <v>80000</v>
      </c>
      <c r="S118" s="2555"/>
      <c r="T118" s="2592">
        <v>0</v>
      </c>
      <c r="U118" s="2555"/>
      <c r="V118" s="2554">
        <f t="shared" si="89"/>
        <v>273700</v>
      </c>
      <c r="W118" s="2555"/>
      <c r="X118" s="2556"/>
      <c r="Y118" s="2557"/>
      <c r="Z118" s="2558" t="s">
        <v>350</v>
      </c>
      <c r="AA118" s="1242" t="s">
        <v>6527</v>
      </c>
      <c r="AC118" s="2919">
        <v>193700</v>
      </c>
    </row>
    <row r="119" spans="1:31" s="882" customFormat="1" ht="13.5" x14ac:dyDescent="0.35">
      <c r="A119" s="859"/>
      <c r="B119" s="63"/>
      <c r="C119" s="98"/>
      <c r="D119" s="2559"/>
      <c r="E119" s="2560"/>
      <c r="F119" s="1208">
        <f>SUM(F112:F118)</f>
        <v>5037500</v>
      </c>
      <c r="G119" s="1208">
        <f>SUM(G112:G118)</f>
        <v>0</v>
      </c>
      <c r="H119" s="100">
        <f t="shared" ref="H119:V119" si="90">SUM(H112:H118)</f>
        <v>0</v>
      </c>
      <c r="I119" s="100">
        <f t="shared" si="90"/>
        <v>0</v>
      </c>
      <c r="J119" s="100">
        <f t="shared" si="90"/>
        <v>0</v>
      </c>
      <c r="K119" s="100">
        <f t="shared" si="90"/>
        <v>57099500</v>
      </c>
      <c r="L119" s="100">
        <f t="shared" si="90"/>
        <v>0</v>
      </c>
      <c r="M119" s="100">
        <f t="shared" si="90"/>
        <v>0</v>
      </c>
      <c r="N119" s="100">
        <f t="shared" si="90"/>
        <v>0</v>
      </c>
      <c r="O119" s="100">
        <f t="shared" si="90"/>
        <v>0</v>
      </c>
      <c r="P119" s="100">
        <f t="shared" si="90"/>
        <v>0</v>
      </c>
      <c r="Q119" s="100">
        <f t="shared" si="90"/>
        <v>0</v>
      </c>
      <c r="R119" s="100">
        <f t="shared" si="90"/>
        <v>62137000</v>
      </c>
      <c r="S119" s="100">
        <f t="shared" si="90"/>
        <v>0</v>
      </c>
      <c r="T119" s="100">
        <v>53707300</v>
      </c>
      <c r="U119" s="100">
        <f t="shared" si="90"/>
        <v>0</v>
      </c>
      <c r="V119" s="100">
        <f t="shared" si="90"/>
        <v>314789639</v>
      </c>
      <c r="W119" s="2561"/>
      <c r="X119" s="2562"/>
      <c r="Y119" s="88"/>
      <c r="Z119" s="2545"/>
      <c r="AA119" s="2480" t="s">
        <v>6698</v>
      </c>
      <c r="AC119" s="2920">
        <v>252652639</v>
      </c>
      <c r="AE119" s="1147"/>
    </row>
    <row r="120" spans="1:31" ht="13.5" x14ac:dyDescent="0.35">
      <c r="A120" s="2577" t="s">
        <v>6904</v>
      </c>
      <c r="B120" s="84"/>
      <c r="C120" s="109"/>
      <c r="D120" s="255"/>
      <c r="E120" s="2540"/>
      <c r="F120" s="1191"/>
      <c r="G120" s="136"/>
      <c r="H120" s="136"/>
      <c r="I120" s="136"/>
      <c r="J120" s="136"/>
      <c r="K120" s="136"/>
      <c r="L120" s="136"/>
      <c r="M120" s="136"/>
      <c r="N120" s="136"/>
      <c r="O120" s="136"/>
      <c r="P120" s="136"/>
      <c r="Q120" s="110"/>
      <c r="R120" s="2544"/>
      <c r="S120" s="2546"/>
      <c r="T120" s="2544"/>
      <c r="U120" s="2546"/>
      <c r="V120" s="2544"/>
      <c r="W120" s="2546"/>
      <c r="X120" s="2544"/>
      <c r="Y120" s="87"/>
      <c r="Z120" s="2545" t="s">
        <v>6905</v>
      </c>
      <c r="AA120" s="2480"/>
      <c r="AB120" s="882"/>
      <c r="AC120" s="2918"/>
    </row>
    <row r="121" spans="1:31" x14ac:dyDescent="0.35">
      <c r="A121" s="2576" t="s">
        <v>6906</v>
      </c>
      <c r="B121" s="84"/>
      <c r="C121" s="109"/>
      <c r="D121" s="255"/>
      <c r="E121" s="2540"/>
      <c r="F121" s="1191">
        <f>IF($AA121="","",SUMIF(Bakademik1,AA121,Bakademik2))</f>
        <v>0</v>
      </c>
      <c r="G121" s="1191">
        <f>IF($AA121="","",SUMIF(BDaksos1,AA121,BDaksos2))</f>
        <v>0</v>
      </c>
      <c r="H121" s="1191">
        <f>IF($AA121="","",SUMIF(BDukunganAka1,AA121,BDukunganAka2))</f>
        <v>0</v>
      </c>
      <c r="I121" s="1191">
        <f>IF($AA121="","",SUMIF(BKegiatanSantri1,AA121,BKegiatanSantri2))</f>
        <v>0</v>
      </c>
      <c r="J121" s="1191">
        <f>IF($AA121="","",SUMIF(DukunganInstitusi1,AA121,DukunganInstitusi2))</f>
        <v>0</v>
      </c>
      <c r="K121" s="1191">
        <f>IF($AA121="","",SUMIF(BPemeliharaan1,AA121,BPemeliharaan2))</f>
        <v>8074100</v>
      </c>
      <c r="L121" s="1191">
        <f>IF($AA121="","",SUMIF(BBantuan1,AA121,BBantuan2))</f>
        <v>0</v>
      </c>
      <c r="M121" s="1191">
        <f>IF($AA121="","",SUMIF(BPenjualan1,AA121,BPenjualan2))</f>
        <v>0</v>
      </c>
      <c r="N121" s="1191">
        <f>IF($AA121="","",SUMIF(BLayananAsrama1,AA121,BlayananAsrama2))</f>
        <v>0</v>
      </c>
      <c r="O121" s="1191"/>
      <c r="P121" s="136"/>
      <c r="Q121" s="136"/>
      <c r="R121" s="2544">
        <f>SUM(F121:Q121)</f>
        <v>8074100</v>
      </c>
      <c r="S121" s="2546"/>
      <c r="T121" s="2544">
        <v>6989900</v>
      </c>
      <c r="U121" s="2546"/>
      <c r="V121" s="2544">
        <f>R121+AC121</f>
        <v>78259800</v>
      </c>
      <c r="W121" s="2546"/>
      <c r="X121" s="2544"/>
      <c r="Y121" s="87"/>
      <c r="Z121" s="2547" t="s">
        <v>6907</v>
      </c>
      <c r="AA121" s="1242" t="s">
        <v>6566</v>
      </c>
      <c r="AC121" s="2918">
        <v>70185700</v>
      </c>
    </row>
    <row r="122" spans="1:31" outlineLevel="1" x14ac:dyDescent="0.35">
      <c r="A122" s="2576" t="s">
        <v>6908</v>
      </c>
      <c r="B122" s="84"/>
      <c r="C122" s="109"/>
      <c r="D122" s="255"/>
      <c r="E122" s="2540"/>
      <c r="F122" s="1191">
        <f>IF($AA122="","",SUMIF(Bakademik1,AA122,Bakademik2))</f>
        <v>0</v>
      </c>
      <c r="G122" s="1191">
        <f>IF($AA122="","",SUMIF(BDaksos1,AA122,BDaksos2))</f>
        <v>0</v>
      </c>
      <c r="H122" s="1191">
        <f>IF($AA122="","",SUMIF(BDukunganAka1,AA122,BDukunganAka2))</f>
        <v>0</v>
      </c>
      <c r="I122" s="1191">
        <f>IF($AA122="","",SUMIF(BKegiatanSantri1,AA122,BKegiatanSantri2))</f>
        <v>0</v>
      </c>
      <c r="J122" s="1191">
        <f>IF($AA122="","",SUMIF(DukunganInstitusi1,AA122,DukunganInstitusi2))</f>
        <v>0</v>
      </c>
      <c r="K122" s="1191">
        <f>IF($AA122="","",SUMIF(BPemeliharaan1,AA122,BPemeliharaan2))</f>
        <v>0</v>
      </c>
      <c r="L122" s="1191">
        <f>IF($AA122="","",SUMIF(BBantuan1,AA122,BBantuan2))</f>
        <v>0</v>
      </c>
      <c r="M122" s="1191">
        <f>IF($AA122="","",SUMIF(BPenjualan1,AA122,BPenjualan2))</f>
        <v>0</v>
      </c>
      <c r="N122" s="2694">
        <f>IF($AA122="","",SUMIF(BLayananAsrama1,AA122,BlayananAsrama2))</f>
        <v>0</v>
      </c>
      <c r="O122" s="1191"/>
      <c r="P122" s="136"/>
      <c r="Q122" s="136"/>
      <c r="R122" s="2544">
        <f>SUM(F122:Q122)</f>
        <v>0</v>
      </c>
      <c r="S122" s="2546"/>
      <c r="T122" s="2544">
        <v>0</v>
      </c>
      <c r="U122" s="2546"/>
      <c r="V122" s="2544">
        <f>R122+AC122</f>
        <v>0</v>
      </c>
      <c r="W122" s="2546"/>
      <c r="X122" s="2544"/>
      <c r="Y122" s="87"/>
      <c r="Z122" s="2547" t="s">
        <v>6909</v>
      </c>
      <c r="AA122" s="1242" t="s">
        <v>6567</v>
      </c>
      <c r="AC122" s="2918">
        <v>0</v>
      </c>
    </row>
    <row r="123" spans="1:31" outlineLevel="1" x14ac:dyDescent="0.35">
      <c r="A123" s="2591" t="s">
        <v>6910</v>
      </c>
      <c r="B123" s="2565"/>
      <c r="C123" s="2566"/>
      <c r="D123" s="2567"/>
      <c r="E123" s="2568"/>
      <c r="F123" s="2677">
        <f>IF($AA123="","",SUMIF(Bakademik1,AA123,Bakademik2))</f>
        <v>0</v>
      </c>
      <c r="G123" s="2677">
        <f>IF($AA123="","",SUMIF(BDaksos1,AA123,BDaksos2))</f>
        <v>0</v>
      </c>
      <c r="H123" s="2678">
        <f>IF($AA123="","",SUMIF(BDukunganAka1,AA123,BDukunganAka2))</f>
        <v>0</v>
      </c>
      <c r="I123" s="2677">
        <f>IF($AA123="","",SUMIF(BKegiatanSantri1,AA123,BKegiatanSantri2))</f>
        <v>0</v>
      </c>
      <c r="J123" s="2677">
        <f>IF($AA123="","",SUMIF(DukunganInstitusi1,AA123,DukunganInstitusi2))</f>
        <v>0</v>
      </c>
      <c r="K123" s="2677">
        <f>IF($AA123="","",SUMIF(BPemeliharaan1,AA123,BPemeliharaan2))</f>
        <v>0</v>
      </c>
      <c r="L123" s="2677">
        <f>IF($AA123="","",SUMIF(BBantuan1,AA123,BBantuan2))</f>
        <v>0</v>
      </c>
      <c r="M123" s="2677">
        <f>IF($AA123="","",SUMIF(BPenjualan1,AA123,BPenjualan2))</f>
        <v>0</v>
      </c>
      <c r="N123" s="2678">
        <f>IF($AA123="","",SUMIF(BLayananAsrama1,AA123,BlayananAsrama2))</f>
        <v>0</v>
      </c>
      <c r="O123" s="1207"/>
      <c r="P123" s="2569"/>
      <c r="Q123" s="2569"/>
      <c r="R123" s="2554">
        <f>SUM(F123:Q123)</f>
        <v>0</v>
      </c>
      <c r="S123" s="2555"/>
      <c r="T123" s="2592">
        <v>0</v>
      </c>
      <c r="U123" s="2555"/>
      <c r="V123" s="2554">
        <f>R123+AC123</f>
        <v>0</v>
      </c>
      <c r="W123" s="2555"/>
      <c r="X123" s="2556"/>
      <c r="Y123" s="2557"/>
      <c r="Z123" s="2558" t="s">
        <v>6911</v>
      </c>
      <c r="AA123" s="1242" t="s">
        <v>6568</v>
      </c>
      <c r="AC123" s="2919">
        <v>0</v>
      </c>
    </row>
    <row r="124" spans="1:31" s="882" customFormat="1" ht="13.5" x14ac:dyDescent="0.35">
      <c r="A124" s="2577"/>
      <c r="B124" s="130"/>
      <c r="C124" s="98"/>
      <c r="D124" s="2559"/>
      <c r="E124" s="2560"/>
      <c r="F124" s="1208">
        <f>SUM(F121:F123)</f>
        <v>0</v>
      </c>
      <c r="G124" s="1208">
        <f>SUM(G121:G123)</f>
        <v>0</v>
      </c>
      <c r="H124" s="100">
        <f t="shared" ref="H124:V124" si="91">SUM(H121:H123)</f>
        <v>0</v>
      </c>
      <c r="I124" s="100">
        <f t="shared" si="91"/>
        <v>0</v>
      </c>
      <c r="J124" s="100">
        <f t="shared" si="91"/>
        <v>0</v>
      </c>
      <c r="K124" s="100">
        <f t="shared" si="91"/>
        <v>8074100</v>
      </c>
      <c r="L124" s="100">
        <f t="shared" si="91"/>
        <v>0</v>
      </c>
      <c r="M124" s="100">
        <f t="shared" si="91"/>
        <v>0</v>
      </c>
      <c r="N124" s="100">
        <f t="shared" si="91"/>
        <v>0</v>
      </c>
      <c r="O124" s="100">
        <f t="shared" si="91"/>
        <v>0</v>
      </c>
      <c r="P124" s="100">
        <f t="shared" si="91"/>
        <v>0</v>
      </c>
      <c r="Q124" s="100">
        <f t="shared" si="91"/>
        <v>0</v>
      </c>
      <c r="R124" s="100">
        <f t="shared" si="91"/>
        <v>8074100</v>
      </c>
      <c r="S124" s="100">
        <f t="shared" si="91"/>
        <v>0</v>
      </c>
      <c r="T124" s="100">
        <v>6989900</v>
      </c>
      <c r="U124" s="100">
        <f t="shared" si="91"/>
        <v>0</v>
      </c>
      <c r="V124" s="100">
        <f t="shared" si="91"/>
        <v>78259800</v>
      </c>
      <c r="W124" s="2561"/>
      <c r="X124" s="2562"/>
      <c r="Y124" s="88"/>
      <c r="Z124" s="2545"/>
      <c r="AA124" s="2480" t="s">
        <v>6699</v>
      </c>
      <c r="AC124" s="2920">
        <v>70185700</v>
      </c>
      <c r="AE124" s="1147"/>
    </row>
    <row r="125" spans="1:31" ht="13.5" outlineLevel="1" x14ac:dyDescent="0.35">
      <c r="A125" s="859" t="s">
        <v>6912</v>
      </c>
      <c r="B125" s="86"/>
      <c r="C125" s="109"/>
      <c r="D125" s="255"/>
      <c r="E125" s="2540"/>
      <c r="F125" s="1191"/>
      <c r="G125" s="136"/>
      <c r="H125" s="136"/>
      <c r="I125" s="136"/>
      <c r="J125" s="136"/>
      <c r="K125" s="136"/>
      <c r="L125" s="136"/>
      <c r="M125" s="136"/>
      <c r="N125" s="136"/>
      <c r="O125" s="136"/>
      <c r="P125" s="136"/>
      <c r="Q125" s="110"/>
      <c r="R125" s="2544"/>
      <c r="S125" s="2546"/>
      <c r="T125" s="2544"/>
      <c r="U125" s="2546"/>
      <c r="V125" s="2544"/>
      <c r="W125" s="2546"/>
      <c r="X125" s="2544"/>
      <c r="Y125" s="87"/>
      <c r="Z125" s="2545" t="s">
        <v>6913</v>
      </c>
      <c r="AA125" s="2480"/>
      <c r="AB125" s="882"/>
      <c r="AC125" s="2918"/>
    </row>
    <row r="126" spans="1:31" outlineLevel="1" x14ac:dyDescent="0.35">
      <c r="A126" s="874" t="s">
        <v>320</v>
      </c>
      <c r="B126" s="86"/>
      <c r="C126" s="109"/>
      <c r="D126" s="255"/>
      <c r="E126" s="2540"/>
      <c r="F126" s="1191">
        <f>IF($AA126="","",SUMIF(Bakademik1,AA126,Bakademik2))</f>
        <v>0</v>
      </c>
      <c r="G126" s="1191">
        <f>IF($AA126="","",SUMIF(BDaksos1,AA126,BDaksos2))</f>
        <v>0</v>
      </c>
      <c r="H126" s="1191">
        <f>IF($AA126="","",SUMIF(BDukunganAka1,AA126,BDukunganAka2))</f>
        <v>0</v>
      </c>
      <c r="I126" s="1191">
        <f>IF($AA126="","",SUMIF(BKegiatanSantri1,AA126,BKegiatanSantri2))</f>
        <v>0</v>
      </c>
      <c r="J126" s="1191">
        <f>IF($AA126="","",SUMIF(DukunganInstitusi1,AA126,DukunganInstitusi2))</f>
        <v>0</v>
      </c>
      <c r="K126" s="1191">
        <f>IF($AA126="","",SUMIF(BPemeliharaan1,AA126,BPemeliharaan2))</f>
        <v>0</v>
      </c>
      <c r="L126" s="1191">
        <f>IF($AA126="","",SUMIF(BBantuan1,AA126,BBantuan2))</f>
        <v>0</v>
      </c>
      <c r="M126" s="1191">
        <f>IF($AA126="","",SUMIF(BPenjualan1,AA126,BPenjualan2))</f>
        <v>0</v>
      </c>
      <c r="N126" s="1191">
        <f>IF($AA126="","",SUMIF(BLayananAsrama1,AA126,BlayananAsrama2))</f>
        <v>0</v>
      </c>
      <c r="O126" s="1191"/>
      <c r="P126" s="136"/>
      <c r="Q126" s="136"/>
      <c r="R126" s="2544">
        <f>SUM(F126:Q126)</f>
        <v>0</v>
      </c>
      <c r="S126" s="2546"/>
      <c r="T126" s="2544">
        <v>0</v>
      </c>
      <c r="U126" s="2546"/>
      <c r="V126" s="2544">
        <f>R126+AC126</f>
        <v>17463300</v>
      </c>
      <c r="W126" s="2546"/>
      <c r="X126" s="2544"/>
      <c r="Y126" s="87"/>
      <c r="Z126" s="2547" t="s">
        <v>6914</v>
      </c>
      <c r="AA126" s="1242" t="s">
        <v>6542</v>
      </c>
      <c r="AC126" s="2918">
        <v>17463300</v>
      </c>
    </row>
    <row r="127" spans="1:31" outlineLevel="1" x14ac:dyDescent="0.35">
      <c r="A127" s="874" t="s">
        <v>6915</v>
      </c>
      <c r="B127" s="86"/>
      <c r="C127" s="109"/>
      <c r="D127" s="255"/>
      <c r="E127" s="2540"/>
      <c r="F127" s="1191">
        <f>IF($AA127="","",SUMIF(Bakademik1,AA127,Bakademik2))</f>
        <v>1159300</v>
      </c>
      <c r="G127" s="1191">
        <f>IF($AA127="","",SUMIF(BDaksos1,AA127,BDaksos2))</f>
        <v>0</v>
      </c>
      <c r="H127" s="1191">
        <f>IF($AA127="","",SUMIF(BDukunganAka1,AA127,BDukunganAka2))</f>
        <v>0</v>
      </c>
      <c r="I127" s="1191">
        <f>IF($AA127="","",SUMIF(BKegiatanSantri1,AA127,BKegiatanSantri2))</f>
        <v>0</v>
      </c>
      <c r="J127" s="1191">
        <f>IF($AA127="","",SUMIF(DukunganInstitusi1,AA127,DukunganInstitusi2))</f>
        <v>0</v>
      </c>
      <c r="K127" s="1191">
        <f>IF($AA127="","",SUMIF(BPemeliharaan1,AA127,BPemeliharaan2))</f>
        <v>0</v>
      </c>
      <c r="L127" s="1191">
        <f>IF($AA127="","",SUMIF(BBantuan1,AA127,BBantuan2))</f>
        <v>0</v>
      </c>
      <c r="M127" s="1191">
        <f>IF($AA127="","",SUMIF(BPenjualan1,AA127,BPenjualan2))</f>
        <v>0</v>
      </c>
      <c r="N127" s="1191">
        <f>IF($AA127="","",SUMIF(BLayananAsrama1,AA127,BlayananAsrama2))</f>
        <v>0</v>
      </c>
      <c r="O127" s="1191"/>
      <c r="P127" s="136"/>
      <c r="Q127" s="136"/>
      <c r="R127" s="2544">
        <f>SUM(F127:Q127)</f>
        <v>1159300</v>
      </c>
      <c r="S127" s="2546"/>
      <c r="T127" s="2544">
        <v>8021000</v>
      </c>
      <c r="U127" s="2546"/>
      <c r="V127" s="2544">
        <f>R127+AC127</f>
        <v>51285700</v>
      </c>
      <c r="W127" s="2546"/>
      <c r="X127" s="2544"/>
      <c r="Y127" s="87"/>
      <c r="Z127" s="2547" t="s">
        <v>3968</v>
      </c>
      <c r="AA127" s="1242" t="s">
        <v>6538</v>
      </c>
      <c r="AC127" s="2918">
        <v>50126400</v>
      </c>
    </row>
    <row r="128" spans="1:31" outlineLevel="1" x14ac:dyDescent="0.35">
      <c r="A128" s="874" t="s">
        <v>7790</v>
      </c>
      <c r="B128" s="86"/>
      <c r="C128" s="109"/>
      <c r="D128" s="255"/>
      <c r="E128" s="2540"/>
      <c r="F128" s="1191">
        <f>IF($AA128="","",SUMIF(Bakademik1,AA128,Bakademik2))</f>
        <v>20000</v>
      </c>
      <c r="G128" s="1191">
        <f>IF($AA128="","",SUMIF(BDaksos1,AA128,BDaksos2))</f>
        <v>0</v>
      </c>
      <c r="H128" s="1191">
        <f>IF($AA128="","",SUMIF(BDukunganAka1,AA128,BDukunganAka2))</f>
        <v>0</v>
      </c>
      <c r="I128" s="1191">
        <f>IF($AA128="","",SUMIF(BKegiatanSantri1,AA128,BKegiatanSantri2))</f>
        <v>0</v>
      </c>
      <c r="J128" s="1191">
        <f>IF($AA128="","",SUMIF(DukunganInstitusi1,AA128,DukunganInstitusi2))</f>
        <v>540000</v>
      </c>
      <c r="K128" s="1191">
        <f>IF($AA128="","",SUMIF(BPemeliharaan1,AA128,BPemeliharaan2))</f>
        <v>0</v>
      </c>
      <c r="L128" s="1191">
        <f>IF($AA128="","",SUMIF(BBantuan1,AA128,BBantuan2))</f>
        <v>0</v>
      </c>
      <c r="M128" s="1191">
        <f>IF($AA128="","",SUMIF(BPenjualan1,AA128,BPenjualan2))</f>
        <v>0</v>
      </c>
      <c r="N128" s="1191">
        <f>IF($AA128="","",SUMIF(BLayananAsrama1,AA128,BlayananAsrama2))</f>
        <v>0</v>
      </c>
      <c r="O128" s="1191"/>
      <c r="P128" s="136"/>
      <c r="Q128" s="136"/>
      <c r="R128" s="2544">
        <f>SUM(F128:Q128)</f>
        <v>560000</v>
      </c>
      <c r="S128" s="2546"/>
      <c r="T128" s="2544">
        <v>430000</v>
      </c>
      <c r="U128" s="2546"/>
      <c r="V128" s="2544">
        <f>R128+AC128</f>
        <v>6355000</v>
      </c>
      <c r="W128" s="2546"/>
      <c r="X128" s="2544"/>
      <c r="Y128" s="87"/>
      <c r="Z128" s="2547" t="s">
        <v>6916</v>
      </c>
      <c r="AA128" s="1242" t="s">
        <v>6537</v>
      </c>
      <c r="AC128" s="2918">
        <v>5795000</v>
      </c>
    </row>
    <row r="129" spans="1:31" outlineLevel="1" x14ac:dyDescent="0.35">
      <c r="A129" s="2570" t="s">
        <v>6917</v>
      </c>
      <c r="B129" s="2574"/>
      <c r="C129" s="2566"/>
      <c r="D129" s="2567"/>
      <c r="E129" s="2568"/>
      <c r="F129" s="2677">
        <f>IF($AA129="","",SUMIF(Bakademik1,AA129,Bakademik2))</f>
        <v>0</v>
      </c>
      <c r="G129" s="2677">
        <f>IF($AA129="","",SUMIF(BDaksos1,AA129,BDaksos2))</f>
        <v>0</v>
      </c>
      <c r="H129" s="2678">
        <f>IF($AA129="","",SUMIF(BDukunganAka1,AA129,BDukunganAka2))</f>
        <v>0</v>
      </c>
      <c r="I129" s="2677">
        <f>IF($AA129="","",SUMIF(BKegiatanSantri1,AA129,BKegiatanSantri2))</f>
        <v>0</v>
      </c>
      <c r="J129" s="2677">
        <f>IF($AA129="","",SUMIF(DukunganInstitusi1,AA129,DukunganInstitusi2))</f>
        <v>0</v>
      </c>
      <c r="K129" s="2677">
        <f>IF($AA129="","",SUMIF(BPemeliharaan1,AA129,BPemeliharaan2))</f>
        <v>0</v>
      </c>
      <c r="L129" s="2677">
        <f>IF($AA129="","",SUMIF(BBantuan1,AA129,BBantuan2))</f>
        <v>0</v>
      </c>
      <c r="M129" s="2677">
        <f>IF($AA129="","",SUMIF(BPenjualan1,AA129,BPenjualan2))</f>
        <v>0</v>
      </c>
      <c r="N129" s="2678">
        <f>IF($AA129="","",SUMIF(BLayananAsrama1,AA129,BlayananAsrama2))</f>
        <v>0</v>
      </c>
      <c r="O129" s="1207"/>
      <c r="P129" s="2569"/>
      <c r="Q129" s="2569"/>
      <c r="R129" s="2554">
        <f>SUM(F129:Q129)</f>
        <v>0</v>
      </c>
      <c r="S129" s="2555"/>
      <c r="T129" s="2726">
        <v>735700</v>
      </c>
      <c r="U129" s="2555"/>
      <c r="V129" s="2554">
        <f>R129+AC129</f>
        <v>11203300</v>
      </c>
      <c r="W129" s="2555"/>
      <c r="X129" s="2556"/>
      <c r="Y129" s="2557"/>
      <c r="Z129" s="2558" t="s">
        <v>6918</v>
      </c>
      <c r="AA129" s="1242" t="s">
        <v>6555</v>
      </c>
      <c r="AC129" s="2919">
        <v>11203300</v>
      </c>
    </row>
    <row r="130" spans="1:31" s="882" customFormat="1" ht="13.5" outlineLevel="1" x14ac:dyDescent="0.35">
      <c r="A130" s="859"/>
      <c r="B130" s="63"/>
      <c r="C130" s="98"/>
      <c r="D130" s="2559"/>
      <c r="E130" s="2560"/>
      <c r="F130" s="1208">
        <f>SUM(F126:F129)</f>
        <v>1179300</v>
      </c>
      <c r="G130" s="1208">
        <f>SUM(G126:G129)</f>
        <v>0</v>
      </c>
      <c r="H130" s="100">
        <f t="shared" ref="H130:V130" si="92">SUM(H126:H129)</f>
        <v>0</v>
      </c>
      <c r="I130" s="100">
        <f t="shared" si="92"/>
        <v>0</v>
      </c>
      <c r="J130" s="100">
        <f t="shared" si="92"/>
        <v>540000</v>
      </c>
      <c r="K130" s="100">
        <f t="shared" si="92"/>
        <v>0</v>
      </c>
      <c r="L130" s="100">
        <f t="shared" si="92"/>
        <v>0</v>
      </c>
      <c r="M130" s="100">
        <f t="shared" si="92"/>
        <v>0</v>
      </c>
      <c r="N130" s="100">
        <f t="shared" si="92"/>
        <v>0</v>
      </c>
      <c r="O130" s="100">
        <f t="shared" si="92"/>
        <v>0</v>
      </c>
      <c r="P130" s="100">
        <f t="shared" si="92"/>
        <v>0</v>
      </c>
      <c r="Q130" s="100">
        <f t="shared" si="92"/>
        <v>0</v>
      </c>
      <c r="R130" s="100">
        <f t="shared" si="92"/>
        <v>1719300</v>
      </c>
      <c r="S130" s="100">
        <f t="shared" si="92"/>
        <v>0</v>
      </c>
      <c r="T130" s="100">
        <v>9186700</v>
      </c>
      <c r="U130" s="100">
        <f t="shared" si="92"/>
        <v>0</v>
      </c>
      <c r="V130" s="100">
        <f t="shared" si="92"/>
        <v>86307300</v>
      </c>
      <c r="W130" s="2561"/>
      <c r="X130" s="2562"/>
      <c r="Y130" s="88"/>
      <c r="Z130" s="2545"/>
      <c r="AA130" s="2480" t="s">
        <v>6683</v>
      </c>
      <c r="AC130" s="2920">
        <v>84588000</v>
      </c>
      <c r="AE130" s="1147"/>
    </row>
    <row r="131" spans="1:31" ht="13.5" x14ac:dyDescent="0.35">
      <c r="A131" s="862" t="s">
        <v>6919</v>
      </c>
      <c r="B131" s="84"/>
      <c r="C131" s="109"/>
      <c r="D131" s="255"/>
      <c r="E131" s="2540"/>
      <c r="F131" s="1191"/>
      <c r="G131" s="136"/>
      <c r="H131" s="136"/>
      <c r="I131" s="136"/>
      <c r="J131" s="136"/>
      <c r="K131" s="136"/>
      <c r="L131" s="136"/>
      <c r="M131" s="136"/>
      <c r="N131" s="136"/>
      <c r="O131" s="136"/>
      <c r="P131" s="136"/>
      <c r="Q131" s="110"/>
      <c r="R131" s="2544"/>
      <c r="S131" s="2546"/>
      <c r="T131" s="2544"/>
      <c r="U131" s="2546"/>
      <c r="V131" s="2544"/>
      <c r="W131" s="2546"/>
      <c r="X131" s="2544"/>
      <c r="Y131" s="87"/>
      <c r="Z131" s="2545" t="s">
        <v>6920</v>
      </c>
      <c r="AA131" s="2480"/>
      <c r="AB131" s="882"/>
      <c r="AC131" s="2918"/>
    </row>
    <row r="132" spans="1:31" x14ac:dyDescent="0.35">
      <c r="A132" s="863" t="s">
        <v>7788</v>
      </c>
      <c r="B132" s="84"/>
      <c r="C132" s="109"/>
      <c r="D132" s="255"/>
      <c r="E132" s="2540"/>
      <c r="F132" s="1191">
        <f>IF($AA132="","",SUMIF(Bakademik1,AA132,Bakademik2))</f>
        <v>0</v>
      </c>
      <c r="G132" s="1191">
        <f>IF($AA132="","",SUMIF(BDaksos1,AA132,BDaksos2))</f>
        <v>0</v>
      </c>
      <c r="H132" s="1191">
        <f>IF($AA132="","",SUMIF(BDukunganAka1,AA132,BDukunganAka2))</f>
        <v>0</v>
      </c>
      <c r="I132" s="1191">
        <f>IF($AA132="","",SUMIF(BKegiatanSantri1,AA132,BKegiatanSantri2))</f>
        <v>0</v>
      </c>
      <c r="J132" s="1191">
        <f>IF($AA132="","",SUMIF(DukunganInstitusi1,AA132,DukunganInstitusi2))</f>
        <v>0</v>
      </c>
      <c r="K132" s="1191">
        <f>IF($AA132="","",SUMIF(BPemeliharaan1,AA132,BPemeliharaan2))</f>
        <v>0</v>
      </c>
      <c r="L132" s="1191">
        <f>IF($AA132="","",SUMIF(BBantuan1,AA132,BBantuan2))</f>
        <v>0</v>
      </c>
      <c r="M132" s="1191">
        <f>IF($AA132="","",SUMIF(BPenjualan1,AA132,BPenjualan2))</f>
        <v>0</v>
      </c>
      <c r="N132" s="1191">
        <f>IF($AA132="","",SUMIF(BLayananAsrama1,AA132,BlayananAsrama2))</f>
        <v>0</v>
      </c>
      <c r="O132" s="1191"/>
      <c r="P132" s="136"/>
      <c r="Q132" s="136"/>
      <c r="R132" s="2544">
        <f>SUM(F132:Q132)</f>
        <v>0</v>
      </c>
      <c r="S132" s="2546"/>
      <c r="T132" s="2544">
        <v>0</v>
      </c>
      <c r="U132" s="2546"/>
      <c r="V132" s="2544">
        <f>R132+AC132</f>
        <v>19600000</v>
      </c>
      <c r="W132" s="2546"/>
      <c r="X132" s="2544"/>
      <c r="Y132" s="87"/>
      <c r="Z132" s="2547" t="s">
        <v>6921</v>
      </c>
      <c r="AA132" s="1242" t="s">
        <v>6545</v>
      </c>
      <c r="AC132" s="2918">
        <v>19600000</v>
      </c>
    </row>
    <row r="133" spans="1:31" outlineLevel="1" x14ac:dyDescent="0.35">
      <c r="A133" s="863" t="s">
        <v>6922</v>
      </c>
      <c r="B133" s="84"/>
      <c r="C133" s="109"/>
      <c r="D133" s="255"/>
      <c r="E133" s="2540"/>
      <c r="F133" s="1191">
        <f>IF($AA133="","",SUMIF(Bakademik1,AA133,Bakademik2))</f>
        <v>0</v>
      </c>
      <c r="G133" s="1191">
        <f>IF($AA133="","",SUMIF(BDaksos1,AA133,BDaksos2))</f>
        <v>0</v>
      </c>
      <c r="H133" s="1191">
        <f>IF($AA133="","",SUMIF(BDukunganAka1,AA133,BDukunganAka2))</f>
        <v>0</v>
      </c>
      <c r="I133" s="1191">
        <f>IF($AA133="","",SUMIF(BKegiatanSantri1,AA133,BKegiatanSantri2))</f>
        <v>0</v>
      </c>
      <c r="J133" s="1191">
        <f>IF($AA133="","",SUMIF(DukunganInstitusi1,AA133,DukunganInstitusi2))</f>
        <v>0</v>
      </c>
      <c r="K133" s="1191">
        <f>IF($AA133="","",SUMIF(BPemeliharaan1,AA133,BPemeliharaan2))</f>
        <v>0</v>
      </c>
      <c r="L133" s="1191">
        <f>IF($AA133="","",SUMIF(BBantuan1,AA133,BBantuan2))</f>
        <v>0</v>
      </c>
      <c r="M133" s="1191">
        <f>IF($AA133="","",SUMIF(BPenjualan1,AA133,BPenjualan2))</f>
        <v>0</v>
      </c>
      <c r="N133" s="1191">
        <f>IF($AA133="","",SUMIF(BLayananAsrama1,AA133,BlayananAsrama2))</f>
        <v>0</v>
      </c>
      <c r="O133" s="1191"/>
      <c r="P133" s="136"/>
      <c r="Q133" s="136"/>
      <c r="R133" s="2544">
        <f>SUM(F133:Q133)</f>
        <v>0</v>
      </c>
      <c r="S133" s="2546"/>
      <c r="T133" s="2544">
        <v>0</v>
      </c>
      <c r="U133" s="2546"/>
      <c r="V133" s="2544">
        <f>R133+AC133</f>
        <v>1500000</v>
      </c>
      <c r="W133" s="2546"/>
      <c r="X133" s="2544"/>
      <c r="Y133" s="87"/>
      <c r="Z133" s="2547" t="s">
        <v>6923</v>
      </c>
      <c r="AA133" s="1242" t="s">
        <v>6556</v>
      </c>
      <c r="AC133" s="2918">
        <v>1500000</v>
      </c>
    </row>
    <row r="134" spans="1:31" outlineLevel="1" x14ac:dyDescent="0.35">
      <c r="A134" s="863" t="s">
        <v>6924</v>
      </c>
      <c r="B134" s="84"/>
      <c r="C134" s="109"/>
      <c r="D134" s="255"/>
      <c r="E134" s="2540"/>
      <c r="F134" s="1191">
        <f>IF($AA134="","",SUMIF(Bakademik1,AA134,Bakademik2))</f>
        <v>0</v>
      </c>
      <c r="G134" s="1191">
        <f>IF($AA134="","",SUMIF(BDaksos1,AA134,BDaksos2))</f>
        <v>0</v>
      </c>
      <c r="H134" s="1191">
        <f>IF($AA134="","",SUMIF(BDukunganAka1,AA134,BDukunganAka2))</f>
        <v>0</v>
      </c>
      <c r="I134" s="1191">
        <f>IF($AA134="","",SUMIF(BKegiatanSantri1,AA134,BKegiatanSantri2))</f>
        <v>0</v>
      </c>
      <c r="J134" s="1191">
        <f>IF($AA134="","",SUMIF(DukunganInstitusi1,AA134,DukunganInstitusi2))</f>
        <v>0</v>
      </c>
      <c r="K134" s="1191">
        <f>IF($AA134="","",SUMIF(BPemeliharaan1,AA134,BPemeliharaan2))</f>
        <v>0</v>
      </c>
      <c r="L134" s="1191">
        <f>IF($AA134="","",SUMIF(BBantuan1,AA134,BBantuan2))</f>
        <v>0</v>
      </c>
      <c r="M134" s="1191">
        <f>IF($AA134="","",SUMIF(BPenjualan1,AA134,BPenjualan2))</f>
        <v>0</v>
      </c>
      <c r="N134" s="1191">
        <f>IF($AA134="","",SUMIF(BLayananAsrama1,AA134,BlayananAsrama2))</f>
        <v>0</v>
      </c>
      <c r="O134" s="1191"/>
      <c r="P134" s="136"/>
      <c r="Q134" s="136"/>
      <c r="R134" s="2544">
        <f>SUM(F134:Q134)</f>
        <v>0</v>
      </c>
      <c r="S134" s="2546"/>
      <c r="T134" s="2544">
        <v>200000</v>
      </c>
      <c r="U134" s="2546"/>
      <c r="V134" s="2544">
        <f>R134+AC134</f>
        <v>600000</v>
      </c>
      <c r="W134" s="2546"/>
      <c r="X134" s="2544"/>
      <c r="Y134" s="87"/>
      <c r="Z134" s="2547" t="s">
        <v>6925</v>
      </c>
      <c r="AA134" s="1242" t="s">
        <v>6539</v>
      </c>
      <c r="AC134" s="2918">
        <v>600000</v>
      </c>
      <c r="AD134" s="1147" t="s">
        <v>7162</v>
      </c>
    </row>
    <row r="135" spans="1:31" outlineLevel="1" x14ac:dyDescent="0.35">
      <c r="A135" s="863" t="s">
        <v>6926</v>
      </c>
      <c r="B135" s="84"/>
      <c r="C135" s="109"/>
      <c r="D135" s="255"/>
      <c r="E135" s="2540"/>
      <c r="F135" s="1191">
        <f>IF($AA135="","",SUMIF(Bakademik1,AA135,Bakademik2))</f>
        <v>0</v>
      </c>
      <c r="G135" s="1191">
        <f>IF($AA135="","",SUMIF(BDaksos1,AA135,BDaksos2))</f>
        <v>0</v>
      </c>
      <c r="H135" s="1191">
        <f>IF($AA135="","",SUMIF(BDukunganAka1,AA135,BDukunganAka2))</f>
        <v>0</v>
      </c>
      <c r="I135" s="1191">
        <f>IF($AA135="","",SUMIF(BKegiatanSantri1,AA135,BKegiatanSantri2))</f>
        <v>0</v>
      </c>
      <c r="J135" s="1191">
        <f>IF($AA135="","",SUMIF(DukunganInstitusi1,AA135,DukunganInstitusi2))</f>
        <v>0</v>
      </c>
      <c r="K135" s="1191">
        <f>IF($AA135="","",SUMIF(BPemeliharaan1,AA135,BPemeliharaan2))</f>
        <v>0</v>
      </c>
      <c r="L135" s="1191">
        <f>IF($AA135="","",SUMIF(BBantuan1,AA135,BBantuan2))</f>
        <v>0</v>
      </c>
      <c r="M135" s="1191">
        <f>IF($AA135="","",SUMIF(BPenjualan1,AA135,BPenjualan2))</f>
        <v>0</v>
      </c>
      <c r="N135" s="1191">
        <f>IF($AA135="","",SUMIF(BLayananAsrama1,AA135,BlayananAsrama2))</f>
        <v>0</v>
      </c>
      <c r="O135" s="1191"/>
      <c r="P135" s="136"/>
      <c r="Q135" s="136"/>
      <c r="R135" s="2544">
        <f>SUM(F135:Q135)</f>
        <v>0</v>
      </c>
      <c r="S135" s="2546"/>
      <c r="T135" s="2544">
        <v>0</v>
      </c>
      <c r="U135" s="2546"/>
      <c r="V135" s="2544">
        <f>R135+AC135</f>
        <v>0</v>
      </c>
      <c r="W135" s="2546"/>
      <c r="X135" s="2544"/>
      <c r="Y135" s="87"/>
      <c r="Z135" s="2547" t="s">
        <v>6927</v>
      </c>
      <c r="AA135" s="1242" t="s">
        <v>6540</v>
      </c>
      <c r="AC135" s="2918">
        <v>0</v>
      </c>
    </row>
    <row r="136" spans="1:31" outlineLevel="1" x14ac:dyDescent="0.35">
      <c r="A136" s="2575" t="s">
        <v>7789</v>
      </c>
      <c r="B136" s="2565"/>
      <c r="C136" s="2566"/>
      <c r="D136" s="2567"/>
      <c r="E136" s="2568"/>
      <c r="F136" s="2677">
        <f>IF($AA136="","",SUMIF(Bakademik1,AA136,Bakademik2))</f>
        <v>0</v>
      </c>
      <c r="G136" s="2677">
        <f>IF($AA136="","",SUMIF(BDaksos1,AA136,BDaksos2))</f>
        <v>1250000</v>
      </c>
      <c r="H136" s="2678">
        <f>IF($AA136="","",SUMIF(BDukunganAka1,AA136,BDukunganAka2))</f>
        <v>0</v>
      </c>
      <c r="I136" s="2677">
        <f>IF($AA136="","",SUMIF(BKegiatanSantri1,AA136,BKegiatanSantri2))</f>
        <v>0</v>
      </c>
      <c r="J136" s="2677">
        <f>IF($AA136="","",SUMIF(DukunganInstitusi1,AA136,DukunganInstitusi2))</f>
        <v>3344500</v>
      </c>
      <c r="K136" s="2677">
        <f>IF($AA136="","",SUMIF(BPemeliharaan1,AA136,BPemeliharaan2))</f>
        <v>0</v>
      </c>
      <c r="L136" s="2677">
        <f>IF($AA136="","",SUMIF(BBantuan1,AA136,BBantuan2))</f>
        <v>0</v>
      </c>
      <c r="M136" s="2677">
        <f>IF($AA136="","",SUMIF(BPenjualan1,AA136,BPenjualan2))</f>
        <v>0</v>
      </c>
      <c r="N136" s="2678">
        <f>IF($AA136="","",SUMIF(BLayananAsrama1,AA136,BlayananAsrama2))</f>
        <v>0</v>
      </c>
      <c r="O136" s="1207"/>
      <c r="P136" s="2569"/>
      <c r="Q136" s="2569"/>
      <c r="R136" s="2554">
        <f>SUM(F136:Q136)</f>
        <v>4594500</v>
      </c>
      <c r="S136" s="2555"/>
      <c r="T136" s="2592">
        <v>18798000</v>
      </c>
      <c r="U136" s="2555"/>
      <c r="V136" s="2554">
        <f>R136+AC136</f>
        <v>53981957</v>
      </c>
      <c r="W136" s="2555"/>
      <c r="X136" s="2556"/>
      <c r="Y136" s="2557"/>
      <c r="Z136" s="2558" t="s">
        <v>350</v>
      </c>
      <c r="AA136" s="1242" t="s">
        <v>6541</v>
      </c>
      <c r="AC136" s="2924">
        <v>49387457</v>
      </c>
    </row>
    <row r="137" spans="1:31" s="882" customFormat="1" ht="13.5" x14ac:dyDescent="0.35">
      <c r="A137" s="859"/>
      <c r="B137" s="130"/>
      <c r="C137" s="98"/>
      <c r="D137" s="2559"/>
      <c r="E137" s="2560"/>
      <c r="F137" s="1208">
        <f>SUM(F132:F136)</f>
        <v>0</v>
      </c>
      <c r="G137" s="1208">
        <f>SUM(G132:G136)</f>
        <v>1250000</v>
      </c>
      <c r="H137" s="100">
        <f t="shared" ref="H137:V137" si="93">SUM(H132:H136)</f>
        <v>0</v>
      </c>
      <c r="I137" s="100">
        <f t="shared" si="93"/>
        <v>0</v>
      </c>
      <c r="J137" s="100">
        <f t="shared" si="93"/>
        <v>3344500</v>
      </c>
      <c r="K137" s="100">
        <f t="shared" si="93"/>
        <v>0</v>
      </c>
      <c r="L137" s="100">
        <f t="shared" si="93"/>
        <v>0</v>
      </c>
      <c r="M137" s="100">
        <f t="shared" si="93"/>
        <v>0</v>
      </c>
      <c r="N137" s="100">
        <f t="shared" si="93"/>
        <v>0</v>
      </c>
      <c r="O137" s="100">
        <f t="shared" si="93"/>
        <v>0</v>
      </c>
      <c r="P137" s="100">
        <f t="shared" si="93"/>
        <v>0</v>
      </c>
      <c r="Q137" s="100">
        <f t="shared" si="93"/>
        <v>0</v>
      </c>
      <c r="R137" s="100">
        <f t="shared" si="93"/>
        <v>4594500</v>
      </c>
      <c r="S137" s="100">
        <f t="shared" si="93"/>
        <v>0</v>
      </c>
      <c r="T137" s="100">
        <v>18998000</v>
      </c>
      <c r="U137" s="100">
        <f t="shared" si="93"/>
        <v>0</v>
      </c>
      <c r="V137" s="100">
        <f t="shared" si="93"/>
        <v>75681957</v>
      </c>
      <c r="W137" s="2561"/>
      <c r="X137" s="2562"/>
      <c r="Y137" s="88"/>
      <c r="Z137" s="2545"/>
      <c r="AA137" s="2480" t="s">
        <v>6700</v>
      </c>
      <c r="AC137" s="2920">
        <v>71087457</v>
      </c>
      <c r="AE137" s="1147"/>
    </row>
    <row r="138" spans="1:31" s="882" customFormat="1" ht="13.5" x14ac:dyDescent="0.35">
      <c r="A138" s="859" t="s">
        <v>6928</v>
      </c>
      <c r="B138" s="63"/>
      <c r="C138" s="98"/>
      <c r="D138" s="2559"/>
      <c r="E138" s="2560"/>
      <c r="F138" s="1208"/>
      <c r="G138" s="100"/>
      <c r="H138" s="100"/>
      <c r="I138" s="100"/>
      <c r="J138" s="100"/>
      <c r="K138" s="100"/>
      <c r="L138" s="100"/>
      <c r="M138" s="100"/>
      <c r="N138" s="100"/>
      <c r="O138" s="100"/>
      <c r="P138" s="100"/>
      <c r="Q138" s="118"/>
      <c r="R138" s="2562"/>
      <c r="S138" s="2561"/>
      <c r="T138" s="2562"/>
      <c r="U138" s="2561"/>
      <c r="V138" s="2544"/>
      <c r="W138" s="2561"/>
      <c r="X138" s="2562"/>
      <c r="Y138" s="88"/>
      <c r="Z138" s="2545" t="s">
        <v>6929</v>
      </c>
      <c r="AA138" s="2480"/>
      <c r="AC138" s="2918"/>
      <c r="AE138" s="1147"/>
    </row>
    <row r="139" spans="1:31" x14ac:dyDescent="0.35">
      <c r="A139" s="874" t="s">
        <v>6930</v>
      </c>
      <c r="B139" s="86"/>
      <c r="C139" s="109"/>
      <c r="D139" s="255"/>
      <c r="E139" s="2540"/>
      <c r="F139" s="1191">
        <f t="shared" ref="F139:F146" si="94">IF($AA139="","",SUMIF(Bakademik1,AA139,Bakademik2))</f>
        <v>0</v>
      </c>
      <c r="G139" s="1191">
        <f t="shared" ref="G139:G146" si="95">IF($AA139="","",SUMIF(BDaksos1,AA139,BDaksos2))</f>
        <v>0</v>
      </c>
      <c r="H139" s="1191">
        <f t="shared" ref="H139:H146" si="96">IF($AA139="","",SUMIF(BDukunganAka1,AA139,BDukunganAka2))</f>
        <v>0</v>
      </c>
      <c r="I139" s="1191">
        <f t="shared" ref="I139:I146" si="97">IF($AA139="","",SUMIF(BKegiatanSantri1,AA139,BKegiatanSantri2))</f>
        <v>0</v>
      </c>
      <c r="J139" s="1191">
        <f t="shared" ref="J139:J146" si="98">IF($AA139="","",SUMIF(DukunganInstitusi1,AA139,DukunganInstitusi2))</f>
        <v>0</v>
      </c>
      <c r="K139" s="1191">
        <f t="shared" ref="K139:K146" si="99">IF($AA139="","",SUMIF(BPemeliharaan1,AA139,BPemeliharaan2))</f>
        <v>0</v>
      </c>
      <c r="L139" s="1191">
        <f t="shared" ref="L139:L146" si="100">IF($AA139="","",SUMIF(BBantuan1,AA139,BBantuan2))</f>
        <v>61850</v>
      </c>
      <c r="M139" s="1191">
        <f t="shared" ref="M139:M145" si="101">IF($AA139="","",SUMIF(BPenjualan1,AA139,BPenjualan2))</f>
        <v>0</v>
      </c>
      <c r="N139" s="1191">
        <f t="shared" ref="N139:N146" si="102">IF($AA139="","",SUMIF(BLayananAsrama1,AA139,BlayananAsrama2))</f>
        <v>0</v>
      </c>
      <c r="O139" s="1191"/>
      <c r="P139" s="136"/>
      <c r="Q139" s="1191"/>
      <c r="R139" s="2544">
        <f t="shared" ref="R139:R146" si="103">SUM(F139:Q139)</f>
        <v>61850</v>
      </c>
      <c r="S139" s="2546"/>
      <c r="T139" s="2544">
        <v>53300</v>
      </c>
      <c r="U139" s="2546"/>
      <c r="V139" s="2544">
        <f t="shared" ref="V139:V146" si="104">R139+AC139</f>
        <v>399833218</v>
      </c>
      <c r="W139" s="2546"/>
      <c r="X139" s="2544"/>
      <c r="Y139" s="87"/>
      <c r="Z139" s="2547" t="s">
        <v>6931</v>
      </c>
      <c r="AA139" s="1242" t="s">
        <v>6531</v>
      </c>
      <c r="AC139" s="2918">
        <v>399771368</v>
      </c>
    </row>
    <row r="140" spans="1:31" x14ac:dyDescent="0.35">
      <c r="A140" s="874" t="s">
        <v>6932</v>
      </c>
      <c r="B140" s="86"/>
      <c r="C140" s="109"/>
      <c r="D140" s="255"/>
      <c r="E140" s="2540"/>
      <c r="F140" s="1191">
        <f t="shared" si="94"/>
        <v>0</v>
      </c>
      <c r="G140" s="1191">
        <f t="shared" si="95"/>
        <v>0</v>
      </c>
      <c r="H140" s="1191">
        <f t="shared" si="96"/>
        <v>0</v>
      </c>
      <c r="I140" s="1191">
        <f t="shared" si="97"/>
        <v>0</v>
      </c>
      <c r="J140" s="1191">
        <f t="shared" si="98"/>
        <v>0</v>
      </c>
      <c r="K140" s="1191">
        <f t="shared" si="99"/>
        <v>0</v>
      </c>
      <c r="L140" s="1191">
        <f t="shared" si="100"/>
        <v>0</v>
      </c>
      <c r="M140" s="1191">
        <f t="shared" si="101"/>
        <v>0</v>
      </c>
      <c r="N140" s="1191">
        <f t="shared" si="102"/>
        <v>0</v>
      </c>
      <c r="O140" s="1191"/>
      <c r="P140" s="136"/>
      <c r="Q140" s="1191"/>
      <c r="R140" s="2544">
        <f t="shared" si="103"/>
        <v>0</v>
      </c>
      <c r="S140" s="2546"/>
      <c r="T140" s="2544">
        <v>0</v>
      </c>
      <c r="U140" s="2546"/>
      <c r="V140" s="2544">
        <f t="shared" si="104"/>
        <v>37726000</v>
      </c>
      <c r="W140" s="2546"/>
      <c r="X140" s="2544"/>
      <c r="Y140" s="87"/>
      <c r="Z140" s="2547" t="s">
        <v>6933</v>
      </c>
      <c r="AA140" s="1242" t="s">
        <v>6573</v>
      </c>
      <c r="AC140" s="2918">
        <v>37726000</v>
      </c>
    </row>
    <row r="141" spans="1:31" outlineLevel="1" x14ac:dyDescent="0.35">
      <c r="A141" s="874" t="s">
        <v>6934</v>
      </c>
      <c r="B141" s="86"/>
      <c r="C141" s="109"/>
      <c r="D141" s="255"/>
      <c r="E141" s="2540"/>
      <c r="F141" s="1191">
        <f t="shared" si="94"/>
        <v>0</v>
      </c>
      <c r="G141" s="1191">
        <f t="shared" si="95"/>
        <v>0</v>
      </c>
      <c r="H141" s="1191">
        <f t="shared" si="96"/>
        <v>0</v>
      </c>
      <c r="I141" s="1191">
        <f t="shared" si="97"/>
        <v>0</v>
      </c>
      <c r="J141" s="1191">
        <f t="shared" si="98"/>
        <v>0</v>
      </c>
      <c r="K141" s="1191">
        <f t="shared" si="99"/>
        <v>0</v>
      </c>
      <c r="L141" s="1191">
        <f t="shared" si="100"/>
        <v>0</v>
      </c>
      <c r="M141" s="1191">
        <f t="shared" si="101"/>
        <v>0</v>
      </c>
      <c r="N141" s="1191">
        <f t="shared" si="102"/>
        <v>0</v>
      </c>
      <c r="O141" s="1191"/>
      <c r="P141" s="136"/>
      <c r="Q141" s="1191"/>
      <c r="R141" s="2544">
        <f t="shared" si="103"/>
        <v>0</v>
      </c>
      <c r="S141" s="2546"/>
      <c r="T141" s="2544">
        <v>0</v>
      </c>
      <c r="U141" s="2546"/>
      <c r="V141" s="2544">
        <f t="shared" si="104"/>
        <v>0</v>
      </c>
      <c r="W141" s="2546"/>
      <c r="X141" s="2544"/>
      <c r="Y141" s="87"/>
      <c r="Z141" s="2547" t="s">
        <v>3323</v>
      </c>
      <c r="AA141" s="1242" t="s">
        <v>6935</v>
      </c>
      <c r="AC141" s="2918">
        <v>0</v>
      </c>
    </row>
    <row r="142" spans="1:31" outlineLevel="1" x14ac:dyDescent="0.35">
      <c r="A142" s="874" t="s">
        <v>721</v>
      </c>
      <c r="B142" s="2574"/>
      <c r="C142" s="109"/>
      <c r="D142" s="255"/>
      <c r="E142" s="2540"/>
      <c r="F142" s="1191">
        <f t="shared" si="94"/>
        <v>0</v>
      </c>
      <c r="G142" s="1191">
        <f t="shared" si="95"/>
        <v>0</v>
      </c>
      <c r="H142" s="1191">
        <f t="shared" si="96"/>
        <v>0</v>
      </c>
      <c r="I142" s="1191">
        <f t="shared" si="97"/>
        <v>0</v>
      </c>
      <c r="J142" s="1191">
        <f t="shared" si="98"/>
        <v>0</v>
      </c>
      <c r="K142" s="1191">
        <f t="shared" si="99"/>
        <v>0</v>
      </c>
      <c r="L142" s="1191">
        <f t="shared" si="100"/>
        <v>0</v>
      </c>
      <c r="M142" s="1191">
        <f t="shared" si="101"/>
        <v>0</v>
      </c>
      <c r="N142" s="1191">
        <f t="shared" si="102"/>
        <v>0</v>
      </c>
      <c r="O142" s="1191"/>
      <c r="P142" s="2862">
        <f>'13'!E22+'13'!E49</f>
        <v>77692361.716666669</v>
      </c>
      <c r="Q142" s="1191"/>
      <c r="R142" s="2544">
        <f t="shared" si="103"/>
        <v>77692361.716666669</v>
      </c>
      <c r="S142" s="2546"/>
      <c r="T142" s="3140">
        <v>123833495.71666667</v>
      </c>
      <c r="U142" s="2546"/>
      <c r="V142" s="2544">
        <f>R142+AC142</f>
        <v>1215122249.9100003</v>
      </c>
      <c r="W142" s="2546"/>
      <c r="X142" s="2544"/>
      <c r="Y142" s="87"/>
      <c r="Z142" s="2547" t="s">
        <v>722</v>
      </c>
      <c r="AA142" s="1242" t="s">
        <v>6936</v>
      </c>
      <c r="AC142" s="3141">
        <v>1137429888.1933336</v>
      </c>
    </row>
    <row r="143" spans="1:31" outlineLevel="1" x14ac:dyDescent="0.35">
      <c r="A143" s="874" t="s">
        <v>332</v>
      </c>
      <c r="B143" s="86"/>
      <c r="C143" s="109"/>
      <c r="D143" s="255"/>
      <c r="E143" s="2540"/>
      <c r="F143" s="1191">
        <f t="shared" si="94"/>
        <v>0</v>
      </c>
      <c r="G143" s="1191">
        <f t="shared" si="95"/>
        <v>0</v>
      </c>
      <c r="H143" s="1191">
        <f t="shared" si="96"/>
        <v>0</v>
      </c>
      <c r="I143" s="1191">
        <f t="shared" si="97"/>
        <v>0</v>
      </c>
      <c r="J143" s="1191">
        <f t="shared" si="98"/>
        <v>0</v>
      </c>
      <c r="K143" s="1191">
        <f t="shared" si="99"/>
        <v>0</v>
      </c>
      <c r="L143" s="1191">
        <f t="shared" si="100"/>
        <v>0</v>
      </c>
      <c r="M143" s="1191">
        <f t="shared" si="101"/>
        <v>0</v>
      </c>
      <c r="N143" s="1191">
        <f t="shared" si="102"/>
        <v>0</v>
      </c>
      <c r="O143" s="1191"/>
      <c r="P143" s="136"/>
      <c r="Q143" s="1191"/>
      <c r="R143" s="2544">
        <f t="shared" si="103"/>
        <v>0</v>
      </c>
      <c r="S143" s="2546"/>
      <c r="T143" s="2544">
        <v>0</v>
      </c>
      <c r="U143" s="2546"/>
      <c r="V143" s="2544">
        <f t="shared" si="104"/>
        <v>0</v>
      </c>
      <c r="W143" s="2546"/>
      <c r="X143" s="2544"/>
      <c r="Y143" s="87"/>
      <c r="Z143" s="2547" t="s">
        <v>332</v>
      </c>
      <c r="AA143" s="1242" t="s">
        <v>6937</v>
      </c>
      <c r="AC143" s="2918">
        <v>0</v>
      </c>
    </row>
    <row r="144" spans="1:31" outlineLevel="1" x14ac:dyDescent="0.35">
      <c r="A144" s="874" t="s">
        <v>330</v>
      </c>
      <c r="B144" s="86"/>
      <c r="C144" s="109"/>
      <c r="D144" s="255"/>
      <c r="E144" s="2540"/>
      <c r="F144" s="1191">
        <f t="shared" si="94"/>
        <v>0</v>
      </c>
      <c r="G144" s="1191">
        <f t="shared" si="95"/>
        <v>0</v>
      </c>
      <c r="H144" s="1191">
        <f t="shared" si="96"/>
        <v>0</v>
      </c>
      <c r="I144" s="1191">
        <f t="shared" si="97"/>
        <v>0</v>
      </c>
      <c r="J144" s="1191">
        <f t="shared" si="98"/>
        <v>0</v>
      </c>
      <c r="K144" s="1191">
        <f t="shared" si="99"/>
        <v>0</v>
      </c>
      <c r="L144" s="1191">
        <f t="shared" si="100"/>
        <v>0</v>
      </c>
      <c r="M144" s="1191">
        <f t="shared" si="101"/>
        <v>0</v>
      </c>
      <c r="N144" s="1191">
        <f t="shared" si="102"/>
        <v>0</v>
      </c>
      <c r="O144" s="1191"/>
      <c r="P144" s="136"/>
      <c r="Q144" s="1191"/>
      <c r="R144" s="2544">
        <f t="shared" si="103"/>
        <v>0</v>
      </c>
      <c r="S144" s="2546"/>
      <c r="T144" s="2544">
        <v>0</v>
      </c>
      <c r="U144" s="2546"/>
      <c r="V144" s="2544">
        <f t="shared" si="104"/>
        <v>0</v>
      </c>
      <c r="W144" s="2546"/>
      <c r="X144" s="2544"/>
      <c r="Y144" s="87"/>
      <c r="Z144" s="2547" t="s">
        <v>330</v>
      </c>
      <c r="AA144" s="1242" t="s">
        <v>6938</v>
      </c>
      <c r="AC144" s="2918">
        <v>0</v>
      </c>
    </row>
    <row r="145" spans="1:31" outlineLevel="1" x14ac:dyDescent="0.35">
      <c r="A145" s="874" t="s">
        <v>6648</v>
      </c>
      <c r="B145" s="874"/>
      <c r="C145" s="109"/>
      <c r="D145" s="255"/>
      <c r="E145" s="2540"/>
      <c r="F145" s="1191">
        <f t="shared" si="94"/>
        <v>0</v>
      </c>
      <c r="G145" s="1191">
        <f t="shared" si="95"/>
        <v>0</v>
      </c>
      <c r="H145" s="1191">
        <f t="shared" si="96"/>
        <v>0</v>
      </c>
      <c r="I145" s="1191">
        <f t="shared" si="97"/>
        <v>0</v>
      </c>
      <c r="J145" s="1191">
        <f t="shared" si="98"/>
        <v>0</v>
      </c>
      <c r="K145" s="1191">
        <f t="shared" si="99"/>
        <v>0</v>
      </c>
      <c r="L145" s="1191">
        <f t="shared" si="100"/>
        <v>0</v>
      </c>
      <c r="M145" s="1191">
        <f t="shared" si="101"/>
        <v>0</v>
      </c>
      <c r="N145" s="1191">
        <f t="shared" si="102"/>
        <v>0</v>
      </c>
      <c r="O145" s="1191"/>
      <c r="P145" s="136"/>
      <c r="Q145" s="1191"/>
      <c r="R145" s="2544"/>
      <c r="S145" s="2546"/>
      <c r="T145" s="2544"/>
      <c r="U145" s="2546"/>
      <c r="V145" s="2544"/>
      <c r="W145" s="2546"/>
      <c r="X145" s="2544"/>
      <c r="Y145" s="87"/>
      <c r="Z145" s="2547" t="s">
        <v>6648</v>
      </c>
      <c r="AA145" s="1242" t="s">
        <v>6939</v>
      </c>
      <c r="AC145" s="2918"/>
    </row>
    <row r="146" spans="1:31" outlineLevel="1" x14ac:dyDescent="0.35">
      <c r="A146" s="874" t="s">
        <v>6656</v>
      </c>
      <c r="B146" s="86"/>
      <c r="C146" s="109"/>
      <c r="D146" s="255"/>
      <c r="E146" s="2540"/>
      <c r="F146" s="1191">
        <f t="shared" si="94"/>
        <v>0</v>
      </c>
      <c r="G146" s="1191">
        <f t="shared" si="95"/>
        <v>0</v>
      </c>
      <c r="H146" s="1191">
        <f t="shared" si="96"/>
        <v>0</v>
      </c>
      <c r="I146" s="1191">
        <f t="shared" si="97"/>
        <v>0</v>
      </c>
      <c r="J146" s="1191">
        <f t="shared" si="98"/>
        <v>0</v>
      </c>
      <c r="K146" s="1191">
        <f t="shared" si="99"/>
        <v>0</v>
      </c>
      <c r="L146" s="1191">
        <f t="shared" si="100"/>
        <v>0</v>
      </c>
      <c r="M146" s="1191">
        <f t="shared" ref="M146" si="105">IF($AA146="","",SUMIF(BPenjualan1,AA146,BPenjualan2))</f>
        <v>0</v>
      </c>
      <c r="N146" s="1191">
        <f t="shared" si="102"/>
        <v>0</v>
      </c>
      <c r="O146" s="1191"/>
      <c r="P146" s="136"/>
      <c r="Q146" s="1191"/>
      <c r="R146" s="2541">
        <f t="shared" si="103"/>
        <v>0</v>
      </c>
      <c r="S146" s="2541">
        <f>SUM(G146:R146)</f>
        <v>0</v>
      </c>
      <c r="T146" s="2544">
        <v>0</v>
      </c>
      <c r="U146" s="2546"/>
      <c r="V146" s="2541">
        <f t="shared" si="104"/>
        <v>0</v>
      </c>
      <c r="W146" s="2546"/>
      <c r="X146" s="2544"/>
      <c r="Y146" s="87"/>
      <c r="Z146" s="2547" t="s">
        <v>6657</v>
      </c>
      <c r="AA146" s="1242" t="s">
        <v>6940</v>
      </c>
      <c r="AB146" s="882"/>
      <c r="AC146" s="2918">
        <v>0</v>
      </c>
    </row>
    <row r="147" spans="1:31" s="882" customFormat="1" ht="13.5" x14ac:dyDescent="0.35">
      <c r="A147" s="2578"/>
      <c r="B147" s="2608"/>
      <c r="C147" s="2580"/>
      <c r="D147" s="2581"/>
      <c r="E147" s="2582"/>
      <c r="F147" s="2583">
        <f t="shared" ref="F147:V147" si="106">SUM(F139:F146)</f>
        <v>0</v>
      </c>
      <c r="G147" s="2583">
        <f t="shared" si="106"/>
        <v>0</v>
      </c>
      <c r="H147" s="2584">
        <f t="shared" si="106"/>
        <v>0</v>
      </c>
      <c r="I147" s="2584">
        <f t="shared" si="106"/>
        <v>0</v>
      </c>
      <c r="J147" s="2584">
        <f t="shared" si="106"/>
        <v>0</v>
      </c>
      <c r="K147" s="2584">
        <f t="shared" si="106"/>
        <v>0</v>
      </c>
      <c r="L147" s="2584">
        <f t="shared" si="106"/>
        <v>61850</v>
      </c>
      <c r="M147" s="2584">
        <f t="shared" si="106"/>
        <v>0</v>
      </c>
      <c r="N147" s="2584">
        <f t="shared" si="106"/>
        <v>0</v>
      </c>
      <c r="O147" s="2584">
        <f t="shared" si="106"/>
        <v>0</v>
      </c>
      <c r="P147" s="2584">
        <f t="shared" si="106"/>
        <v>77692361.716666669</v>
      </c>
      <c r="Q147" s="2584">
        <f t="shared" si="106"/>
        <v>0</v>
      </c>
      <c r="R147" s="2584">
        <f t="shared" si="106"/>
        <v>77754211.716666669</v>
      </c>
      <c r="S147" s="2584">
        <f t="shared" si="106"/>
        <v>0</v>
      </c>
      <c r="T147" s="2584">
        <v>123886795.71666667</v>
      </c>
      <c r="U147" s="2584">
        <f t="shared" si="106"/>
        <v>0</v>
      </c>
      <c r="V147" s="2584">
        <f t="shared" si="106"/>
        <v>1652681467.9100003</v>
      </c>
      <c r="W147" s="2585"/>
      <c r="X147" s="2586"/>
      <c r="Y147" s="2587"/>
      <c r="Z147" s="2588"/>
      <c r="AA147" s="2480" t="s">
        <v>6701</v>
      </c>
      <c r="AC147" s="3154">
        <v>1574927256.1933336</v>
      </c>
      <c r="AE147" s="1147"/>
    </row>
    <row r="148" spans="1:31" x14ac:dyDescent="0.35">
      <c r="A148" s="874" t="s">
        <v>385</v>
      </c>
      <c r="B148" s="86"/>
      <c r="C148" s="109"/>
      <c r="D148" s="255"/>
      <c r="E148" s="2540"/>
      <c r="F148" s="1191"/>
      <c r="G148" s="1191"/>
      <c r="H148" s="1191"/>
      <c r="I148" s="1191"/>
      <c r="J148" s="136"/>
      <c r="K148" s="1191"/>
      <c r="L148" s="1191"/>
      <c r="M148" s="1191"/>
      <c r="N148" s="1191"/>
      <c r="O148" s="1191"/>
      <c r="P148" s="136"/>
      <c r="Q148" s="1191"/>
      <c r="R148" s="2544">
        <f>SUM(F148:Q148)</f>
        <v>0</v>
      </c>
      <c r="S148" s="2546"/>
      <c r="T148" s="2544">
        <v>0</v>
      </c>
      <c r="U148" s="2546"/>
      <c r="V148" s="2544">
        <f>R148+AC148</f>
        <v>0</v>
      </c>
      <c r="W148" s="2546"/>
      <c r="X148" s="2544"/>
      <c r="Y148" s="87"/>
      <c r="Z148" s="2547" t="s">
        <v>386</v>
      </c>
      <c r="AA148" s="2480" t="s">
        <v>6572</v>
      </c>
      <c r="AB148" s="882"/>
      <c r="AC148" s="3155">
        <v>0</v>
      </c>
    </row>
    <row r="149" spans="1:31" x14ac:dyDescent="0.35">
      <c r="A149" s="874" t="s">
        <v>391</v>
      </c>
      <c r="B149" s="86"/>
      <c r="C149" s="109"/>
      <c r="D149" s="255"/>
      <c r="E149" s="2540"/>
      <c r="F149" s="1191">
        <f>IF($AA149="","",SUMIF(Bakademik1,AA149,Bakademik2))</f>
        <v>0</v>
      </c>
      <c r="G149" s="1191">
        <f>IF($AA149="","",SUMIF(BDaksos1,AA149,BDaksos2))</f>
        <v>0</v>
      </c>
      <c r="H149" s="1191">
        <f>IF($AA149="","",SUMIF(BDukunganAka1,AA149,BDukunganAka2))</f>
        <v>0</v>
      </c>
      <c r="I149" s="1191">
        <f>IF($AA149="","",SUMIF(BKegiatanSantri1,AA149,BKegiatanSantri2))</f>
        <v>0</v>
      </c>
      <c r="J149" s="1191">
        <f>IF($AA149="","",SUMIF(DukunganInstitusi1,AA149,DukunganInstitusi2))</f>
        <v>0</v>
      </c>
      <c r="K149" s="1191">
        <f>IF($AA149="","",SUMIF(BPemeliharaan1,AA149,BPemeliharaan2))</f>
        <v>0</v>
      </c>
      <c r="L149" s="1191">
        <f>IF($AA149="","",SUMIF(BBantuan1,AA149,BBantuan2))</f>
        <v>0</v>
      </c>
      <c r="M149" s="1191">
        <f>IF($AA149="","",SUMIF(BPenjualan1,AA149,BPenjualan2))</f>
        <v>0</v>
      </c>
      <c r="N149" s="1191">
        <f>IF($AA149="","",SUMIF(BLayananAsrama1,AA149,BlayananAsrama2))</f>
        <v>0</v>
      </c>
      <c r="O149" s="1191">
        <f>IF($AA149="","",SUMIF(BDepresiasi1,AA149,BDepresiasi2))</f>
        <v>91820732.989999995</v>
      </c>
      <c r="P149" s="136"/>
      <c r="Q149" s="1191">
        <v>0</v>
      </c>
      <c r="R149" s="2544">
        <f>SUM(F149:Q149)</f>
        <v>91820732.989999995</v>
      </c>
      <c r="S149" s="2546"/>
      <c r="T149" s="2544">
        <v>93437188.909999996</v>
      </c>
      <c r="U149" s="2546"/>
      <c r="V149" s="2544">
        <f>R149+AC149</f>
        <v>1111193298.1799998</v>
      </c>
      <c r="W149" s="2546"/>
      <c r="X149" s="2544"/>
      <c r="Y149" s="87"/>
      <c r="Z149" s="2547" t="s">
        <v>392</v>
      </c>
      <c r="AA149" s="2480" t="s">
        <v>6571</v>
      </c>
      <c r="AB149" s="882"/>
      <c r="AC149" s="3155">
        <v>1019372565.1899999</v>
      </c>
    </row>
    <row r="150" spans="1:31" s="882" customFormat="1" ht="13.5" outlineLevel="1" x14ac:dyDescent="0.35">
      <c r="A150" s="2575" t="s">
        <v>7979</v>
      </c>
      <c r="B150" s="2609"/>
      <c r="C150" s="2610"/>
      <c r="D150" s="2611"/>
      <c r="E150" s="2612"/>
      <c r="F150" s="2677">
        <f>IF($AA150="","",SUMIF(Bakademik1,AA150,Bakademik2))</f>
        <v>0</v>
      </c>
      <c r="G150" s="2677">
        <f>IF($AA150="","",SUMIF(BDaksos1,AA150,BDaksos2))</f>
        <v>0</v>
      </c>
      <c r="H150" s="2613">
        <f>IF($AA150="","",SUMIF(BDukunganAka1,AA150,BDukunganAka2))</f>
        <v>0</v>
      </c>
      <c r="I150" s="2677">
        <f>IF($AA150="","",SUMIF(BKegiatanSantri1,AA150,BKegiatanSantri2))</f>
        <v>0</v>
      </c>
      <c r="J150" s="2677">
        <f>IF($AA150="","",SUMIF(DukunganInstitusi1,AA150,DukunganInstitusi2))</f>
        <v>0</v>
      </c>
      <c r="K150" s="2677">
        <f>IF($AA150="","",SUMIF(BPemeliharaan1,AA150,BPemeliharaan2))</f>
        <v>0</v>
      </c>
      <c r="L150" s="2677">
        <f>IF($AA150="","",SUMIF(BBantuan1,AA150,BBantuan2))</f>
        <v>0</v>
      </c>
      <c r="M150" s="2677">
        <f>IF($AA150="","",SUMIF(BPenjualan1,AA150,BPenjualan2))</f>
        <v>0</v>
      </c>
      <c r="N150" s="2678">
        <f>IF($AA150="","",SUMIF(BLayananAsrama1,AA150,BlayananAsrama2))</f>
        <v>0</v>
      </c>
      <c r="O150" s="1207"/>
      <c r="P150" s="2569"/>
      <c r="Q150" s="3121">
        <v>0</v>
      </c>
      <c r="R150" s="2554">
        <f>SUM(F150:Q150)</f>
        <v>0</v>
      </c>
      <c r="S150" s="2614"/>
      <c r="T150" s="2592">
        <v>0</v>
      </c>
      <c r="U150" s="2614"/>
      <c r="V150" s="2554">
        <f>R150+AC150</f>
        <v>370022227</v>
      </c>
      <c r="W150" s="2614"/>
      <c r="X150" s="2615"/>
      <c r="Y150" s="2616"/>
      <c r="Z150" s="2558" t="s">
        <v>6659</v>
      </c>
      <c r="AA150" s="2480" t="s">
        <v>6702</v>
      </c>
      <c r="AC150" s="3156">
        <v>370022227</v>
      </c>
      <c r="AE150" s="1147"/>
    </row>
    <row r="151" spans="1:31" s="882" customFormat="1" ht="13.5" x14ac:dyDescent="0.35">
      <c r="A151" s="863"/>
      <c r="B151" s="130"/>
      <c r="C151" s="98"/>
      <c r="D151" s="2559"/>
      <c r="E151" s="2560"/>
      <c r="F151" s="1208">
        <f>SUM(F148:F150)</f>
        <v>0</v>
      </c>
      <c r="G151" s="100">
        <f t="shared" ref="G151:V151" si="107">SUM(G148:G150)</f>
        <v>0</v>
      </c>
      <c r="H151" s="100">
        <f t="shared" si="107"/>
        <v>0</v>
      </c>
      <c r="I151" s="100">
        <f t="shared" si="107"/>
        <v>0</v>
      </c>
      <c r="J151" s="100">
        <f t="shared" si="107"/>
        <v>0</v>
      </c>
      <c r="K151" s="100">
        <f t="shared" si="107"/>
        <v>0</v>
      </c>
      <c r="L151" s="100">
        <f t="shared" si="107"/>
        <v>0</v>
      </c>
      <c r="M151" s="100">
        <f t="shared" si="107"/>
        <v>0</v>
      </c>
      <c r="N151" s="100">
        <f t="shared" si="107"/>
        <v>0</v>
      </c>
      <c r="O151" s="100">
        <f t="shared" si="107"/>
        <v>91820732.989999995</v>
      </c>
      <c r="P151" s="100">
        <f t="shared" si="107"/>
        <v>0</v>
      </c>
      <c r="Q151" s="100">
        <f t="shared" si="107"/>
        <v>0</v>
      </c>
      <c r="R151" s="100">
        <f t="shared" si="107"/>
        <v>91820732.989999995</v>
      </c>
      <c r="S151" s="100">
        <f t="shared" si="107"/>
        <v>0</v>
      </c>
      <c r="T151" s="100">
        <v>93437188.909999996</v>
      </c>
      <c r="U151" s="100">
        <f t="shared" si="107"/>
        <v>0</v>
      </c>
      <c r="V151" s="100">
        <f t="shared" si="107"/>
        <v>1481215525.1799998</v>
      </c>
      <c r="W151" s="2561"/>
      <c r="X151" s="2562"/>
      <c r="Y151" s="88"/>
      <c r="Z151" s="2545"/>
      <c r="AA151" s="1242"/>
      <c r="AC151" s="3157">
        <v>1389394792.1900001</v>
      </c>
      <c r="AE151" s="1147"/>
    </row>
    <row r="152" spans="1:31" s="882" customFormat="1" ht="14" thickBot="1" x14ac:dyDescent="0.4">
      <c r="A152" s="863"/>
      <c r="B152" s="130"/>
      <c r="C152" s="98"/>
      <c r="D152" s="2559"/>
      <c r="E152" s="2560"/>
      <c r="F152" s="1208"/>
      <c r="G152" s="100"/>
      <c r="H152" s="100"/>
      <c r="I152" s="100"/>
      <c r="J152" s="100"/>
      <c r="K152" s="100"/>
      <c r="L152" s="100"/>
      <c r="M152" s="100"/>
      <c r="N152" s="100"/>
      <c r="O152" s="100"/>
      <c r="P152" s="100"/>
      <c r="Q152" s="118"/>
      <c r="R152" s="2562"/>
      <c r="S152" s="2561"/>
      <c r="T152" s="2562"/>
      <c r="U152" s="2561"/>
      <c r="V152" s="2544">
        <f>R152+AC152</f>
        <v>0</v>
      </c>
      <c r="W152" s="2561"/>
      <c r="X152" s="2562"/>
      <c r="Y152" s="88"/>
      <c r="Z152" s="2545"/>
      <c r="AA152" s="2480"/>
      <c r="AC152" s="3158">
        <v>0</v>
      </c>
      <c r="AE152" s="1147"/>
    </row>
    <row r="153" spans="1:31" s="882" customFormat="1" ht="14" thickBot="1" x14ac:dyDescent="0.4">
      <c r="A153" s="3895" t="s">
        <v>904</v>
      </c>
      <c r="B153" s="3896"/>
      <c r="C153" s="3897"/>
      <c r="D153" s="2617"/>
      <c r="E153" s="2618"/>
      <c r="F153" s="2619">
        <f t="shared" ref="F153:V153" si="108">F147+F137+F130+F124+F119+F110+F104+F96+F89+F81+F72+F68+F62+F52+F42+F35+F24+F151</f>
        <v>13578200</v>
      </c>
      <c r="G153" s="2620">
        <f t="shared" si="108"/>
        <v>1390000</v>
      </c>
      <c r="H153" s="2620">
        <f t="shared" si="108"/>
        <v>0</v>
      </c>
      <c r="I153" s="2620">
        <f t="shared" si="108"/>
        <v>10808800</v>
      </c>
      <c r="J153" s="2684">
        <f t="shared" si="108"/>
        <v>298317430.67000002</v>
      </c>
      <c r="K153" s="2620">
        <f t="shared" si="108"/>
        <v>70631600</v>
      </c>
      <c r="L153" s="2620">
        <f t="shared" si="108"/>
        <v>61850</v>
      </c>
      <c r="M153" s="2620">
        <f t="shared" si="108"/>
        <v>0</v>
      </c>
      <c r="N153" s="2620">
        <f t="shared" si="108"/>
        <v>105573243</v>
      </c>
      <c r="O153" s="2620">
        <f t="shared" si="108"/>
        <v>91820732.989999995</v>
      </c>
      <c r="P153" s="2620">
        <f t="shared" si="108"/>
        <v>77692361.716666669</v>
      </c>
      <c r="Q153" s="2620">
        <f t="shared" si="108"/>
        <v>0</v>
      </c>
      <c r="R153" s="2620">
        <f t="shared" si="108"/>
        <v>669874218.37666678</v>
      </c>
      <c r="S153" s="2620">
        <f t="shared" si="108"/>
        <v>0</v>
      </c>
      <c r="T153" s="2620">
        <v>953712655.12666667</v>
      </c>
      <c r="U153" s="2620">
        <f t="shared" si="108"/>
        <v>0</v>
      </c>
      <c r="V153" s="2620">
        <f t="shared" si="108"/>
        <v>10123862493.59</v>
      </c>
      <c r="W153" s="2621"/>
      <c r="X153" s="2622"/>
      <c r="Y153" s="2623"/>
      <c r="Z153" s="2624" t="s">
        <v>6941</v>
      </c>
      <c r="AA153" s="2480"/>
      <c r="AC153" s="3159">
        <v>9453988275.2133331</v>
      </c>
      <c r="AE153" s="1147"/>
    </row>
    <row r="154" spans="1:31" s="2630" customFormat="1" x14ac:dyDescent="0.25">
      <c r="A154" s="2625"/>
      <c r="B154" s="191"/>
      <c r="C154" s="2626"/>
      <c r="D154" s="2627"/>
      <c r="E154" s="2627"/>
      <c r="F154" s="2628">
        <f>F153-'10'!D18</f>
        <v>0</v>
      </c>
      <c r="G154" s="2628">
        <f>G153-'10'!D24</f>
        <v>0</v>
      </c>
      <c r="H154" s="2628">
        <f>H153-'10'!D28</f>
        <v>0</v>
      </c>
      <c r="I154" s="2628">
        <f>I153-'10'!D42</f>
        <v>0</v>
      </c>
      <c r="J154" s="2628">
        <f>J153-'10'!D50</f>
        <v>0</v>
      </c>
      <c r="K154" s="2628">
        <f>K153-'10'!D60</f>
        <v>0</v>
      </c>
      <c r="L154" s="2628">
        <f>L153-'10'!D65</f>
        <v>0</v>
      </c>
      <c r="M154" s="2628">
        <f>M153-'10'!D70</f>
        <v>0</v>
      </c>
      <c r="N154" s="2628">
        <f>N153-'10'!D75</f>
        <v>0</v>
      </c>
      <c r="O154" s="2628">
        <f>O153-'10'!D86</f>
        <v>0</v>
      </c>
      <c r="P154" s="2628">
        <f>'[18]10'!D96-'[18]11'!P153</f>
        <v>0</v>
      </c>
      <c r="Q154" s="2628">
        <f>'[18]10'!D104-'[18]11'!Q153</f>
        <v>0</v>
      </c>
      <c r="R154" s="2629">
        <f>R153-LR!E75</f>
        <v>0</v>
      </c>
      <c r="T154" s="2629">
        <f>T153-LR!H75</f>
        <v>0</v>
      </c>
      <c r="U154" s="2629">
        <f>U153-[18]RL!I78</f>
        <v>-100</v>
      </c>
      <c r="V154" s="2629">
        <f>V153-LR!K75</f>
        <v>0</v>
      </c>
      <c r="X154" s="2629"/>
      <c r="AC154" s="2631">
        <f>AC153-'[6]11'!$V$153</f>
        <v>0</v>
      </c>
    </row>
    <row r="155" spans="1:31" s="2636" customFormat="1" ht="13" customHeight="1" x14ac:dyDescent="0.25">
      <c r="A155" s="2632"/>
      <c r="B155" s="187"/>
      <c r="C155" s="2633"/>
      <c r="D155" s="2634"/>
      <c r="E155" s="2634"/>
      <c r="F155" s="188"/>
      <c r="G155" s="188"/>
      <c r="H155" s="188"/>
      <c r="I155" s="188"/>
      <c r="J155" s="188"/>
      <c r="K155" s="188"/>
      <c r="L155" s="188"/>
      <c r="M155" s="188"/>
      <c r="N155" s="188">
        <v>254234827.52000001</v>
      </c>
      <c r="O155" s="2635"/>
      <c r="P155" s="188"/>
      <c r="Q155" s="509"/>
      <c r="R155" s="1145"/>
      <c r="T155" s="2637"/>
      <c r="V155" s="2638"/>
      <c r="X155" s="2638"/>
      <c r="AC155" s="1570"/>
    </row>
    <row r="156" spans="1:31" s="2636" customFormat="1" ht="12.75" customHeight="1" x14ac:dyDescent="0.25">
      <c r="A156" s="2632"/>
      <c r="B156" s="187"/>
      <c r="C156" s="2633"/>
      <c r="D156" s="2634"/>
      <c r="E156" s="2634"/>
      <c r="F156" s="188"/>
      <c r="G156" s="188"/>
      <c r="H156" s="188"/>
      <c r="I156" s="188"/>
      <c r="J156" s="188"/>
      <c r="K156" s="188"/>
      <c r="L156" s="188"/>
      <c r="M156" s="188"/>
      <c r="N156" s="188"/>
      <c r="O156" s="2635"/>
      <c r="P156" s="188"/>
      <c r="Q156" s="509"/>
      <c r="R156" s="1145"/>
      <c r="T156" s="2638"/>
      <c r="V156" s="2638"/>
      <c r="X156" s="2638"/>
      <c r="AC156" s="2639">
        <v>0</v>
      </c>
    </row>
    <row r="157" spans="1:31" s="2636" customFormat="1" ht="10.5" customHeight="1" x14ac:dyDescent="0.25">
      <c r="A157" s="2632"/>
      <c r="B157" s="187"/>
      <c r="C157" s="2633"/>
      <c r="D157" s="2634"/>
      <c r="E157" s="2634"/>
      <c r="F157" s="188"/>
      <c r="G157" s="188"/>
      <c r="H157" s="188"/>
      <c r="I157" s="188"/>
      <c r="J157" s="188"/>
      <c r="K157" s="188"/>
      <c r="L157" s="188"/>
      <c r="M157" s="188"/>
      <c r="N157" s="188"/>
      <c r="O157" s="188"/>
      <c r="P157" s="188"/>
      <c r="Q157" s="188"/>
      <c r="R157" s="2638"/>
      <c r="T157" s="2640"/>
      <c r="V157" s="2638"/>
      <c r="X157" s="2638"/>
      <c r="AC157" s="2639">
        <v>0</v>
      </c>
    </row>
    <row r="158" spans="1:31" s="2636" customFormat="1" x14ac:dyDescent="0.25">
      <c r="A158" s="2632"/>
      <c r="B158" s="187"/>
      <c r="C158" s="2633"/>
      <c r="D158" s="2634"/>
      <c r="E158" s="2634"/>
      <c r="F158" s="188"/>
      <c r="G158" s="188"/>
      <c r="H158" s="188"/>
      <c r="I158" s="188"/>
      <c r="J158" s="188"/>
      <c r="K158" s="188"/>
      <c r="L158" s="188"/>
      <c r="M158" s="188"/>
      <c r="N158" s="188"/>
      <c r="O158" s="188"/>
      <c r="P158" s="188"/>
      <c r="Q158" s="188"/>
      <c r="R158" s="2638"/>
      <c r="T158" s="2638"/>
      <c r="V158" s="2638"/>
      <c r="X158" s="2638"/>
      <c r="AC158" s="2639">
        <v>140970636.56</v>
      </c>
    </row>
    <row r="159" spans="1:31" s="2636" customFormat="1" x14ac:dyDescent="0.25">
      <c r="A159" s="2632"/>
      <c r="B159" s="187"/>
      <c r="C159" s="2633"/>
      <c r="D159" s="2634"/>
      <c r="E159" s="2634"/>
      <c r="F159" s="188"/>
      <c r="G159" s="188"/>
      <c r="H159" s="188"/>
      <c r="I159" s="188"/>
      <c r="J159" s="188"/>
      <c r="K159" s="188"/>
      <c r="L159" s="188"/>
      <c r="M159" s="188"/>
      <c r="N159" s="188"/>
      <c r="O159" s="188"/>
      <c r="P159" s="188"/>
      <c r="Q159" s="188"/>
      <c r="R159" s="2638"/>
      <c r="T159" s="2638"/>
      <c r="V159" s="2638"/>
      <c r="X159" s="2638"/>
      <c r="AC159" s="2639">
        <v>0</v>
      </c>
    </row>
    <row r="160" spans="1:31" s="2636" customFormat="1" x14ac:dyDescent="0.25">
      <c r="A160" s="2632"/>
      <c r="B160" s="187"/>
      <c r="C160" s="2633"/>
      <c r="D160" s="2634"/>
      <c r="E160" s="2634"/>
      <c r="F160" s="188"/>
      <c r="G160" s="188"/>
      <c r="H160" s="188"/>
      <c r="I160" s="188"/>
      <c r="J160" s="188"/>
      <c r="K160" s="188"/>
      <c r="L160" s="188"/>
      <c r="M160" s="188"/>
      <c r="N160" s="188"/>
      <c r="O160" s="188"/>
      <c r="P160" s="188"/>
      <c r="Q160" s="188"/>
      <c r="R160" s="2638"/>
      <c r="T160" s="2638"/>
      <c r="V160" s="2638"/>
      <c r="X160" s="2638"/>
      <c r="AC160" s="2639">
        <v>238691641.06</v>
      </c>
    </row>
    <row r="161" spans="1:29" s="2636" customFormat="1" x14ac:dyDescent="0.25">
      <c r="A161" s="2632"/>
      <c r="B161" s="187"/>
      <c r="C161" s="2633"/>
      <c r="D161" s="2634"/>
      <c r="E161" s="2634"/>
      <c r="F161" s="188"/>
      <c r="G161" s="188"/>
      <c r="H161" s="188"/>
      <c r="I161" s="188"/>
      <c r="J161" s="188"/>
      <c r="K161" s="188"/>
      <c r="L161" s="188"/>
      <c r="M161" s="188"/>
      <c r="N161" s="188"/>
      <c r="O161" s="188"/>
      <c r="P161" s="188"/>
      <c r="Q161" s="188"/>
      <c r="R161" s="2638"/>
      <c r="T161" s="2638"/>
      <c r="V161" s="2638"/>
      <c r="X161" s="2638"/>
      <c r="AC161" s="2639">
        <v>0</v>
      </c>
    </row>
    <row r="162" spans="1:29" s="2636" customFormat="1" x14ac:dyDescent="0.25">
      <c r="A162" s="2632"/>
      <c r="B162" s="187"/>
      <c r="C162" s="2633"/>
      <c r="D162" s="2634"/>
      <c r="E162" s="2634"/>
      <c r="F162" s="188"/>
      <c r="G162" s="188"/>
      <c r="H162" s="188"/>
      <c r="I162" s="188"/>
      <c r="J162" s="188"/>
      <c r="K162" s="188"/>
      <c r="L162" s="188"/>
      <c r="M162" s="188"/>
      <c r="N162" s="188"/>
      <c r="O162" s="188"/>
      <c r="P162" s="188"/>
      <c r="Q162" s="188"/>
      <c r="R162" s="2638"/>
      <c r="T162" s="2638"/>
      <c r="V162" s="2638"/>
      <c r="X162" s="2638"/>
      <c r="AC162" s="2639">
        <v>238691641.06</v>
      </c>
    </row>
    <row r="163" spans="1:29" s="2636" customFormat="1" x14ac:dyDescent="0.25">
      <c r="A163" s="2632"/>
      <c r="B163" s="187"/>
      <c r="C163" s="2633"/>
      <c r="D163" s="2634"/>
      <c r="E163" s="2634"/>
      <c r="F163" s="188"/>
      <c r="G163" s="188"/>
      <c r="H163" s="188"/>
      <c r="I163" s="188"/>
      <c r="J163" s="188"/>
      <c r="K163" s="188"/>
      <c r="L163" s="188"/>
      <c r="M163" s="188"/>
      <c r="N163" s="188"/>
      <c r="O163" s="188"/>
      <c r="P163" s="188"/>
      <c r="Q163" s="188"/>
      <c r="R163" s="2638"/>
      <c r="T163" s="2638"/>
      <c r="V163" s="2638"/>
      <c r="X163" s="2638"/>
      <c r="AC163" s="2639">
        <v>0</v>
      </c>
    </row>
    <row r="164" spans="1:29" s="2636" customFormat="1" ht="63" customHeight="1" x14ac:dyDescent="0.25">
      <c r="A164" s="2632"/>
      <c r="B164" s="187"/>
      <c r="C164" s="2633"/>
      <c r="D164" s="2634"/>
      <c r="E164" s="2634"/>
      <c r="F164" s="188"/>
      <c r="G164" s="188"/>
      <c r="H164" s="188"/>
      <c r="I164" s="188"/>
      <c r="J164" s="188"/>
      <c r="K164" s="188"/>
      <c r="L164" s="188"/>
      <c r="M164" s="188"/>
      <c r="N164" s="188"/>
      <c r="O164" s="188"/>
      <c r="P164" s="188"/>
      <c r="Q164" s="188"/>
      <c r="R164" s="2638"/>
      <c r="T164" s="2638"/>
      <c r="V164" s="2638"/>
      <c r="X164" s="2638"/>
      <c r="AC164" s="2639">
        <v>949300034.69000006</v>
      </c>
    </row>
    <row r="165" spans="1:29" s="882" customFormat="1" ht="13.5" x14ac:dyDescent="0.35">
      <c r="A165" s="2641" t="e">
        <f>[18]Nrc!#REF!</f>
        <v>#REF!</v>
      </c>
      <c r="B165" s="130"/>
      <c r="C165" s="130"/>
      <c r="D165" s="2642"/>
      <c r="E165" s="2642"/>
      <c r="F165" s="180"/>
      <c r="G165" s="180"/>
      <c r="H165" s="180"/>
      <c r="I165" s="180"/>
      <c r="J165" s="180"/>
      <c r="K165" s="180"/>
      <c r="L165" s="180"/>
      <c r="M165" s="180"/>
      <c r="N165" s="180"/>
      <c r="O165" s="180"/>
      <c r="P165" s="180"/>
      <c r="Q165" s="180"/>
      <c r="R165" s="180"/>
      <c r="S165" s="180"/>
      <c r="T165" s="180"/>
      <c r="U165" s="180"/>
      <c r="V165" s="180"/>
      <c r="W165" s="2643"/>
      <c r="X165" s="2644"/>
      <c r="Y165" s="88"/>
      <c r="Z165" s="2645" t="s">
        <v>410</v>
      </c>
      <c r="AA165" s="2480"/>
      <c r="AC165" s="2644"/>
    </row>
    <row r="166" spans="1:29" s="882" customFormat="1" ht="13.5" x14ac:dyDescent="0.35">
      <c r="A166" s="64"/>
      <c r="B166" s="130"/>
      <c r="C166" s="130"/>
      <c r="D166" s="2642"/>
      <c r="E166" s="2642"/>
      <c r="F166" s="180"/>
      <c r="G166" s="180"/>
      <c r="H166" s="180"/>
      <c r="I166" s="180"/>
      <c r="J166" s="180"/>
      <c r="K166" s="180"/>
      <c r="L166" s="180"/>
      <c r="M166" s="180"/>
      <c r="N166" s="180"/>
      <c r="O166" s="180"/>
      <c r="P166" s="180"/>
      <c r="Q166" s="180"/>
      <c r="R166" s="180"/>
      <c r="S166" s="180"/>
      <c r="T166" s="180"/>
      <c r="U166" s="180"/>
      <c r="V166" s="180"/>
      <c r="W166" s="2643"/>
      <c r="X166" s="2644"/>
      <c r="Y166" s="88"/>
      <c r="Z166" s="1851"/>
      <c r="AA166" s="2480"/>
      <c r="AC166" s="2644"/>
    </row>
    <row r="167" spans="1:29" s="882" customFormat="1" ht="13.5" x14ac:dyDescent="0.35">
      <c r="A167" s="543" t="str">
        <f>'10'!A107</f>
        <v>Laporan Keuangan June 2026</v>
      </c>
      <c r="B167" s="2646"/>
      <c r="C167" s="2647"/>
      <c r="D167" s="2648"/>
      <c r="E167" s="2648"/>
      <c r="F167" s="2649"/>
      <c r="G167" s="2649"/>
      <c r="H167" s="2649"/>
      <c r="I167" s="2649"/>
      <c r="J167" s="2649"/>
      <c r="K167" s="3885" t="s">
        <v>2456</v>
      </c>
      <c r="L167" s="3886"/>
      <c r="M167" s="3886"/>
      <c r="N167" s="3886"/>
      <c r="O167" s="3886"/>
      <c r="P167" s="2649"/>
      <c r="Q167" s="2649"/>
      <c r="R167" s="2649"/>
      <c r="S167" s="2649"/>
      <c r="T167" s="2649"/>
      <c r="U167" s="2649"/>
      <c r="V167" s="2649"/>
      <c r="W167" s="2650"/>
      <c r="X167" s="2651"/>
      <c r="Y167" s="2652"/>
      <c r="Z167" s="2653" t="str">
        <f>'10'!L107</f>
        <v>Financial Statement Jun 2026</v>
      </c>
      <c r="AA167" s="2480"/>
      <c r="AC167" s="2644"/>
    </row>
    <row r="168" spans="1:29" s="2636" customFormat="1" x14ac:dyDescent="0.25">
      <c r="A168" s="2632"/>
      <c r="B168" s="187"/>
      <c r="C168" s="2633"/>
      <c r="D168" s="2634"/>
      <c r="E168" s="2634"/>
      <c r="F168" s="188"/>
      <c r="G168" s="188"/>
      <c r="H168" s="188"/>
      <c r="I168" s="188"/>
      <c r="J168" s="188"/>
      <c r="K168" s="188"/>
      <c r="L168" s="188"/>
      <c r="M168" s="188"/>
      <c r="N168" s="188"/>
      <c r="O168" s="188"/>
      <c r="P168" s="188"/>
      <c r="Q168" s="188"/>
      <c r="R168" s="2638"/>
      <c r="T168" s="2638"/>
      <c r="V168" s="2638"/>
      <c r="X168" s="2638"/>
      <c r="AC168" s="2639"/>
    </row>
    <row r="169" spans="1:29" s="2666" customFormat="1" ht="21" hidden="1" outlineLevel="1" x14ac:dyDescent="0.35">
      <c r="A169" s="2654" t="str">
        <f>[19]NRC!$B$81</f>
        <v>Laporan keuangan Oktober 2015</v>
      </c>
      <c r="B169" s="2655"/>
      <c r="C169" s="2656"/>
      <c r="D169" s="2657"/>
      <c r="E169" s="2658"/>
      <c r="F169" s="2659"/>
      <c r="G169" s="2660"/>
      <c r="H169" s="2660"/>
      <c r="I169" s="2660"/>
      <c r="J169" s="2660"/>
      <c r="K169" s="2660"/>
      <c r="L169" s="2660"/>
      <c r="M169" s="2660"/>
      <c r="N169" s="2661" t="s">
        <v>2497</v>
      </c>
      <c r="O169" s="2660"/>
      <c r="P169" s="2660"/>
      <c r="Q169" s="2662"/>
      <c r="R169" s="2663"/>
      <c r="S169" s="2663"/>
      <c r="T169" s="2663"/>
      <c r="U169" s="2663"/>
      <c r="V169" s="2663"/>
      <c r="W169" s="2663"/>
      <c r="X169" s="2663"/>
      <c r="Y169" s="2664"/>
      <c r="Z169" s="2665" t="str">
        <f>[19]NRC!$J$81</f>
        <v>Financial statements October 2015</v>
      </c>
      <c r="AC169" s="2667"/>
    </row>
    <row r="170" spans="1:29" collapsed="1" x14ac:dyDescent="0.35">
      <c r="A170" s="3887" t="s">
        <v>23</v>
      </c>
      <c r="B170" s="3887"/>
      <c r="C170" s="3887"/>
      <c r="D170" s="3887"/>
      <c r="E170" s="3887"/>
      <c r="F170" s="3887"/>
      <c r="G170" s="3887"/>
      <c r="H170" s="3887"/>
      <c r="I170" s="3887"/>
      <c r="J170" s="3887"/>
      <c r="K170" s="3887"/>
      <c r="L170" s="3887"/>
      <c r="M170" s="3887"/>
      <c r="N170" s="3887"/>
      <c r="O170" s="3887"/>
      <c r="P170" s="3887"/>
      <c r="Q170" s="3887"/>
      <c r="R170" s="3887"/>
      <c r="S170" s="3887"/>
      <c r="T170" s="3887"/>
      <c r="U170" s="3887"/>
      <c r="V170" s="3887"/>
      <c r="W170" s="3887"/>
      <c r="X170" s="3887"/>
      <c r="Y170" s="3887"/>
      <c r="Z170" s="3887"/>
    </row>
    <row r="171" spans="1:29" ht="13.5" x14ac:dyDescent="0.35">
      <c r="A171" s="2009" t="s">
        <v>27</v>
      </c>
      <c r="B171" s="1323"/>
      <c r="C171" s="1323" t="s">
        <v>6942</v>
      </c>
      <c r="D171" s="1323"/>
      <c r="E171" s="1323"/>
      <c r="F171" s="1145">
        <f>F153-F154</f>
        <v>13578200</v>
      </c>
      <c r="G171" s="1145">
        <f>G153-G154</f>
        <v>1390000</v>
      </c>
      <c r="H171" s="1145">
        <f t="shared" ref="H171:R171" si="109">H153-H154</f>
        <v>0</v>
      </c>
      <c r="I171" s="1145">
        <f t="shared" si="109"/>
        <v>10808800</v>
      </c>
      <c r="J171" s="1145">
        <f t="shared" si="109"/>
        <v>298317430.67000002</v>
      </c>
      <c r="K171" s="1145">
        <f t="shared" si="109"/>
        <v>70631600</v>
      </c>
      <c r="L171" s="1145">
        <f t="shared" si="109"/>
        <v>61850</v>
      </c>
      <c r="M171" s="1145">
        <f t="shared" si="109"/>
        <v>0</v>
      </c>
      <c r="N171" s="1145">
        <f t="shared" si="109"/>
        <v>105573243</v>
      </c>
      <c r="O171" s="1145">
        <f t="shared" si="109"/>
        <v>91820732.989999995</v>
      </c>
      <c r="P171" s="1145">
        <f t="shared" si="109"/>
        <v>77692361.716666669</v>
      </c>
      <c r="Q171" s="1145">
        <f t="shared" si="109"/>
        <v>0</v>
      </c>
      <c r="R171" s="1145">
        <f t="shared" si="109"/>
        <v>669874218.37666678</v>
      </c>
      <c r="T171" s="1302">
        <f>'[19]LR '!H79</f>
        <v>2023675081.3499999</v>
      </c>
      <c r="V171" s="1302">
        <f>'[19]LR '!J79</f>
        <v>8046911050.3400002</v>
      </c>
      <c r="Y171" s="2669" t="s">
        <v>6942</v>
      </c>
    </row>
    <row r="172" spans="1:29" x14ac:dyDescent="0.35">
      <c r="C172" s="1143" t="s">
        <v>6943</v>
      </c>
      <c r="V172" s="1302">
        <f>V153-V171</f>
        <v>2076951443.25</v>
      </c>
      <c r="Y172" s="2484" t="s">
        <v>6943</v>
      </c>
    </row>
    <row r="173" spans="1:29" x14ac:dyDescent="0.35">
      <c r="A173" s="1147"/>
      <c r="B173" s="1147"/>
      <c r="C173" s="1143" t="s">
        <v>6944</v>
      </c>
      <c r="V173" s="1302">
        <f>V171-V24-V62-V119</f>
        <v>2886436239.1800003</v>
      </c>
      <c r="Y173" s="2484" t="s">
        <v>6944</v>
      </c>
      <c r="Z173" s="1147"/>
      <c r="AA173" s="1147"/>
    </row>
    <row r="174" spans="1:29" x14ac:dyDescent="0.3">
      <c r="A174" s="1147"/>
      <c r="B174" s="1147"/>
      <c r="C174" s="1143" t="s">
        <v>6945</v>
      </c>
      <c r="N174" s="140">
        <v>254234827.52000001</v>
      </c>
      <c r="Y174" s="2484" t="s">
        <v>6945</v>
      </c>
      <c r="Z174" s="1147"/>
      <c r="AA174" s="1147"/>
    </row>
    <row r="175" spans="1:29" x14ac:dyDescent="0.35">
      <c r="A175" s="1147"/>
      <c r="B175" s="1147"/>
      <c r="Z175" s="1147"/>
      <c r="AA175" s="1147"/>
    </row>
    <row r="176" spans="1:29" x14ac:dyDescent="0.35">
      <c r="A176" s="1147"/>
      <c r="B176" s="1147"/>
      <c r="Z176" s="1147"/>
      <c r="AA176" s="1147"/>
    </row>
    <row r="177" spans="1:27" x14ac:dyDescent="0.35">
      <c r="A177" s="1147"/>
      <c r="B177" s="1147"/>
      <c r="Z177" s="1147"/>
      <c r="AA177" s="1147"/>
    </row>
    <row r="178" spans="1:27" x14ac:dyDescent="0.35">
      <c r="A178" s="1147"/>
      <c r="B178" s="1147"/>
      <c r="Z178" s="1147"/>
      <c r="AA178" s="1147"/>
    </row>
    <row r="179" spans="1:27" x14ac:dyDescent="0.35">
      <c r="A179" s="1147"/>
      <c r="B179" s="1147"/>
      <c r="Z179" s="1147"/>
      <c r="AA179" s="1147"/>
    </row>
    <row r="180" spans="1:27" x14ac:dyDescent="0.35">
      <c r="A180" s="1147"/>
      <c r="B180" s="1147"/>
      <c r="Z180" s="1147"/>
      <c r="AA180" s="1147"/>
    </row>
    <row r="181" spans="1:27" x14ac:dyDescent="0.35">
      <c r="A181" s="1147"/>
      <c r="B181" s="1147"/>
      <c r="Z181" s="1147"/>
      <c r="AA181" s="1147"/>
    </row>
    <row r="182" spans="1:27" x14ac:dyDescent="0.35">
      <c r="A182" s="1147"/>
      <c r="B182" s="1147"/>
      <c r="Z182" s="1147"/>
      <c r="AA182" s="1147"/>
    </row>
    <row r="183" spans="1:27" x14ac:dyDescent="0.35">
      <c r="A183" s="1147"/>
      <c r="B183" s="1147"/>
      <c r="Z183" s="1147"/>
      <c r="AA183" s="1147"/>
    </row>
    <row r="184" spans="1:27" x14ac:dyDescent="0.35">
      <c r="A184" s="1147"/>
      <c r="B184" s="1147"/>
      <c r="Z184" s="1147"/>
      <c r="AA184" s="1147"/>
    </row>
    <row r="185" spans="1:27" x14ac:dyDescent="0.35">
      <c r="A185" s="1147"/>
      <c r="B185" s="1147"/>
      <c r="Z185" s="1147"/>
      <c r="AA185" s="1147"/>
    </row>
    <row r="186" spans="1:27" x14ac:dyDescent="0.35">
      <c r="A186" s="1147"/>
      <c r="B186" s="1147"/>
      <c r="Z186" s="1147"/>
      <c r="AA186" s="1147"/>
    </row>
    <row r="187" spans="1:27" x14ac:dyDescent="0.35">
      <c r="A187" s="1147"/>
      <c r="B187" s="1147"/>
      <c r="Z187" s="1147"/>
      <c r="AA187" s="1147"/>
    </row>
    <row r="188" spans="1:27" x14ac:dyDescent="0.35">
      <c r="A188" s="1147"/>
      <c r="B188" s="1147"/>
      <c r="Z188" s="1147"/>
      <c r="AA188" s="1147"/>
    </row>
    <row r="189" spans="1:27" x14ac:dyDescent="0.35">
      <c r="A189" s="1147"/>
      <c r="B189" s="1147"/>
      <c r="C189" s="1147"/>
      <c r="D189" s="1147"/>
      <c r="E189" s="1147"/>
      <c r="F189" s="1147"/>
      <c r="G189" s="1147"/>
      <c r="H189" s="1147"/>
      <c r="I189" s="1147"/>
      <c r="J189" s="1147"/>
      <c r="K189" s="1147"/>
      <c r="L189" s="1147"/>
      <c r="M189" s="1147"/>
      <c r="N189" s="1147"/>
      <c r="O189" s="1147"/>
      <c r="P189" s="1147"/>
      <c r="Q189" s="1147"/>
      <c r="R189" s="1147"/>
      <c r="S189" s="1147"/>
      <c r="T189" s="1147"/>
      <c r="U189" s="1147"/>
      <c r="V189" s="1147"/>
      <c r="W189" s="1147"/>
      <c r="X189" s="1147"/>
      <c r="Y189" s="1147"/>
      <c r="Z189" s="1147"/>
      <c r="AA189" s="1147"/>
    </row>
    <row r="190" spans="1:27" x14ac:dyDescent="0.35">
      <c r="A190" s="1147"/>
      <c r="B190" s="1147"/>
      <c r="C190" s="1147"/>
      <c r="D190" s="1147"/>
      <c r="E190" s="1147"/>
      <c r="F190" s="1147"/>
      <c r="G190" s="1147"/>
      <c r="H190" s="1147"/>
      <c r="I190" s="1147"/>
      <c r="J190" s="1147"/>
      <c r="K190" s="1147"/>
      <c r="L190" s="1147"/>
      <c r="M190" s="1147"/>
      <c r="N190" s="1147"/>
      <c r="O190" s="1147"/>
      <c r="P190" s="1147"/>
      <c r="Q190" s="1147"/>
      <c r="R190" s="1147"/>
      <c r="S190" s="1147"/>
      <c r="T190" s="1147"/>
      <c r="U190" s="1147"/>
      <c r="V190" s="1147"/>
      <c r="W190" s="1147"/>
      <c r="X190" s="1147"/>
      <c r="Y190" s="1147"/>
      <c r="Z190" s="1147"/>
      <c r="AA190" s="1147"/>
    </row>
    <row r="191" spans="1:27" x14ac:dyDescent="0.35">
      <c r="A191" s="1147"/>
      <c r="B191" s="1147"/>
      <c r="C191" s="1147"/>
      <c r="D191" s="1147"/>
      <c r="E191" s="1147"/>
      <c r="F191" s="1147"/>
      <c r="G191" s="1147"/>
      <c r="H191" s="1147"/>
      <c r="I191" s="1147"/>
      <c r="J191" s="1147"/>
      <c r="K191" s="1147"/>
      <c r="L191" s="1147"/>
      <c r="M191" s="1147"/>
      <c r="N191" s="1147"/>
      <c r="O191" s="1147"/>
      <c r="P191" s="1147"/>
      <c r="Q191" s="1147"/>
      <c r="R191" s="1147"/>
      <c r="S191" s="1147"/>
      <c r="T191" s="1147"/>
      <c r="U191" s="1147"/>
      <c r="V191" s="1147"/>
      <c r="W191" s="1147"/>
      <c r="X191" s="1147"/>
      <c r="Y191" s="1147"/>
      <c r="Z191" s="1147"/>
      <c r="AA191" s="1147"/>
    </row>
    <row r="192" spans="1:27" x14ac:dyDescent="0.35">
      <c r="A192" s="1147"/>
      <c r="B192" s="1147"/>
      <c r="C192" s="1147"/>
      <c r="D192" s="1147"/>
      <c r="E192" s="1147"/>
      <c r="F192" s="1147"/>
      <c r="G192" s="1147"/>
      <c r="H192" s="1147"/>
      <c r="I192" s="1147"/>
      <c r="J192" s="1147"/>
      <c r="K192" s="1147"/>
      <c r="L192" s="1147"/>
      <c r="M192" s="1147"/>
      <c r="N192" s="1147"/>
      <c r="O192" s="1147"/>
      <c r="P192" s="1147"/>
      <c r="Q192" s="1147"/>
      <c r="R192" s="1147"/>
      <c r="S192" s="1147"/>
      <c r="T192" s="1147"/>
      <c r="U192" s="1147"/>
      <c r="V192" s="1147"/>
      <c r="W192" s="1147"/>
      <c r="X192" s="1147"/>
      <c r="Y192" s="1147"/>
      <c r="Z192" s="1147"/>
      <c r="AA192" s="1147"/>
    </row>
    <row r="193" s="1147" customFormat="1" x14ac:dyDescent="0.35"/>
    <row r="194" s="1147" customFormat="1" x14ac:dyDescent="0.35"/>
    <row r="195" s="1147" customFormat="1" x14ac:dyDescent="0.35"/>
    <row r="196" s="1147" customFormat="1" x14ac:dyDescent="0.35"/>
  </sheetData>
  <mergeCells count="11">
    <mergeCell ref="K167:O167"/>
    <mergeCell ref="A170:Z170"/>
    <mergeCell ref="A2:Z2"/>
    <mergeCell ref="A4:Z4"/>
    <mergeCell ref="A12:C18"/>
    <mergeCell ref="F12:R12"/>
    <mergeCell ref="X12:Z18"/>
    <mergeCell ref="A153:C153"/>
    <mergeCell ref="V16:V18"/>
    <mergeCell ref="V13:V15"/>
    <mergeCell ref="T16:T18"/>
  </mergeCells>
  <pageMargins left="0.7" right="0.7" top="0.75" bottom="0.75" header="0.3" footer="0.3"/>
  <pageSetup paperSize="9" orientation="portrait" horizontalDpi="0" verticalDpi="0" r:id="rId1"/>
  <legacy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96"/>
  <sheetViews>
    <sheetView topLeftCell="A13" workbookViewId="0">
      <selection activeCell="I43" sqref="I43"/>
    </sheetView>
  </sheetViews>
  <sheetFormatPr defaultColWidth="8.81640625" defaultRowHeight="13" outlineLevelRow="1" x14ac:dyDescent="0.3"/>
  <cols>
    <col min="1" max="1" width="1.54296875" style="43" customWidth="1"/>
    <col min="2" max="2" width="0.7265625" style="43" customWidth="1"/>
    <col min="3" max="3" width="1.7265625" style="43" customWidth="1"/>
    <col min="4" max="4" width="35.81640625" style="43" customWidth="1"/>
    <col min="5" max="5" width="24.1796875" style="50" customWidth="1"/>
    <col min="6" max="6" width="24.1796875" style="2783" customWidth="1"/>
    <col min="7" max="7" width="34.81640625" style="43" customWidth="1"/>
    <col min="8" max="8" width="1.81640625" style="58" customWidth="1"/>
    <col min="9" max="9" width="18.7265625" style="43" customWidth="1"/>
    <col min="10" max="16384" width="8.81640625" style="43"/>
  </cols>
  <sheetData>
    <row r="1" spans="2:8" s="2267" customFormat="1" ht="14" x14ac:dyDescent="0.3">
      <c r="B1" s="3410" t="s">
        <v>7325</v>
      </c>
      <c r="C1" s="3410"/>
      <c r="D1" s="3410"/>
      <c r="E1" s="3410"/>
      <c r="F1" s="3410"/>
      <c r="G1" s="3410"/>
      <c r="H1" s="3410"/>
    </row>
    <row r="2" spans="2:8" s="2267" customFormat="1" ht="3.75" customHeight="1" x14ac:dyDescent="0.3">
      <c r="B2" s="2057"/>
      <c r="C2" s="2057"/>
      <c r="D2" s="2057"/>
      <c r="E2" s="2057"/>
      <c r="F2" s="2731"/>
      <c r="G2" s="2057"/>
      <c r="H2" s="2057"/>
    </row>
    <row r="3" spans="2:8" s="2267" customFormat="1" ht="6.75" customHeight="1" x14ac:dyDescent="0.3">
      <c r="B3" s="2057"/>
      <c r="C3" s="2057"/>
      <c r="D3" s="2057"/>
      <c r="E3" s="2057"/>
      <c r="F3" s="2731"/>
      <c r="G3" s="2057"/>
      <c r="H3" s="2057"/>
    </row>
    <row r="4" spans="2:8" s="1153" customFormat="1" ht="22.5" customHeight="1" outlineLevel="1" x14ac:dyDescent="0.35">
      <c r="B4" s="3812" t="s">
        <v>7205</v>
      </c>
      <c r="C4" s="3812"/>
      <c r="D4" s="3812"/>
      <c r="E4" s="3812"/>
      <c r="F4" s="3812"/>
      <c r="G4" s="3812"/>
      <c r="H4" s="3812"/>
    </row>
    <row r="5" spans="2:8" s="2267" customFormat="1" ht="14" x14ac:dyDescent="0.3">
      <c r="B5" s="1734" t="s">
        <v>7206</v>
      </c>
      <c r="C5" s="2268"/>
      <c r="D5" s="2268"/>
      <c r="E5" s="2269"/>
      <c r="F5" s="2732"/>
      <c r="G5" s="2268"/>
      <c r="H5" s="82" t="s">
        <v>7207</v>
      </c>
    </row>
    <row r="6" spans="2:8" s="2267" customFormat="1" ht="21" customHeight="1" x14ac:dyDescent="0.3">
      <c r="B6" s="3873" t="str">
        <f>NRC!B5</f>
        <v>30 June 2026</v>
      </c>
      <c r="C6" s="3873"/>
      <c r="D6" s="3873"/>
      <c r="E6" s="2275"/>
      <c r="F6" s="2733"/>
      <c r="G6" s="3400">
        <f>NRC!I5</f>
        <v>46203</v>
      </c>
      <c r="H6" s="3400"/>
    </row>
    <row r="7" spans="2:8" s="2267" customFormat="1" ht="14" x14ac:dyDescent="0.3">
      <c r="B7" s="1734" t="str">
        <f>NRC!C6</f>
        <v>(Dengan perbandingan informasi keuangan untuk bulan yang berakhir 31 May 2026 /</v>
      </c>
      <c r="C7" s="2275"/>
      <c r="D7" s="2275"/>
      <c r="E7" s="2275"/>
      <c r="F7" s="2733"/>
      <c r="G7" s="2275"/>
      <c r="H7" s="82" t="str">
        <f>NRC!K6</f>
        <v>With Comparative financial information for the month ended May 31, 2026 )</v>
      </c>
    </row>
    <row r="8" spans="2:8" s="2267" customFormat="1" ht="14" x14ac:dyDescent="0.3">
      <c r="B8" s="1734" t="str">
        <f>[20]NRC!B7</f>
        <v>(Disajikan dalam rupiah)</v>
      </c>
      <c r="C8" s="2275"/>
      <c r="D8" s="2275"/>
      <c r="E8" s="2275"/>
      <c r="F8" s="2733"/>
      <c r="G8" s="2275"/>
      <c r="H8" s="82" t="str">
        <f>[20]NRC!J7</f>
        <v xml:space="preserve"> (Expressed in rupiah)</v>
      </c>
    </row>
    <row r="9" spans="2:8" s="2197" customFormat="1" ht="15" customHeight="1" thickBot="1" x14ac:dyDescent="0.4">
      <c r="B9" s="130"/>
      <c r="C9" s="2734"/>
      <c r="D9" s="2734"/>
      <c r="E9" s="2735">
        <f>E18-'[21]12 (Nrc kns)'!$E$17</f>
        <v>-190774326.53</v>
      </c>
      <c r="F9" s="2736"/>
      <c r="G9" s="2734"/>
      <c r="H9" s="408"/>
    </row>
    <row r="10" spans="2:8" ht="15" customHeight="1" thickBot="1" x14ac:dyDescent="0.35">
      <c r="B10" s="3904" t="s">
        <v>178</v>
      </c>
      <c r="C10" s="3904"/>
      <c r="D10" s="3904"/>
      <c r="E10" s="2737" t="str">
        <f>NRC!E9</f>
        <v>30 June 2026/</v>
      </c>
      <c r="F10" s="2737" t="str">
        <f>NRC!G9</f>
        <v>31 May 2026/</v>
      </c>
      <c r="G10" s="3880" t="s">
        <v>180</v>
      </c>
      <c r="H10" s="3880"/>
    </row>
    <row r="11" spans="2:8" s="369" customFormat="1" ht="14.25" customHeight="1" thickBot="1" x14ac:dyDescent="0.35">
      <c r="B11" s="3904"/>
      <c r="C11" s="3904"/>
      <c r="D11" s="3904"/>
      <c r="E11" s="2738">
        <f>NRC!E10</f>
        <v>46203</v>
      </c>
      <c r="F11" s="2738">
        <f>NRC!G10</f>
        <v>46173</v>
      </c>
      <c r="G11" s="3880"/>
      <c r="H11" s="3880"/>
    </row>
    <row r="12" spans="2:8" ht="16.5" customHeight="1" x14ac:dyDescent="0.3">
      <c r="B12" s="228"/>
      <c r="C12" s="98" t="s">
        <v>7208</v>
      </c>
      <c r="D12" s="99"/>
      <c r="E12" s="2739"/>
      <c r="F12" s="2739"/>
      <c r="G12" s="2740"/>
      <c r="H12" s="232" t="s">
        <v>183</v>
      </c>
    </row>
    <row r="13" spans="2:8" ht="16.5" customHeight="1" x14ac:dyDescent="0.3">
      <c r="B13" s="228"/>
      <c r="C13" s="98" t="s">
        <v>184</v>
      </c>
      <c r="D13" s="98"/>
      <c r="E13" s="2739"/>
      <c r="F13" s="2739"/>
      <c r="G13" s="2741"/>
      <c r="H13" s="232" t="s">
        <v>7209</v>
      </c>
    </row>
    <row r="14" spans="2:8" ht="15" customHeight="1" x14ac:dyDescent="0.3">
      <c r="B14" s="228"/>
      <c r="C14" s="84" t="s">
        <v>7210</v>
      </c>
      <c r="D14" s="109"/>
      <c r="E14" s="2728">
        <f>'14'!C9</f>
        <v>217617399.5</v>
      </c>
      <c r="F14" s="2728">
        <f>'14'!D9</f>
        <v>261116099.5</v>
      </c>
      <c r="G14" s="2742"/>
      <c r="H14" s="236" t="s">
        <v>7211</v>
      </c>
    </row>
    <row r="15" spans="2:8" ht="15" customHeight="1" x14ac:dyDescent="0.3">
      <c r="B15" s="228"/>
      <c r="C15" s="109" t="s">
        <v>7212</v>
      </c>
      <c r="D15" s="109"/>
      <c r="E15" s="2728">
        <f>'14'!C10+'14'!C11+'14'!C13</f>
        <v>5443759</v>
      </c>
      <c r="F15" s="2728">
        <f>'14'!D10+'14'!D11+'14'!D13</f>
        <v>4665823</v>
      </c>
      <c r="G15" s="2742"/>
      <c r="H15" s="236" t="s">
        <v>7213</v>
      </c>
    </row>
    <row r="16" spans="2:8" ht="15" customHeight="1" outlineLevel="1" x14ac:dyDescent="0.3">
      <c r="B16" s="228"/>
      <c r="C16" s="84" t="s">
        <v>591</v>
      </c>
      <c r="D16" s="109"/>
      <c r="E16" s="2728">
        <f>'14'!C12</f>
        <v>7.999999972525984E-2</v>
      </c>
      <c r="F16" s="2728">
        <f>'14'!D12</f>
        <v>7.999999972525984E-2</v>
      </c>
      <c r="G16" s="2742"/>
      <c r="H16" s="236" t="s">
        <v>591</v>
      </c>
    </row>
    <row r="17" spans="2:8" ht="15" customHeight="1" x14ac:dyDescent="0.3">
      <c r="B17" s="228"/>
      <c r="C17" s="84" t="s">
        <v>7214</v>
      </c>
      <c r="D17" s="109"/>
      <c r="E17" s="2728">
        <f>'14'!C17</f>
        <v>140077350</v>
      </c>
      <c r="F17" s="2728">
        <f>'14'!D17</f>
        <v>73712800</v>
      </c>
      <c r="G17" s="2742"/>
      <c r="H17" s="236" t="s">
        <v>189</v>
      </c>
    </row>
    <row r="18" spans="2:8" ht="15" customHeight="1" x14ac:dyDescent="0.3">
      <c r="B18" s="228"/>
      <c r="C18" s="84" t="s">
        <v>197</v>
      </c>
      <c r="D18" s="109"/>
      <c r="E18" s="2728">
        <f>'14'!C19</f>
        <v>0</v>
      </c>
      <c r="F18" s="2728">
        <f>'14'!D19</f>
        <v>0</v>
      </c>
      <c r="G18" s="2742"/>
      <c r="H18" s="236" t="s">
        <v>7215</v>
      </c>
    </row>
    <row r="19" spans="2:8" ht="15" customHeight="1" x14ac:dyDescent="0.3">
      <c r="B19" s="228"/>
      <c r="C19" s="84" t="s">
        <v>199</v>
      </c>
      <c r="D19" s="109"/>
      <c r="E19" s="2728">
        <f>'14'!C25</f>
        <v>75534081</v>
      </c>
      <c r="F19" s="2728">
        <f>'14'!D25</f>
        <v>92869889</v>
      </c>
      <c r="G19" s="2742"/>
      <c r="H19" s="236" t="s">
        <v>200</v>
      </c>
    </row>
    <row r="20" spans="2:8" ht="15" customHeight="1" x14ac:dyDescent="0.3">
      <c r="B20" s="228"/>
      <c r="C20" s="84" t="s">
        <v>201</v>
      </c>
      <c r="D20" s="109"/>
      <c r="E20" s="2728">
        <f>'14'!C32</f>
        <v>0</v>
      </c>
      <c r="F20" s="2728">
        <f>'14'!D32</f>
        <v>0</v>
      </c>
      <c r="G20" s="2742"/>
      <c r="H20" s="236" t="s">
        <v>202</v>
      </c>
    </row>
    <row r="21" spans="2:8" ht="15" customHeight="1" x14ac:dyDescent="0.3">
      <c r="B21" s="228"/>
      <c r="C21" s="84" t="s">
        <v>203</v>
      </c>
      <c r="D21" s="109"/>
      <c r="E21" s="2728">
        <f>'14'!C29</f>
        <v>0</v>
      </c>
      <c r="F21" s="2728">
        <f>'14'!D29</f>
        <v>0</v>
      </c>
      <c r="G21" s="2742"/>
      <c r="H21" s="236" t="s">
        <v>7216</v>
      </c>
    </row>
    <row r="22" spans="2:8" ht="15" customHeight="1" x14ac:dyDescent="0.3">
      <c r="B22" s="228"/>
      <c r="C22" s="84" t="s">
        <v>205</v>
      </c>
      <c r="D22" s="109"/>
      <c r="E22" s="2728">
        <f>'14'!C34-'14'!C32</f>
        <v>0</v>
      </c>
      <c r="F22" s="2728">
        <f>'14'!D34-'14'!D32</f>
        <v>0</v>
      </c>
      <c r="G22" s="2742"/>
      <c r="H22" s="236" t="s">
        <v>206</v>
      </c>
    </row>
    <row r="23" spans="2:8" ht="15" customHeight="1" x14ac:dyDescent="0.3">
      <c r="B23" s="228"/>
      <c r="C23" s="84" t="s">
        <v>7217</v>
      </c>
      <c r="D23" s="109"/>
      <c r="E23" s="2728">
        <v>0</v>
      </c>
      <c r="F23" s="2728">
        <v>0</v>
      </c>
      <c r="G23" s="2742"/>
      <c r="H23" s="236" t="s">
        <v>7218</v>
      </c>
    </row>
    <row r="24" spans="2:8" ht="13.5" thickBot="1" x14ac:dyDescent="0.35">
      <c r="B24" s="228"/>
      <c r="C24" s="84"/>
      <c r="D24" s="109"/>
      <c r="E24" s="2560"/>
      <c r="F24" s="2560"/>
      <c r="G24" s="2742"/>
      <c r="H24" s="236"/>
    </row>
    <row r="25" spans="2:8" ht="16.5" customHeight="1" thickBot="1" x14ac:dyDescent="0.35">
      <c r="B25" s="2743"/>
      <c r="C25" s="2111" t="s">
        <v>207</v>
      </c>
      <c r="D25" s="2744"/>
      <c r="E25" s="2745">
        <f>SUM(E14:E24)</f>
        <v>438672589.58000004</v>
      </c>
      <c r="F25" s="2745">
        <f>SUM(F14:F24)</f>
        <v>432364611.58000004</v>
      </c>
      <c r="G25" s="2746"/>
      <c r="H25" s="2747" t="s">
        <v>7219</v>
      </c>
    </row>
    <row r="26" spans="2:8" ht="16.5" customHeight="1" x14ac:dyDescent="0.3">
      <c r="B26" s="334"/>
      <c r="C26" s="130" t="s">
        <v>209</v>
      </c>
      <c r="D26" s="98"/>
      <c r="E26" s="131"/>
      <c r="F26" s="131"/>
      <c r="G26" s="2741"/>
      <c r="H26" s="232" t="s">
        <v>7220</v>
      </c>
    </row>
    <row r="27" spans="2:8" ht="16.5" customHeight="1" x14ac:dyDescent="0.3">
      <c r="B27" s="334"/>
      <c r="C27" s="84" t="s">
        <v>7221</v>
      </c>
      <c r="D27" s="98"/>
      <c r="E27" s="2728"/>
      <c r="F27" s="131"/>
      <c r="G27" s="2741"/>
      <c r="H27" s="236" t="s">
        <v>7222</v>
      </c>
    </row>
    <row r="28" spans="2:8" ht="15" customHeight="1" x14ac:dyDescent="0.3">
      <c r="B28" s="334"/>
      <c r="C28" s="84" t="s">
        <v>213</v>
      </c>
      <c r="D28" s="109"/>
      <c r="E28" s="2728"/>
      <c r="F28" s="113"/>
      <c r="G28" s="2742"/>
      <c r="H28" s="236" t="s">
        <v>214</v>
      </c>
    </row>
    <row r="29" spans="2:8" ht="15" customHeight="1" x14ac:dyDescent="0.3">
      <c r="B29" s="334"/>
      <c r="C29" s="84" t="s">
        <v>190</v>
      </c>
      <c r="D29" s="109" t="s">
        <v>215</v>
      </c>
      <c r="E29" s="2728">
        <f>'14'!C49</f>
        <v>126185383</v>
      </c>
      <c r="F29" s="2728">
        <f>'14'!D49</f>
        <v>126185383</v>
      </c>
      <c r="G29" s="111" t="s">
        <v>7223</v>
      </c>
      <c r="H29" s="236" t="s">
        <v>190</v>
      </c>
    </row>
    <row r="30" spans="2:8" ht="15" customHeight="1" x14ac:dyDescent="0.3">
      <c r="B30" s="334"/>
      <c r="C30" s="84" t="s">
        <v>190</v>
      </c>
      <c r="D30" s="109" t="s">
        <v>217</v>
      </c>
      <c r="E30" s="2748">
        <f>'14'!C58</f>
        <v>-55708193.360002689</v>
      </c>
      <c r="F30" s="2748">
        <f>'14'!D58</f>
        <v>-54280103.643336013</v>
      </c>
      <c r="G30" s="111" t="s">
        <v>218</v>
      </c>
      <c r="H30" s="236" t="s">
        <v>190</v>
      </c>
    </row>
    <row r="31" spans="2:8" ht="15" customHeight="1" x14ac:dyDescent="0.3">
      <c r="B31" s="334"/>
      <c r="C31" s="84"/>
      <c r="D31" s="109"/>
      <c r="E31" s="2728">
        <f>SUM(E29:E30)</f>
        <v>70477189.639997303</v>
      </c>
      <c r="F31" s="2728">
        <f>SUM(F29:F30)</f>
        <v>71905279.356663987</v>
      </c>
      <c r="G31" s="2742"/>
      <c r="H31" s="236"/>
    </row>
    <row r="32" spans="2:8" ht="15" customHeight="1" x14ac:dyDescent="0.3">
      <c r="B32" s="334"/>
      <c r="C32" s="84" t="s">
        <v>219</v>
      </c>
      <c r="D32" s="109"/>
      <c r="E32" s="2728">
        <f>'[22]14'!C58</f>
        <v>0</v>
      </c>
      <c r="F32" s="2728">
        <f>'[22]14'!D58</f>
        <v>0</v>
      </c>
      <c r="G32" s="2742"/>
      <c r="H32" s="236" t="s">
        <v>220</v>
      </c>
    </row>
    <row r="33" spans="2:9" ht="6.75" customHeight="1" thickBot="1" x14ac:dyDescent="0.35">
      <c r="B33" s="334"/>
      <c r="C33" s="84"/>
      <c r="D33" s="109"/>
      <c r="E33" s="113"/>
      <c r="F33" s="113"/>
      <c r="G33" s="2742"/>
      <c r="H33" s="236"/>
    </row>
    <row r="34" spans="2:9" ht="16.5" customHeight="1" thickBot="1" x14ac:dyDescent="0.35">
      <c r="B34" s="2743"/>
      <c r="C34" s="2111" t="s">
        <v>221</v>
      </c>
      <c r="D34" s="2744"/>
      <c r="E34" s="2749">
        <f>E31+E32</f>
        <v>70477189.639997303</v>
      </c>
      <c r="F34" s="2749">
        <f>F31+F32</f>
        <v>71905279.356663987</v>
      </c>
      <c r="G34" s="2746"/>
      <c r="H34" s="2747" t="s">
        <v>7224</v>
      </c>
    </row>
    <row r="35" spans="2:9" ht="7.5" customHeight="1" thickBot="1" x14ac:dyDescent="0.35">
      <c r="B35" s="334"/>
      <c r="C35" s="130"/>
      <c r="D35" s="98"/>
      <c r="E35" s="131"/>
      <c r="F35" s="2750"/>
      <c r="G35" s="2741"/>
      <c r="H35" s="232"/>
    </row>
    <row r="36" spans="2:9" ht="30" customHeight="1" thickBot="1" x14ac:dyDescent="0.35">
      <c r="B36" s="3901" t="s">
        <v>223</v>
      </c>
      <c r="C36" s="3901"/>
      <c r="D36" s="3901"/>
      <c r="E36" s="2751">
        <f>E34+E25</f>
        <v>509149779.21999735</v>
      </c>
      <c r="F36" s="2751">
        <f>F34+F25</f>
        <v>504269890.93666404</v>
      </c>
      <c r="G36" s="3902" t="s">
        <v>7225</v>
      </c>
      <c r="H36" s="3902"/>
    </row>
    <row r="37" spans="2:9" ht="16.5" customHeight="1" x14ac:dyDescent="0.3">
      <c r="B37" s="228"/>
      <c r="C37" s="130" t="s">
        <v>7226</v>
      </c>
      <c r="D37" s="63"/>
      <c r="E37" s="131"/>
      <c r="F37" s="479"/>
      <c r="G37" s="2740"/>
      <c r="H37" s="232" t="s">
        <v>7227</v>
      </c>
    </row>
    <row r="38" spans="2:9" ht="16.5" customHeight="1" x14ac:dyDescent="0.3">
      <c r="B38" s="228"/>
      <c r="C38" s="130" t="s">
        <v>227</v>
      </c>
      <c r="D38" s="130"/>
      <c r="E38" s="2728"/>
      <c r="F38" s="2739"/>
      <c r="G38" s="2741"/>
      <c r="H38" s="232" t="s">
        <v>7228</v>
      </c>
    </row>
    <row r="39" spans="2:9" ht="15" customHeight="1" x14ac:dyDescent="0.3">
      <c r="B39" s="228"/>
      <c r="C39" s="84" t="s">
        <v>7229</v>
      </c>
      <c r="D39" s="130"/>
      <c r="E39" s="2728">
        <f>'14'!C66</f>
        <v>0</v>
      </c>
      <c r="F39" s="2728">
        <f>'14'!D66</f>
        <v>0</v>
      </c>
      <c r="G39" s="2741"/>
      <c r="H39" s="236" t="s">
        <v>230</v>
      </c>
      <c r="I39" s="2752"/>
    </row>
    <row r="40" spans="2:9" ht="15" customHeight="1" x14ac:dyDescent="0.3">
      <c r="B40" s="228"/>
      <c r="C40" s="84" t="s">
        <v>237</v>
      </c>
      <c r="D40" s="130"/>
      <c r="E40" s="2728">
        <v>0</v>
      </c>
      <c r="F40" s="2728">
        <v>0</v>
      </c>
      <c r="G40" s="2741"/>
      <c r="H40" s="236" t="s">
        <v>7230</v>
      </c>
      <c r="I40" s="2752"/>
    </row>
    <row r="41" spans="2:9" ht="15" customHeight="1" x14ac:dyDescent="0.3">
      <c r="B41" s="228"/>
      <c r="C41" s="84" t="s">
        <v>247</v>
      </c>
      <c r="D41" s="84"/>
      <c r="E41" s="2728">
        <f>'14'!C67</f>
        <v>0</v>
      </c>
      <c r="F41" s="2728">
        <f>'14'!D67</f>
        <v>0</v>
      </c>
      <c r="G41" s="2742"/>
      <c r="H41" s="236" t="s">
        <v>7231</v>
      </c>
      <c r="I41" s="2752"/>
    </row>
    <row r="42" spans="2:9" ht="15" customHeight="1" x14ac:dyDescent="0.3">
      <c r="B42" s="228"/>
      <c r="C42" s="84" t="s">
        <v>249</v>
      </c>
      <c r="D42" s="84"/>
      <c r="E42" s="2728">
        <f>'14'!C77</f>
        <v>0</v>
      </c>
      <c r="F42" s="2728">
        <f>'14'!D77</f>
        <v>0</v>
      </c>
      <c r="G42" s="2742"/>
      <c r="H42" s="236" t="s">
        <v>250</v>
      </c>
      <c r="I42" s="2752"/>
    </row>
    <row r="43" spans="2:9" ht="15" customHeight="1" outlineLevel="1" x14ac:dyDescent="0.3">
      <c r="B43" s="228"/>
      <c r="C43" s="84" t="s">
        <v>251</v>
      </c>
      <c r="D43" s="84"/>
      <c r="E43" s="2728">
        <f>'14'!C80</f>
        <v>0</v>
      </c>
      <c r="F43" s="2728">
        <f>'14'!D80</f>
        <v>0</v>
      </c>
      <c r="G43" s="2742"/>
      <c r="H43" s="236" t="s">
        <v>7232</v>
      </c>
      <c r="I43" s="2752"/>
    </row>
    <row r="44" spans="2:9" ht="15" customHeight="1" x14ac:dyDescent="0.3">
      <c r="B44" s="228"/>
      <c r="C44" s="84" t="s">
        <v>7233</v>
      </c>
      <c r="D44" s="84"/>
      <c r="E44" s="2728">
        <v>0</v>
      </c>
      <c r="F44" s="2728">
        <v>0</v>
      </c>
      <c r="G44" s="2742"/>
      <c r="H44" s="236" t="s">
        <v>7234</v>
      </c>
      <c r="I44" s="2752"/>
    </row>
    <row r="45" spans="2:9" ht="15" customHeight="1" thickBot="1" x14ac:dyDescent="0.35">
      <c r="B45" s="228"/>
      <c r="C45" s="84" t="s">
        <v>253</v>
      </c>
      <c r="D45" s="84"/>
      <c r="E45" s="2728">
        <f>'14'!C85</f>
        <v>0</v>
      </c>
      <c r="F45" s="2728">
        <f>'14'!D85</f>
        <v>0</v>
      </c>
      <c r="G45" s="2742"/>
      <c r="H45" s="236" t="s">
        <v>254</v>
      </c>
      <c r="I45" s="2752"/>
    </row>
    <row r="46" spans="2:9" ht="24" customHeight="1" thickBot="1" x14ac:dyDescent="0.35">
      <c r="B46" s="2743"/>
      <c r="C46" s="2111" t="s">
        <v>255</v>
      </c>
      <c r="D46" s="2111"/>
      <c r="E46" s="2753">
        <f>SUM(E39:E45)</f>
        <v>0</v>
      </c>
      <c r="F46" s="2753">
        <f>SUM(F39:F45)</f>
        <v>0</v>
      </c>
      <c r="G46" s="2746"/>
      <c r="H46" s="2747" t="s">
        <v>7235</v>
      </c>
    </row>
    <row r="47" spans="2:9" ht="16.5" customHeight="1" x14ac:dyDescent="0.3">
      <c r="B47" s="228"/>
      <c r="C47" s="130" t="s">
        <v>257</v>
      </c>
      <c r="D47" s="130"/>
      <c r="E47" s="2560"/>
      <c r="F47" s="2560"/>
      <c r="G47" s="2741"/>
      <c r="H47" s="232" t="s">
        <v>7236</v>
      </c>
    </row>
    <row r="48" spans="2:9" ht="25.5" customHeight="1" thickBot="1" x14ac:dyDescent="0.35">
      <c r="B48" s="334"/>
      <c r="C48" s="84" t="s">
        <v>190</v>
      </c>
      <c r="D48" s="84" t="s">
        <v>7237</v>
      </c>
      <c r="E48" s="2728">
        <v>0</v>
      </c>
      <c r="F48" s="2728">
        <v>0</v>
      </c>
      <c r="G48" s="2754"/>
      <c r="H48" s="236" t="s">
        <v>7238</v>
      </c>
    </row>
    <row r="49" spans="2:8" ht="16.5" customHeight="1" thickBot="1" x14ac:dyDescent="0.35">
      <c r="B49" s="2743"/>
      <c r="C49" s="2111" t="s">
        <v>263</v>
      </c>
      <c r="D49" s="2111"/>
      <c r="E49" s="2755">
        <f>SUM(E48:E48)</f>
        <v>0</v>
      </c>
      <c r="F49" s="2755">
        <f>SUM(F48:F48)</f>
        <v>0</v>
      </c>
      <c r="G49" s="2746"/>
      <c r="H49" s="2747" t="s">
        <v>7239</v>
      </c>
    </row>
    <row r="50" spans="2:8" ht="4.5" customHeight="1" thickBot="1" x14ac:dyDescent="0.35">
      <c r="B50" s="228"/>
      <c r="C50" s="130"/>
      <c r="D50" s="130"/>
      <c r="E50" s="2560"/>
      <c r="F50" s="2560"/>
      <c r="G50" s="2741"/>
      <c r="H50" s="232"/>
    </row>
    <row r="51" spans="2:8" ht="16.5" customHeight="1" thickBot="1" x14ac:dyDescent="0.35">
      <c r="B51" s="2743"/>
      <c r="C51" s="2111" t="s">
        <v>7240</v>
      </c>
      <c r="D51" s="2111"/>
      <c r="E51" s="2753">
        <f>E49+E46</f>
        <v>0</v>
      </c>
      <c r="F51" s="2753">
        <f>F49+F46</f>
        <v>0</v>
      </c>
      <c r="G51" s="2746"/>
      <c r="H51" s="2747" t="s">
        <v>7241</v>
      </c>
    </row>
    <row r="52" spans="2:8" ht="15" customHeight="1" x14ac:dyDescent="0.3">
      <c r="B52" s="228"/>
      <c r="C52" s="130" t="s">
        <v>7242</v>
      </c>
      <c r="D52" s="130"/>
      <c r="E52" s="131"/>
      <c r="F52" s="131"/>
      <c r="G52" s="2741"/>
      <c r="H52" s="232" t="s">
        <v>1140</v>
      </c>
    </row>
    <row r="53" spans="2:8" ht="15" customHeight="1" x14ac:dyDescent="0.3">
      <c r="B53" s="228"/>
      <c r="C53" s="84" t="s">
        <v>945</v>
      </c>
      <c r="D53" s="84"/>
      <c r="E53" s="2728">
        <f>'14'!C97</f>
        <v>392266979.59000003</v>
      </c>
      <c r="F53" s="2728">
        <f>'14'!D97</f>
        <v>392266979.59000003</v>
      </c>
      <c r="G53" s="2742"/>
      <c r="H53" s="236" t="s">
        <v>946</v>
      </c>
    </row>
    <row r="54" spans="2:8" ht="15" customHeight="1" x14ac:dyDescent="0.3">
      <c r="B54" s="228"/>
      <c r="C54" s="84" t="s">
        <v>947</v>
      </c>
      <c r="D54" s="84"/>
      <c r="E54" s="2728"/>
      <c r="F54" s="113"/>
      <c r="G54" s="2742"/>
      <c r="H54" s="236" t="s">
        <v>948</v>
      </c>
    </row>
    <row r="55" spans="2:8" ht="15" customHeight="1" x14ac:dyDescent="0.3">
      <c r="B55" s="228"/>
      <c r="C55" s="84" t="s">
        <v>7243</v>
      </c>
      <c r="D55" s="130"/>
      <c r="E55" s="2728"/>
      <c r="F55" s="113"/>
      <c r="G55" s="2756"/>
      <c r="H55" s="232" t="s">
        <v>7244</v>
      </c>
    </row>
    <row r="56" spans="2:8" ht="15" customHeight="1" x14ac:dyDescent="0.3">
      <c r="B56" s="228"/>
      <c r="C56" s="84" t="s">
        <v>190</v>
      </c>
      <c r="D56" s="84" t="s">
        <v>7245</v>
      </c>
      <c r="E56" s="2728">
        <v>0</v>
      </c>
      <c r="F56" s="113">
        <v>0</v>
      </c>
      <c r="G56" s="263" t="s">
        <v>7246</v>
      </c>
      <c r="H56" s="236" t="s">
        <v>190</v>
      </c>
    </row>
    <row r="57" spans="2:8" ht="15" customHeight="1" x14ac:dyDescent="0.3">
      <c r="B57" s="228"/>
      <c r="C57" s="84" t="s">
        <v>190</v>
      </c>
      <c r="D57" s="84" t="s">
        <v>7247</v>
      </c>
      <c r="E57" s="2728"/>
      <c r="F57" s="113">
        <v>0</v>
      </c>
      <c r="G57" s="263" t="s">
        <v>7248</v>
      </c>
      <c r="H57" s="236" t="s">
        <v>190</v>
      </c>
    </row>
    <row r="58" spans="2:8" ht="15" customHeight="1" x14ac:dyDescent="0.3">
      <c r="B58" s="228"/>
      <c r="C58" s="84" t="s">
        <v>190</v>
      </c>
      <c r="D58" s="84" t="s">
        <v>7249</v>
      </c>
      <c r="E58" s="2728"/>
      <c r="F58" s="2757"/>
      <c r="G58" s="263" t="s">
        <v>7250</v>
      </c>
      <c r="H58" s="236" t="s">
        <v>190</v>
      </c>
    </row>
    <row r="59" spans="2:8" ht="15" customHeight="1" x14ac:dyDescent="0.3">
      <c r="B59" s="228"/>
      <c r="C59" s="84" t="s">
        <v>190</v>
      </c>
      <c r="D59" s="84" t="s">
        <v>7251</v>
      </c>
      <c r="E59" s="2728"/>
      <c r="F59" s="2283"/>
      <c r="G59" s="111" t="s">
        <v>7252</v>
      </c>
      <c r="H59" s="236" t="s">
        <v>190</v>
      </c>
    </row>
    <row r="60" spans="2:8" ht="15" customHeight="1" x14ac:dyDescent="0.3">
      <c r="B60" s="228"/>
      <c r="C60" s="84" t="s">
        <v>190</v>
      </c>
      <c r="D60" s="84" t="s">
        <v>7253</v>
      </c>
      <c r="E60" s="2728"/>
      <c r="F60" s="2729"/>
      <c r="G60" s="111" t="s">
        <v>7254</v>
      </c>
      <c r="H60" s="236" t="s">
        <v>190</v>
      </c>
    </row>
    <row r="61" spans="2:8" ht="15" customHeight="1" x14ac:dyDescent="0.3">
      <c r="B61" s="228"/>
      <c r="C61" s="84"/>
      <c r="D61" s="84"/>
      <c r="E61" s="2758"/>
      <c r="F61" s="2759"/>
      <c r="G61" s="111" t="s">
        <v>7255</v>
      </c>
      <c r="H61" s="236" t="s">
        <v>190</v>
      </c>
    </row>
    <row r="62" spans="2:8" ht="15" customHeight="1" x14ac:dyDescent="0.3">
      <c r="B62" s="228"/>
      <c r="C62" s="84"/>
      <c r="D62" s="84"/>
      <c r="E62" s="2728">
        <f>SUM(E56:E61)</f>
        <v>0</v>
      </c>
      <c r="F62" s="2728">
        <f>SUM(F56:F61)</f>
        <v>0</v>
      </c>
      <c r="G62" s="2760"/>
      <c r="H62" s="236"/>
    </row>
    <row r="63" spans="2:8" ht="15" customHeight="1" x14ac:dyDescent="0.3">
      <c r="B63" s="228"/>
      <c r="C63" s="84" t="s">
        <v>950</v>
      </c>
      <c r="D63" s="130"/>
      <c r="E63" s="2739"/>
      <c r="F63" s="131"/>
      <c r="G63" s="2741"/>
      <c r="H63" s="232" t="s">
        <v>951</v>
      </c>
    </row>
    <row r="64" spans="2:8" ht="15" customHeight="1" x14ac:dyDescent="0.3">
      <c r="B64" s="228"/>
      <c r="C64" s="84" t="s">
        <v>190</v>
      </c>
      <c r="D64" s="84" t="s">
        <v>7256</v>
      </c>
      <c r="E64" s="2728">
        <f>'14'!C100</f>
        <v>112002911.34666392</v>
      </c>
      <c r="F64" s="2728">
        <v>0</v>
      </c>
      <c r="G64" s="111" t="s">
        <v>7257</v>
      </c>
      <c r="H64" s="236" t="s">
        <v>190</v>
      </c>
    </row>
    <row r="65" spans="2:8" ht="15" customHeight="1" x14ac:dyDescent="0.3">
      <c r="B65" s="228"/>
      <c r="C65" s="84" t="s">
        <v>190</v>
      </c>
      <c r="D65" s="109" t="s">
        <v>7258</v>
      </c>
      <c r="E65" s="2759">
        <f>'14'!C99</f>
        <v>4879888.2833333332</v>
      </c>
      <c r="F65" s="2759">
        <f>'14'!D101</f>
        <v>112002911.34666392</v>
      </c>
      <c r="G65" s="111" t="s">
        <v>7259</v>
      </c>
      <c r="H65" s="236" t="s">
        <v>190</v>
      </c>
    </row>
    <row r="66" spans="2:8" s="50" customFormat="1" ht="15" customHeight="1" x14ac:dyDescent="0.3">
      <c r="B66" s="228"/>
      <c r="C66" s="130"/>
      <c r="D66" s="130"/>
      <c r="E66" s="2761">
        <f>SUM(E64:E65)</f>
        <v>116882799.62999725</v>
      </c>
      <c r="F66" s="2761">
        <f>SUM(F64:F65)</f>
        <v>112002911.34666392</v>
      </c>
      <c r="G66" s="2741"/>
      <c r="H66" s="232"/>
    </row>
    <row r="67" spans="2:8" s="50" customFormat="1" ht="15" customHeight="1" outlineLevel="1" x14ac:dyDescent="0.3">
      <c r="B67" s="228"/>
      <c r="C67" s="84" t="s">
        <v>7260</v>
      </c>
      <c r="D67" s="130"/>
      <c r="E67" s="2761"/>
      <c r="F67" s="2761"/>
      <c r="G67" s="111" t="s">
        <v>7261</v>
      </c>
      <c r="H67" s="232"/>
    </row>
    <row r="68" spans="2:8" s="50" customFormat="1" ht="15" customHeight="1" x14ac:dyDescent="0.3">
      <c r="B68" s="228"/>
      <c r="C68" s="130"/>
      <c r="D68" s="130"/>
      <c r="E68" s="2762"/>
      <c r="F68" s="2763"/>
      <c r="G68" s="2741"/>
      <c r="H68" s="232"/>
    </row>
    <row r="69" spans="2:8" s="50" customFormat="1" ht="15" customHeight="1" x14ac:dyDescent="0.3">
      <c r="B69" s="228"/>
      <c r="C69" s="130"/>
      <c r="D69" s="130"/>
      <c r="E69" s="2764">
        <f>E66+E62+E67</f>
        <v>116882799.62999725</v>
      </c>
      <c r="F69" s="2764">
        <f>F66+F62+F67</f>
        <v>112002911.34666392</v>
      </c>
      <c r="G69" s="2560"/>
      <c r="H69" s="232"/>
    </row>
    <row r="70" spans="2:8" s="50" customFormat="1" ht="7.5" customHeight="1" thickBot="1" x14ac:dyDescent="0.35">
      <c r="B70" s="228"/>
      <c r="C70" s="130"/>
      <c r="D70" s="130"/>
      <c r="E70" s="2765"/>
      <c r="F70" s="131"/>
      <c r="G70" s="2741"/>
      <c r="H70" s="232"/>
    </row>
    <row r="71" spans="2:8" ht="16.5" customHeight="1" thickBot="1" x14ac:dyDescent="0.35">
      <c r="B71" s="2743"/>
      <c r="C71" s="2111" t="s">
        <v>7262</v>
      </c>
      <c r="D71" s="2111"/>
      <c r="E71" s="2753">
        <f>E69+E53</f>
        <v>509149779.21999729</v>
      </c>
      <c r="F71" s="2753">
        <f>F69+F53</f>
        <v>504269890.93666399</v>
      </c>
      <c r="G71" s="2746"/>
      <c r="H71" s="2747" t="s">
        <v>7263</v>
      </c>
    </row>
    <row r="72" spans="2:8" ht="5.25" customHeight="1" thickBot="1" x14ac:dyDescent="0.35">
      <c r="B72" s="334"/>
      <c r="C72" s="84"/>
      <c r="D72" s="84"/>
      <c r="E72" s="131"/>
      <c r="F72" s="131"/>
      <c r="G72" s="2742"/>
      <c r="H72" s="236"/>
    </row>
    <row r="73" spans="2:8" ht="16" customHeight="1" thickBot="1" x14ac:dyDescent="0.35">
      <c r="B73" s="2766"/>
      <c r="C73" s="2767" t="s">
        <v>7264</v>
      </c>
      <c r="D73" s="2767"/>
      <c r="E73" s="2768">
        <f>E71+E51</f>
        <v>509149779.21999729</v>
      </c>
      <c r="F73" s="2768">
        <f>F71+F51</f>
        <v>504269890.93666399</v>
      </c>
      <c r="G73" s="2769"/>
      <c r="H73" s="2770" t="s">
        <v>7265</v>
      </c>
    </row>
    <row r="74" spans="2:8" s="2772" customFormat="1" ht="14.15" customHeight="1" x14ac:dyDescent="0.3">
      <c r="B74" s="187"/>
      <c r="C74" s="2633"/>
      <c r="D74" s="2633"/>
      <c r="E74" s="2771">
        <f>E73-E36</f>
        <v>0</v>
      </c>
      <c r="F74" s="2771">
        <f>F73-F36</f>
        <v>0</v>
      </c>
      <c r="G74" s="2633"/>
      <c r="H74" s="189"/>
    </row>
    <row r="75" spans="2:8" s="393" customFormat="1" ht="13" customHeight="1" x14ac:dyDescent="0.3">
      <c r="B75" s="510"/>
      <c r="C75" s="511"/>
      <c r="D75" s="511"/>
      <c r="E75" s="2773">
        <f>E73-E36</f>
        <v>0</v>
      </c>
      <c r="F75" s="2773">
        <f>F73-F36</f>
        <v>0</v>
      </c>
      <c r="G75" s="511"/>
      <c r="H75" s="512"/>
    </row>
    <row r="76" spans="2:8" s="181" customFormat="1" ht="8.25" hidden="1" customHeight="1" x14ac:dyDescent="0.15">
      <c r="B76" s="362"/>
      <c r="C76" s="84"/>
      <c r="D76" s="84"/>
      <c r="E76" s="152"/>
      <c r="F76" s="152"/>
      <c r="G76" s="84"/>
      <c r="H76" s="87"/>
    </row>
    <row r="77" spans="2:8" s="2778" customFormat="1" ht="16.5" customHeight="1" x14ac:dyDescent="0.35">
      <c r="B77" s="2774"/>
      <c r="C77" s="2774" t="str">
        <f>IN!C4</f>
        <v>Laporan Keuangan June 2026</v>
      </c>
      <c r="D77" s="2774"/>
      <c r="E77" s="2775" t="s">
        <v>168</v>
      </c>
      <c r="F77" s="2776"/>
      <c r="G77" s="2774"/>
      <c r="H77" s="2777" t="str">
        <f>IN!D4</f>
        <v>Financial Statement Jun 2026</v>
      </c>
    </row>
    <row r="78" spans="2:8" ht="15.75" customHeight="1" x14ac:dyDescent="0.3">
      <c r="B78" s="63"/>
      <c r="C78" s="86"/>
      <c r="D78" s="86"/>
      <c r="E78" s="2331"/>
      <c r="F78" s="2331"/>
      <c r="G78" s="86"/>
      <c r="H78" s="87"/>
    </row>
    <row r="79" spans="2:8" s="176" customFormat="1" ht="15.75" customHeight="1" x14ac:dyDescent="0.3">
      <c r="B79" s="48"/>
      <c r="C79" s="43"/>
      <c r="D79" s="43"/>
      <c r="E79" s="2331">
        <f>+E74</f>
        <v>0</v>
      </c>
      <c r="F79" s="2331">
        <f>+F74</f>
        <v>0</v>
      </c>
      <c r="G79" s="43"/>
      <c r="H79" s="58"/>
    </row>
    <row r="80" spans="2:8" x14ac:dyDescent="0.3">
      <c r="B80" s="3903">
        <v>1</v>
      </c>
      <c r="C80" s="3903"/>
      <c r="D80" s="3903"/>
      <c r="E80" s="3903"/>
      <c r="F80" s="3903"/>
      <c r="G80" s="3903"/>
      <c r="H80" s="3903"/>
    </row>
    <row r="81" spans="2:8" ht="15.75" customHeight="1" x14ac:dyDescent="0.3">
      <c r="B81" s="48"/>
      <c r="E81" s="2779"/>
      <c r="F81" s="2779"/>
    </row>
    <row r="82" spans="2:8" ht="15.75" customHeight="1" x14ac:dyDescent="0.3">
      <c r="B82" s="2780"/>
      <c r="C82" s="393"/>
      <c r="D82" s="393"/>
      <c r="E82" s="2329"/>
      <c r="F82" s="2329"/>
      <c r="G82" s="393"/>
      <c r="H82" s="394"/>
    </row>
    <row r="83" spans="2:8" ht="15.75" customHeight="1" x14ac:dyDescent="0.3">
      <c r="B83" s="2780"/>
      <c r="C83" s="393"/>
      <c r="D83" s="393"/>
      <c r="E83" s="2329" t="e">
        <f>#REF!</f>
        <v>#REF!</v>
      </c>
      <c r="F83" s="2781"/>
      <c r="G83" s="393"/>
      <c r="H83" s="394"/>
    </row>
    <row r="84" spans="2:8" ht="15.75" customHeight="1" x14ac:dyDescent="0.3">
      <c r="B84" s="2780"/>
      <c r="C84" s="393"/>
      <c r="D84" s="393"/>
      <c r="E84" s="2329"/>
      <c r="F84" s="2329"/>
      <c r="G84" s="393"/>
      <c r="H84" s="394"/>
    </row>
    <row r="85" spans="2:8" ht="15.75" customHeight="1" x14ac:dyDescent="0.3">
      <c r="B85" s="2780"/>
      <c r="C85" s="393"/>
      <c r="D85" s="393"/>
      <c r="E85" s="2150"/>
      <c r="F85" s="2150"/>
      <c r="G85" s="393"/>
      <c r="H85" s="394"/>
    </row>
    <row r="86" spans="2:8" ht="15.75" customHeight="1" x14ac:dyDescent="0.3">
      <c r="B86" s="2780"/>
      <c r="C86" s="393"/>
      <c r="D86" s="393"/>
      <c r="E86" s="2782">
        <f>E73-'[23]12 (Nrc kns)'!$E$83</f>
        <v>-7402438215.0009022</v>
      </c>
      <c r="F86" s="2782">
        <f>F73-'[23]12 (Nrc kns)'!$F$83</f>
        <v>-7376859195.3949871</v>
      </c>
      <c r="G86" s="393"/>
      <c r="H86" s="394"/>
    </row>
    <row r="87" spans="2:8" ht="15.75" customHeight="1" x14ac:dyDescent="0.3">
      <c r="B87" s="2780"/>
      <c r="C87" s="393"/>
      <c r="D87" s="393"/>
      <c r="E87" s="2150" t="e">
        <f>#REF!</f>
        <v>#REF!</v>
      </c>
      <c r="F87" s="2150"/>
      <c r="G87" s="393"/>
      <c r="H87" s="394"/>
    </row>
    <row r="88" spans="2:8" ht="15.75" customHeight="1" x14ac:dyDescent="0.3">
      <c r="B88" s="48"/>
    </row>
    <row r="89" spans="2:8" ht="15.75" customHeight="1" x14ac:dyDescent="0.3">
      <c r="B89" s="48"/>
    </row>
    <row r="90" spans="2:8" ht="15.75" customHeight="1" x14ac:dyDescent="0.3">
      <c r="B90" s="48"/>
      <c r="D90" s="43">
        <v>2</v>
      </c>
      <c r="G90" s="43">
        <v>2</v>
      </c>
    </row>
    <row r="91" spans="2:8" ht="15.75" customHeight="1" x14ac:dyDescent="0.3">
      <c r="B91" s="48"/>
    </row>
    <row r="92" spans="2:8" ht="15.75" customHeight="1" x14ac:dyDescent="0.3"/>
    <row r="93" spans="2:8" ht="15.75" customHeight="1" x14ac:dyDescent="0.3"/>
    <row r="96" spans="2:8" x14ac:dyDescent="0.3">
      <c r="D96" s="43">
        <v>3</v>
      </c>
      <c r="G96" s="43">
        <v>3</v>
      </c>
    </row>
  </sheetData>
  <mergeCells count="9">
    <mergeCell ref="B36:D36"/>
    <mergeCell ref="G36:H36"/>
    <mergeCell ref="B80:H80"/>
    <mergeCell ref="B1:H1"/>
    <mergeCell ref="B4:H4"/>
    <mergeCell ref="B6:D6"/>
    <mergeCell ref="G6:H6"/>
    <mergeCell ref="B10:D11"/>
    <mergeCell ref="G10:H1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6"/>
  <sheetViews>
    <sheetView view="pageBreakPreview" topLeftCell="A28" zoomScale="90" zoomScaleNormal="100" zoomScaleSheetLayoutView="90" workbookViewId="0">
      <selection activeCell="E7" sqref="E7:E50"/>
    </sheetView>
  </sheetViews>
  <sheetFormatPr defaultColWidth="9" defaultRowHeight="14.5" x14ac:dyDescent="0.35"/>
  <cols>
    <col min="1" max="1" width="1.54296875" customWidth="1"/>
    <col min="2" max="2" width="2.81640625" style="2784" customWidth="1"/>
    <col min="3" max="3" width="38.1796875" customWidth="1"/>
    <col min="4" max="4" width="4.1796875" style="2784" hidden="1" customWidth="1"/>
    <col min="5" max="5" width="19.54296875" style="2784" customWidth="1"/>
    <col min="6" max="6" width="13.7265625" style="2785" customWidth="1"/>
    <col min="7" max="7" width="15.7265625" customWidth="1"/>
    <col min="8" max="8" width="2.81640625" customWidth="1"/>
    <col min="9" max="9" width="16.54296875" customWidth="1"/>
    <col min="10" max="10" width="17.54296875" customWidth="1"/>
    <col min="11" max="11" width="14.26953125" bestFit="1" customWidth="1"/>
  </cols>
  <sheetData>
    <row r="1" spans="1:10" x14ac:dyDescent="0.35">
      <c r="A1" s="3410" t="s">
        <v>7266</v>
      </c>
      <c r="B1" s="3410"/>
      <c r="C1" s="3410"/>
      <c r="D1" s="3410"/>
      <c r="E1" s="3410"/>
      <c r="F1" s="3410"/>
      <c r="G1" s="3410"/>
      <c r="H1" s="3410"/>
    </row>
    <row r="2" spans="1:10" x14ac:dyDescent="0.35">
      <c r="B2" s="3906" t="s">
        <v>7267</v>
      </c>
      <c r="C2" s="3906"/>
      <c r="D2" s="3906"/>
      <c r="E2" s="3906"/>
      <c r="F2" s="3906"/>
      <c r="G2" s="3906"/>
    </row>
    <row r="3" spans="1:10" x14ac:dyDescent="0.35">
      <c r="B3" s="3907" t="s">
        <v>7268</v>
      </c>
      <c r="C3" s="3907"/>
      <c r="D3" s="3907"/>
      <c r="E3" s="3907"/>
      <c r="F3" s="3907"/>
      <c r="G3" s="3907"/>
    </row>
    <row r="4" spans="1:10" ht="15" thickBot="1" x14ac:dyDescent="0.4"/>
    <row r="5" spans="1:10" ht="15" thickBot="1" x14ac:dyDescent="0.4">
      <c r="B5" s="3908" t="s">
        <v>7269</v>
      </c>
      <c r="C5" s="3908"/>
      <c r="D5" s="2786"/>
      <c r="E5" s="2787" t="s">
        <v>7270</v>
      </c>
      <c r="F5" s="2787" t="s">
        <v>7270</v>
      </c>
      <c r="G5" s="2787" t="s">
        <v>7270</v>
      </c>
    </row>
    <row r="6" spans="1:10" ht="15" thickBot="1" x14ac:dyDescent="0.4">
      <c r="B6" s="2788" t="s">
        <v>7271</v>
      </c>
      <c r="C6" s="2789"/>
      <c r="D6" s="2790"/>
      <c r="E6" s="2791">
        <f>LR!E12</f>
        <v>46203</v>
      </c>
      <c r="F6" s="2791">
        <f>EOMONTH(E6,-1)</f>
        <v>46173</v>
      </c>
      <c r="G6" s="2791" t="s">
        <v>8077</v>
      </c>
      <c r="I6" s="2960" t="s">
        <v>8236</v>
      </c>
    </row>
    <row r="7" spans="1:10" x14ac:dyDescent="0.35">
      <c r="B7" s="2792">
        <v>41100</v>
      </c>
      <c r="C7" t="str">
        <f t="shared" ref="C7:C12" si="0">IF(B7="","",IF(ISNA(VLOOKUP(B7,COA,2,FALSE)),"",VLOOKUP(B7,COA,2,FALSE)))</f>
        <v>Penjualan Barang Dagangan</v>
      </c>
      <c r="E7" s="2793">
        <v>55737950</v>
      </c>
      <c r="F7" s="2793">
        <v>113558350</v>
      </c>
      <c r="G7" s="2793">
        <f t="shared" ref="G7:G12" si="1">E7+I7</f>
        <v>1018251150</v>
      </c>
      <c r="I7" s="2793">
        <v>962513200</v>
      </c>
    </row>
    <row r="8" spans="1:10" x14ac:dyDescent="0.35">
      <c r="B8" s="2792">
        <v>41200</v>
      </c>
      <c r="C8" t="str">
        <f t="shared" si="0"/>
        <v>Penjualan Barang Konsinyasi</v>
      </c>
      <c r="E8" s="2793">
        <v>0</v>
      </c>
      <c r="F8" s="2793">
        <v>0</v>
      </c>
      <c r="G8" s="2793">
        <f t="shared" si="1"/>
        <v>0</v>
      </c>
      <c r="I8" s="2793">
        <v>0</v>
      </c>
    </row>
    <row r="9" spans="1:10" x14ac:dyDescent="0.35">
      <c r="B9" s="2792">
        <v>41210</v>
      </c>
      <c r="C9" t="str">
        <f t="shared" si="0"/>
        <v>Penjualan Barang PPOB &amp; Shopee Pay</v>
      </c>
      <c r="E9" s="2793">
        <v>26834300</v>
      </c>
      <c r="F9" s="2793">
        <v>24969500</v>
      </c>
      <c r="G9" s="2793">
        <f t="shared" si="1"/>
        <v>183125700</v>
      </c>
      <c r="I9" s="2793">
        <v>156291400</v>
      </c>
    </row>
    <row r="10" spans="1:10" x14ac:dyDescent="0.35">
      <c r="B10" s="2792">
        <v>41220</v>
      </c>
      <c r="C10" t="str">
        <f t="shared" si="0"/>
        <v>Penjualan Potong Laundry &amp; Potong Rambut</v>
      </c>
      <c r="E10" s="2793">
        <v>0</v>
      </c>
      <c r="F10" s="2793">
        <v>0</v>
      </c>
      <c r="G10" s="2793">
        <f t="shared" si="1"/>
        <v>0</v>
      </c>
      <c r="I10" s="2793">
        <v>0</v>
      </c>
    </row>
    <row r="11" spans="1:10" x14ac:dyDescent="0.35">
      <c r="B11" s="2792">
        <v>41300</v>
      </c>
      <c r="C11" t="str">
        <f t="shared" si="0"/>
        <v xml:space="preserve">Pendapatan </v>
      </c>
      <c r="E11" s="2793">
        <v>0</v>
      </c>
      <c r="F11" s="2793">
        <v>0</v>
      </c>
      <c r="G11" s="2793">
        <f t="shared" si="1"/>
        <v>647606</v>
      </c>
      <c r="I11" s="2793">
        <v>647606</v>
      </c>
      <c r="J11" s="2785"/>
    </row>
    <row r="12" spans="1:10" ht="15" thickBot="1" x14ac:dyDescent="0.4">
      <c r="B12" s="2792">
        <v>47000</v>
      </c>
      <c r="C12" t="str">
        <f t="shared" si="0"/>
        <v>Pendapatan Lain-lain</v>
      </c>
      <c r="E12" s="2793">
        <v>0</v>
      </c>
      <c r="F12" s="2793">
        <v>0</v>
      </c>
      <c r="G12" s="2793">
        <f t="shared" si="1"/>
        <v>0</v>
      </c>
      <c r="I12" s="2793">
        <v>0</v>
      </c>
    </row>
    <row r="13" spans="1:10" ht="15" thickBot="1" x14ac:dyDescent="0.4">
      <c r="B13" s="2794" t="s">
        <v>7272</v>
      </c>
      <c r="C13" s="2795"/>
      <c r="D13" s="2796"/>
      <c r="E13" s="2797">
        <v>82572250</v>
      </c>
      <c r="F13" s="2797">
        <v>138527850</v>
      </c>
      <c r="G13" s="2797">
        <f>G7+G8+G11+G12+G9</f>
        <v>1202024456</v>
      </c>
      <c r="I13" s="2798">
        <v>1119452206</v>
      </c>
    </row>
    <row r="14" spans="1:10" x14ac:dyDescent="0.35">
      <c r="B14" s="3909" t="s">
        <v>7273</v>
      </c>
      <c r="C14" s="3910"/>
      <c r="E14" s="2793" t="s">
        <v>2448</v>
      </c>
      <c r="F14" s="2793" t="s">
        <v>2448</v>
      </c>
      <c r="G14" s="2793" t="s">
        <v>2448</v>
      </c>
      <c r="I14" s="2793" t="s">
        <v>2448</v>
      </c>
    </row>
    <row r="15" spans="1:10" x14ac:dyDescent="0.35">
      <c r="B15" s="2792">
        <v>51100</v>
      </c>
      <c r="C15" t="str">
        <f t="shared" ref="C15:C21" si="2">IF(B15="","",IF(ISNA(VLOOKUP(B15,COA,2,FALSE)),"",VLOOKUP(B15,COA,2,FALSE)))</f>
        <v>HPP - Persediaan Awal</v>
      </c>
      <c r="E15" s="2793">
        <v>92869889</v>
      </c>
      <c r="F15" s="2793">
        <v>88473075</v>
      </c>
      <c r="G15" s="2793">
        <f t="shared" ref="G15:G21" si="3">E15+I15</f>
        <v>1056547417</v>
      </c>
      <c r="I15" s="2793">
        <v>963677528</v>
      </c>
    </row>
    <row r="16" spans="1:10" x14ac:dyDescent="0.35">
      <c r="B16" s="2792">
        <v>51210</v>
      </c>
      <c r="C16" t="str">
        <f t="shared" si="2"/>
        <v>Pembelian Barang Dagangan</v>
      </c>
      <c r="E16" s="2793">
        <v>30068420</v>
      </c>
      <c r="F16" s="2793">
        <v>112838031</v>
      </c>
      <c r="G16" s="2793">
        <f t="shared" si="3"/>
        <v>868762655</v>
      </c>
      <c r="I16" s="2793">
        <v>838694235</v>
      </c>
    </row>
    <row r="17" spans="2:9" x14ac:dyDescent="0.35">
      <c r="B17" s="2792">
        <v>51220</v>
      </c>
      <c r="C17" t="str">
        <f t="shared" si="2"/>
        <v>Pembelian Barang PPOB &amp;Shopepay</v>
      </c>
      <c r="E17" s="2793">
        <v>26774944</v>
      </c>
      <c r="F17" s="2793">
        <v>24831088</v>
      </c>
      <c r="G17" s="2793">
        <f t="shared" si="3"/>
        <v>182021266</v>
      </c>
      <c r="I17" s="2793">
        <v>155246322</v>
      </c>
    </row>
    <row r="18" spans="2:9" x14ac:dyDescent="0.35">
      <c r="B18" s="2792">
        <v>51230</v>
      </c>
      <c r="C18" t="str">
        <f t="shared" si="2"/>
        <v>Pembelian Jasa pangkas Rambut &amp; Laundry</v>
      </c>
      <c r="E18" s="2793">
        <v>0</v>
      </c>
      <c r="F18" s="2793">
        <v>0</v>
      </c>
      <c r="G18" s="2793">
        <f t="shared" si="3"/>
        <v>0</v>
      </c>
      <c r="I18" s="2793">
        <v>0</v>
      </c>
    </row>
    <row r="19" spans="2:9" x14ac:dyDescent="0.35">
      <c r="B19" s="2792">
        <v>51300</v>
      </c>
      <c r="C19" t="str">
        <f t="shared" si="2"/>
        <v>Pembelian Barang Konsinyasi</v>
      </c>
      <c r="E19" s="2793">
        <v>0</v>
      </c>
      <c r="F19" s="2793">
        <v>0</v>
      </c>
      <c r="G19" s="2793">
        <f t="shared" si="3"/>
        <v>0</v>
      </c>
      <c r="I19" s="2793">
        <v>0</v>
      </c>
    </row>
    <row r="20" spans="2:9" x14ac:dyDescent="0.35">
      <c r="B20" s="2792">
        <v>51400</v>
      </c>
      <c r="C20" t="str">
        <f t="shared" si="2"/>
        <v>Potongan Pembelian</v>
      </c>
      <c r="E20" s="2793">
        <v>0</v>
      </c>
      <c r="F20" s="2793">
        <v>0</v>
      </c>
      <c r="G20" s="2793">
        <f t="shared" si="3"/>
        <v>0</v>
      </c>
      <c r="I20" s="2793">
        <v>0</v>
      </c>
    </row>
    <row r="21" spans="2:9" ht="15" thickBot="1" x14ac:dyDescent="0.4">
      <c r="B21" s="2792">
        <v>51500</v>
      </c>
      <c r="C21" t="str">
        <f t="shared" si="2"/>
        <v>HPP - Persediaan Akhir</v>
      </c>
      <c r="E21" s="2793">
        <v>-75534081</v>
      </c>
      <c r="F21" s="2799">
        <v>-106383893</v>
      </c>
      <c r="G21" s="2793">
        <f t="shared" si="3"/>
        <v>-1065178459</v>
      </c>
      <c r="I21" s="2793">
        <v>-989644378</v>
      </c>
    </row>
    <row r="22" spans="2:9" ht="15" thickBot="1" x14ac:dyDescent="0.4">
      <c r="B22" s="2800" t="s">
        <v>7274</v>
      </c>
      <c r="C22" s="2801"/>
      <c r="D22" s="2802"/>
      <c r="E22" s="2803">
        <v>74179172</v>
      </c>
      <c r="F22" s="2803">
        <v>119758301</v>
      </c>
      <c r="G22" s="2803">
        <f>SUM(G14:G21)</f>
        <v>1042152879</v>
      </c>
      <c r="I22" s="2798">
        <v>967973707</v>
      </c>
    </row>
    <row r="23" spans="2:9" ht="15" thickBot="1" x14ac:dyDescent="0.4">
      <c r="B23" s="2800" t="s">
        <v>7275</v>
      </c>
      <c r="C23" s="2801"/>
      <c r="D23" s="2802"/>
      <c r="E23" s="2803">
        <v>8393078</v>
      </c>
      <c r="F23" s="2803">
        <v>18769549</v>
      </c>
      <c r="G23" s="2803">
        <f>G13-G22</f>
        <v>159871577</v>
      </c>
      <c r="I23" s="2798">
        <v>151478499</v>
      </c>
    </row>
    <row r="24" spans="2:9" ht="15" thickBot="1" x14ac:dyDescent="0.4">
      <c r="B24" s="2794" t="s">
        <v>7276</v>
      </c>
      <c r="C24" s="2804"/>
      <c r="D24" s="2796"/>
      <c r="E24" s="2797"/>
      <c r="F24" s="2797"/>
      <c r="G24" s="2797"/>
      <c r="I24" s="2798"/>
    </row>
    <row r="25" spans="2:9" x14ac:dyDescent="0.35">
      <c r="B25" s="2792">
        <v>52100</v>
      </c>
      <c r="C25" t="str">
        <f t="shared" ref="C25:C47" si="4">IF(B25="","",IF(ISNA(VLOOKUP(B25,COA,2,FALSE)),"",VLOOKUP(B25,COA,2,FALSE)))</f>
        <v>Beban Gaji</v>
      </c>
      <c r="E25" s="2793">
        <v>0</v>
      </c>
      <c r="F25" s="2793">
        <v>0</v>
      </c>
      <c r="G25" s="2793">
        <f t="shared" ref="G25:G46" si="5">E25+I25</f>
        <v>0</v>
      </c>
      <c r="I25" s="2793">
        <v>0</v>
      </c>
    </row>
    <row r="26" spans="2:9" x14ac:dyDescent="0.35">
      <c r="B26" s="2792">
        <v>52110</v>
      </c>
      <c r="C26" t="str">
        <f t="shared" si="4"/>
        <v>Beban Gaji Karyawan</v>
      </c>
      <c r="E26" s="2793">
        <v>0</v>
      </c>
      <c r="F26" s="2793">
        <v>35000</v>
      </c>
      <c r="G26" s="2793">
        <f t="shared" si="5"/>
        <v>35000</v>
      </c>
      <c r="I26" s="2793">
        <v>35000</v>
      </c>
    </row>
    <row r="27" spans="2:9" hidden="1" x14ac:dyDescent="0.35">
      <c r="B27" s="2792">
        <v>52200</v>
      </c>
      <c r="C27" t="str">
        <f t="shared" si="4"/>
        <v>Beban Administrasi</v>
      </c>
      <c r="E27" s="2793">
        <v>0</v>
      </c>
      <c r="F27" s="2793">
        <v>0</v>
      </c>
      <c r="G27" s="2793">
        <f t="shared" si="5"/>
        <v>0</v>
      </c>
      <c r="I27" s="2793">
        <v>0</v>
      </c>
    </row>
    <row r="28" spans="2:9" x14ac:dyDescent="0.35">
      <c r="B28" s="2792">
        <v>52210</v>
      </c>
      <c r="C28" t="str">
        <f t="shared" si="4"/>
        <v>Beban Alat Tulis Kantor</v>
      </c>
      <c r="E28" s="2793">
        <v>0</v>
      </c>
      <c r="F28" s="2793">
        <v>0</v>
      </c>
      <c r="G28" s="2793">
        <f t="shared" si="5"/>
        <v>0</v>
      </c>
      <c r="I28" s="2793">
        <v>0</v>
      </c>
    </row>
    <row r="29" spans="2:9" x14ac:dyDescent="0.35">
      <c r="B29" s="2792">
        <v>52220</v>
      </c>
      <c r="C29" t="str">
        <f t="shared" si="4"/>
        <v>Beban cetak</v>
      </c>
      <c r="E29" s="2793">
        <v>0</v>
      </c>
      <c r="F29" s="2793">
        <v>0</v>
      </c>
      <c r="G29" s="2793">
        <f t="shared" si="5"/>
        <v>0</v>
      </c>
      <c r="I29" s="2793">
        <v>0</v>
      </c>
    </row>
    <row r="30" spans="2:9" x14ac:dyDescent="0.35">
      <c r="B30" s="2792">
        <v>52230</v>
      </c>
      <c r="C30" t="str">
        <f t="shared" si="4"/>
        <v>Beban Perlengkapan Kantor</v>
      </c>
      <c r="E30" s="2793">
        <v>0</v>
      </c>
      <c r="F30" s="2793">
        <v>0</v>
      </c>
      <c r="G30" s="2793">
        <f t="shared" si="5"/>
        <v>293900</v>
      </c>
      <c r="I30" s="2793">
        <v>293900</v>
      </c>
    </row>
    <row r="31" spans="2:9" x14ac:dyDescent="0.35">
      <c r="B31" s="2792">
        <v>52300</v>
      </c>
      <c r="C31" t="str">
        <f t="shared" si="4"/>
        <v>Beban Umum</v>
      </c>
      <c r="E31" s="2793">
        <v>0</v>
      </c>
      <c r="F31" s="2793">
        <v>0</v>
      </c>
      <c r="G31" s="2793">
        <f t="shared" si="5"/>
        <v>0</v>
      </c>
      <c r="I31" s="2793">
        <v>0</v>
      </c>
    </row>
    <row r="32" spans="2:9" x14ac:dyDescent="0.35">
      <c r="B32" s="2792">
        <v>52310</v>
      </c>
      <c r="C32" t="str">
        <f t="shared" si="4"/>
        <v>Beban Transport dan akomodasi</v>
      </c>
      <c r="E32" s="2793">
        <v>40000</v>
      </c>
      <c r="F32" s="2793">
        <v>320000</v>
      </c>
      <c r="G32" s="2793">
        <f t="shared" si="5"/>
        <v>2320500</v>
      </c>
      <c r="I32" s="2793">
        <v>2280500</v>
      </c>
    </row>
    <row r="33" spans="2:9" x14ac:dyDescent="0.35">
      <c r="B33" s="2792">
        <v>52311</v>
      </c>
      <c r="C33" t="str">
        <f t="shared" si="4"/>
        <v>Beban Umum (Enam Mart, Food, Laundry)</v>
      </c>
      <c r="E33" s="2793">
        <v>1277500</v>
      </c>
      <c r="F33" s="2793">
        <v>929000</v>
      </c>
      <c r="G33" s="2793">
        <f t="shared" si="5"/>
        <v>13762000</v>
      </c>
      <c r="I33" s="2793">
        <v>12484500</v>
      </c>
    </row>
    <row r="34" spans="2:9" x14ac:dyDescent="0.35">
      <c r="B34" s="2792">
        <v>52320</v>
      </c>
      <c r="C34" t="str">
        <f t="shared" si="4"/>
        <v>Beban Listrik</v>
      </c>
      <c r="E34" s="2793">
        <v>709000</v>
      </c>
      <c r="F34" s="2793">
        <v>1513500</v>
      </c>
      <c r="G34" s="2793">
        <f t="shared" si="5"/>
        <v>12903000</v>
      </c>
      <c r="I34" s="2793">
        <v>12194000</v>
      </c>
    </row>
    <row r="35" spans="2:9" x14ac:dyDescent="0.35">
      <c r="B35" s="2792">
        <v>52330</v>
      </c>
      <c r="C35" t="str">
        <f t="shared" si="4"/>
        <v>Beban Telepon, Pulsa &amp; Internet</v>
      </c>
      <c r="E35" s="2793">
        <v>49900</v>
      </c>
      <c r="F35" s="2793">
        <v>298300</v>
      </c>
      <c r="G35" s="2793">
        <f t="shared" si="5"/>
        <v>2822900</v>
      </c>
      <c r="I35" s="2793">
        <v>2773000</v>
      </c>
    </row>
    <row r="36" spans="2:9" x14ac:dyDescent="0.35">
      <c r="B36" s="2792">
        <v>52340</v>
      </c>
      <c r="C36" t="str">
        <f t="shared" si="4"/>
        <v>Beban Perbaikan dan pemeliharaan</v>
      </c>
      <c r="E36" s="2793">
        <v>0</v>
      </c>
      <c r="F36" s="2793">
        <v>600000</v>
      </c>
      <c r="G36" s="2793">
        <f t="shared" si="5"/>
        <v>1603400</v>
      </c>
      <c r="I36" s="2793">
        <v>1603400</v>
      </c>
    </row>
    <row r="37" spans="2:9" x14ac:dyDescent="0.35">
      <c r="B37" s="2792">
        <v>52370</v>
      </c>
      <c r="C37" t="str">
        <f t="shared" si="4"/>
        <v>Beban Donasi</v>
      </c>
      <c r="E37" s="2793">
        <v>0</v>
      </c>
      <c r="F37" s="2793">
        <v>0</v>
      </c>
      <c r="G37" s="2793">
        <f t="shared" si="5"/>
        <v>0</v>
      </c>
      <c r="I37" s="2793">
        <v>0</v>
      </c>
    </row>
    <row r="38" spans="2:9" x14ac:dyDescent="0.35">
      <c r="B38" s="2792">
        <v>52350</v>
      </c>
      <c r="C38" t="s">
        <v>7277</v>
      </c>
      <c r="E38" s="2793">
        <v>8700</v>
      </c>
      <c r="F38" s="2793">
        <v>9600</v>
      </c>
      <c r="G38" s="2793">
        <f t="shared" si="5"/>
        <v>157775</v>
      </c>
      <c r="I38" s="2793">
        <v>149075</v>
      </c>
    </row>
    <row r="39" spans="2:9" x14ac:dyDescent="0.35">
      <c r="B39" s="2792">
        <v>52360</v>
      </c>
      <c r="C39" t="s">
        <v>7278</v>
      </c>
      <c r="E39" s="2793">
        <v>0</v>
      </c>
      <c r="F39" s="2793">
        <v>0</v>
      </c>
      <c r="G39" s="2793">
        <f t="shared" si="5"/>
        <v>0</v>
      </c>
      <c r="I39" s="2793">
        <v>0</v>
      </c>
    </row>
    <row r="40" spans="2:9" x14ac:dyDescent="0.35">
      <c r="B40" s="2792">
        <v>52390</v>
      </c>
      <c r="C40" t="str">
        <f t="shared" si="4"/>
        <v>Beban lain-lain</v>
      </c>
      <c r="E40" s="2793">
        <v>0</v>
      </c>
      <c r="F40" s="2793">
        <v>0</v>
      </c>
      <c r="G40" s="2793">
        <f t="shared" si="5"/>
        <v>0</v>
      </c>
      <c r="I40" s="2793">
        <v>0</v>
      </c>
    </row>
    <row r="41" spans="2:9" x14ac:dyDescent="0.35">
      <c r="B41" s="2792">
        <v>52700</v>
      </c>
      <c r="C41" t="str">
        <f t="shared" si="4"/>
        <v>Biaya Penyusutan</v>
      </c>
      <c r="E41" s="2793">
        <v>0</v>
      </c>
      <c r="F41" s="2793">
        <v>0</v>
      </c>
      <c r="G41" s="2793">
        <f t="shared" si="5"/>
        <v>0</v>
      </c>
      <c r="I41" s="2793">
        <v>0</v>
      </c>
    </row>
    <row r="42" spans="2:9" x14ac:dyDescent="0.35">
      <c r="B42" s="2792">
        <v>52710</v>
      </c>
      <c r="C42" t="str">
        <f t="shared" si="4"/>
        <v>Biaya Penyusutan Bangunan</v>
      </c>
      <c r="E42" s="2793">
        <v>208333.33333333334</v>
      </c>
      <c r="F42" s="2793">
        <v>208333.33333333334</v>
      </c>
      <c r="G42" s="2793">
        <f t="shared" si="5"/>
        <v>2291666.6666666665</v>
      </c>
      <c r="I42" s="2793">
        <v>2083333.333333333</v>
      </c>
    </row>
    <row r="43" spans="2:9" x14ac:dyDescent="0.35">
      <c r="B43" s="2792">
        <v>52720</v>
      </c>
      <c r="C43" t="str">
        <f t="shared" si="4"/>
        <v>Biaya Penyusutan Infrastruktur</v>
      </c>
      <c r="E43" s="2793">
        <v>0</v>
      </c>
      <c r="F43" s="2793">
        <v>0</v>
      </c>
      <c r="G43" s="2793">
        <f t="shared" si="5"/>
        <v>0</v>
      </c>
      <c r="I43" s="2793">
        <v>0</v>
      </c>
    </row>
    <row r="44" spans="2:9" x14ac:dyDescent="0.35">
      <c r="B44" s="2792">
        <v>52730</v>
      </c>
      <c r="C44" t="str">
        <f t="shared" si="4"/>
        <v xml:space="preserve">Biaya Penyusutan Peralatan </v>
      </c>
      <c r="E44" s="2793">
        <v>1040165.3166666667</v>
      </c>
      <c r="F44" s="2793">
        <v>1040165.3166666667</v>
      </c>
      <c r="G44" s="2793">
        <f t="shared" si="5"/>
        <v>11180192.483333336</v>
      </c>
      <c r="I44" s="2793">
        <v>10140027.16666667</v>
      </c>
    </row>
    <row r="45" spans="2:9" x14ac:dyDescent="0.35">
      <c r="B45" s="2792">
        <v>52740</v>
      </c>
      <c r="C45" t="str">
        <f t="shared" si="4"/>
        <v>Biaya Penyusutan Mebel dan Perlengkapan</v>
      </c>
      <c r="E45" s="2793">
        <v>179591.06666666665</v>
      </c>
      <c r="F45" s="2793">
        <v>179591.06666666665</v>
      </c>
      <c r="G45" s="2793">
        <f t="shared" si="5"/>
        <v>1777047.5033360065</v>
      </c>
      <c r="I45" s="2793">
        <v>1597456.4366693399</v>
      </c>
    </row>
    <row r="46" spans="2:9" x14ac:dyDescent="0.35">
      <c r="B46" s="2792">
        <v>52750</v>
      </c>
      <c r="C46" t="str">
        <f t="shared" si="4"/>
        <v>Biaya Penyusutan Kendaraan</v>
      </c>
      <c r="E46" s="2793">
        <v>0</v>
      </c>
      <c r="F46" s="2793">
        <v>0</v>
      </c>
      <c r="G46" s="2793">
        <f t="shared" si="5"/>
        <v>0</v>
      </c>
      <c r="I46" s="2793">
        <v>0</v>
      </c>
    </row>
    <row r="47" spans="2:9" hidden="1" x14ac:dyDescent="0.35">
      <c r="B47" s="2792">
        <v>52760</v>
      </c>
      <c r="C47" t="str">
        <f t="shared" si="4"/>
        <v>Biaya Penyusutan FA Lain-lain</v>
      </c>
      <c r="E47" s="2793">
        <v>0</v>
      </c>
      <c r="F47" s="2793">
        <v>0</v>
      </c>
      <c r="G47" s="2793">
        <f t="shared" ref="G47" si="6">E47</f>
        <v>0</v>
      </c>
      <c r="I47" s="2793">
        <v>0</v>
      </c>
    </row>
    <row r="48" spans="2:9" ht="15" thickBot="1" x14ac:dyDescent="0.4">
      <c r="B48" s="2792"/>
      <c r="E48" s="2793"/>
      <c r="F48" s="2793"/>
      <c r="G48" s="2793"/>
      <c r="I48" s="2793"/>
    </row>
    <row r="49" spans="1:11" ht="15" thickBot="1" x14ac:dyDescent="0.4">
      <c r="B49" s="2794" t="s">
        <v>7279</v>
      </c>
      <c r="C49" s="2795"/>
      <c r="D49" s="2796"/>
      <c r="E49" s="2805">
        <v>3513189.7166666668</v>
      </c>
      <c r="F49" s="2805">
        <v>5133489.7166666668</v>
      </c>
      <c r="G49" s="2805">
        <f>SUM(G25:G48)</f>
        <v>49147381.653336003</v>
      </c>
      <c r="I49" s="2798">
        <v>45634191.93666935</v>
      </c>
    </row>
    <row r="50" spans="1:11" ht="15" thickBot="1" x14ac:dyDescent="0.4">
      <c r="B50" s="2806" t="s">
        <v>7280</v>
      </c>
      <c r="C50" s="2807"/>
      <c r="D50" s="2802"/>
      <c r="E50" s="2808">
        <v>4879888.2833333332</v>
      </c>
      <c r="F50" s="2808">
        <v>13636059.283333333</v>
      </c>
      <c r="G50" s="2808">
        <f>G23-G49</f>
        <v>110724195.346664</v>
      </c>
      <c r="I50" s="2798">
        <v>105844307.06333065</v>
      </c>
      <c r="K50" s="2809"/>
    </row>
    <row r="51" spans="1:11" x14ac:dyDescent="0.35">
      <c r="E51" s="2952">
        <f>E50/E13*100%</f>
        <v>5.9098405134089642E-2</v>
      </c>
      <c r="F51" s="2952">
        <f>F50/F13*100%</f>
        <v>9.8435507974268949E-2</v>
      </c>
      <c r="G51" s="2785">
        <f>G50-'14'!C101</f>
        <v>-6158604.2833332568</v>
      </c>
    </row>
    <row r="52" spans="1:11" ht="15.5" x14ac:dyDescent="0.35">
      <c r="A52" s="370" t="str">
        <f>IN!C4</f>
        <v>Laporan Keuangan June 2026</v>
      </c>
      <c r="B52" s="370"/>
      <c r="C52" s="370"/>
      <c r="D52" s="370"/>
      <c r="E52" s="370"/>
      <c r="F52" s="373"/>
      <c r="G52" s="373"/>
      <c r="H52" s="373" t="str">
        <f>IN!D4</f>
        <v>Financial Statement Jun 2026</v>
      </c>
    </row>
    <row r="53" spans="1:11" x14ac:dyDescent="0.35">
      <c r="C53" s="3905" t="s">
        <v>7613</v>
      </c>
      <c r="E53" s="2810">
        <f>E50-F50</f>
        <v>-8756171</v>
      </c>
    </row>
    <row r="54" spans="1:11" x14ac:dyDescent="0.35">
      <c r="C54" s="3905"/>
      <c r="E54" s="3134">
        <f>E53/F50*100%</f>
        <v>-0.64213353858781075</v>
      </c>
    </row>
    <row r="56" spans="1:11" x14ac:dyDescent="0.35">
      <c r="K56" s="2809"/>
    </row>
  </sheetData>
  <mergeCells count="6">
    <mergeCell ref="C53:C54"/>
    <mergeCell ref="A1:H1"/>
    <mergeCell ref="B2:G2"/>
    <mergeCell ref="B3:G3"/>
    <mergeCell ref="B5:C5"/>
    <mergeCell ref="B14:C14"/>
  </mergeCells>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8"/>
  <sheetViews>
    <sheetView view="pageBreakPreview" topLeftCell="A70" zoomScaleNormal="100" zoomScaleSheetLayoutView="100" workbookViewId="0">
      <selection activeCell="E102" sqref="E102"/>
    </sheetView>
  </sheetViews>
  <sheetFormatPr defaultColWidth="9.1796875" defaultRowHeight="14.5" x14ac:dyDescent="0.35"/>
  <cols>
    <col min="1" max="1" width="2.81640625" style="2834" customWidth="1"/>
    <col min="2" max="2" width="44.7265625" style="2812" customWidth="1"/>
    <col min="3" max="3" width="16.7265625" style="2824" customWidth="1"/>
    <col min="4" max="4" width="16.26953125" style="2824" customWidth="1"/>
    <col min="5" max="5" width="12.1796875" style="2812" customWidth="1"/>
    <col min="6" max="6" width="12.81640625" style="2813" customWidth="1"/>
    <col min="7" max="7" width="11.54296875" style="2812" bestFit="1" customWidth="1"/>
    <col min="8" max="16384" width="9.1796875" style="2812"/>
  </cols>
  <sheetData>
    <row r="1" spans="1:7" x14ac:dyDescent="0.35">
      <c r="A1" s="3410" t="s">
        <v>7266</v>
      </c>
      <c r="B1" s="3410"/>
      <c r="C1" s="3410"/>
      <c r="D1" s="3410"/>
      <c r="E1" s="406"/>
      <c r="F1" s="2811"/>
    </row>
    <row r="2" spans="1:7" x14ac:dyDescent="0.35">
      <c r="A2" s="3911" t="s">
        <v>7267</v>
      </c>
      <c r="B2" s="3911"/>
      <c r="C2" s="3911"/>
      <c r="D2" s="3911"/>
      <c r="E2" s="3911"/>
    </row>
    <row r="3" spans="1:7" x14ac:dyDescent="0.35">
      <c r="A3" s="3912" t="s">
        <v>7281</v>
      </c>
      <c r="B3" s="3912"/>
      <c r="C3" s="3912"/>
      <c r="D3" s="3912"/>
      <c r="E3" s="3912"/>
    </row>
    <row r="5" spans="1:7" ht="15" thickBot="1" x14ac:dyDescent="0.4">
      <c r="A5" s="2814"/>
      <c r="B5" s="2815" t="s">
        <v>7282</v>
      </c>
      <c r="C5" s="2816">
        <f>'13'!E6</f>
        <v>46203</v>
      </c>
      <c r="D5" s="2816">
        <f>'13'!F6</f>
        <v>46173</v>
      </c>
    </row>
    <row r="6" spans="1:7" x14ac:dyDescent="0.35">
      <c r="A6" s="2817">
        <v>10000</v>
      </c>
      <c r="B6" s="2818" t="str">
        <f>IF(A6="","",IF(ISNA(VLOOKUP(A6,COA,2,FALSE)),"",VLOOKUP(A6,COA,2,FALSE)))</f>
        <v>Aset</v>
      </c>
      <c r="C6" s="2819"/>
      <c r="D6" s="2819"/>
    </row>
    <row r="7" spans="1:7" x14ac:dyDescent="0.35">
      <c r="A7" s="2820">
        <v>11000</v>
      </c>
      <c r="B7" s="2818" t="str">
        <f>IF(A7="","",IF(ISNA(VLOOKUP(A7,COA,2,FALSE)),"",VLOOKUP(A7,COA,2,FALSE)))</f>
        <v>Aset Lancar</v>
      </c>
      <c r="C7" s="2821"/>
      <c r="D7" s="2821"/>
    </row>
    <row r="8" spans="1:7" x14ac:dyDescent="0.35">
      <c r="A8" s="2820">
        <v>11100</v>
      </c>
      <c r="B8" s="2818" t="str">
        <f>IF(A8="","",IF(ISNA(VLOOKUP(A8,COA,2,FALSE)),"",VLOOKUP(A8,COA,2,FALSE)))</f>
        <v>Kas dan Setera Kas</v>
      </c>
      <c r="C8" s="2821"/>
      <c r="D8" s="2821"/>
    </row>
    <row r="9" spans="1:7" x14ac:dyDescent="0.35">
      <c r="A9" s="2822">
        <v>11110</v>
      </c>
      <c r="B9" s="2823" t="str">
        <f>IF($A9="","",IF(ISNA(VLOOKUP($A9,COA,2,FALSE)),"",VLOOKUP($A9,COA,2,FALSE)))</f>
        <v>Kas ditangan</v>
      </c>
      <c r="C9" s="2821">
        <v>217617399.5</v>
      </c>
      <c r="D9" s="2821">
        <v>261116099.5</v>
      </c>
      <c r="E9" s="3129">
        <f>C9-D9</f>
        <v>-43498700</v>
      </c>
      <c r="G9" s="2824"/>
    </row>
    <row r="10" spans="1:7" x14ac:dyDescent="0.35">
      <c r="A10" s="2822">
        <v>11120</v>
      </c>
      <c r="B10" s="2823" t="str">
        <f>IF(A10="","",IF(ISNA(VLOOKUP(A10,COA,2,FALSE)),"",VLOOKUP(A10,COA,2,FALSE)))</f>
        <v>Kas Kasir</v>
      </c>
      <c r="C10" s="2821">
        <v>0</v>
      </c>
      <c r="D10" s="2821">
        <v>0</v>
      </c>
      <c r="E10" s="3129">
        <f t="shared" ref="E10:E13" si="0">C10-D10</f>
        <v>0</v>
      </c>
    </row>
    <row r="11" spans="1:7" x14ac:dyDescent="0.35">
      <c r="A11" s="2822">
        <v>11130</v>
      </c>
      <c r="B11" s="2823" t="str">
        <f t="shared" ref="B11:B14" si="1">IF(A11="","",IF(ISNA(VLOOKUP(A11,COA,2,FALSE)),"",VLOOKUP(A11,COA,2,FALSE)))</f>
        <v>Kas Shopee</v>
      </c>
      <c r="C11" s="2821">
        <v>81954</v>
      </c>
      <c r="D11" s="2821">
        <v>557974</v>
      </c>
      <c r="E11" s="3129">
        <f t="shared" si="0"/>
        <v>-476020</v>
      </c>
    </row>
    <row r="12" spans="1:7" x14ac:dyDescent="0.35">
      <c r="A12" s="2822">
        <v>11140</v>
      </c>
      <c r="B12" s="2823" t="str">
        <f>IF(A12="","",IF(ISNA(VLOOKUP(A12,COA,2,FALSE)),"",VLOOKUP(A12,COA,2,FALSE)))</f>
        <v>Bank BMI</v>
      </c>
      <c r="C12" s="2821">
        <v>7.999999972525984E-2</v>
      </c>
      <c r="D12" s="2821">
        <v>7.999999972525984E-2</v>
      </c>
      <c r="E12" s="3129">
        <f t="shared" si="0"/>
        <v>0</v>
      </c>
    </row>
    <row r="13" spans="1:7" x14ac:dyDescent="0.35">
      <c r="A13" s="2822">
        <v>11190</v>
      </c>
      <c r="B13" s="2823" t="str">
        <f t="shared" si="1"/>
        <v>Fast Pay</v>
      </c>
      <c r="C13" s="2821">
        <v>5361805</v>
      </c>
      <c r="D13" s="2821">
        <v>4107849</v>
      </c>
      <c r="E13" s="3129">
        <f t="shared" si="0"/>
        <v>1253956</v>
      </c>
    </row>
    <row r="14" spans="1:7" x14ac:dyDescent="0.35">
      <c r="A14" s="2822">
        <v>11290</v>
      </c>
      <c r="B14" s="2823" t="str">
        <f t="shared" si="1"/>
        <v>Lain-lain</v>
      </c>
      <c r="C14" s="2825">
        <v>0</v>
      </c>
      <c r="D14" s="2825">
        <v>0</v>
      </c>
      <c r="E14" s="3130"/>
    </row>
    <row r="15" spans="1:7" x14ac:dyDescent="0.35">
      <c r="A15" s="2822"/>
      <c r="B15" s="2823"/>
      <c r="C15" s="2821">
        <v>223061158.58000001</v>
      </c>
      <c r="D15" s="2821">
        <v>265781922.58000001</v>
      </c>
      <c r="E15" s="3129">
        <f>C15-D15</f>
        <v>-42720764</v>
      </c>
    </row>
    <row r="16" spans="1:7" x14ac:dyDescent="0.35">
      <c r="A16" s="2820">
        <v>11300</v>
      </c>
      <c r="B16" s="2818" t="str">
        <f t="shared" ref="B16:B19" si="2">IF(A16="","",IF(ISNA(VLOOKUP(A16,COA,2,FALSE)),"",VLOOKUP(A16,COA,2,FALSE)))</f>
        <v xml:space="preserve">Piutang </v>
      </c>
      <c r="C16" s="2821"/>
      <c r="D16" s="2821"/>
      <c r="E16" s="3130"/>
    </row>
    <row r="17" spans="1:5" x14ac:dyDescent="0.35">
      <c r="A17" s="2822">
        <v>11310</v>
      </c>
      <c r="B17" s="2823" t="str">
        <f t="shared" si="2"/>
        <v xml:space="preserve">Piutang Dagang </v>
      </c>
      <c r="C17" s="2821">
        <v>140077350</v>
      </c>
      <c r="D17" s="2821">
        <v>73712800</v>
      </c>
      <c r="E17" s="3129">
        <f t="shared" ref="E17:E20" si="3">C17-D17</f>
        <v>66364550</v>
      </c>
    </row>
    <row r="18" spans="1:5" x14ac:dyDescent="0.35">
      <c r="A18" s="2822">
        <v>11320</v>
      </c>
      <c r="B18" s="2823" t="str">
        <f t="shared" si="2"/>
        <v>Piutang Karyawan</v>
      </c>
      <c r="C18" s="2821">
        <v>0</v>
      </c>
      <c r="D18" s="2821">
        <v>0</v>
      </c>
      <c r="E18" s="3129"/>
    </row>
    <row r="19" spans="1:5" x14ac:dyDescent="0.35">
      <c r="A19" s="2822">
        <v>11390</v>
      </c>
      <c r="B19" s="2823" t="str">
        <f t="shared" si="2"/>
        <v>Piutang Lain-lain</v>
      </c>
      <c r="C19" s="2825">
        <v>0</v>
      </c>
      <c r="D19" s="2825">
        <v>0</v>
      </c>
      <c r="E19" s="3129"/>
    </row>
    <row r="20" spans="1:5" x14ac:dyDescent="0.35">
      <c r="A20" s="2822"/>
      <c r="B20" s="2823"/>
      <c r="C20" s="2821">
        <v>140077350</v>
      </c>
      <c r="D20" s="2821">
        <v>73712800</v>
      </c>
      <c r="E20" s="3129">
        <f t="shared" si="3"/>
        <v>66364550</v>
      </c>
    </row>
    <row r="21" spans="1:5" x14ac:dyDescent="0.35">
      <c r="A21" s="2820">
        <v>11400</v>
      </c>
      <c r="B21" s="2818" t="str">
        <f t="shared" ref="B21:B24" si="4">IF(A21="","",IF(ISNA(VLOOKUP(A21,COA,2,FALSE)),"",VLOOKUP(A21,COA,2,FALSE)))</f>
        <v>Persediaan</v>
      </c>
      <c r="C21" s="2821"/>
      <c r="D21" s="2821"/>
      <c r="E21" s="3130"/>
    </row>
    <row r="22" spans="1:5" x14ac:dyDescent="0.35">
      <c r="A22" s="2822">
        <v>11410</v>
      </c>
      <c r="B22" s="2823" t="str">
        <f t="shared" si="4"/>
        <v>Persediaan Barang Dagangan</v>
      </c>
      <c r="C22" s="2821">
        <v>75534081</v>
      </c>
      <c r="D22" s="2821">
        <v>92869889</v>
      </c>
      <c r="E22" s="3129"/>
    </row>
    <row r="23" spans="1:5" x14ac:dyDescent="0.35">
      <c r="A23" s="2822">
        <v>11420</v>
      </c>
      <c r="B23" s="2823" t="str">
        <f t="shared" si="4"/>
        <v>Persediaan Barang Konsinyasi</v>
      </c>
      <c r="C23" s="2821">
        <v>0</v>
      </c>
      <c r="D23" s="2821">
        <v>0</v>
      </c>
      <c r="E23" s="3130"/>
    </row>
    <row r="24" spans="1:5" x14ac:dyDescent="0.35">
      <c r="A24" s="2822">
        <v>11490</v>
      </c>
      <c r="B24" s="2823" t="str">
        <f t="shared" si="4"/>
        <v>Persediaan lain-lain</v>
      </c>
      <c r="C24" s="2825">
        <v>0</v>
      </c>
      <c r="D24" s="2825">
        <v>0</v>
      </c>
      <c r="E24" s="3130"/>
    </row>
    <row r="25" spans="1:5" x14ac:dyDescent="0.35">
      <c r="A25" s="2822"/>
      <c r="B25" s="2823"/>
      <c r="C25" s="2821">
        <v>75534081</v>
      </c>
      <c r="D25" s="2821">
        <v>92869889</v>
      </c>
      <c r="E25" s="3129">
        <f t="shared" ref="E25" si="5">C25-D25</f>
        <v>-17335808</v>
      </c>
    </row>
    <row r="26" spans="1:5" x14ac:dyDescent="0.35">
      <c r="A26" s="2820">
        <v>11500</v>
      </c>
      <c r="B26" s="2818" t="str">
        <f t="shared" ref="B26:B28" si="6">IF(A26="","",IF(ISNA(VLOOKUP(A26,COA,2,FALSE)),"",VLOOKUP(A26,COA,2,FALSE)))</f>
        <v xml:space="preserve">Uang Muka </v>
      </c>
      <c r="C26" s="2821"/>
      <c r="D26" s="2821"/>
      <c r="E26" s="3130"/>
    </row>
    <row r="27" spans="1:5" x14ac:dyDescent="0.35">
      <c r="A27" s="2822">
        <v>11510</v>
      </c>
      <c r="B27" s="2823" t="str">
        <f t="shared" si="6"/>
        <v xml:space="preserve">Uang Muka Pembelian </v>
      </c>
      <c r="C27" s="2821">
        <v>0</v>
      </c>
      <c r="D27" s="2821">
        <v>0</v>
      </c>
      <c r="E27" s="3130"/>
    </row>
    <row r="28" spans="1:5" x14ac:dyDescent="0.35">
      <c r="A28" s="2822">
        <v>11590</v>
      </c>
      <c r="B28" s="2823" t="str">
        <f t="shared" si="6"/>
        <v>Uang Muka Pembelian Lain-lain</v>
      </c>
      <c r="C28" s="2825">
        <v>0</v>
      </c>
      <c r="D28" s="2825">
        <v>0</v>
      </c>
      <c r="E28" s="3130"/>
    </row>
    <row r="29" spans="1:5" x14ac:dyDescent="0.35">
      <c r="A29" s="2822"/>
      <c r="B29" s="2823"/>
      <c r="C29" s="2821">
        <v>0</v>
      </c>
      <c r="D29" s="2821">
        <v>0</v>
      </c>
      <c r="E29" s="3130"/>
    </row>
    <row r="30" spans="1:5" x14ac:dyDescent="0.35">
      <c r="A30" s="2820">
        <v>11600</v>
      </c>
      <c r="B30" s="2818" t="str">
        <f>IF(A30="","",IF(ISNA(VLOOKUP(A30,COA,2,FALSE)),"",VLOOKUP(A30,COA,2,FALSE)))</f>
        <v>Beban dibayar dimuka</v>
      </c>
      <c r="C30" s="2821"/>
      <c r="D30" s="2821"/>
      <c r="E30" s="3130"/>
    </row>
    <row r="31" spans="1:5" x14ac:dyDescent="0.35">
      <c r="A31" s="2822">
        <v>11610</v>
      </c>
      <c r="B31" s="2823" t="str">
        <f>IF(A31="","",IF(ISNA(VLOOKUP(A31,COA,2,FALSE)),"",VLOOKUP(A31,COA,2,FALSE)))</f>
        <v>Beban Gaji Dibayar Dimuka</v>
      </c>
      <c r="C31" s="2821">
        <v>0</v>
      </c>
      <c r="D31" s="2821">
        <v>0</v>
      </c>
      <c r="E31" s="3130"/>
    </row>
    <row r="32" spans="1:5" x14ac:dyDescent="0.35">
      <c r="A32" s="2822">
        <v>11620</v>
      </c>
      <c r="B32" s="2823" t="str">
        <f>IF(A32="","",IF(ISNA(VLOOKUP(A32,COA,2,FALSE)),"",VLOOKUP(A32,COA,2,FALSE)))</f>
        <v>Pajak dibayar dimuka</v>
      </c>
      <c r="C32" s="2821">
        <v>0</v>
      </c>
      <c r="D32" s="2821">
        <v>0</v>
      </c>
      <c r="E32" s="3130"/>
    </row>
    <row r="33" spans="1:7" x14ac:dyDescent="0.35">
      <c r="A33" s="2822">
        <v>11690</v>
      </c>
      <c r="B33" s="2823" t="str">
        <f>IF(A33="","",IF(ISNA(VLOOKUP(A33,COA,2,FALSE)),"",VLOOKUP(A33,COA,2,FALSE)))</f>
        <v>Beban lain-lain dibayar dimuka</v>
      </c>
      <c r="C33" s="2825">
        <v>0</v>
      </c>
      <c r="D33" s="2825">
        <v>0</v>
      </c>
      <c r="E33" s="3130"/>
    </row>
    <row r="34" spans="1:7" ht="15" thickBot="1" x14ac:dyDescent="0.4">
      <c r="A34" s="2822"/>
      <c r="B34" s="2823"/>
      <c r="C34" s="2826">
        <v>0</v>
      </c>
      <c r="D34" s="2826">
        <v>0</v>
      </c>
      <c r="E34" s="3130"/>
    </row>
    <row r="35" spans="1:7" ht="15" thickBot="1" x14ac:dyDescent="0.4">
      <c r="A35" s="2827"/>
      <c r="B35" s="2828" t="s">
        <v>207</v>
      </c>
      <c r="C35" s="2829">
        <v>438672589.58000004</v>
      </c>
      <c r="D35" s="2829">
        <v>432364611.58000004</v>
      </c>
      <c r="E35" s="3130"/>
      <c r="G35" s="2824"/>
    </row>
    <row r="36" spans="1:7" x14ac:dyDescent="0.35">
      <c r="A36" s="2820">
        <v>12000</v>
      </c>
      <c r="B36" s="2818" t="str">
        <f>IF(A36="","",IF(ISNA(VLOOKUP(A36,COA,2,FALSE)),"",VLOOKUP(A36,COA,2,FALSE)))</f>
        <v>Aset Tak Lancar</v>
      </c>
      <c r="C36" s="2819"/>
      <c r="D36" s="2819"/>
      <c r="E36" s="3130"/>
    </row>
    <row r="37" spans="1:7" x14ac:dyDescent="0.35">
      <c r="A37" s="2820">
        <v>12100</v>
      </c>
      <c r="B37" s="2818" t="str">
        <f>IF(A37="","",IF(ISNA(VLOOKUP(A37,COA,2,FALSE)),"",VLOOKUP(A37,COA,2,FALSE)))</f>
        <v>Investasi jangka Panjang</v>
      </c>
      <c r="C37" s="2821">
        <v>0</v>
      </c>
      <c r="D37" s="2821">
        <v>0</v>
      </c>
      <c r="E37" s="3130"/>
    </row>
    <row r="38" spans="1:7" x14ac:dyDescent="0.35">
      <c r="A38" s="2822">
        <v>12110</v>
      </c>
      <c r="B38" s="2823" t="str">
        <f>IF(A38="","",IF(ISNA(VLOOKUP(A38,COA,2,FALSE)),"",VLOOKUP(A38,COA,2,FALSE)))</f>
        <v>Saham Biasa</v>
      </c>
      <c r="C38" s="2821">
        <v>0</v>
      </c>
      <c r="D38" s="2821">
        <v>0</v>
      </c>
      <c r="E38" s="3130"/>
    </row>
    <row r="39" spans="1:7" x14ac:dyDescent="0.35">
      <c r="A39" s="2822">
        <v>12120</v>
      </c>
      <c r="B39" s="2823" t="str">
        <f>IF(A39="","",IF(ISNA(VLOOKUP(A39,COA,2,FALSE)),"",VLOOKUP(A39,COA,2,FALSE)))</f>
        <v>Surat-surat Berharga</v>
      </c>
      <c r="C39" s="2825">
        <v>0</v>
      </c>
      <c r="D39" s="2825">
        <v>0</v>
      </c>
      <c r="E39" s="3130"/>
    </row>
    <row r="40" spans="1:7" x14ac:dyDescent="0.35">
      <c r="A40" s="2822"/>
      <c r="B40" s="2823"/>
      <c r="C40" s="2821">
        <v>0</v>
      </c>
      <c r="D40" s="2821">
        <v>0</v>
      </c>
      <c r="E40" s="3130"/>
    </row>
    <row r="41" spans="1:7" x14ac:dyDescent="0.35">
      <c r="A41" s="2820">
        <v>12200</v>
      </c>
      <c r="B41" s="2818" t="str">
        <f t="shared" ref="B41:B48" si="7">IF(A41="","",IF(ISNA(VLOOKUP(A41,COA,2,FALSE)),"",VLOOKUP(A41,COA,2,FALSE)))</f>
        <v>Harga Perolehan Aset Tetap</v>
      </c>
      <c r="C41" s="2821"/>
      <c r="D41" s="2821"/>
      <c r="E41" s="3130"/>
    </row>
    <row r="42" spans="1:7" x14ac:dyDescent="0.35">
      <c r="A42" s="2822">
        <v>12210</v>
      </c>
      <c r="B42" s="2823" t="str">
        <f t="shared" si="7"/>
        <v>Akuisisi Tanah</v>
      </c>
      <c r="C42" s="2821">
        <v>0</v>
      </c>
      <c r="D42" s="2821">
        <v>0</v>
      </c>
      <c r="E42" s="3130"/>
    </row>
    <row r="43" spans="1:7" x14ac:dyDescent="0.35">
      <c r="A43" s="2822">
        <v>12220</v>
      </c>
      <c r="B43" s="2823" t="str">
        <f t="shared" si="7"/>
        <v>Akuisisi Bangunan</v>
      </c>
      <c r="C43" s="2821">
        <v>50000000</v>
      </c>
      <c r="D43" s="2821">
        <v>50000000</v>
      </c>
      <c r="E43" s="3130"/>
    </row>
    <row r="44" spans="1:7" x14ac:dyDescent="0.35">
      <c r="A44" s="2822">
        <v>12230</v>
      </c>
      <c r="B44" s="2823" t="str">
        <f t="shared" si="7"/>
        <v>Akuisisi Infrastruktur</v>
      </c>
      <c r="C44" s="2821">
        <v>0</v>
      </c>
      <c r="D44" s="2821">
        <v>0</v>
      </c>
      <c r="E44" s="3130"/>
    </row>
    <row r="45" spans="1:7" x14ac:dyDescent="0.35">
      <c r="A45" s="2822">
        <v>12240</v>
      </c>
      <c r="B45" s="2823" t="str">
        <f t="shared" si="7"/>
        <v>Akuisisi Peralatan</v>
      </c>
      <c r="C45" s="2821">
        <v>65409919</v>
      </c>
      <c r="D45" s="2821">
        <v>65409919</v>
      </c>
      <c r="E45" s="3130"/>
    </row>
    <row r="46" spans="1:7" x14ac:dyDescent="0.35">
      <c r="A46" s="2822">
        <v>12250</v>
      </c>
      <c r="B46" s="2823" t="str">
        <f t="shared" si="7"/>
        <v>Akuisisi Furniture</v>
      </c>
      <c r="C46" s="2821">
        <v>10775464</v>
      </c>
      <c r="D46" s="2821">
        <v>10775464</v>
      </c>
      <c r="E46" s="3130"/>
    </row>
    <row r="47" spans="1:7" x14ac:dyDescent="0.35">
      <c r="A47" s="2822">
        <v>12260</v>
      </c>
      <c r="B47" s="2823" t="str">
        <f t="shared" si="7"/>
        <v>Akuisisi  Kendaraan</v>
      </c>
      <c r="C47" s="2821">
        <v>0</v>
      </c>
      <c r="D47" s="2821">
        <v>0</v>
      </c>
      <c r="E47" s="3130"/>
    </row>
    <row r="48" spans="1:7" x14ac:dyDescent="0.35">
      <c r="A48" s="2822">
        <v>12290</v>
      </c>
      <c r="B48" s="2823" t="str">
        <f t="shared" si="7"/>
        <v>Lain-lain Aset Tetap</v>
      </c>
      <c r="C48" s="2825">
        <v>0</v>
      </c>
      <c r="D48" s="2825">
        <v>0</v>
      </c>
      <c r="E48" s="3130"/>
    </row>
    <row r="49" spans="1:7" x14ac:dyDescent="0.35">
      <c r="A49" s="2822"/>
      <c r="B49" s="2823"/>
      <c r="C49" s="2821">
        <v>126185383</v>
      </c>
      <c r="D49" s="2821">
        <v>126185383</v>
      </c>
      <c r="E49" s="3130"/>
    </row>
    <row r="50" spans="1:7" x14ac:dyDescent="0.35">
      <c r="A50" s="2820">
        <v>12300</v>
      </c>
      <c r="B50" s="2818" t="str">
        <f t="shared" ref="B50:B57" si="8">IF(A50="","",IF(ISNA(VLOOKUP(A50,COA,2,FALSE)),"",VLOOKUP(A50,COA,2,FALSE)))</f>
        <v>Akumulasi Penyusutan Aset Tetap</v>
      </c>
      <c r="C50" s="2821"/>
      <c r="D50" s="2821"/>
      <c r="E50" s="3130"/>
    </row>
    <row r="51" spans="1:7" x14ac:dyDescent="0.35">
      <c r="A51" s="2822">
        <v>12310</v>
      </c>
      <c r="B51" s="2823" t="str">
        <f t="shared" si="8"/>
        <v>Akumulasi Penyusutan Tanah</v>
      </c>
      <c r="C51" s="2821">
        <v>0</v>
      </c>
      <c r="D51" s="2821">
        <v>0</v>
      </c>
      <c r="E51" s="3130"/>
    </row>
    <row r="52" spans="1:7" x14ac:dyDescent="0.35">
      <c r="A52" s="2822">
        <v>12320</v>
      </c>
      <c r="B52" s="2823" t="str">
        <f t="shared" si="8"/>
        <v>Akumulasi Penyusutan Bangunan</v>
      </c>
      <c r="C52" s="2821">
        <v>-16874998.663333345</v>
      </c>
      <c r="D52" s="2821">
        <v>-16666665.330000013</v>
      </c>
      <c r="E52" s="3130"/>
    </row>
    <row r="53" spans="1:7" x14ac:dyDescent="0.35">
      <c r="A53" s="2822">
        <v>12330</v>
      </c>
      <c r="B53" s="2823" t="str">
        <f t="shared" si="8"/>
        <v>Akumulasi Penyusutan Infrastruktur</v>
      </c>
      <c r="C53" s="2821">
        <v>0</v>
      </c>
      <c r="D53" s="2821">
        <v>0</v>
      </c>
      <c r="E53" s="3130"/>
    </row>
    <row r="54" spans="1:7" x14ac:dyDescent="0.35">
      <c r="A54" s="2822">
        <v>12340</v>
      </c>
      <c r="B54" s="2823" t="str">
        <f t="shared" si="8"/>
        <v>Akumulasi Penyusutan Peralatan</v>
      </c>
      <c r="C54" s="2821">
        <v>-33354650.663333334</v>
      </c>
      <c r="D54" s="2821">
        <v>-32314485.346666668</v>
      </c>
      <c r="E54" s="3130"/>
    </row>
    <row r="55" spans="1:7" x14ac:dyDescent="0.35">
      <c r="A55" s="2822">
        <v>12350</v>
      </c>
      <c r="B55" s="2823" t="str">
        <f t="shared" si="8"/>
        <v>Akumulasi Penyusutan Mebel dan Perlengkapan</v>
      </c>
      <c r="C55" s="2821">
        <v>-5478544.0333360052</v>
      </c>
      <c r="D55" s="2821">
        <v>-5298952.9666693388</v>
      </c>
      <c r="E55" s="3130"/>
    </row>
    <row r="56" spans="1:7" x14ac:dyDescent="0.35">
      <c r="A56" s="2822">
        <v>12360</v>
      </c>
      <c r="B56" s="2823" t="str">
        <f t="shared" si="8"/>
        <v>Akumulasi Penyusutan Kendaraan</v>
      </c>
      <c r="C56" s="2821">
        <v>0</v>
      </c>
      <c r="D56" s="2821">
        <v>0</v>
      </c>
      <c r="E56" s="3130"/>
    </row>
    <row r="57" spans="1:7" x14ac:dyDescent="0.35">
      <c r="A57" s="2822">
        <v>12390</v>
      </c>
      <c r="B57" s="2823" t="str">
        <f t="shared" si="8"/>
        <v>Akumulasi Penyusutan Lain-lain</v>
      </c>
      <c r="C57" s="2825">
        <v>0</v>
      </c>
      <c r="D57" s="2825">
        <v>0</v>
      </c>
      <c r="E57" s="3130"/>
    </row>
    <row r="58" spans="1:7" x14ac:dyDescent="0.35">
      <c r="A58" s="2822"/>
      <c r="B58" s="2823"/>
      <c r="C58" s="2821">
        <v>-55708193.360002689</v>
      </c>
      <c r="D58" s="2821">
        <v>-54280103.643336013</v>
      </c>
      <c r="E58" s="3130"/>
    </row>
    <row r="59" spans="1:7" x14ac:dyDescent="0.35">
      <c r="A59" s="2820">
        <v>12400</v>
      </c>
      <c r="B59" s="2823" t="str">
        <f>IF(A59="","",IF(ISNA(VLOOKUP(A59,COA,2,FALSE)),"",VLOOKUP(A59,COA,2,FALSE)))</f>
        <v>Aset Tidak Lancar Lainnya</v>
      </c>
      <c r="C59" s="2821"/>
      <c r="D59" s="2821"/>
      <c r="E59" s="3130"/>
    </row>
    <row r="60" spans="1:7" ht="15" thickBot="1" x14ac:dyDescent="0.4">
      <c r="A60" s="2822">
        <v>12410</v>
      </c>
      <c r="B60" s="2823" t="str">
        <f>IF(A60="","",IF(ISNA(VLOOKUP(A60,COA,2,FALSE)),"",VLOOKUP(A60,COA,2,FALSE)))</f>
        <v>Biaya Pra Operasional</v>
      </c>
      <c r="C60" s="2826">
        <v>0</v>
      </c>
      <c r="D60" s="2826">
        <v>0</v>
      </c>
      <c r="E60" s="3130"/>
    </row>
    <row r="61" spans="1:7" ht="15" thickBot="1" x14ac:dyDescent="0.4">
      <c r="A61" s="2827"/>
      <c r="B61" s="2828" t="s">
        <v>7283</v>
      </c>
      <c r="C61" s="2829">
        <v>70477189.639997303</v>
      </c>
      <c r="D61" s="2829">
        <v>71905279.356663987</v>
      </c>
      <c r="E61" s="3129">
        <f>C61-D61</f>
        <v>-1428089.7166666836</v>
      </c>
      <c r="G61" s="2824"/>
    </row>
    <row r="62" spans="1:7" ht="15" thickBot="1" x14ac:dyDescent="0.4">
      <c r="A62" s="2817"/>
      <c r="B62" s="2830" t="s">
        <v>7284</v>
      </c>
      <c r="C62" s="2831">
        <v>509149779.21999735</v>
      </c>
      <c r="D62" s="2831">
        <v>504269890.93666404</v>
      </c>
      <c r="E62" s="3131">
        <f>E15+E17+E25+E61</f>
        <v>4879888.2833333164</v>
      </c>
      <c r="G62" s="2824"/>
    </row>
    <row r="63" spans="1:7" x14ac:dyDescent="0.35">
      <c r="A63" s="2817">
        <v>20000</v>
      </c>
      <c r="B63" s="2818" t="str">
        <f t="shared" ref="B63:B67" si="9">IF(A63="","",IF(ISNA(VLOOKUP(A63,COA,2,FALSE)),"",VLOOKUP(A63,COA,2,FALSE)))</f>
        <v>Liabilitas</v>
      </c>
      <c r="C63" s="2819">
        <v>0</v>
      </c>
      <c r="D63" s="2819">
        <v>0</v>
      </c>
      <c r="E63" s="3130"/>
    </row>
    <row r="64" spans="1:7" x14ac:dyDescent="0.35">
      <c r="A64" s="2817">
        <v>21000</v>
      </c>
      <c r="B64" s="2818" t="str">
        <f t="shared" si="9"/>
        <v>Liabilitas Lancar</v>
      </c>
      <c r="C64" s="2821">
        <v>0</v>
      </c>
      <c r="D64" s="2821">
        <v>0</v>
      </c>
      <c r="E64" s="3130"/>
    </row>
    <row r="65" spans="1:5" x14ac:dyDescent="0.35">
      <c r="A65" s="2817">
        <v>21200</v>
      </c>
      <c r="B65" s="2818" t="str">
        <f t="shared" si="9"/>
        <v>Hutang Dagang</v>
      </c>
      <c r="C65" s="2821">
        <v>0</v>
      </c>
      <c r="D65" s="2821">
        <v>0</v>
      </c>
      <c r="E65" s="3130"/>
    </row>
    <row r="66" spans="1:5" x14ac:dyDescent="0.35">
      <c r="A66" s="2827">
        <v>21210</v>
      </c>
      <c r="B66" s="2823" t="str">
        <f t="shared" si="9"/>
        <v>Hutang Dagang</v>
      </c>
      <c r="C66" s="2821">
        <v>0</v>
      </c>
      <c r="D66" s="2821">
        <v>0</v>
      </c>
      <c r="E66" s="3131"/>
    </row>
    <row r="67" spans="1:5" x14ac:dyDescent="0.35">
      <c r="A67" s="2827">
        <v>21290</v>
      </c>
      <c r="B67" s="2823" t="str">
        <f t="shared" si="9"/>
        <v>Hutang Lain-lain</v>
      </c>
      <c r="C67" s="2825">
        <v>0</v>
      </c>
      <c r="D67" s="2825">
        <v>0</v>
      </c>
      <c r="E67" s="3130"/>
    </row>
    <row r="68" spans="1:5" x14ac:dyDescent="0.35">
      <c r="A68" s="2827"/>
      <c r="B68" s="2823"/>
      <c r="C68" s="2821">
        <v>0</v>
      </c>
      <c r="D68" s="2821">
        <v>0</v>
      </c>
      <c r="E68" s="3131"/>
    </row>
    <row r="69" spans="1:5" x14ac:dyDescent="0.35">
      <c r="A69" s="2817">
        <v>21300</v>
      </c>
      <c r="B69" s="2818" t="str">
        <f t="shared" ref="B69:B70" si="10">IF(A69="","",IF(ISNA(VLOOKUP(A69,COA,2,FALSE)),"",VLOOKUP(A69,COA,2,FALSE)))</f>
        <v>Hutang Gaji</v>
      </c>
      <c r="C69" s="2821"/>
      <c r="D69" s="2821"/>
      <c r="E69" s="3130"/>
    </row>
    <row r="70" spans="1:5" x14ac:dyDescent="0.35">
      <c r="A70" s="2827">
        <v>21310</v>
      </c>
      <c r="B70" s="2823" t="str">
        <f t="shared" si="10"/>
        <v>Hutang Gaji Karyawan</v>
      </c>
      <c r="C70" s="2825">
        <v>0</v>
      </c>
      <c r="D70" s="2825">
        <v>0</v>
      </c>
      <c r="E70" s="3130"/>
    </row>
    <row r="71" spans="1:5" x14ac:dyDescent="0.35">
      <c r="A71" s="2827"/>
      <c r="B71" s="2823"/>
      <c r="C71" s="2821">
        <v>0</v>
      </c>
      <c r="D71" s="2821">
        <v>0</v>
      </c>
      <c r="E71" s="3130"/>
    </row>
    <row r="72" spans="1:5" x14ac:dyDescent="0.35">
      <c r="A72" s="2817">
        <v>21500</v>
      </c>
      <c r="B72" s="2818" t="str">
        <f>IF(A72="","",IF(ISNA(VLOOKUP(A72,COA,2,FALSE)),"",VLOOKUP(A72,COA,2,FALSE)))</f>
        <v>Titipan Bunga Bank</v>
      </c>
      <c r="C72" s="2821"/>
      <c r="D72" s="2821"/>
      <c r="E72" s="3130"/>
    </row>
    <row r="73" spans="1:5" x14ac:dyDescent="0.35">
      <c r="A73" s="2827">
        <v>21510</v>
      </c>
      <c r="B73" s="2823" t="str">
        <f>IF(A73="","",IF(ISNA(VLOOKUP(A73,COA,2,FALSE)),"",VLOOKUP(A73,COA,2,FALSE)))</f>
        <v xml:space="preserve">Bunga Bank </v>
      </c>
      <c r="C73" s="2825">
        <v>0</v>
      </c>
      <c r="D73" s="2825">
        <v>0</v>
      </c>
      <c r="E73" s="3130"/>
    </row>
    <row r="74" spans="1:5" x14ac:dyDescent="0.35">
      <c r="A74" s="2827"/>
      <c r="B74" s="2823"/>
      <c r="C74" s="2821">
        <v>0</v>
      </c>
      <c r="D74" s="2821">
        <v>0</v>
      </c>
      <c r="E74" s="3130"/>
    </row>
    <row r="75" spans="1:5" x14ac:dyDescent="0.35">
      <c r="A75" s="2817">
        <v>21600</v>
      </c>
      <c r="B75" s="2818" t="str">
        <f>IF(A75="","",IF(ISNA(VLOOKUP(A75,COA,2,FALSE)),"",VLOOKUP(A75,COA,2,FALSE)))</f>
        <v>Hutang PajaK</v>
      </c>
      <c r="C75" s="2821"/>
      <c r="D75" s="2821"/>
      <c r="E75" s="3130"/>
    </row>
    <row r="76" spans="1:5" x14ac:dyDescent="0.35">
      <c r="A76" s="2827">
        <v>21610</v>
      </c>
      <c r="B76" s="2823" t="str">
        <f>IF(A76="","",IF(ISNA(VLOOKUP(A76,COA,2,FALSE)),"",VLOOKUP(A76,COA,2,FALSE)))</f>
        <v>Hutang Pajak</v>
      </c>
      <c r="C76" s="2825">
        <v>0</v>
      </c>
      <c r="D76" s="2825">
        <v>0</v>
      </c>
      <c r="E76" s="3130"/>
    </row>
    <row r="77" spans="1:5" x14ac:dyDescent="0.35">
      <c r="A77" s="2827"/>
      <c r="B77" s="2823"/>
      <c r="C77" s="2821">
        <v>0</v>
      </c>
      <c r="D77" s="2821">
        <v>0</v>
      </c>
      <c r="E77" s="3130"/>
    </row>
    <row r="78" spans="1:5" x14ac:dyDescent="0.35">
      <c r="A78" s="2817">
        <v>21700</v>
      </c>
      <c r="B78" s="2818" t="str">
        <f t="shared" ref="B78:B79" si="11">IF(A78="","",IF(ISNA(VLOOKUP(A78,COA,2,FALSE)),"",VLOOKUP(A78,COA,2,FALSE)))</f>
        <v>Pendapatan diterima dimuka</v>
      </c>
      <c r="C78" s="2821"/>
      <c r="D78" s="2821"/>
      <c r="E78" s="3130"/>
    </row>
    <row r="79" spans="1:5" x14ac:dyDescent="0.35">
      <c r="A79" s="2827">
        <v>21710</v>
      </c>
      <c r="B79" s="2823" t="str">
        <f t="shared" si="11"/>
        <v xml:space="preserve">Pendapatan diterima dimuka </v>
      </c>
      <c r="C79" s="2825">
        <v>0</v>
      </c>
      <c r="D79" s="2825">
        <v>0</v>
      </c>
      <c r="E79" s="3130"/>
    </row>
    <row r="80" spans="1:5" x14ac:dyDescent="0.35">
      <c r="A80" s="2827"/>
      <c r="B80" s="2823"/>
      <c r="C80" s="2821">
        <v>0</v>
      </c>
      <c r="D80" s="2821">
        <v>0</v>
      </c>
      <c r="E80" s="3130"/>
    </row>
    <row r="81" spans="1:5" x14ac:dyDescent="0.35">
      <c r="A81" s="2817">
        <v>21900</v>
      </c>
      <c r="B81" s="2818" t="str">
        <f t="shared" ref="B81:B84" si="12">IF(A81="","",IF(ISNA(VLOOKUP(A81,COA,2,FALSE)),"",VLOOKUP(A81,COA,2,FALSE)))</f>
        <v>Biaya yang masih harus dibayar</v>
      </c>
      <c r="C81" s="2821"/>
      <c r="D81" s="2821"/>
      <c r="E81" s="3130"/>
    </row>
    <row r="82" spans="1:5" x14ac:dyDescent="0.35">
      <c r="A82" s="2827">
        <v>21910</v>
      </c>
      <c r="B82" s="2823" t="str">
        <f t="shared" si="12"/>
        <v>Beban yang masih harus dibayar - Gaji</v>
      </c>
      <c r="C82" s="2821">
        <v>0</v>
      </c>
      <c r="D82" s="2821">
        <v>0</v>
      </c>
      <c r="E82" s="3130"/>
    </row>
    <row r="83" spans="1:5" x14ac:dyDescent="0.35">
      <c r="A83" s="2827">
        <v>21920</v>
      </c>
      <c r="B83" s="2823" t="str">
        <f t="shared" si="12"/>
        <v>Beban yang masih harus dibayar - Listrik</v>
      </c>
      <c r="C83" s="2821">
        <v>0</v>
      </c>
      <c r="D83" s="2821">
        <v>0</v>
      </c>
      <c r="E83" s="3130"/>
    </row>
    <row r="84" spans="1:5" x14ac:dyDescent="0.35">
      <c r="A84" s="2827">
        <v>21990</v>
      </c>
      <c r="B84" s="2823" t="str">
        <f t="shared" si="12"/>
        <v>Beban yang masih harus dibayar - Lain-lain</v>
      </c>
      <c r="C84" s="2825">
        <v>0</v>
      </c>
      <c r="D84" s="2825">
        <v>0</v>
      </c>
      <c r="E84" s="3130"/>
    </row>
    <row r="85" spans="1:5" ht="15" thickBot="1" x14ac:dyDescent="0.4">
      <c r="A85" s="2827"/>
      <c r="B85" s="2823"/>
      <c r="C85" s="2826">
        <v>0</v>
      </c>
      <c r="D85" s="2826">
        <v>0</v>
      </c>
      <c r="E85" s="3130"/>
    </row>
    <row r="86" spans="1:5" ht="15" thickBot="1" x14ac:dyDescent="0.4">
      <c r="A86" s="2827"/>
      <c r="B86" s="2828" t="s">
        <v>255</v>
      </c>
      <c r="C86" s="2829">
        <v>0</v>
      </c>
      <c r="D86" s="2829">
        <v>0</v>
      </c>
      <c r="E86" s="3130"/>
    </row>
    <row r="87" spans="1:5" x14ac:dyDescent="0.35">
      <c r="A87" s="2820">
        <v>22000</v>
      </c>
      <c r="B87" s="2818" t="str">
        <f>IF(A87="","",IF(ISNA(VLOOKUP(A87,COA,2,FALSE)),"",VLOOKUP(A87,COA,2,FALSE)))</f>
        <v>Liabiitas Tak Lancar</v>
      </c>
      <c r="C87" s="2819"/>
      <c r="D87" s="2819"/>
      <c r="E87" s="3130"/>
    </row>
    <row r="88" spans="1:5" x14ac:dyDescent="0.35">
      <c r="A88" s="2820">
        <v>22100</v>
      </c>
      <c r="B88" s="2818" t="str">
        <f>IF(A88="","",IF(ISNA(VLOOKUP(A88,COA,2,FALSE)),"",VLOOKUP(A88,COA,2,FALSE)))</f>
        <v>Hutang Jangka Panjang</v>
      </c>
      <c r="C88" s="2821"/>
      <c r="D88" s="2821"/>
      <c r="E88" s="3130"/>
    </row>
    <row r="89" spans="1:5" x14ac:dyDescent="0.35">
      <c r="A89" s="2822">
        <v>22110</v>
      </c>
      <c r="B89" s="2823" t="str">
        <f>IF(A89="","",IF(ISNA(VLOOKUP(A89,COA,2,FALSE)),"",VLOOKUP(A89,COA,2,FALSE)))</f>
        <v>Hutang Bank</v>
      </c>
      <c r="C89" s="2821">
        <v>0</v>
      </c>
      <c r="D89" s="2821">
        <v>0</v>
      </c>
      <c r="E89" s="3130"/>
    </row>
    <row r="90" spans="1:5" ht="15" thickBot="1" x14ac:dyDescent="0.4">
      <c r="A90" s="2822">
        <v>22120</v>
      </c>
      <c r="B90" s="2823" t="str">
        <f>IF(A90="","",IF(ISNA(VLOOKUP(A90,COA,2,FALSE)),"",VLOOKUP(A90,COA,2,FALSE)))</f>
        <v>Pinjaman operasi jangka panjang</v>
      </c>
      <c r="C90" s="2821">
        <v>0</v>
      </c>
      <c r="D90" s="2821">
        <v>0</v>
      </c>
      <c r="E90" s="3130"/>
    </row>
    <row r="91" spans="1:5" ht="15" thickBot="1" x14ac:dyDescent="0.4">
      <c r="A91" s="2827"/>
      <c r="B91" s="2828" t="s">
        <v>7285</v>
      </c>
      <c r="C91" s="2829">
        <v>0</v>
      </c>
      <c r="D91" s="2829">
        <v>0</v>
      </c>
      <c r="E91" s="3130"/>
    </row>
    <row r="92" spans="1:5" ht="15" thickBot="1" x14ac:dyDescent="0.4">
      <c r="A92" s="2827"/>
      <c r="B92" s="2830" t="s">
        <v>7286</v>
      </c>
      <c r="C92" s="2831">
        <v>0</v>
      </c>
      <c r="D92" s="2831">
        <v>0</v>
      </c>
      <c r="E92" s="3130"/>
    </row>
    <row r="93" spans="1:5" x14ac:dyDescent="0.35">
      <c r="A93" s="2820">
        <v>30000</v>
      </c>
      <c r="B93" s="2818" t="str">
        <f>IF(A93="","",IF(ISNA(VLOOKUP(A93,COA,2,FALSE)),"",VLOOKUP(A93,COA,2,FALSE)))</f>
        <v xml:space="preserve">Modal </v>
      </c>
      <c r="C93" s="2819"/>
      <c r="D93" s="2819"/>
      <c r="E93" s="3130"/>
    </row>
    <row r="94" spans="1:5" x14ac:dyDescent="0.35">
      <c r="A94" s="2820">
        <v>31000</v>
      </c>
      <c r="B94" s="2818" t="str">
        <f>IF(A94="","",IF(ISNA(VLOOKUP(A94,COA,2,FALSE)),"",VLOOKUP(A94,COA,2,FALSE)))</f>
        <v>Modal Yayasan Pengurus/Pembina</v>
      </c>
      <c r="C94" s="2821"/>
      <c r="D94" s="2821"/>
      <c r="E94" s="3130"/>
    </row>
    <row r="95" spans="1:5" x14ac:dyDescent="0.35">
      <c r="A95" s="2822">
        <v>31100</v>
      </c>
      <c r="B95" s="2823" t="str">
        <f>IF(A95="","",IF(ISNA(VLOOKUP(A95,COA,2,FALSE)),"",VLOOKUP(A95,COA,2,FALSE)))</f>
        <v>Setoran Modal Awal dari Pengurus/Pembina</v>
      </c>
      <c r="C95" s="2821">
        <v>392266979.59000003</v>
      </c>
      <c r="D95" s="2821">
        <v>392266979.59000003</v>
      </c>
      <c r="E95" s="3130"/>
    </row>
    <row r="96" spans="1:5" x14ac:dyDescent="0.35">
      <c r="A96" s="2822">
        <v>31200</v>
      </c>
      <c r="B96" s="2823" t="str">
        <f>IF(A96="","",IF(ISNA(VLOOKUP(A96,COA,2,FALSE)),"",VLOOKUP(A96,COA,2,FALSE)))</f>
        <v>Setoran Modal Tambahan dari Pengurus/Pembina</v>
      </c>
      <c r="C96" s="2825">
        <v>0</v>
      </c>
      <c r="D96" s="2825">
        <v>0</v>
      </c>
      <c r="E96" s="3130"/>
    </row>
    <row r="97" spans="1:7" x14ac:dyDescent="0.35">
      <c r="A97" s="2822"/>
      <c r="B97" s="2823"/>
      <c r="C97" s="2821">
        <v>392266979.59000003</v>
      </c>
      <c r="D97" s="2821">
        <v>392266979.59000003</v>
      </c>
      <c r="E97" s="3130"/>
    </row>
    <row r="98" spans="1:7" x14ac:dyDescent="0.35">
      <c r="A98" s="2820">
        <v>32000</v>
      </c>
      <c r="B98" s="2818" t="str">
        <f>IF(A98="","",IF(ISNA(VLOOKUP(A98,COA,2,FALSE)),"",VLOOKUP(A98,COA,2,FALSE)))</f>
        <v>Laba Ditahan</v>
      </c>
      <c r="C98" s="2821"/>
      <c r="D98" s="2821"/>
      <c r="E98" s="3130"/>
    </row>
    <row r="99" spans="1:7" x14ac:dyDescent="0.35">
      <c r="A99" s="2822">
        <v>32100</v>
      </c>
      <c r="B99" s="2823" t="str">
        <f>IF(A99="","",IF(ISNA(VLOOKUP(A99,COA,2,FALSE)),"",VLOOKUP(A99,COA,2,FALSE)))</f>
        <v>Laba (Rugi) Tahun Berjalan</v>
      </c>
      <c r="C99" s="2821">
        <v>4879888.2833333332</v>
      </c>
      <c r="D99" s="2821">
        <v>6158604.2833333332</v>
      </c>
      <c r="E99" s="3130"/>
    </row>
    <row r="100" spans="1:7" x14ac:dyDescent="0.35">
      <c r="A100" s="2822">
        <v>32200</v>
      </c>
      <c r="B100" s="2823" t="str">
        <f>IF(A100="","",IF(ISNA(VLOOKUP(A100,COA,2,FALSE)),"",VLOOKUP(A100,COA,2,FALSE)))</f>
        <v>Laba (Rugi) ditahan</v>
      </c>
      <c r="C100" s="2825">
        <v>112002911.34666392</v>
      </c>
      <c r="D100" s="2825">
        <v>105844307.06333059</v>
      </c>
      <c r="E100" s="3130"/>
    </row>
    <row r="101" spans="1:7" x14ac:dyDescent="0.35">
      <c r="A101" s="2822"/>
      <c r="B101" s="2823"/>
      <c r="C101" s="2821">
        <v>116882799.62999725</v>
      </c>
      <c r="D101" s="2821">
        <v>112002911.34666392</v>
      </c>
      <c r="E101" s="3130"/>
    </row>
    <row r="102" spans="1:7" x14ac:dyDescent="0.35">
      <c r="A102" s="2820">
        <v>33000</v>
      </c>
      <c r="B102" s="2818" t="str">
        <f>IF(A102="","",IF(ISNA(VLOOKUP(A102,COA,2,FALSE)),"",VLOOKUP(A102,COA,2,FALSE)))</f>
        <v/>
      </c>
      <c r="C102" s="2821"/>
      <c r="D102" s="2821"/>
      <c r="E102" s="3130"/>
    </row>
    <row r="103" spans="1:7" ht="15" thickBot="1" x14ac:dyDescent="0.4">
      <c r="A103" s="2822">
        <v>33100</v>
      </c>
      <c r="B103" s="2823" t="str">
        <f>IF(A103="","",IF(ISNA(VLOOKUP(A103,COA,2,FALSE)),"",VLOOKUP(A103,COA,2,FALSE)))</f>
        <v/>
      </c>
      <c r="C103" s="2826"/>
      <c r="D103" s="2826"/>
      <c r="E103" s="3130"/>
    </row>
    <row r="104" spans="1:7" ht="15" thickBot="1" x14ac:dyDescent="0.4">
      <c r="A104" s="2817"/>
      <c r="B104" s="2832" t="s">
        <v>7287</v>
      </c>
      <c r="C104" s="2829">
        <v>509149779.21999729</v>
      </c>
      <c r="D104" s="2829">
        <v>504269890.93666399</v>
      </c>
      <c r="E104" s="3129">
        <f t="shared" ref="E104:E105" si="13">C104-D104</f>
        <v>4879888.2833333015</v>
      </c>
    </row>
    <row r="105" spans="1:7" ht="15" thickBot="1" x14ac:dyDescent="0.4">
      <c r="A105" s="2833"/>
      <c r="B105" s="2832" t="s">
        <v>7288</v>
      </c>
      <c r="C105" s="2829">
        <v>509149779.21999729</v>
      </c>
      <c r="D105" s="2829">
        <v>504269890.93666399</v>
      </c>
      <c r="E105" s="3129">
        <f t="shared" si="13"/>
        <v>4879888.2833333015</v>
      </c>
      <c r="G105" s="2824"/>
    </row>
    <row r="106" spans="1:7" x14ac:dyDescent="0.35">
      <c r="B106" s="3130"/>
      <c r="C106" s="2824">
        <f>C105-C62</f>
        <v>0</v>
      </c>
      <c r="D106" s="2824">
        <f>D105-D62</f>
        <v>0</v>
      </c>
      <c r="E106" s="2824">
        <f>E105-E62</f>
        <v>-1.4901161193847656E-8</v>
      </c>
    </row>
    <row r="108" spans="1:7" ht="15.5" x14ac:dyDescent="0.35">
      <c r="A108" s="2835" t="str">
        <f>IN!C4</f>
        <v>Laporan Keuangan June 2026</v>
      </c>
      <c r="B108" s="370"/>
      <c r="C108" s="370"/>
      <c r="D108" s="373" t="str">
        <f>IN!D4</f>
        <v>Financial Statement Jun 2026</v>
      </c>
      <c r="E108" s="462"/>
    </row>
  </sheetData>
  <mergeCells count="3">
    <mergeCell ref="A2:E2"/>
    <mergeCell ref="A3:E3"/>
    <mergeCell ref="A1:D1"/>
  </mergeCells>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V193"/>
  <sheetViews>
    <sheetView topLeftCell="I1" zoomScale="90" zoomScaleNormal="90" workbookViewId="0">
      <pane ySplit="11" topLeftCell="A171" activePane="bottomLeft" state="frozen"/>
      <selection activeCell="I81" sqref="I81"/>
      <selection pane="bottomLeft" activeCell="O177" sqref="O177:P177"/>
    </sheetView>
  </sheetViews>
  <sheetFormatPr defaultColWidth="9" defaultRowHeight="11.5" outlineLevelCol="2" x14ac:dyDescent="0.35"/>
  <cols>
    <col min="1" max="1" width="2.81640625" style="1656" customWidth="1"/>
    <col min="2" max="2" width="3.453125" style="1657" customWidth="1"/>
    <col min="3" max="3" width="28.81640625" style="1658" customWidth="1"/>
    <col min="4" max="4" width="17.453125" style="1555" customWidth="1" outlineLevel="2"/>
    <col min="5" max="5" width="10" style="1659" customWidth="1" outlineLevel="2"/>
    <col min="6" max="6" width="12.54296875" style="1660" customWidth="1" outlineLevel="2"/>
    <col min="7" max="7" width="4.26953125" style="1660" customWidth="1" outlineLevel="2"/>
    <col min="8" max="8" width="3.7265625" style="1660" customWidth="1" outlineLevel="2"/>
    <col min="9" max="9" width="7" style="1661" customWidth="1" outlineLevel="2"/>
    <col min="10" max="10" width="13.54296875" style="1661" customWidth="1" outlineLevel="2"/>
    <col min="11" max="11" width="15.1796875" style="1662" customWidth="1" outlineLevel="2"/>
    <col min="12" max="12" width="16.1796875" style="1663" customWidth="1"/>
    <col min="13" max="13" width="12.81640625" style="1663" customWidth="1"/>
    <col min="14" max="14" width="12.7265625" style="1663" customWidth="1"/>
    <col min="15" max="15" width="15.1796875" style="1663" bestFit="1" customWidth="1"/>
    <col min="16" max="16" width="17.453125" style="1663" customWidth="1"/>
    <col min="17" max="17" width="18" style="1663" customWidth="1"/>
    <col min="18" max="18" width="12.81640625" style="1663" customWidth="1"/>
    <col min="19" max="19" width="13.81640625" style="1663" customWidth="1"/>
    <col min="20" max="20" width="15.453125" style="1663" customWidth="1"/>
    <col min="21" max="21" width="14.54296875" style="1573" customWidth="1"/>
    <col min="22" max="22" width="12.81640625" style="648" bestFit="1" customWidth="1"/>
    <col min="23" max="16384" width="9" style="1555"/>
  </cols>
  <sheetData>
    <row r="1" spans="1:22" s="1557" customFormat="1" ht="15" x14ac:dyDescent="0.35">
      <c r="A1" s="3925" t="s">
        <v>7424</v>
      </c>
      <c r="B1" s="3925"/>
      <c r="C1" s="3925"/>
      <c r="D1" s="3925"/>
      <c r="E1" s="3925"/>
      <c r="F1" s="3925"/>
      <c r="G1" s="3925"/>
      <c r="H1" s="3925"/>
      <c r="I1" s="3925"/>
      <c r="J1" s="3925"/>
      <c r="K1" s="3925"/>
      <c r="L1" s="3925"/>
      <c r="M1" s="3925"/>
      <c r="N1" s="3925"/>
      <c r="O1" s="3925"/>
      <c r="P1" s="3925"/>
      <c r="Q1" s="3925"/>
      <c r="R1" s="3925"/>
      <c r="S1" s="3925"/>
      <c r="T1" s="3925"/>
      <c r="U1" s="1556"/>
      <c r="V1" s="466"/>
    </row>
    <row r="2" spans="1:22" s="1557" customFormat="1" ht="15.5" x14ac:dyDescent="0.35">
      <c r="A2" s="3924" t="s">
        <v>7425</v>
      </c>
      <c r="B2" s="3924"/>
      <c r="C2" s="3924"/>
      <c r="D2" s="3924"/>
      <c r="E2" s="3924"/>
      <c r="F2" s="3924"/>
      <c r="G2" s="3924"/>
      <c r="H2" s="3924"/>
      <c r="I2" s="3924"/>
      <c r="J2" s="3924"/>
      <c r="K2" s="3924"/>
      <c r="L2" s="3924"/>
      <c r="M2" s="3924"/>
      <c r="N2" s="3924"/>
      <c r="O2" s="3924"/>
      <c r="P2" s="3924"/>
      <c r="Q2" s="3924"/>
      <c r="R2" s="3924"/>
      <c r="S2" s="3924"/>
      <c r="T2" s="3924"/>
      <c r="U2" s="1556"/>
      <c r="V2" s="466"/>
    </row>
    <row r="3" spans="1:22" s="1557" customFormat="1" ht="14" x14ac:dyDescent="0.35">
      <c r="A3" s="3812" t="s">
        <v>3087</v>
      </c>
      <c r="B3" s="3813"/>
      <c r="C3" s="3813"/>
      <c r="D3" s="3813"/>
      <c r="E3" s="3813"/>
      <c r="F3" s="3813"/>
      <c r="G3" s="3813"/>
      <c r="H3" s="3813"/>
      <c r="I3" s="3813"/>
      <c r="J3" s="3813"/>
      <c r="K3" s="3813"/>
      <c r="L3" s="3813"/>
      <c r="M3" s="3813"/>
      <c r="N3" s="3813"/>
      <c r="O3" s="3813"/>
      <c r="P3" s="3813"/>
      <c r="Q3" s="3813"/>
      <c r="R3" s="3813"/>
      <c r="S3" s="3813"/>
      <c r="T3" s="3813"/>
      <c r="U3" s="1556"/>
      <c r="V3" s="466"/>
    </row>
    <row r="4" spans="1:22" s="1557" customFormat="1" ht="14" x14ac:dyDescent="0.35">
      <c r="A4" s="3814" t="str">
        <f>IN!C5</f>
        <v>30 June 2026</v>
      </c>
      <c r="B4" s="3814"/>
      <c r="C4" s="3814"/>
      <c r="D4" s="3814"/>
      <c r="E4" s="3814"/>
      <c r="F4" s="3814"/>
      <c r="G4" s="3814"/>
      <c r="H4" s="3814"/>
      <c r="I4" s="3814"/>
      <c r="J4" s="3814"/>
      <c r="K4" s="3814"/>
      <c r="L4" s="3814"/>
      <c r="M4" s="3814"/>
      <c r="N4" s="3814"/>
      <c r="O4" s="3814"/>
      <c r="P4" s="3814"/>
      <c r="Q4" s="3814"/>
      <c r="R4" s="3814"/>
      <c r="S4" s="3814"/>
      <c r="T4" s="3814"/>
      <c r="U4" s="1556"/>
      <c r="V4" s="466"/>
    </row>
    <row r="5" spans="1:22" s="1557" customFormat="1" ht="14" x14ac:dyDescent="0.35">
      <c r="A5" s="3796" t="str">
        <f>IN!C9</f>
        <v>(Dengan perbandingan informasi keuangan untuk bulan yang berakhir 31 May 2026 /</v>
      </c>
      <c r="B5" s="3806"/>
      <c r="C5" s="3806"/>
      <c r="D5" s="3806"/>
      <c r="E5" s="3806"/>
      <c r="F5" s="3806"/>
      <c r="G5" s="3806"/>
      <c r="H5" s="3806"/>
      <c r="I5" s="3806"/>
      <c r="J5" s="3806"/>
      <c r="K5" s="3806"/>
      <c r="L5" s="3806"/>
      <c r="M5" s="3806"/>
      <c r="N5" s="3806"/>
      <c r="O5" s="3806"/>
      <c r="P5" s="3806"/>
      <c r="Q5" s="3806"/>
      <c r="R5" s="3806"/>
      <c r="S5" s="3806"/>
      <c r="T5" s="3806"/>
      <c r="U5" s="1556"/>
      <c r="V5" s="466"/>
    </row>
    <row r="6" spans="1:22" s="1557" customFormat="1" ht="14.5" thickBot="1" x14ac:dyDescent="0.4">
      <c r="A6" s="3796" t="s">
        <v>176</v>
      </c>
      <c r="B6" s="3806"/>
      <c r="C6" s="3806"/>
      <c r="D6" s="3806"/>
      <c r="E6" s="3806"/>
      <c r="F6" s="3806"/>
      <c r="G6" s="3806"/>
      <c r="H6" s="3806"/>
      <c r="I6" s="3806"/>
      <c r="J6" s="3806"/>
      <c r="K6" s="3806"/>
      <c r="L6" s="3806"/>
      <c r="M6" s="3806"/>
      <c r="N6" s="3806"/>
      <c r="O6" s="3806"/>
      <c r="P6" s="3806"/>
      <c r="Q6" s="3806"/>
      <c r="R6" s="3806"/>
      <c r="S6" s="3806"/>
      <c r="T6" s="3806"/>
      <c r="U6" s="1556"/>
      <c r="V6" s="466"/>
    </row>
    <row r="7" spans="1:22" s="1581" customFormat="1" ht="12" thickBot="1" x14ac:dyDescent="0.4">
      <c r="A7" s="3818" t="s">
        <v>3089</v>
      </c>
      <c r="B7" s="3819"/>
      <c r="C7" s="1574" t="s">
        <v>1043</v>
      </c>
      <c r="D7" s="1575" t="s">
        <v>3090</v>
      </c>
      <c r="E7" s="1576" t="s">
        <v>3091</v>
      </c>
      <c r="F7" s="3822" t="s">
        <v>3092</v>
      </c>
      <c r="G7" s="3822" t="s">
        <v>903</v>
      </c>
      <c r="H7" s="3822" t="s">
        <v>3093</v>
      </c>
      <c r="I7" s="1577" t="s">
        <v>904</v>
      </c>
      <c r="J7" s="1577" t="s">
        <v>3094</v>
      </c>
      <c r="K7" s="3824" t="s">
        <v>3095</v>
      </c>
      <c r="L7" s="3826" t="s">
        <v>3096</v>
      </c>
      <c r="M7" s="3826"/>
      <c r="N7" s="3826"/>
      <c r="O7" s="3826"/>
      <c r="P7" s="3827" t="s">
        <v>3097</v>
      </c>
      <c r="Q7" s="3827"/>
      <c r="R7" s="3827"/>
      <c r="S7" s="3827"/>
      <c r="T7" s="1578" t="s">
        <v>755</v>
      </c>
      <c r="U7" s="1579"/>
      <c r="V7" s="1580"/>
    </row>
    <row r="8" spans="1:22" s="1581" customFormat="1" ht="12.5" thickBot="1" x14ac:dyDescent="0.4">
      <c r="A8" s="3915"/>
      <c r="B8" s="3916"/>
      <c r="C8" s="1582" t="s">
        <v>447</v>
      </c>
      <c r="D8" s="1583" t="s">
        <v>3098</v>
      </c>
      <c r="E8" s="1584"/>
      <c r="F8" s="3917"/>
      <c r="G8" s="3917"/>
      <c r="H8" s="3917"/>
      <c r="I8" s="1585"/>
      <c r="J8" s="1585"/>
      <c r="K8" s="3918"/>
      <c r="L8" s="2949" t="str">
        <f>IN!C8</f>
        <v>31 May 2026</v>
      </c>
      <c r="M8" s="2846" t="s">
        <v>3099</v>
      </c>
      <c r="N8" s="2846" t="s">
        <v>3100</v>
      </c>
      <c r="O8" s="2949" t="str">
        <f>A4</f>
        <v>30 June 2026</v>
      </c>
      <c r="P8" s="2949" t="str">
        <f>L8</f>
        <v>31 May 2026</v>
      </c>
      <c r="Q8" s="2846" t="s">
        <v>3099</v>
      </c>
      <c r="R8" s="2846" t="s">
        <v>3100</v>
      </c>
      <c r="S8" s="2950" t="str">
        <f>O8</f>
        <v>30 June 2026</v>
      </c>
      <c r="T8" s="2950" t="str">
        <f>S8</f>
        <v>30 June 2026</v>
      </c>
      <c r="U8" s="1579"/>
      <c r="V8" s="1580"/>
    </row>
    <row r="9" spans="1:22" s="1581" customFormat="1" ht="12" thickBot="1" x14ac:dyDescent="0.4">
      <c r="A9" s="3915"/>
      <c r="B9" s="3916"/>
      <c r="C9" s="1588"/>
      <c r="D9" s="1589"/>
      <c r="E9" s="1584"/>
      <c r="F9" s="3917"/>
      <c r="G9" s="3917"/>
      <c r="H9" s="3917"/>
      <c r="I9" s="1585"/>
      <c r="J9" s="1585"/>
      <c r="K9" s="3918"/>
      <c r="L9" s="1590"/>
      <c r="M9" s="1591" t="s">
        <v>3101</v>
      </c>
      <c r="N9" s="1591" t="s">
        <v>3101</v>
      </c>
      <c r="O9" s="1590"/>
      <c r="P9" s="1592"/>
      <c r="Q9" s="1591" t="s">
        <v>3101</v>
      </c>
      <c r="R9" s="1591" t="s">
        <v>3101</v>
      </c>
      <c r="S9" s="1593"/>
      <c r="T9" s="1594"/>
      <c r="U9" s="1579"/>
      <c r="V9" s="1580"/>
    </row>
    <row r="10" spans="1:22" s="1581" customFormat="1" ht="12" thickBot="1" x14ac:dyDescent="0.4">
      <c r="A10" s="3915"/>
      <c r="B10" s="3916"/>
      <c r="C10" s="1588"/>
      <c r="D10" s="1589"/>
      <c r="E10" s="1584"/>
      <c r="F10" s="3917"/>
      <c r="G10" s="3917"/>
      <c r="H10" s="3917"/>
      <c r="I10" s="1585"/>
      <c r="J10" s="1585"/>
      <c r="K10" s="3918"/>
      <c r="L10" s="1595"/>
      <c r="M10" s="1593" t="s">
        <v>3102</v>
      </c>
      <c r="N10" s="1593" t="s">
        <v>3103</v>
      </c>
      <c r="O10" s="1595"/>
      <c r="P10" s="1596"/>
      <c r="Q10" s="1593" t="s">
        <v>3102</v>
      </c>
      <c r="R10" s="1593" t="s">
        <v>3103</v>
      </c>
      <c r="S10" s="1591"/>
      <c r="T10" s="3828"/>
      <c r="U10" s="1579"/>
      <c r="V10" s="1580"/>
    </row>
    <row r="11" spans="1:22" s="1605" customFormat="1" ht="10.5" customHeight="1" thickBot="1" x14ac:dyDescent="0.4">
      <c r="A11" s="3915"/>
      <c r="B11" s="3916"/>
      <c r="C11" s="2847"/>
      <c r="D11" s="2848"/>
      <c r="E11" s="2849"/>
      <c r="F11" s="3917"/>
      <c r="G11" s="3917"/>
      <c r="H11" s="3917"/>
      <c r="I11" s="2850"/>
      <c r="J11" s="2850"/>
      <c r="K11" s="3918"/>
      <c r="L11" s="2851"/>
      <c r="M11" s="2852" t="s">
        <v>3104</v>
      </c>
      <c r="N11" s="2852" t="s">
        <v>3104</v>
      </c>
      <c r="O11" s="2850"/>
      <c r="P11" s="2851"/>
      <c r="Q11" s="2852" t="s">
        <v>3104</v>
      </c>
      <c r="R11" s="2852" t="s">
        <v>3104</v>
      </c>
      <c r="S11" s="2850"/>
      <c r="T11" s="3919"/>
      <c r="U11" s="1603"/>
      <c r="V11" s="1604"/>
    </row>
    <row r="12" spans="1:22" s="1605" customFormat="1" ht="7" x14ac:dyDescent="0.35">
      <c r="A12" s="1606" t="s">
        <v>2447</v>
      </c>
      <c r="B12" s="2853" t="s">
        <v>7295</v>
      </c>
      <c r="C12" s="1608"/>
      <c r="D12" s="1609"/>
      <c r="E12" s="1610"/>
      <c r="F12" s="1609"/>
      <c r="G12" s="1609"/>
      <c r="H12" s="1609"/>
      <c r="I12" s="1611"/>
      <c r="J12" s="1611"/>
      <c r="K12" s="1611"/>
      <c r="L12" s="1612"/>
      <c r="M12" s="1613"/>
      <c r="N12" s="1613"/>
      <c r="O12" s="1614"/>
      <c r="P12" s="1612"/>
      <c r="Q12" s="1613"/>
      <c r="R12" s="1615"/>
      <c r="S12" s="1611"/>
      <c r="T12" s="1616"/>
      <c r="U12" s="1603"/>
      <c r="V12" s="1604"/>
    </row>
    <row r="13" spans="1:22" s="1631" customFormat="1" ht="7" x14ac:dyDescent="0.35">
      <c r="A13" s="1617">
        <v>1</v>
      </c>
      <c r="B13" s="1618" t="s">
        <v>3105</v>
      </c>
      <c r="C13" s="1619"/>
      <c r="D13" s="1620"/>
      <c r="E13" s="1621"/>
      <c r="F13" s="1622"/>
      <c r="G13" s="1623"/>
      <c r="H13" s="1623"/>
      <c r="I13" s="1624"/>
      <c r="J13" s="1624"/>
      <c r="K13" s="1625"/>
      <c r="L13" s="1626"/>
      <c r="M13" s="1627"/>
      <c r="N13" s="1625"/>
      <c r="O13" s="1628"/>
      <c r="P13" s="1628"/>
      <c r="Q13" s="1628"/>
      <c r="R13" s="1628"/>
      <c r="S13" s="1628"/>
      <c r="T13" s="1629"/>
      <c r="U13" s="1630"/>
    </row>
    <row r="14" spans="1:22" s="1634" customFormat="1" ht="9.75" customHeight="1" x14ac:dyDescent="0.35">
      <c r="A14" s="1632"/>
      <c r="B14" s="1683" t="s">
        <v>2447</v>
      </c>
      <c r="C14" s="1684" t="s">
        <v>7296</v>
      </c>
      <c r="D14" s="1684" t="s">
        <v>7297</v>
      </c>
      <c r="E14" s="1685">
        <v>44255</v>
      </c>
      <c r="F14" s="1683" t="s">
        <v>7298</v>
      </c>
      <c r="G14" s="1684"/>
      <c r="H14" s="1684"/>
      <c r="I14" s="1686"/>
      <c r="J14" s="1686"/>
      <c r="K14" s="1686"/>
      <c r="L14" s="1686"/>
      <c r="M14" s="1686"/>
      <c r="N14" s="1686"/>
      <c r="O14" s="1686">
        <f>L14+M14-N14</f>
        <v>0</v>
      </c>
      <c r="P14" s="1686">
        <v>0</v>
      </c>
      <c r="Q14" s="1686"/>
      <c r="R14" s="1686"/>
      <c r="S14" s="1686">
        <v>0</v>
      </c>
      <c r="T14" s="1687">
        <f>O14-S14</f>
        <v>0</v>
      </c>
      <c r="U14" s="1633">
        <v>1</v>
      </c>
      <c r="V14" s="1631"/>
    </row>
    <row r="15" spans="1:22" s="1631" customFormat="1" ht="9.75" customHeight="1" x14ac:dyDescent="0.35">
      <c r="A15" s="1632"/>
      <c r="B15" s="1635">
        <v>2</v>
      </c>
      <c r="C15" s="1636" t="s">
        <v>743</v>
      </c>
      <c r="D15" s="1636" t="s">
        <v>7297</v>
      </c>
      <c r="E15" s="1637">
        <v>44013</v>
      </c>
      <c r="F15" s="1635"/>
      <c r="G15" s="1636"/>
      <c r="H15" s="1636"/>
      <c r="I15" s="1638"/>
      <c r="J15" s="1638"/>
      <c r="K15" s="1638"/>
      <c r="L15" s="1638"/>
      <c r="M15" s="1638"/>
      <c r="N15" s="1638"/>
      <c r="O15" s="1638">
        <f>L15+M15-N15</f>
        <v>0</v>
      </c>
      <c r="P15" s="1638">
        <v>0</v>
      </c>
      <c r="Q15" s="1638"/>
      <c r="R15" s="1638"/>
      <c r="S15" s="1638">
        <v>0</v>
      </c>
      <c r="T15" s="1639">
        <f>O15-S15</f>
        <v>0</v>
      </c>
      <c r="U15" s="1640">
        <v>1</v>
      </c>
    </row>
    <row r="16" spans="1:22" s="1631" customFormat="1" ht="7" x14ac:dyDescent="0.35">
      <c r="A16" s="1643">
        <v>2</v>
      </c>
      <c r="B16" s="1644" t="s">
        <v>3107</v>
      </c>
      <c r="C16" s="1645"/>
      <c r="D16" s="1636"/>
      <c r="E16" s="1637"/>
      <c r="F16" s="1635"/>
      <c r="G16" s="1636"/>
      <c r="H16" s="1636"/>
      <c r="I16" s="1638"/>
      <c r="J16" s="1638"/>
      <c r="K16" s="1638"/>
      <c r="L16" s="1638"/>
      <c r="M16" s="1638"/>
      <c r="N16" s="1638"/>
      <c r="O16" s="1638"/>
      <c r="P16" s="1638"/>
      <c r="Q16" s="1638"/>
      <c r="R16" s="1638"/>
      <c r="S16" s="1638"/>
      <c r="T16" s="1639"/>
      <c r="U16" s="1640"/>
    </row>
    <row r="17" spans="1:22" s="1631" customFormat="1" ht="7" x14ac:dyDescent="0.35">
      <c r="A17" s="1643"/>
      <c r="B17" s="1644">
        <v>1</v>
      </c>
      <c r="C17" s="1645" t="s">
        <v>1094</v>
      </c>
      <c r="D17" s="1636"/>
      <c r="E17" s="1637"/>
      <c r="F17" s="1635"/>
      <c r="G17" s="1636"/>
      <c r="H17" s="1636"/>
      <c r="I17" s="1638"/>
      <c r="J17" s="1638"/>
      <c r="K17" s="1638"/>
      <c r="L17" s="1638"/>
      <c r="M17" s="1638"/>
      <c r="N17" s="1638"/>
      <c r="O17" s="1638"/>
      <c r="P17" s="1638"/>
      <c r="Q17" s="1638"/>
      <c r="R17" s="1638"/>
      <c r="S17" s="1638"/>
      <c r="T17" s="1639"/>
      <c r="U17" s="1640"/>
    </row>
    <row r="18" spans="1:22" s="1634" customFormat="1" ht="7" x14ac:dyDescent="0.35">
      <c r="A18" s="1643"/>
      <c r="B18" s="1683">
        <v>1</v>
      </c>
      <c r="C18" s="1636" t="s">
        <v>7426</v>
      </c>
      <c r="D18" s="1684">
        <v>89.79</v>
      </c>
      <c r="E18" s="1685">
        <v>43647</v>
      </c>
      <c r="F18" s="1683" t="s">
        <v>7299</v>
      </c>
      <c r="G18" s="1684">
        <v>2</v>
      </c>
      <c r="H18" s="1684">
        <v>20</v>
      </c>
      <c r="I18" s="1686">
        <f t="shared" ref="I18" si="0">12*H18</f>
        <v>240</v>
      </c>
      <c r="J18" s="1686">
        <f>L18/I18</f>
        <v>208333.33333333334</v>
      </c>
      <c r="K18" s="1686"/>
      <c r="L18" s="1686">
        <v>50000000</v>
      </c>
      <c r="M18" s="1686"/>
      <c r="N18" s="1686"/>
      <c r="O18" s="1686">
        <v>50000000</v>
      </c>
      <c r="P18" s="1686">
        <v>16666666.666666677</v>
      </c>
      <c r="Q18" s="1686">
        <f>J18</f>
        <v>208333.33333333334</v>
      </c>
      <c r="R18" s="1686"/>
      <c r="S18" s="1686">
        <f t="shared" ref="S18:S19" si="1">P18+Q18-R18</f>
        <v>16875000.000000011</v>
      </c>
      <c r="T18" s="1687">
        <f t="shared" ref="T18:T19" si="2">O18-S18</f>
        <v>33124999.999999989</v>
      </c>
      <c r="U18" s="1603">
        <v>3</v>
      </c>
      <c r="V18" s="1631"/>
    </row>
    <row r="19" spans="1:22" s="1634" customFormat="1" ht="7.5" thickBot="1" x14ac:dyDescent="0.4">
      <c r="A19" s="1643"/>
      <c r="B19" s="1683">
        <v>2</v>
      </c>
      <c r="C19" s="1684"/>
      <c r="D19" s="1684"/>
      <c r="E19" s="1685"/>
      <c r="F19" s="1683"/>
      <c r="G19" s="1684"/>
      <c r="H19" s="1684"/>
      <c r="I19" s="1686"/>
      <c r="J19" s="1686"/>
      <c r="K19" s="1686"/>
      <c r="L19" s="1686"/>
      <c r="M19" s="1686"/>
      <c r="N19" s="1686"/>
      <c r="O19" s="1686">
        <f t="shared" ref="O19" si="3">L19+M19-N19</f>
        <v>0</v>
      </c>
      <c r="P19" s="1686">
        <v>0</v>
      </c>
      <c r="Q19" s="1686">
        <f t="shared" ref="Q19" si="4">J19</f>
        <v>0</v>
      </c>
      <c r="R19" s="1686"/>
      <c r="S19" s="1686">
        <f t="shared" si="1"/>
        <v>0</v>
      </c>
      <c r="T19" s="1687">
        <f t="shared" si="2"/>
        <v>0</v>
      </c>
      <c r="U19" s="1603">
        <v>3</v>
      </c>
      <c r="V19" s="1631"/>
    </row>
    <row r="20" spans="1:22" s="1631" customFormat="1" ht="12.5" thickBot="1" x14ac:dyDescent="0.4">
      <c r="A20" s="1632"/>
      <c r="B20" s="3922" t="s">
        <v>7520</v>
      </c>
      <c r="C20" s="3923"/>
      <c r="D20" s="3923"/>
      <c r="E20" s="2909"/>
      <c r="F20" s="2910"/>
      <c r="G20" s="2908"/>
      <c r="H20" s="2908"/>
      <c r="I20" s="2911">
        <f>12*H20</f>
        <v>0</v>
      </c>
      <c r="J20" s="2911"/>
      <c r="K20" s="2911"/>
      <c r="L20" s="2911">
        <f>SUM(L18:L19)</f>
        <v>50000000</v>
      </c>
      <c r="M20" s="2911">
        <f t="shared" ref="M20:T20" si="5">SUM(M18:M19)</f>
        <v>0</v>
      </c>
      <c r="N20" s="2911">
        <f t="shared" si="5"/>
        <v>0</v>
      </c>
      <c r="O20" s="2911">
        <f t="shared" si="5"/>
        <v>50000000</v>
      </c>
      <c r="P20" s="2911">
        <f t="shared" si="5"/>
        <v>16666666.666666677</v>
      </c>
      <c r="Q20" s="2911">
        <f t="shared" si="5"/>
        <v>208333.33333333334</v>
      </c>
      <c r="R20" s="2911">
        <f t="shared" si="5"/>
        <v>0</v>
      </c>
      <c r="S20" s="2911">
        <f t="shared" si="5"/>
        <v>16875000.000000011</v>
      </c>
      <c r="T20" s="2911">
        <f t="shared" si="5"/>
        <v>33124999.999999989</v>
      </c>
      <c r="U20" s="1640"/>
    </row>
    <row r="21" spans="1:22" s="1718" customFormat="1" ht="7" x14ac:dyDescent="0.35">
      <c r="A21" s="1716">
        <v>3</v>
      </c>
      <c r="B21" s="1717" t="s">
        <v>1096</v>
      </c>
      <c r="C21" s="1608"/>
      <c r="D21" s="1684"/>
      <c r="E21" s="1685"/>
      <c r="F21" s="1683"/>
      <c r="G21" s="1684"/>
      <c r="H21" s="1684"/>
      <c r="I21" s="1686"/>
      <c r="J21" s="1686"/>
      <c r="K21" s="1686"/>
      <c r="L21" s="1686"/>
      <c r="M21" s="1686"/>
      <c r="N21" s="1686"/>
      <c r="O21" s="1686"/>
      <c r="P21" s="1686"/>
      <c r="Q21" s="1686"/>
      <c r="R21" s="1686"/>
      <c r="S21" s="1686"/>
      <c r="T21" s="1687"/>
      <c r="U21" s="1603"/>
    </row>
    <row r="22" spans="1:22" s="1718" customFormat="1" ht="7" x14ac:dyDescent="0.35">
      <c r="A22" s="1716"/>
      <c r="B22" s="1717">
        <v>1</v>
      </c>
      <c r="C22" s="1608" t="s">
        <v>1098</v>
      </c>
      <c r="D22" s="1684"/>
      <c r="E22" s="1685"/>
      <c r="F22" s="1683"/>
      <c r="G22" s="1684"/>
      <c r="H22" s="1684"/>
      <c r="I22" s="1686"/>
      <c r="J22" s="1686"/>
      <c r="K22" s="1686"/>
      <c r="L22" s="1686"/>
      <c r="M22" s="1686"/>
      <c r="N22" s="1686"/>
      <c r="O22" s="1686"/>
      <c r="P22" s="1686"/>
      <c r="Q22" s="1686"/>
      <c r="R22" s="1686"/>
      <c r="S22" s="1686"/>
      <c r="T22" s="1687"/>
      <c r="U22" s="1603"/>
    </row>
    <row r="23" spans="1:22" s="1718" customFormat="1" ht="7" x14ac:dyDescent="0.35">
      <c r="A23" s="1716"/>
      <c r="B23" s="1683">
        <v>1</v>
      </c>
      <c r="C23" s="1684" t="s">
        <v>7427</v>
      </c>
      <c r="D23" s="1684" t="s">
        <v>6648</v>
      </c>
      <c r="E23" s="1685">
        <v>45138</v>
      </c>
      <c r="F23" s="1683" t="s">
        <v>7515</v>
      </c>
      <c r="G23" s="1684">
        <v>1</v>
      </c>
      <c r="H23" s="1684">
        <v>5</v>
      </c>
      <c r="I23" s="1686">
        <f t="shared" ref="I23:I86" si="6">12*H23</f>
        <v>60</v>
      </c>
      <c r="J23" s="1686">
        <f>K23*G23/I23</f>
        <v>5000</v>
      </c>
      <c r="K23" s="1686">
        <v>300000</v>
      </c>
      <c r="L23" s="1638">
        <v>300000</v>
      </c>
      <c r="M23" s="1638"/>
      <c r="N23" s="1638"/>
      <c r="O23" s="1638">
        <f t="shared" ref="O23:O136" si="7">L23+M23-N23</f>
        <v>300000</v>
      </c>
      <c r="P23" s="1638">
        <v>175000</v>
      </c>
      <c r="Q23" s="1638">
        <f t="shared" ref="Q23:Q136" si="8">J23</f>
        <v>5000</v>
      </c>
      <c r="R23" s="1638"/>
      <c r="S23" s="1638">
        <f t="shared" ref="S23:S120" si="9">P23+Q23-R23</f>
        <v>180000</v>
      </c>
      <c r="T23" s="1639">
        <f t="shared" ref="T23:T119" si="10">O23-S23</f>
        <v>120000</v>
      </c>
      <c r="U23" s="1603">
        <v>22</v>
      </c>
    </row>
    <row r="24" spans="1:22" s="1718" customFormat="1" ht="7" x14ac:dyDescent="0.35">
      <c r="A24" s="1716"/>
      <c r="B24" s="1683">
        <v>2</v>
      </c>
      <c r="C24" s="1684" t="s">
        <v>7428</v>
      </c>
      <c r="D24" s="1684" t="s">
        <v>6648</v>
      </c>
      <c r="E24" s="1685">
        <v>45138</v>
      </c>
      <c r="F24" s="1683" t="s">
        <v>7515</v>
      </c>
      <c r="G24" s="1684">
        <v>1</v>
      </c>
      <c r="H24" s="1684">
        <v>5</v>
      </c>
      <c r="I24" s="1686">
        <f t="shared" si="6"/>
        <v>60</v>
      </c>
      <c r="J24" s="1686">
        <f t="shared" ref="J24:J87" si="11">K24*G24/I24</f>
        <v>25000</v>
      </c>
      <c r="K24" s="1686">
        <v>1500000</v>
      </c>
      <c r="L24" s="1686">
        <v>1500000</v>
      </c>
      <c r="M24" s="1686"/>
      <c r="N24" s="1686"/>
      <c r="O24" s="1686">
        <f t="shared" si="7"/>
        <v>1500000</v>
      </c>
      <c r="P24" s="1686">
        <v>875000</v>
      </c>
      <c r="Q24" s="1686">
        <f t="shared" si="8"/>
        <v>25000</v>
      </c>
      <c r="R24" s="1686"/>
      <c r="S24" s="1638">
        <f t="shared" si="9"/>
        <v>900000</v>
      </c>
      <c r="T24" s="1639">
        <f t="shared" si="10"/>
        <v>600000</v>
      </c>
      <c r="U24" s="1603">
        <v>22</v>
      </c>
    </row>
    <row r="25" spans="1:22" s="1718" customFormat="1" ht="7" x14ac:dyDescent="0.35">
      <c r="A25" s="1716"/>
      <c r="B25" s="1683">
        <v>3</v>
      </c>
      <c r="C25" s="1684" t="s">
        <v>7429</v>
      </c>
      <c r="D25" s="1684" t="s">
        <v>6648</v>
      </c>
      <c r="E25" s="1685">
        <v>45138</v>
      </c>
      <c r="F25" s="1683" t="s">
        <v>7515</v>
      </c>
      <c r="G25" s="1684">
        <v>1</v>
      </c>
      <c r="H25" s="1684">
        <v>5</v>
      </c>
      <c r="I25" s="1686">
        <f t="shared" si="6"/>
        <v>60</v>
      </c>
      <c r="J25" s="1686">
        <f t="shared" si="11"/>
        <v>2500</v>
      </c>
      <c r="K25" s="1686">
        <v>150000</v>
      </c>
      <c r="L25" s="1686">
        <v>150000</v>
      </c>
      <c r="M25" s="1686"/>
      <c r="N25" s="1686"/>
      <c r="O25" s="1686">
        <f t="shared" si="7"/>
        <v>150000</v>
      </c>
      <c r="P25" s="1686">
        <v>87500</v>
      </c>
      <c r="Q25" s="1686">
        <f t="shared" si="8"/>
        <v>2500</v>
      </c>
      <c r="R25" s="1686"/>
      <c r="S25" s="1638">
        <f t="shared" si="9"/>
        <v>90000</v>
      </c>
      <c r="T25" s="1639">
        <f t="shared" si="10"/>
        <v>60000</v>
      </c>
      <c r="U25" s="1603">
        <v>22</v>
      </c>
    </row>
    <row r="26" spans="1:22" s="1718" customFormat="1" ht="7" x14ac:dyDescent="0.35">
      <c r="A26" s="1716"/>
      <c r="B26" s="1683">
        <v>4</v>
      </c>
      <c r="C26" s="1684" t="s">
        <v>7430</v>
      </c>
      <c r="D26" s="1684" t="s">
        <v>6648</v>
      </c>
      <c r="E26" s="1685">
        <v>45138</v>
      </c>
      <c r="F26" s="1683" t="s">
        <v>7515</v>
      </c>
      <c r="G26" s="1684">
        <v>1</v>
      </c>
      <c r="H26" s="1684">
        <v>5</v>
      </c>
      <c r="I26" s="1686">
        <f t="shared" si="6"/>
        <v>60</v>
      </c>
      <c r="J26" s="1686">
        <f t="shared" si="11"/>
        <v>1166.6666666666667</v>
      </c>
      <c r="K26" s="1686">
        <v>70000</v>
      </c>
      <c r="L26" s="1686">
        <v>70000</v>
      </c>
      <c r="M26" s="1686"/>
      <c r="N26" s="1686"/>
      <c r="O26" s="1686">
        <f t="shared" si="7"/>
        <v>70000</v>
      </c>
      <c r="P26" s="1686">
        <v>40833.333333333343</v>
      </c>
      <c r="Q26" s="1686">
        <f t="shared" si="8"/>
        <v>1166.6666666666667</v>
      </c>
      <c r="R26" s="1686"/>
      <c r="S26" s="1638">
        <f t="shared" si="9"/>
        <v>42000.000000000007</v>
      </c>
      <c r="T26" s="1639">
        <f t="shared" si="10"/>
        <v>27999.999999999993</v>
      </c>
      <c r="U26" s="1603">
        <v>22</v>
      </c>
    </row>
    <row r="27" spans="1:22" s="1718" customFormat="1" ht="7" x14ac:dyDescent="0.35">
      <c r="A27" s="1716"/>
      <c r="B27" s="1683">
        <v>5</v>
      </c>
      <c r="C27" s="1684" t="s">
        <v>7431</v>
      </c>
      <c r="D27" s="1684" t="s">
        <v>6648</v>
      </c>
      <c r="E27" s="1685">
        <v>45138</v>
      </c>
      <c r="F27" s="1683" t="s">
        <v>7515</v>
      </c>
      <c r="G27" s="1684">
        <v>1</v>
      </c>
      <c r="H27" s="1684">
        <v>5</v>
      </c>
      <c r="I27" s="1686">
        <f t="shared" si="6"/>
        <v>60</v>
      </c>
      <c r="J27" s="1686">
        <f t="shared" si="11"/>
        <v>3333.3333333333335</v>
      </c>
      <c r="K27" s="1686">
        <v>200000</v>
      </c>
      <c r="L27" s="1686">
        <v>200000</v>
      </c>
      <c r="M27" s="1686"/>
      <c r="N27" s="1686"/>
      <c r="O27" s="1686">
        <f t="shared" si="7"/>
        <v>200000</v>
      </c>
      <c r="P27" s="1686">
        <v>116666.66666666657</v>
      </c>
      <c r="Q27" s="1686">
        <f t="shared" si="8"/>
        <v>3333.3333333333335</v>
      </c>
      <c r="R27" s="1686"/>
      <c r="S27" s="1638">
        <f t="shared" si="9"/>
        <v>119999.9999999999</v>
      </c>
      <c r="T27" s="1639">
        <f t="shared" si="10"/>
        <v>80000.000000000102</v>
      </c>
      <c r="U27" s="1603">
        <v>22</v>
      </c>
    </row>
    <row r="28" spans="1:22" s="1718" customFormat="1" ht="7" x14ac:dyDescent="0.35">
      <c r="A28" s="1716"/>
      <c r="B28" s="1683">
        <v>6</v>
      </c>
      <c r="C28" s="1684" t="s">
        <v>7432</v>
      </c>
      <c r="D28" s="1684" t="s">
        <v>6648</v>
      </c>
      <c r="E28" s="1685">
        <v>45138</v>
      </c>
      <c r="F28" s="1683" t="s">
        <v>7515</v>
      </c>
      <c r="G28" s="1684">
        <v>2</v>
      </c>
      <c r="H28" s="1684">
        <v>5</v>
      </c>
      <c r="I28" s="1686">
        <f t="shared" si="6"/>
        <v>60</v>
      </c>
      <c r="J28" s="1686">
        <f t="shared" si="11"/>
        <v>66666.666666666672</v>
      </c>
      <c r="K28" s="1686">
        <v>2000000</v>
      </c>
      <c r="L28" s="1686">
        <v>4000000</v>
      </c>
      <c r="M28" s="1686"/>
      <c r="N28" s="1686"/>
      <c r="O28" s="1686">
        <f t="shared" si="7"/>
        <v>4000000</v>
      </c>
      <c r="P28" s="1686">
        <v>2333333.333333334</v>
      </c>
      <c r="Q28" s="1686">
        <f t="shared" si="8"/>
        <v>66666.666666666672</v>
      </c>
      <c r="R28" s="1686"/>
      <c r="S28" s="1638">
        <f t="shared" si="9"/>
        <v>2400000.0000000005</v>
      </c>
      <c r="T28" s="1639">
        <f t="shared" si="10"/>
        <v>1599999.9999999995</v>
      </c>
      <c r="U28" s="1603">
        <v>22</v>
      </c>
    </row>
    <row r="29" spans="1:22" s="1718" customFormat="1" ht="7" x14ac:dyDescent="0.35">
      <c r="A29" s="1716"/>
      <c r="B29" s="1683">
        <v>7</v>
      </c>
      <c r="C29" s="1684" t="s">
        <v>7433</v>
      </c>
      <c r="D29" s="1684" t="s">
        <v>6648</v>
      </c>
      <c r="E29" s="1685">
        <v>45138</v>
      </c>
      <c r="F29" s="1683" t="s">
        <v>7515</v>
      </c>
      <c r="G29" s="1684">
        <v>2</v>
      </c>
      <c r="H29" s="1684">
        <v>5</v>
      </c>
      <c r="I29" s="1686">
        <f t="shared" si="6"/>
        <v>60</v>
      </c>
      <c r="J29" s="1686">
        <f t="shared" si="11"/>
        <v>3666.6666666666665</v>
      </c>
      <c r="K29" s="1686">
        <v>110000</v>
      </c>
      <c r="L29" s="1686">
        <v>220000</v>
      </c>
      <c r="M29" s="1686"/>
      <c r="N29" s="1686"/>
      <c r="O29" s="1686">
        <f t="shared" si="7"/>
        <v>220000</v>
      </c>
      <c r="P29" s="1686">
        <v>128333.33333333343</v>
      </c>
      <c r="Q29" s="1686">
        <f t="shared" si="8"/>
        <v>3666.6666666666665</v>
      </c>
      <c r="R29" s="1686"/>
      <c r="S29" s="1638">
        <f t="shared" si="9"/>
        <v>132000.00000000009</v>
      </c>
      <c r="T29" s="1639">
        <f t="shared" si="10"/>
        <v>87999.999999999913</v>
      </c>
      <c r="U29" s="1603">
        <v>22</v>
      </c>
    </row>
    <row r="30" spans="1:22" s="1718" customFormat="1" ht="7" x14ac:dyDescent="0.35">
      <c r="A30" s="1716"/>
      <c r="B30" s="1683">
        <v>8</v>
      </c>
      <c r="C30" s="1684" t="s">
        <v>7434</v>
      </c>
      <c r="D30" s="1684" t="s">
        <v>6648</v>
      </c>
      <c r="E30" s="1685">
        <v>45138</v>
      </c>
      <c r="F30" s="1683" t="s">
        <v>7515</v>
      </c>
      <c r="G30" s="1684">
        <v>1</v>
      </c>
      <c r="H30" s="1684">
        <v>5</v>
      </c>
      <c r="I30" s="1686">
        <f t="shared" si="6"/>
        <v>60</v>
      </c>
      <c r="J30" s="1686">
        <f t="shared" si="11"/>
        <v>2500</v>
      </c>
      <c r="K30" s="1686">
        <v>150000</v>
      </c>
      <c r="L30" s="1686">
        <v>150000</v>
      </c>
      <c r="M30" s="1686"/>
      <c r="N30" s="1686"/>
      <c r="O30" s="1686">
        <f t="shared" si="7"/>
        <v>150000</v>
      </c>
      <c r="P30" s="1686">
        <v>87500</v>
      </c>
      <c r="Q30" s="1686">
        <f t="shared" si="8"/>
        <v>2500</v>
      </c>
      <c r="R30" s="1686"/>
      <c r="S30" s="1638">
        <f t="shared" si="9"/>
        <v>90000</v>
      </c>
      <c r="T30" s="1639">
        <f t="shared" si="10"/>
        <v>60000</v>
      </c>
      <c r="U30" s="1603">
        <v>22</v>
      </c>
    </row>
    <row r="31" spans="1:22" s="1718" customFormat="1" ht="7" x14ac:dyDescent="0.35">
      <c r="A31" s="1716"/>
      <c r="B31" s="1683">
        <v>9</v>
      </c>
      <c r="C31" s="1684" t="s">
        <v>7435</v>
      </c>
      <c r="D31" s="1684" t="s">
        <v>6648</v>
      </c>
      <c r="E31" s="1685">
        <v>45138</v>
      </c>
      <c r="F31" s="1683" t="s">
        <v>7515</v>
      </c>
      <c r="G31" s="1684">
        <v>1</v>
      </c>
      <c r="H31" s="1684">
        <v>5</v>
      </c>
      <c r="I31" s="1686">
        <f t="shared" si="6"/>
        <v>60</v>
      </c>
      <c r="J31" s="1686">
        <f t="shared" si="11"/>
        <v>2500</v>
      </c>
      <c r="K31" s="1686">
        <v>150000</v>
      </c>
      <c r="L31" s="1686">
        <v>150000</v>
      </c>
      <c r="M31" s="1686"/>
      <c r="N31" s="1686"/>
      <c r="O31" s="1686">
        <f t="shared" si="7"/>
        <v>150000</v>
      </c>
      <c r="P31" s="1686">
        <v>87500</v>
      </c>
      <c r="Q31" s="1686">
        <f t="shared" si="8"/>
        <v>2500</v>
      </c>
      <c r="R31" s="1686"/>
      <c r="S31" s="1638">
        <f t="shared" si="9"/>
        <v>90000</v>
      </c>
      <c r="T31" s="1639">
        <f t="shared" si="10"/>
        <v>60000</v>
      </c>
      <c r="U31" s="1603">
        <v>22</v>
      </c>
    </row>
    <row r="32" spans="1:22" s="1718" customFormat="1" ht="7" x14ac:dyDescent="0.35">
      <c r="A32" s="1716"/>
      <c r="B32" s="1683">
        <v>10</v>
      </c>
      <c r="C32" s="1684" t="s">
        <v>7436</v>
      </c>
      <c r="D32" s="1684" t="s">
        <v>6648</v>
      </c>
      <c r="E32" s="1685">
        <v>45138</v>
      </c>
      <c r="F32" s="1683" t="s">
        <v>7515</v>
      </c>
      <c r="G32" s="1684">
        <v>1</v>
      </c>
      <c r="H32" s="1684">
        <v>5</v>
      </c>
      <c r="I32" s="1686">
        <f t="shared" si="6"/>
        <v>60</v>
      </c>
      <c r="J32" s="1686">
        <f t="shared" si="11"/>
        <v>1666.6666666666667</v>
      </c>
      <c r="K32" s="1686">
        <v>100000</v>
      </c>
      <c r="L32" s="1686">
        <v>100000</v>
      </c>
      <c r="M32" s="1686"/>
      <c r="N32" s="1686"/>
      <c r="O32" s="1686">
        <f t="shared" si="7"/>
        <v>100000</v>
      </c>
      <c r="P32" s="1686">
        <v>58333.333333333321</v>
      </c>
      <c r="Q32" s="1686">
        <f t="shared" si="8"/>
        <v>1666.6666666666667</v>
      </c>
      <c r="R32" s="1686"/>
      <c r="S32" s="1638">
        <f t="shared" si="9"/>
        <v>59999.999999999985</v>
      </c>
      <c r="T32" s="1639">
        <f t="shared" si="10"/>
        <v>40000.000000000015</v>
      </c>
      <c r="U32" s="1603">
        <v>22</v>
      </c>
    </row>
    <row r="33" spans="1:21" s="1718" customFormat="1" ht="7" x14ac:dyDescent="0.35">
      <c r="A33" s="1716"/>
      <c r="B33" s="1683">
        <v>11</v>
      </c>
      <c r="C33" s="1684" t="s">
        <v>7437</v>
      </c>
      <c r="D33" s="1684" t="s">
        <v>6648</v>
      </c>
      <c r="E33" s="1685">
        <v>45138</v>
      </c>
      <c r="F33" s="1683" t="s">
        <v>7515</v>
      </c>
      <c r="G33" s="1684">
        <v>1</v>
      </c>
      <c r="H33" s="1684">
        <v>5</v>
      </c>
      <c r="I33" s="1686">
        <f t="shared" si="6"/>
        <v>60</v>
      </c>
      <c r="J33" s="1686">
        <f t="shared" si="11"/>
        <v>750</v>
      </c>
      <c r="K33" s="1686">
        <v>45000</v>
      </c>
      <c r="L33" s="1686">
        <v>45000</v>
      </c>
      <c r="M33" s="1686"/>
      <c r="N33" s="1686"/>
      <c r="O33" s="1686">
        <f t="shared" si="7"/>
        <v>45000</v>
      </c>
      <c r="P33" s="1686">
        <v>26250</v>
      </c>
      <c r="Q33" s="1686">
        <f t="shared" si="8"/>
        <v>750</v>
      </c>
      <c r="R33" s="1686"/>
      <c r="S33" s="1638">
        <f t="shared" si="9"/>
        <v>27000</v>
      </c>
      <c r="T33" s="1639">
        <f t="shared" si="10"/>
        <v>18000</v>
      </c>
      <c r="U33" s="1603">
        <v>22</v>
      </c>
    </row>
    <row r="34" spans="1:21" s="1718" customFormat="1" ht="7" x14ac:dyDescent="0.35">
      <c r="A34" s="1716"/>
      <c r="B34" s="1683">
        <v>12</v>
      </c>
      <c r="C34" s="1684" t="s">
        <v>7438</v>
      </c>
      <c r="D34" s="1684" t="s">
        <v>6648</v>
      </c>
      <c r="E34" s="1685">
        <v>45138</v>
      </c>
      <c r="F34" s="1683" t="s">
        <v>7515</v>
      </c>
      <c r="G34" s="1684">
        <v>1</v>
      </c>
      <c r="H34" s="1684">
        <v>5</v>
      </c>
      <c r="I34" s="1686">
        <f t="shared" si="6"/>
        <v>60</v>
      </c>
      <c r="J34" s="1686">
        <f t="shared" si="11"/>
        <v>166.66666666666666</v>
      </c>
      <c r="K34" s="1686">
        <v>10000</v>
      </c>
      <c r="L34" s="1686">
        <v>10000</v>
      </c>
      <c r="M34" s="1686"/>
      <c r="N34" s="1686"/>
      <c r="O34" s="1686">
        <f t="shared" si="7"/>
        <v>10000</v>
      </c>
      <c r="P34" s="1686">
        <v>5833.3333333333367</v>
      </c>
      <c r="Q34" s="1686">
        <f t="shared" si="8"/>
        <v>166.66666666666666</v>
      </c>
      <c r="R34" s="1686"/>
      <c r="S34" s="1638">
        <f t="shared" si="9"/>
        <v>6000.0000000000036</v>
      </c>
      <c r="T34" s="1639">
        <f t="shared" si="10"/>
        <v>3999.9999999999964</v>
      </c>
      <c r="U34" s="1603">
        <v>22</v>
      </c>
    </row>
    <row r="35" spans="1:21" s="1718" customFormat="1" ht="7" x14ac:dyDescent="0.35">
      <c r="A35" s="1716"/>
      <c r="B35" s="1683">
        <v>13</v>
      </c>
      <c r="C35" s="1684" t="s">
        <v>7437</v>
      </c>
      <c r="D35" s="1684" t="s">
        <v>6648</v>
      </c>
      <c r="E35" s="1685">
        <v>45138</v>
      </c>
      <c r="F35" s="1683" t="s">
        <v>7515</v>
      </c>
      <c r="G35" s="1684">
        <v>1</v>
      </c>
      <c r="H35" s="1684">
        <v>5</v>
      </c>
      <c r="I35" s="1686">
        <f t="shared" si="6"/>
        <v>60</v>
      </c>
      <c r="J35" s="1686">
        <f t="shared" si="11"/>
        <v>750</v>
      </c>
      <c r="K35" s="1686">
        <v>45000</v>
      </c>
      <c r="L35" s="1686">
        <v>45000</v>
      </c>
      <c r="M35" s="1686"/>
      <c r="N35" s="1686"/>
      <c r="O35" s="1686">
        <f t="shared" si="7"/>
        <v>45000</v>
      </c>
      <c r="P35" s="1686">
        <v>26250</v>
      </c>
      <c r="Q35" s="1686">
        <f t="shared" si="8"/>
        <v>750</v>
      </c>
      <c r="R35" s="1686"/>
      <c r="S35" s="1638">
        <f t="shared" si="9"/>
        <v>27000</v>
      </c>
      <c r="T35" s="1639">
        <f t="shared" si="10"/>
        <v>18000</v>
      </c>
      <c r="U35" s="1603">
        <v>22</v>
      </c>
    </row>
    <row r="36" spans="1:21" s="1718" customFormat="1" ht="7" x14ac:dyDescent="0.35">
      <c r="A36" s="1716"/>
      <c r="B36" s="1683">
        <v>14</v>
      </c>
      <c r="C36" s="1684" t="s">
        <v>7439</v>
      </c>
      <c r="D36" s="1684" t="s">
        <v>7518</v>
      </c>
      <c r="E36" s="1685">
        <v>45138</v>
      </c>
      <c r="F36" s="1683" t="s">
        <v>7515</v>
      </c>
      <c r="G36" s="1684">
        <v>4</v>
      </c>
      <c r="H36" s="1684">
        <v>5</v>
      </c>
      <c r="I36" s="1686">
        <f t="shared" si="6"/>
        <v>60</v>
      </c>
      <c r="J36" s="1686">
        <f t="shared" si="11"/>
        <v>5333.333333333333</v>
      </c>
      <c r="K36" s="1686">
        <v>80000</v>
      </c>
      <c r="L36" s="1686">
        <v>320000</v>
      </c>
      <c r="M36" s="1686"/>
      <c r="N36" s="1686"/>
      <c r="O36" s="1686">
        <f t="shared" si="7"/>
        <v>320000</v>
      </c>
      <c r="P36" s="1686">
        <v>186666.66666666669</v>
      </c>
      <c r="Q36" s="1686">
        <f t="shared" si="8"/>
        <v>5333.333333333333</v>
      </c>
      <c r="R36" s="1686"/>
      <c r="S36" s="1638">
        <f t="shared" si="9"/>
        <v>192000.00000000003</v>
      </c>
      <c r="T36" s="1639">
        <f t="shared" si="10"/>
        <v>127999.99999999997</v>
      </c>
      <c r="U36" s="1603">
        <v>22</v>
      </c>
    </row>
    <row r="37" spans="1:21" s="1718" customFormat="1" ht="7" x14ac:dyDescent="0.35">
      <c r="A37" s="1716"/>
      <c r="B37" s="1683">
        <v>15</v>
      </c>
      <c r="C37" s="1684" t="s">
        <v>7440</v>
      </c>
      <c r="D37" s="1684" t="s">
        <v>7518</v>
      </c>
      <c r="E37" s="1685">
        <v>45138</v>
      </c>
      <c r="F37" s="1683" t="s">
        <v>7515</v>
      </c>
      <c r="G37" s="1684">
        <v>1</v>
      </c>
      <c r="H37" s="1684">
        <v>5</v>
      </c>
      <c r="I37" s="2854">
        <f t="shared" si="6"/>
        <v>60</v>
      </c>
      <c r="J37" s="2854">
        <f t="shared" si="11"/>
        <v>50000</v>
      </c>
      <c r="K37" s="2854">
        <v>3000000</v>
      </c>
      <c r="L37" s="2854">
        <v>3000000</v>
      </c>
      <c r="M37" s="2854"/>
      <c r="N37" s="2854"/>
      <c r="O37" s="2854">
        <f t="shared" si="7"/>
        <v>3000000</v>
      </c>
      <c r="P37" s="2854">
        <v>3000000</v>
      </c>
      <c r="Q37" s="2854">
        <v>0</v>
      </c>
      <c r="R37" s="2854"/>
      <c r="S37" s="1638">
        <f t="shared" si="9"/>
        <v>3000000</v>
      </c>
      <c r="T37" s="2855">
        <f t="shared" si="10"/>
        <v>0</v>
      </c>
      <c r="U37" s="1603">
        <v>22</v>
      </c>
    </row>
    <row r="38" spans="1:21" s="1718" customFormat="1" ht="7" x14ac:dyDescent="0.35">
      <c r="A38" s="1716"/>
      <c r="B38" s="1683">
        <v>16</v>
      </c>
      <c r="C38" s="1684" t="s">
        <v>7441</v>
      </c>
      <c r="D38" s="1684" t="s">
        <v>7518</v>
      </c>
      <c r="E38" s="1685">
        <v>45138</v>
      </c>
      <c r="F38" s="1683" t="s">
        <v>7515</v>
      </c>
      <c r="G38" s="1684">
        <v>1</v>
      </c>
      <c r="H38" s="1684">
        <v>5</v>
      </c>
      <c r="I38" s="1686">
        <f t="shared" si="6"/>
        <v>60</v>
      </c>
      <c r="J38" s="1686">
        <f t="shared" si="11"/>
        <v>33333.333333333336</v>
      </c>
      <c r="K38" s="1686">
        <v>2000000</v>
      </c>
      <c r="L38" s="1686">
        <v>2000000</v>
      </c>
      <c r="M38" s="1686"/>
      <c r="N38" s="1686"/>
      <c r="O38" s="1686">
        <f t="shared" si="7"/>
        <v>2000000</v>
      </c>
      <c r="P38" s="1686">
        <v>1166666.6666666665</v>
      </c>
      <c r="Q38" s="1686">
        <f t="shared" si="8"/>
        <v>33333.333333333336</v>
      </c>
      <c r="R38" s="1686"/>
      <c r="S38" s="1638">
        <f t="shared" si="9"/>
        <v>1199999.9999999998</v>
      </c>
      <c r="T38" s="1639">
        <f t="shared" si="10"/>
        <v>800000.00000000023</v>
      </c>
      <c r="U38" s="1603">
        <v>22</v>
      </c>
    </row>
    <row r="39" spans="1:21" s="1718" customFormat="1" ht="7" x14ac:dyDescent="0.35">
      <c r="A39" s="1716"/>
      <c r="B39" s="1683">
        <v>17</v>
      </c>
      <c r="C39" s="1684" t="s">
        <v>7442</v>
      </c>
      <c r="D39" s="1684" t="s">
        <v>7518</v>
      </c>
      <c r="E39" s="1685">
        <v>45138</v>
      </c>
      <c r="F39" s="1683" t="s">
        <v>7515</v>
      </c>
      <c r="G39" s="1684">
        <v>1</v>
      </c>
      <c r="H39" s="1684">
        <v>5</v>
      </c>
      <c r="I39" s="1686">
        <f t="shared" si="6"/>
        <v>60</v>
      </c>
      <c r="J39" s="1686">
        <f t="shared" si="11"/>
        <v>5250</v>
      </c>
      <c r="K39" s="1686">
        <v>315000</v>
      </c>
      <c r="L39" s="1686">
        <v>315000</v>
      </c>
      <c r="M39" s="1686"/>
      <c r="N39" s="1686"/>
      <c r="O39" s="1686">
        <f t="shared" si="7"/>
        <v>315000</v>
      </c>
      <c r="P39" s="1686">
        <v>183750</v>
      </c>
      <c r="Q39" s="1686">
        <f t="shared" si="8"/>
        <v>5250</v>
      </c>
      <c r="R39" s="1686"/>
      <c r="S39" s="1638">
        <f t="shared" si="9"/>
        <v>189000</v>
      </c>
      <c r="T39" s="1639">
        <f t="shared" si="10"/>
        <v>126000</v>
      </c>
      <c r="U39" s="1603">
        <v>22</v>
      </c>
    </row>
    <row r="40" spans="1:21" s="1718" customFormat="1" ht="7" x14ac:dyDescent="0.35">
      <c r="A40" s="1716"/>
      <c r="B40" s="1683">
        <v>18</v>
      </c>
      <c r="C40" s="1684" t="s">
        <v>7443</v>
      </c>
      <c r="D40" s="1684" t="s">
        <v>7518</v>
      </c>
      <c r="E40" s="1685">
        <v>45138</v>
      </c>
      <c r="F40" s="1683" t="s">
        <v>7515</v>
      </c>
      <c r="G40" s="1684">
        <v>1</v>
      </c>
      <c r="H40" s="1684">
        <v>5</v>
      </c>
      <c r="I40" s="1686">
        <f t="shared" si="6"/>
        <v>60</v>
      </c>
      <c r="J40" s="1686">
        <f t="shared" si="11"/>
        <v>1666.6666666666667</v>
      </c>
      <c r="K40" s="1686">
        <v>100000</v>
      </c>
      <c r="L40" s="1686">
        <v>100000</v>
      </c>
      <c r="M40" s="1686"/>
      <c r="N40" s="1686"/>
      <c r="O40" s="1686">
        <f t="shared" si="7"/>
        <v>100000</v>
      </c>
      <c r="P40" s="1686">
        <v>58333.333333333321</v>
      </c>
      <c r="Q40" s="1686">
        <f t="shared" si="8"/>
        <v>1666.6666666666667</v>
      </c>
      <c r="R40" s="1686"/>
      <c r="S40" s="1638">
        <f t="shared" si="9"/>
        <v>59999.999999999985</v>
      </c>
      <c r="T40" s="1639">
        <f t="shared" si="10"/>
        <v>40000.000000000015</v>
      </c>
      <c r="U40" s="1603">
        <v>22</v>
      </c>
    </row>
    <row r="41" spans="1:21" s="1718" customFormat="1" ht="7" x14ac:dyDescent="0.35">
      <c r="A41" s="1716"/>
      <c r="B41" s="1683">
        <v>19</v>
      </c>
      <c r="C41" s="1684" t="s">
        <v>7444</v>
      </c>
      <c r="D41" s="1684" t="s">
        <v>7518</v>
      </c>
      <c r="E41" s="1685">
        <v>45138</v>
      </c>
      <c r="F41" s="1683" t="s">
        <v>7515</v>
      </c>
      <c r="G41" s="1684">
        <v>30</v>
      </c>
      <c r="H41" s="1684">
        <v>5</v>
      </c>
      <c r="I41" s="1686">
        <f t="shared" si="6"/>
        <v>60</v>
      </c>
      <c r="J41" s="1686">
        <f t="shared" si="11"/>
        <v>4500</v>
      </c>
      <c r="K41" s="1686">
        <v>9000</v>
      </c>
      <c r="L41" s="1686">
        <v>270000</v>
      </c>
      <c r="M41" s="1686"/>
      <c r="N41" s="1686"/>
      <c r="O41" s="1686">
        <f t="shared" si="7"/>
        <v>270000</v>
      </c>
      <c r="P41" s="1686">
        <v>157500</v>
      </c>
      <c r="Q41" s="1686">
        <f t="shared" si="8"/>
        <v>4500</v>
      </c>
      <c r="R41" s="1686"/>
      <c r="S41" s="1638">
        <f t="shared" si="9"/>
        <v>162000</v>
      </c>
      <c r="T41" s="1639">
        <f t="shared" si="10"/>
        <v>108000</v>
      </c>
      <c r="U41" s="1603">
        <v>22</v>
      </c>
    </row>
    <row r="42" spans="1:21" s="1718" customFormat="1" ht="7" x14ac:dyDescent="0.35">
      <c r="A42" s="1716"/>
      <c r="B42" s="1683">
        <v>20</v>
      </c>
      <c r="C42" s="1684" t="s">
        <v>7445</v>
      </c>
      <c r="D42" s="1684" t="s">
        <v>7518</v>
      </c>
      <c r="E42" s="1685">
        <v>45138</v>
      </c>
      <c r="F42" s="1683" t="s">
        <v>7515</v>
      </c>
      <c r="G42" s="1684">
        <v>2</v>
      </c>
      <c r="H42" s="1684">
        <v>5</v>
      </c>
      <c r="I42" s="1686">
        <f t="shared" si="6"/>
        <v>60</v>
      </c>
      <c r="J42" s="1686">
        <f t="shared" si="11"/>
        <v>4166.666666666667</v>
      </c>
      <c r="K42" s="1686">
        <v>125000</v>
      </c>
      <c r="L42" s="1686">
        <v>250000</v>
      </c>
      <c r="M42" s="1686"/>
      <c r="N42" s="1686"/>
      <c r="O42" s="1686">
        <f t="shared" si="7"/>
        <v>250000</v>
      </c>
      <c r="P42" s="1686">
        <v>145833.3333333334</v>
      </c>
      <c r="Q42" s="1686">
        <f t="shared" si="8"/>
        <v>4166.666666666667</v>
      </c>
      <c r="R42" s="1686"/>
      <c r="S42" s="1638">
        <f t="shared" si="9"/>
        <v>150000.00000000006</v>
      </c>
      <c r="T42" s="1639">
        <f t="shared" si="10"/>
        <v>99999.999999999942</v>
      </c>
      <c r="U42" s="1603">
        <v>22</v>
      </c>
    </row>
    <row r="43" spans="1:21" s="1718" customFormat="1" ht="7" x14ac:dyDescent="0.35">
      <c r="A43" s="1716"/>
      <c r="B43" s="1683">
        <v>21</v>
      </c>
      <c r="C43" s="1684" t="s">
        <v>7446</v>
      </c>
      <c r="D43" s="1684" t="s">
        <v>7518</v>
      </c>
      <c r="E43" s="1685">
        <v>45138</v>
      </c>
      <c r="F43" s="1683" t="s">
        <v>7515</v>
      </c>
      <c r="G43" s="1684">
        <v>2</v>
      </c>
      <c r="H43" s="1684">
        <v>5</v>
      </c>
      <c r="I43" s="1686">
        <f t="shared" si="6"/>
        <v>60</v>
      </c>
      <c r="J43" s="1686">
        <f t="shared" si="11"/>
        <v>1666.6666666666667</v>
      </c>
      <c r="K43" s="1686">
        <v>50000</v>
      </c>
      <c r="L43" s="1686">
        <v>100000</v>
      </c>
      <c r="M43" s="1686"/>
      <c r="N43" s="1686"/>
      <c r="O43" s="1686">
        <f t="shared" si="7"/>
        <v>100000</v>
      </c>
      <c r="P43" s="1686">
        <v>58333.333333333321</v>
      </c>
      <c r="Q43" s="1686">
        <f t="shared" si="8"/>
        <v>1666.6666666666667</v>
      </c>
      <c r="R43" s="1686"/>
      <c r="S43" s="1638">
        <f t="shared" si="9"/>
        <v>59999.999999999985</v>
      </c>
      <c r="T43" s="1639">
        <f t="shared" si="10"/>
        <v>40000.000000000015</v>
      </c>
      <c r="U43" s="1603">
        <v>22</v>
      </c>
    </row>
    <row r="44" spans="1:21" s="1718" customFormat="1" ht="7" x14ac:dyDescent="0.35">
      <c r="A44" s="1716"/>
      <c r="B44" s="1683">
        <v>22</v>
      </c>
      <c r="C44" s="1684" t="s">
        <v>7447</v>
      </c>
      <c r="D44" s="1684" t="s">
        <v>7518</v>
      </c>
      <c r="E44" s="1685">
        <v>45138</v>
      </c>
      <c r="F44" s="1683" t="s">
        <v>7515</v>
      </c>
      <c r="G44" s="1684">
        <v>2</v>
      </c>
      <c r="H44" s="1684">
        <v>5</v>
      </c>
      <c r="I44" s="1686">
        <f t="shared" si="6"/>
        <v>60</v>
      </c>
      <c r="J44" s="1686">
        <f t="shared" si="11"/>
        <v>850</v>
      </c>
      <c r="K44" s="1686">
        <v>25500</v>
      </c>
      <c r="L44" s="1686">
        <v>51000</v>
      </c>
      <c r="M44" s="1686"/>
      <c r="N44" s="1686"/>
      <c r="O44" s="1686">
        <f t="shared" si="7"/>
        <v>51000</v>
      </c>
      <c r="P44" s="1686">
        <v>29750</v>
      </c>
      <c r="Q44" s="1686">
        <f t="shared" si="8"/>
        <v>850</v>
      </c>
      <c r="R44" s="1686"/>
      <c r="S44" s="1638">
        <f t="shared" si="9"/>
        <v>30600</v>
      </c>
      <c r="T44" s="1639">
        <f t="shared" si="10"/>
        <v>20400</v>
      </c>
      <c r="U44" s="1603">
        <v>22</v>
      </c>
    </row>
    <row r="45" spans="1:21" s="1718" customFormat="1" ht="7" x14ac:dyDescent="0.35">
      <c r="A45" s="1716"/>
      <c r="B45" s="1683">
        <v>23</v>
      </c>
      <c r="C45" s="1684" t="s">
        <v>7448</v>
      </c>
      <c r="D45" s="1684" t="s">
        <v>7518</v>
      </c>
      <c r="E45" s="1685">
        <v>45138</v>
      </c>
      <c r="F45" s="1683" t="s">
        <v>7515</v>
      </c>
      <c r="G45" s="1684">
        <v>1</v>
      </c>
      <c r="H45" s="1684">
        <v>5</v>
      </c>
      <c r="I45" s="1686">
        <f t="shared" si="6"/>
        <v>60</v>
      </c>
      <c r="J45" s="1686">
        <f t="shared" si="11"/>
        <v>33333.333333333336</v>
      </c>
      <c r="K45" s="1686">
        <v>2000000</v>
      </c>
      <c r="L45" s="1686">
        <v>2000000</v>
      </c>
      <c r="M45" s="1686"/>
      <c r="N45" s="1686"/>
      <c r="O45" s="1686">
        <f t="shared" si="7"/>
        <v>2000000</v>
      </c>
      <c r="P45" s="1686">
        <v>1166666.6666666665</v>
      </c>
      <c r="Q45" s="1686">
        <f t="shared" si="8"/>
        <v>33333.333333333336</v>
      </c>
      <c r="R45" s="1686"/>
      <c r="S45" s="1638">
        <f t="shared" si="9"/>
        <v>1199999.9999999998</v>
      </c>
      <c r="T45" s="1639">
        <f t="shared" si="10"/>
        <v>800000.00000000023</v>
      </c>
      <c r="U45" s="1603">
        <v>22</v>
      </c>
    </row>
    <row r="46" spans="1:21" s="1718" customFormat="1" ht="7" x14ac:dyDescent="0.35">
      <c r="A46" s="1716"/>
      <c r="B46" s="1683">
        <v>24</v>
      </c>
      <c r="C46" s="1684" t="s">
        <v>7449</v>
      </c>
      <c r="D46" s="1684" t="s">
        <v>7518</v>
      </c>
      <c r="E46" s="1685">
        <v>45138</v>
      </c>
      <c r="F46" s="1683" t="s">
        <v>7515</v>
      </c>
      <c r="G46" s="1684">
        <v>1</v>
      </c>
      <c r="H46" s="1684">
        <v>5</v>
      </c>
      <c r="I46" s="1686">
        <f t="shared" si="6"/>
        <v>60</v>
      </c>
      <c r="J46" s="1686">
        <f t="shared" si="11"/>
        <v>50000</v>
      </c>
      <c r="K46" s="1686">
        <v>3000000</v>
      </c>
      <c r="L46" s="1686">
        <v>3000000</v>
      </c>
      <c r="M46" s="1686"/>
      <c r="N46" s="1686"/>
      <c r="O46" s="1686">
        <f t="shared" si="7"/>
        <v>3000000</v>
      </c>
      <c r="P46" s="1686">
        <v>1750000</v>
      </c>
      <c r="Q46" s="1686">
        <f t="shared" si="8"/>
        <v>50000</v>
      </c>
      <c r="R46" s="1686"/>
      <c r="S46" s="1638">
        <f t="shared" si="9"/>
        <v>1800000</v>
      </c>
      <c r="T46" s="1639">
        <f t="shared" si="10"/>
        <v>1200000</v>
      </c>
      <c r="U46" s="1603">
        <v>22</v>
      </c>
    </row>
    <row r="47" spans="1:21" s="1718" customFormat="1" ht="7" x14ac:dyDescent="0.35">
      <c r="A47" s="1716"/>
      <c r="B47" s="1683">
        <v>25</v>
      </c>
      <c r="C47" s="1684" t="s">
        <v>6838</v>
      </c>
      <c r="D47" s="1684" t="s">
        <v>7518</v>
      </c>
      <c r="E47" s="1685">
        <v>45138</v>
      </c>
      <c r="F47" s="1683" t="s">
        <v>7515</v>
      </c>
      <c r="G47" s="1684">
        <v>3</v>
      </c>
      <c r="H47" s="1684">
        <v>5</v>
      </c>
      <c r="I47" s="1686">
        <f t="shared" si="6"/>
        <v>60</v>
      </c>
      <c r="J47" s="1686">
        <f t="shared" si="11"/>
        <v>1500</v>
      </c>
      <c r="K47" s="1686">
        <v>30000</v>
      </c>
      <c r="L47" s="1686">
        <v>90000</v>
      </c>
      <c r="M47" s="1686"/>
      <c r="N47" s="1686"/>
      <c r="O47" s="1686">
        <f t="shared" si="7"/>
        <v>90000</v>
      </c>
      <c r="P47" s="1686">
        <v>52500</v>
      </c>
      <c r="Q47" s="1686">
        <f t="shared" si="8"/>
        <v>1500</v>
      </c>
      <c r="R47" s="1686"/>
      <c r="S47" s="1638">
        <f t="shared" si="9"/>
        <v>54000</v>
      </c>
      <c r="T47" s="1639">
        <f t="shared" si="10"/>
        <v>36000</v>
      </c>
      <c r="U47" s="1603">
        <v>22</v>
      </c>
    </row>
    <row r="48" spans="1:21" s="1718" customFormat="1" ht="7" x14ac:dyDescent="0.35">
      <c r="A48" s="1716"/>
      <c r="B48" s="1683">
        <v>26</v>
      </c>
      <c r="C48" s="1684" t="s">
        <v>7450</v>
      </c>
      <c r="D48" s="1684" t="s">
        <v>7518</v>
      </c>
      <c r="E48" s="1685">
        <v>45138</v>
      </c>
      <c r="F48" s="1683" t="s">
        <v>7515</v>
      </c>
      <c r="G48" s="1684">
        <v>2</v>
      </c>
      <c r="H48" s="1684">
        <v>5</v>
      </c>
      <c r="I48" s="1686">
        <f t="shared" si="6"/>
        <v>60</v>
      </c>
      <c r="J48" s="1686">
        <f t="shared" si="11"/>
        <v>1000</v>
      </c>
      <c r="K48" s="1686">
        <v>30000</v>
      </c>
      <c r="L48" s="1686">
        <v>60000</v>
      </c>
      <c r="M48" s="1686"/>
      <c r="N48" s="1686"/>
      <c r="O48" s="1686">
        <f t="shared" si="7"/>
        <v>60000</v>
      </c>
      <c r="P48" s="1686">
        <v>35000</v>
      </c>
      <c r="Q48" s="1686">
        <f t="shared" si="8"/>
        <v>1000</v>
      </c>
      <c r="R48" s="1686"/>
      <c r="S48" s="1638">
        <f t="shared" si="9"/>
        <v>36000</v>
      </c>
      <c r="T48" s="1639">
        <f t="shared" si="10"/>
        <v>24000</v>
      </c>
      <c r="U48" s="1603">
        <v>22</v>
      </c>
    </row>
    <row r="49" spans="1:21" s="1718" customFormat="1" ht="7" x14ac:dyDescent="0.35">
      <c r="A49" s="1716"/>
      <c r="B49" s="1683">
        <v>27</v>
      </c>
      <c r="C49" s="1684" t="s">
        <v>7451</v>
      </c>
      <c r="D49" s="1684" t="s">
        <v>7518</v>
      </c>
      <c r="E49" s="1685">
        <v>45138</v>
      </c>
      <c r="F49" s="1683" t="s">
        <v>7515</v>
      </c>
      <c r="G49" s="1684">
        <v>1</v>
      </c>
      <c r="H49" s="1684">
        <v>5</v>
      </c>
      <c r="I49" s="1686">
        <f t="shared" si="6"/>
        <v>60</v>
      </c>
      <c r="J49" s="1686">
        <f t="shared" si="11"/>
        <v>1666.6666666666667</v>
      </c>
      <c r="K49" s="1686">
        <v>100000</v>
      </c>
      <c r="L49" s="1686">
        <v>100000</v>
      </c>
      <c r="M49" s="1686"/>
      <c r="N49" s="1686"/>
      <c r="O49" s="1686">
        <f t="shared" si="7"/>
        <v>100000</v>
      </c>
      <c r="P49" s="1686">
        <v>58333.333333333321</v>
      </c>
      <c r="Q49" s="1686">
        <f t="shared" si="8"/>
        <v>1666.6666666666667</v>
      </c>
      <c r="R49" s="1686"/>
      <c r="S49" s="1638">
        <f t="shared" si="9"/>
        <v>59999.999999999985</v>
      </c>
      <c r="T49" s="1639">
        <f t="shared" si="10"/>
        <v>40000.000000000015</v>
      </c>
      <c r="U49" s="1603">
        <v>22</v>
      </c>
    </row>
    <row r="50" spans="1:21" s="1718" customFormat="1" ht="7" x14ac:dyDescent="0.35">
      <c r="A50" s="1716"/>
      <c r="B50" s="1683">
        <v>28</v>
      </c>
      <c r="C50" s="1684" t="s">
        <v>7452</v>
      </c>
      <c r="D50" s="1684" t="s">
        <v>7518</v>
      </c>
      <c r="E50" s="1685">
        <v>45138</v>
      </c>
      <c r="F50" s="1683" t="s">
        <v>7515</v>
      </c>
      <c r="G50" s="1684">
        <v>36</v>
      </c>
      <c r="H50" s="1684">
        <v>5</v>
      </c>
      <c r="I50" s="1686">
        <f t="shared" si="6"/>
        <v>60</v>
      </c>
      <c r="J50" s="1686">
        <f t="shared" si="11"/>
        <v>6300</v>
      </c>
      <c r="K50" s="1686">
        <v>10500</v>
      </c>
      <c r="L50" s="1686">
        <v>378000</v>
      </c>
      <c r="M50" s="1686"/>
      <c r="N50" s="1686"/>
      <c r="O50" s="1686">
        <f t="shared" si="7"/>
        <v>378000</v>
      </c>
      <c r="P50" s="1686">
        <v>220500</v>
      </c>
      <c r="Q50" s="1686">
        <f t="shared" si="8"/>
        <v>6300</v>
      </c>
      <c r="R50" s="1686"/>
      <c r="S50" s="1638">
        <f t="shared" si="9"/>
        <v>226800</v>
      </c>
      <c r="T50" s="1639">
        <f t="shared" si="10"/>
        <v>151200</v>
      </c>
      <c r="U50" s="1603">
        <v>22</v>
      </c>
    </row>
    <row r="51" spans="1:21" s="1718" customFormat="1" ht="7" x14ac:dyDescent="0.35">
      <c r="A51" s="1716"/>
      <c r="B51" s="1683">
        <v>29</v>
      </c>
      <c r="C51" s="1684" t="s">
        <v>7453</v>
      </c>
      <c r="D51" s="1684" t="s">
        <v>7518</v>
      </c>
      <c r="E51" s="1685">
        <v>45138</v>
      </c>
      <c r="F51" s="1683" t="s">
        <v>7515</v>
      </c>
      <c r="G51" s="1684">
        <v>1</v>
      </c>
      <c r="H51" s="1684">
        <v>5</v>
      </c>
      <c r="I51" s="1686">
        <f t="shared" si="6"/>
        <v>60</v>
      </c>
      <c r="J51" s="1686">
        <f t="shared" si="11"/>
        <v>500</v>
      </c>
      <c r="K51" s="1686">
        <v>30000</v>
      </c>
      <c r="L51" s="1686">
        <v>30000</v>
      </c>
      <c r="M51" s="1686"/>
      <c r="N51" s="1686"/>
      <c r="O51" s="1686">
        <f t="shared" si="7"/>
        <v>30000</v>
      </c>
      <c r="P51" s="1686">
        <v>17500</v>
      </c>
      <c r="Q51" s="1686">
        <f t="shared" si="8"/>
        <v>500</v>
      </c>
      <c r="R51" s="1686"/>
      <c r="S51" s="1638">
        <f t="shared" si="9"/>
        <v>18000</v>
      </c>
      <c r="T51" s="1639">
        <f t="shared" si="10"/>
        <v>12000</v>
      </c>
      <c r="U51" s="1603">
        <v>22</v>
      </c>
    </row>
    <row r="52" spans="1:21" s="1718" customFormat="1" ht="7" x14ac:dyDescent="0.35">
      <c r="A52" s="1716"/>
      <c r="B52" s="1683">
        <v>30</v>
      </c>
      <c r="C52" s="1684" t="s">
        <v>7454</v>
      </c>
      <c r="D52" s="1684" t="s">
        <v>7518</v>
      </c>
      <c r="E52" s="1685">
        <v>45138</v>
      </c>
      <c r="F52" s="1683" t="s">
        <v>7515</v>
      </c>
      <c r="G52" s="1684">
        <v>1</v>
      </c>
      <c r="H52" s="1684">
        <v>5</v>
      </c>
      <c r="I52" s="1686">
        <f t="shared" si="6"/>
        <v>60</v>
      </c>
      <c r="J52" s="1686">
        <f t="shared" si="11"/>
        <v>458.33333333333331</v>
      </c>
      <c r="K52" s="1686">
        <v>27500</v>
      </c>
      <c r="L52" s="1686">
        <v>27500</v>
      </c>
      <c r="M52" s="1686"/>
      <c r="N52" s="1686"/>
      <c r="O52" s="1686">
        <f t="shared" si="7"/>
        <v>27500</v>
      </c>
      <c r="P52" s="1686">
        <v>16041.666666666672</v>
      </c>
      <c r="Q52" s="1686">
        <f t="shared" si="8"/>
        <v>458.33333333333331</v>
      </c>
      <c r="R52" s="1686"/>
      <c r="S52" s="1638">
        <f t="shared" si="9"/>
        <v>16500.000000000004</v>
      </c>
      <c r="T52" s="1639">
        <f t="shared" si="10"/>
        <v>10999.999999999996</v>
      </c>
      <c r="U52" s="1603">
        <v>22</v>
      </c>
    </row>
    <row r="53" spans="1:21" s="1718" customFormat="1" ht="7" x14ac:dyDescent="0.35">
      <c r="A53" s="1716"/>
      <c r="B53" s="1683">
        <v>31</v>
      </c>
      <c r="C53" s="1684" t="s">
        <v>7455</v>
      </c>
      <c r="D53" s="1684" t="s">
        <v>7518</v>
      </c>
      <c r="E53" s="1685">
        <v>45138</v>
      </c>
      <c r="F53" s="1683" t="s">
        <v>7515</v>
      </c>
      <c r="G53" s="1684">
        <v>1</v>
      </c>
      <c r="H53" s="1684">
        <v>5</v>
      </c>
      <c r="I53" s="1686">
        <f t="shared" si="6"/>
        <v>60</v>
      </c>
      <c r="J53" s="1686">
        <f t="shared" si="11"/>
        <v>250</v>
      </c>
      <c r="K53" s="1686">
        <v>15000</v>
      </c>
      <c r="L53" s="1686">
        <v>15000</v>
      </c>
      <c r="M53" s="1686"/>
      <c r="N53" s="1686"/>
      <c r="O53" s="1686">
        <f t="shared" si="7"/>
        <v>15000</v>
      </c>
      <c r="P53" s="1686">
        <v>8750</v>
      </c>
      <c r="Q53" s="1686">
        <f t="shared" si="8"/>
        <v>250</v>
      </c>
      <c r="R53" s="1686"/>
      <c r="S53" s="1638">
        <f t="shared" si="9"/>
        <v>9000</v>
      </c>
      <c r="T53" s="1639">
        <f t="shared" si="10"/>
        <v>6000</v>
      </c>
      <c r="U53" s="1603">
        <v>22</v>
      </c>
    </row>
    <row r="54" spans="1:21" s="1718" customFormat="1" ht="7" x14ac:dyDescent="0.35">
      <c r="A54" s="1716"/>
      <c r="B54" s="1683">
        <v>32</v>
      </c>
      <c r="C54" s="1684" t="s">
        <v>7456</v>
      </c>
      <c r="D54" s="1684" t="s">
        <v>7518</v>
      </c>
      <c r="E54" s="1685">
        <v>45138</v>
      </c>
      <c r="F54" s="1683" t="s">
        <v>7515</v>
      </c>
      <c r="G54" s="1684">
        <v>2</v>
      </c>
      <c r="H54" s="1684">
        <v>5</v>
      </c>
      <c r="I54" s="1686">
        <f t="shared" si="6"/>
        <v>60</v>
      </c>
      <c r="J54" s="1686">
        <f t="shared" si="11"/>
        <v>416.66666666666669</v>
      </c>
      <c r="K54" s="1686">
        <v>12500</v>
      </c>
      <c r="L54" s="1686">
        <v>25000</v>
      </c>
      <c r="M54" s="1686"/>
      <c r="N54" s="1686"/>
      <c r="O54" s="1686">
        <f t="shared" si="7"/>
        <v>25000</v>
      </c>
      <c r="P54" s="1686">
        <v>14583.33333333333</v>
      </c>
      <c r="Q54" s="1686">
        <f t="shared" si="8"/>
        <v>416.66666666666669</v>
      </c>
      <c r="R54" s="1686"/>
      <c r="S54" s="1638">
        <f t="shared" si="9"/>
        <v>14999.999999999996</v>
      </c>
      <c r="T54" s="1639">
        <f t="shared" si="10"/>
        <v>10000.000000000004</v>
      </c>
      <c r="U54" s="1603">
        <v>22</v>
      </c>
    </row>
    <row r="55" spans="1:21" s="1718" customFormat="1" ht="7" x14ac:dyDescent="0.35">
      <c r="A55" s="1716"/>
      <c r="B55" s="1683">
        <v>33</v>
      </c>
      <c r="C55" s="1684" t="s">
        <v>7457</v>
      </c>
      <c r="D55" s="1684" t="s">
        <v>7518</v>
      </c>
      <c r="E55" s="1685">
        <v>45138</v>
      </c>
      <c r="F55" s="1683" t="s">
        <v>7515</v>
      </c>
      <c r="G55" s="1684">
        <v>2</v>
      </c>
      <c r="H55" s="1684">
        <v>5</v>
      </c>
      <c r="I55" s="1686">
        <f t="shared" si="6"/>
        <v>60</v>
      </c>
      <c r="J55" s="1686">
        <f t="shared" si="11"/>
        <v>2433.3333333333335</v>
      </c>
      <c r="K55" s="1686">
        <v>73000</v>
      </c>
      <c r="L55" s="1686">
        <v>146000</v>
      </c>
      <c r="M55" s="1686"/>
      <c r="N55" s="1686"/>
      <c r="O55" s="1686">
        <f t="shared" si="7"/>
        <v>146000</v>
      </c>
      <c r="P55" s="1686">
        <v>85166.666666666642</v>
      </c>
      <c r="Q55" s="1686">
        <f t="shared" si="8"/>
        <v>2433.3333333333335</v>
      </c>
      <c r="R55" s="1686"/>
      <c r="S55" s="1638">
        <f t="shared" si="9"/>
        <v>87599.999999999971</v>
      </c>
      <c r="T55" s="1639">
        <f t="shared" si="10"/>
        <v>58400.000000000029</v>
      </c>
      <c r="U55" s="1603">
        <v>22</v>
      </c>
    </row>
    <row r="56" spans="1:21" s="1718" customFormat="1" ht="7" x14ac:dyDescent="0.35">
      <c r="A56" s="1716"/>
      <c r="B56" s="1683">
        <v>34</v>
      </c>
      <c r="C56" s="1684" t="s">
        <v>7458</v>
      </c>
      <c r="D56" s="1684" t="s">
        <v>6648</v>
      </c>
      <c r="E56" s="1685">
        <v>45169</v>
      </c>
      <c r="F56" s="1683" t="s">
        <v>7515</v>
      </c>
      <c r="G56" s="1684">
        <v>1</v>
      </c>
      <c r="H56" s="1684">
        <v>5</v>
      </c>
      <c r="I56" s="1686">
        <f t="shared" si="6"/>
        <v>60</v>
      </c>
      <c r="J56" s="1686">
        <f t="shared" si="11"/>
        <v>2083.3333333333335</v>
      </c>
      <c r="K56" s="1686">
        <v>125000</v>
      </c>
      <c r="L56" s="1686">
        <v>125000</v>
      </c>
      <c r="M56" s="1686"/>
      <c r="N56" s="1686"/>
      <c r="O56" s="1686">
        <f t="shared" si="7"/>
        <v>125000</v>
      </c>
      <c r="P56" s="1686">
        <v>70833.333333333358</v>
      </c>
      <c r="Q56" s="1686">
        <f t="shared" si="8"/>
        <v>2083.3333333333335</v>
      </c>
      <c r="R56" s="1686"/>
      <c r="S56" s="1638">
        <f t="shared" si="9"/>
        <v>72916.666666666686</v>
      </c>
      <c r="T56" s="1639">
        <f t="shared" si="10"/>
        <v>52083.333333333314</v>
      </c>
      <c r="U56" s="1603">
        <v>22</v>
      </c>
    </row>
    <row r="57" spans="1:21" s="1718" customFormat="1" ht="7" x14ac:dyDescent="0.35">
      <c r="A57" s="1716"/>
      <c r="B57" s="1683">
        <v>35</v>
      </c>
      <c r="C57" s="1684" t="s">
        <v>7459</v>
      </c>
      <c r="D57" s="1684" t="s">
        <v>6648</v>
      </c>
      <c r="E57" s="1685">
        <v>45169</v>
      </c>
      <c r="F57" s="1683" t="s">
        <v>7515</v>
      </c>
      <c r="G57" s="1684">
        <v>1</v>
      </c>
      <c r="H57" s="1684">
        <v>5</v>
      </c>
      <c r="I57" s="1686">
        <f t="shared" si="6"/>
        <v>60</v>
      </c>
      <c r="J57" s="1686">
        <f t="shared" si="11"/>
        <v>2333.3333333333335</v>
      </c>
      <c r="K57" s="1686">
        <v>140000</v>
      </c>
      <c r="L57" s="1686">
        <v>140000</v>
      </c>
      <c r="M57" s="1686"/>
      <c r="N57" s="1686"/>
      <c r="O57" s="1686">
        <f t="shared" si="7"/>
        <v>140000</v>
      </c>
      <c r="P57" s="1686">
        <v>79333.333333333328</v>
      </c>
      <c r="Q57" s="1686">
        <f t="shared" si="8"/>
        <v>2333.3333333333335</v>
      </c>
      <c r="R57" s="1686"/>
      <c r="S57" s="1638">
        <f t="shared" si="9"/>
        <v>81666.666666666657</v>
      </c>
      <c r="T57" s="1639">
        <f t="shared" si="10"/>
        <v>58333.333333333343</v>
      </c>
      <c r="U57" s="1603">
        <v>22</v>
      </c>
    </row>
    <row r="58" spans="1:21" s="1718" customFormat="1" ht="7" x14ac:dyDescent="0.35">
      <c r="A58" s="1716"/>
      <c r="B58" s="1683">
        <v>36</v>
      </c>
      <c r="C58" s="1684" t="s">
        <v>7459</v>
      </c>
      <c r="D58" s="1684" t="s">
        <v>6648</v>
      </c>
      <c r="E58" s="1685">
        <v>45169</v>
      </c>
      <c r="F58" s="1683" t="s">
        <v>7515</v>
      </c>
      <c r="G58" s="1684">
        <v>1</v>
      </c>
      <c r="H58" s="1684">
        <v>5</v>
      </c>
      <c r="I58" s="1686">
        <f t="shared" si="6"/>
        <v>60</v>
      </c>
      <c r="J58" s="1686">
        <f t="shared" si="11"/>
        <v>2333.3333333333335</v>
      </c>
      <c r="K58" s="1686">
        <v>140000</v>
      </c>
      <c r="L58" s="1686">
        <v>140000</v>
      </c>
      <c r="M58" s="1686"/>
      <c r="N58" s="1686"/>
      <c r="O58" s="1686">
        <f t="shared" si="7"/>
        <v>140000</v>
      </c>
      <c r="P58" s="1686">
        <v>79333.333333333328</v>
      </c>
      <c r="Q58" s="1686">
        <f t="shared" si="8"/>
        <v>2333.3333333333335</v>
      </c>
      <c r="R58" s="1686"/>
      <c r="S58" s="1638">
        <f t="shared" si="9"/>
        <v>81666.666666666657</v>
      </c>
      <c r="T58" s="1639">
        <f t="shared" si="10"/>
        <v>58333.333333333343</v>
      </c>
      <c r="U58" s="1603">
        <v>22</v>
      </c>
    </row>
    <row r="59" spans="1:21" s="1718" customFormat="1" ht="7" x14ac:dyDescent="0.35">
      <c r="A59" s="1716"/>
      <c r="B59" s="1683">
        <v>37</v>
      </c>
      <c r="C59" s="1684" t="s">
        <v>7434</v>
      </c>
      <c r="D59" s="1684" t="s">
        <v>6648</v>
      </c>
      <c r="E59" s="1685">
        <v>45169</v>
      </c>
      <c r="F59" s="1683" t="s">
        <v>7515</v>
      </c>
      <c r="G59" s="1684">
        <v>1</v>
      </c>
      <c r="H59" s="1684">
        <v>5</v>
      </c>
      <c r="I59" s="1686">
        <f t="shared" si="6"/>
        <v>60</v>
      </c>
      <c r="J59" s="1686">
        <f t="shared" si="11"/>
        <v>3333.3333333333335</v>
      </c>
      <c r="K59" s="1686">
        <v>200000</v>
      </c>
      <c r="L59" s="1686">
        <v>200000</v>
      </c>
      <c r="M59" s="1686"/>
      <c r="N59" s="1686"/>
      <c r="O59" s="1686">
        <f t="shared" si="7"/>
        <v>200000</v>
      </c>
      <c r="P59" s="1686">
        <v>113333.33333333328</v>
      </c>
      <c r="Q59" s="1686">
        <f t="shared" si="8"/>
        <v>3333.3333333333335</v>
      </c>
      <c r="R59" s="1686"/>
      <c r="S59" s="1638">
        <f t="shared" si="9"/>
        <v>116666.66666666661</v>
      </c>
      <c r="T59" s="1639">
        <f t="shared" si="10"/>
        <v>83333.333333333387</v>
      </c>
      <c r="U59" s="1603">
        <v>22</v>
      </c>
    </row>
    <row r="60" spans="1:21" s="1718" customFormat="1" ht="7" x14ac:dyDescent="0.35">
      <c r="A60" s="1716"/>
      <c r="B60" s="1683">
        <v>38</v>
      </c>
      <c r="C60" s="1684" t="s">
        <v>7460</v>
      </c>
      <c r="D60" s="1684" t="s">
        <v>7518</v>
      </c>
      <c r="E60" s="1685">
        <v>45169</v>
      </c>
      <c r="F60" s="1683" t="s">
        <v>7515</v>
      </c>
      <c r="G60" s="1684">
        <v>2</v>
      </c>
      <c r="H60" s="1684">
        <v>5</v>
      </c>
      <c r="I60" s="1686">
        <f t="shared" si="6"/>
        <v>60</v>
      </c>
      <c r="J60" s="1686">
        <f t="shared" si="11"/>
        <v>22416.666666666668</v>
      </c>
      <c r="K60" s="1686">
        <v>672500</v>
      </c>
      <c r="L60" s="1686">
        <v>1345000</v>
      </c>
      <c r="M60" s="1686"/>
      <c r="N60" s="1686"/>
      <c r="O60" s="1686">
        <f t="shared" si="7"/>
        <v>1345000</v>
      </c>
      <c r="P60" s="1686">
        <v>762166.6666666664</v>
      </c>
      <c r="Q60" s="1686">
        <f t="shared" si="8"/>
        <v>22416.666666666668</v>
      </c>
      <c r="R60" s="1686"/>
      <c r="S60" s="1638">
        <f t="shared" si="9"/>
        <v>784583.33333333302</v>
      </c>
      <c r="T60" s="1639">
        <f t="shared" si="10"/>
        <v>560416.66666666698</v>
      </c>
      <c r="U60" s="1603">
        <v>22</v>
      </c>
    </row>
    <row r="61" spans="1:21" s="1718" customFormat="1" ht="7" x14ac:dyDescent="0.35">
      <c r="A61" s="1716"/>
      <c r="B61" s="1683">
        <v>39</v>
      </c>
      <c r="C61" s="1684" t="s">
        <v>7461</v>
      </c>
      <c r="D61" s="1684" t="s">
        <v>7518</v>
      </c>
      <c r="E61" s="1685">
        <v>45169</v>
      </c>
      <c r="F61" s="1683" t="s">
        <v>7515</v>
      </c>
      <c r="G61" s="1684">
        <v>1</v>
      </c>
      <c r="H61" s="1684">
        <v>5</v>
      </c>
      <c r="I61" s="1686">
        <f t="shared" si="6"/>
        <v>60</v>
      </c>
      <c r="J61" s="1686">
        <f t="shared" si="11"/>
        <v>7083.333333333333</v>
      </c>
      <c r="K61" s="1686">
        <v>425000</v>
      </c>
      <c r="L61" s="1686">
        <v>425000</v>
      </c>
      <c r="M61" s="1686"/>
      <c r="N61" s="1686"/>
      <c r="O61" s="1686">
        <f t="shared" si="7"/>
        <v>425000</v>
      </c>
      <c r="P61" s="1686">
        <v>240833.33333333346</v>
      </c>
      <c r="Q61" s="1686">
        <f t="shared" si="8"/>
        <v>7083.333333333333</v>
      </c>
      <c r="R61" s="1686"/>
      <c r="S61" s="1638">
        <f t="shared" si="9"/>
        <v>247916.6666666668</v>
      </c>
      <c r="T61" s="1639">
        <f t="shared" si="10"/>
        <v>177083.3333333332</v>
      </c>
      <c r="U61" s="1603">
        <v>22</v>
      </c>
    </row>
    <row r="62" spans="1:21" s="1718" customFormat="1" ht="7" x14ac:dyDescent="0.35">
      <c r="A62" s="1716"/>
      <c r="B62" s="1683">
        <v>40</v>
      </c>
      <c r="C62" s="1684" t="s">
        <v>7462</v>
      </c>
      <c r="D62" s="1684" t="s">
        <v>7518</v>
      </c>
      <c r="E62" s="1685">
        <v>45169</v>
      </c>
      <c r="F62" s="1683" t="s">
        <v>7515</v>
      </c>
      <c r="G62" s="1684">
        <v>1</v>
      </c>
      <c r="H62" s="1684">
        <v>5</v>
      </c>
      <c r="I62" s="1686">
        <f t="shared" si="6"/>
        <v>60</v>
      </c>
      <c r="J62" s="1686">
        <f t="shared" si="11"/>
        <v>11666.666666666666</v>
      </c>
      <c r="K62" s="1686">
        <v>700000</v>
      </c>
      <c r="L62" s="1686">
        <v>700000</v>
      </c>
      <c r="M62" s="1686"/>
      <c r="N62" s="1686"/>
      <c r="O62" s="1686">
        <f t="shared" si="7"/>
        <v>700000</v>
      </c>
      <c r="P62" s="1686">
        <v>396666.6666666668</v>
      </c>
      <c r="Q62" s="1686">
        <f t="shared" si="8"/>
        <v>11666.666666666666</v>
      </c>
      <c r="R62" s="1686"/>
      <c r="S62" s="1638">
        <f t="shared" si="9"/>
        <v>408333.33333333349</v>
      </c>
      <c r="T62" s="1639">
        <f t="shared" si="10"/>
        <v>291666.66666666651</v>
      </c>
      <c r="U62" s="1603">
        <v>22</v>
      </c>
    </row>
    <row r="63" spans="1:21" s="1718" customFormat="1" ht="7" x14ac:dyDescent="0.35">
      <c r="A63" s="1716"/>
      <c r="B63" s="1683">
        <v>41</v>
      </c>
      <c r="C63" s="1684" t="s">
        <v>7463</v>
      </c>
      <c r="D63" s="1684" t="s">
        <v>7518</v>
      </c>
      <c r="E63" s="1685">
        <v>45169</v>
      </c>
      <c r="F63" s="1683" t="s">
        <v>7515</v>
      </c>
      <c r="G63" s="1684">
        <v>10</v>
      </c>
      <c r="H63" s="1684">
        <v>5</v>
      </c>
      <c r="I63" s="1686">
        <f t="shared" si="6"/>
        <v>60</v>
      </c>
      <c r="J63" s="1686">
        <f t="shared" si="11"/>
        <v>500</v>
      </c>
      <c r="K63" s="1686">
        <v>3000</v>
      </c>
      <c r="L63" s="1686">
        <v>30000</v>
      </c>
      <c r="M63" s="1686"/>
      <c r="N63" s="1686"/>
      <c r="O63" s="1686">
        <f t="shared" si="7"/>
        <v>30000</v>
      </c>
      <c r="P63" s="1686">
        <v>17000</v>
      </c>
      <c r="Q63" s="1686">
        <f t="shared" si="8"/>
        <v>500</v>
      </c>
      <c r="R63" s="1686"/>
      <c r="S63" s="1638">
        <f t="shared" si="9"/>
        <v>17500</v>
      </c>
      <c r="T63" s="1639">
        <f t="shared" si="10"/>
        <v>12500</v>
      </c>
      <c r="U63" s="1603">
        <v>22</v>
      </c>
    </row>
    <row r="64" spans="1:21" s="1718" customFormat="1" ht="7" x14ac:dyDescent="0.35">
      <c r="A64" s="1716"/>
      <c r="B64" s="1683">
        <v>42</v>
      </c>
      <c r="C64" s="1684" t="s">
        <v>7464</v>
      </c>
      <c r="D64" s="1684" t="s">
        <v>7518</v>
      </c>
      <c r="E64" s="1685">
        <v>45169</v>
      </c>
      <c r="F64" s="1683" t="s">
        <v>7515</v>
      </c>
      <c r="G64" s="1684">
        <v>2</v>
      </c>
      <c r="H64" s="1684">
        <v>5</v>
      </c>
      <c r="I64" s="1686">
        <f t="shared" si="6"/>
        <v>60</v>
      </c>
      <c r="J64" s="1686">
        <f t="shared" si="11"/>
        <v>3166.6666666666665</v>
      </c>
      <c r="K64" s="1686">
        <v>95000</v>
      </c>
      <c r="L64" s="1686">
        <v>190000</v>
      </c>
      <c r="M64" s="1686"/>
      <c r="N64" s="1686"/>
      <c r="O64" s="1686">
        <f t="shared" si="7"/>
        <v>190000</v>
      </c>
      <c r="P64" s="1686">
        <v>107666.66666666672</v>
      </c>
      <c r="Q64" s="1686">
        <f t="shared" si="8"/>
        <v>3166.6666666666665</v>
      </c>
      <c r="R64" s="1686"/>
      <c r="S64" s="1638">
        <f t="shared" si="9"/>
        <v>110833.33333333339</v>
      </c>
      <c r="T64" s="1639">
        <f t="shared" si="10"/>
        <v>79166.666666666613</v>
      </c>
      <c r="U64" s="1603">
        <v>22</v>
      </c>
    </row>
    <row r="65" spans="1:21" s="1718" customFormat="1" ht="7" x14ac:dyDescent="0.35">
      <c r="A65" s="1716"/>
      <c r="B65" s="1683">
        <v>43</v>
      </c>
      <c r="C65" s="1684" t="s">
        <v>7465</v>
      </c>
      <c r="D65" s="1684" t="s">
        <v>7518</v>
      </c>
      <c r="E65" s="1685">
        <v>45169</v>
      </c>
      <c r="F65" s="1683" t="s">
        <v>7515</v>
      </c>
      <c r="G65" s="1684">
        <v>2</v>
      </c>
      <c r="H65" s="1684">
        <v>5</v>
      </c>
      <c r="I65" s="1686">
        <f t="shared" si="6"/>
        <v>60</v>
      </c>
      <c r="J65" s="1686">
        <f t="shared" si="11"/>
        <v>2916.6666666666665</v>
      </c>
      <c r="K65" s="1686">
        <v>87500</v>
      </c>
      <c r="L65" s="1686">
        <v>175000</v>
      </c>
      <c r="M65" s="1686"/>
      <c r="N65" s="1686"/>
      <c r="O65" s="1686">
        <f t="shared" si="7"/>
        <v>175000</v>
      </c>
      <c r="P65" s="1686">
        <v>99166.666666666701</v>
      </c>
      <c r="Q65" s="1686">
        <f t="shared" si="8"/>
        <v>2916.6666666666665</v>
      </c>
      <c r="R65" s="1686"/>
      <c r="S65" s="1638">
        <f t="shared" si="9"/>
        <v>102083.33333333337</v>
      </c>
      <c r="T65" s="1639">
        <f t="shared" si="10"/>
        <v>72916.666666666628</v>
      </c>
      <c r="U65" s="1603">
        <v>22</v>
      </c>
    </row>
    <row r="66" spans="1:21" s="1718" customFormat="1" ht="7" x14ac:dyDescent="0.35">
      <c r="A66" s="1716"/>
      <c r="B66" s="1683">
        <v>44</v>
      </c>
      <c r="C66" s="1684" t="s">
        <v>7466</v>
      </c>
      <c r="D66" s="1684" t="s">
        <v>7518</v>
      </c>
      <c r="E66" s="1685">
        <v>45169</v>
      </c>
      <c r="F66" s="1683" t="s">
        <v>7515</v>
      </c>
      <c r="G66" s="1684">
        <v>2</v>
      </c>
      <c r="H66" s="1684">
        <v>5</v>
      </c>
      <c r="I66" s="1686">
        <f t="shared" si="6"/>
        <v>60</v>
      </c>
      <c r="J66" s="1686">
        <f t="shared" si="11"/>
        <v>483.33333333333331</v>
      </c>
      <c r="K66" s="1686">
        <v>14500</v>
      </c>
      <c r="L66" s="1686">
        <v>29000</v>
      </c>
      <c r="M66" s="1686"/>
      <c r="N66" s="1686"/>
      <c r="O66" s="1686">
        <f t="shared" si="7"/>
        <v>29000</v>
      </c>
      <c r="P66" s="1686">
        <v>16433.333333333339</v>
      </c>
      <c r="Q66" s="1686">
        <f t="shared" si="8"/>
        <v>483.33333333333331</v>
      </c>
      <c r="R66" s="1686"/>
      <c r="S66" s="1638">
        <f t="shared" si="9"/>
        <v>16916.666666666672</v>
      </c>
      <c r="T66" s="1639">
        <f t="shared" si="10"/>
        <v>12083.333333333328</v>
      </c>
      <c r="U66" s="1603">
        <v>22</v>
      </c>
    </row>
    <row r="67" spans="1:21" s="1718" customFormat="1" ht="7" x14ac:dyDescent="0.35">
      <c r="A67" s="1716"/>
      <c r="B67" s="1683">
        <v>45</v>
      </c>
      <c r="C67" s="1684" t="s">
        <v>7467</v>
      </c>
      <c r="D67" s="1684" t="s">
        <v>7518</v>
      </c>
      <c r="E67" s="1685">
        <v>45169</v>
      </c>
      <c r="F67" s="1683" t="s">
        <v>7515</v>
      </c>
      <c r="G67" s="1684">
        <v>4</v>
      </c>
      <c r="H67" s="1684">
        <v>5</v>
      </c>
      <c r="I67" s="1686">
        <f t="shared" si="6"/>
        <v>60</v>
      </c>
      <c r="J67" s="1686">
        <f t="shared" si="11"/>
        <v>400</v>
      </c>
      <c r="K67" s="1686">
        <v>6000</v>
      </c>
      <c r="L67" s="1686">
        <v>24000</v>
      </c>
      <c r="M67" s="1686"/>
      <c r="N67" s="1686"/>
      <c r="O67" s="1686">
        <f t="shared" si="7"/>
        <v>24000</v>
      </c>
      <c r="P67" s="1686">
        <v>13600</v>
      </c>
      <c r="Q67" s="1686">
        <f t="shared" si="8"/>
        <v>400</v>
      </c>
      <c r="R67" s="1686"/>
      <c r="S67" s="1638">
        <f t="shared" si="9"/>
        <v>14000</v>
      </c>
      <c r="T67" s="1639">
        <f t="shared" si="10"/>
        <v>10000</v>
      </c>
      <c r="U67" s="1603">
        <v>22</v>
      </c>
    </row>
    <row r="68" spans="1:21" s="1718" customFormat="1" ht="7" x14ac:dyDescent="0.35">
      <c r="A68" s="1716"/>
      <c r="B68" s="1683">
        <v>46</v>
      </c>
      <c r="C68" s="1684" t="s">
        <v>7468</v>
      </c>
      <c r="D68" s="1684" t="s">
        <v>7518</v>
      </c>
      <c r="E68" s="1685">
        <v>45169</v>
      </c>
      <c r="F68" s="1683" t="s">
        <v>7515</v>
      </c>
      <c r="G68" s="1684">
        <v>2</v>
      </c>
      <c r="H68" s="1684">
        <v>5</v>
      </c>
      <c r="I68" s="1686">
        <f t="shared" si="6"/>
        <v>60</v>
      </c>
      <c r="J68" s="1686">
        <f t="shared" si="11"/>
        <v>1333.3333333333333</v>
      </c>
      <c r="K68" s="1686">
        <v>40000</v>
      </c>
      <c r="L68" s="1686">
        <v>80000</v>
      </c>
      <c r="M68" s="1686"/>
      <c r="N68" s="1686"/>
      <c r="O68" s="1686">
        <f t="shared" si="7"/>
        <v>80000</v>
      </c>
      <c r="P68" s="1686">
        <v>45333.333333333343</v>
      </c>
      <c r="Q68" s="1686">
        <f t="shared" si="8"/>
        <v>1333.3333333333333</v>
      </c>
      <c r="R68" s="1686"/>
      <c r="S68" s="1638">
        <f t="shared" si="9"/>
        <v>46666.666666666679</v>
      </c>
      <c r="T68" s="1639">
        <f t="shared" si="10"/>
        <v>33333.333333333321</v>
      </c>
      <c r="U68" s="1603">
        <v>22</v>
      </c>
    </row>
    <row r="69" spans="1:21" s="1718" customFormat="1" ht="7" x14ac:dyDescent="0.35">
      <c r="A69" s="1716"/>
      <c r="B69" s="1683">
        <v>47</v>
      </c>
      <c r="C69" s="1684" t="s">
        <v>7469</v>
      </c>
      <c r="D69" s="1684" t="s">
        <v>7518</v>
      </c>
      <c r="E69" s="1685">
        <v>45169</v>
      </c>
      <c r="F69" s="1683" t="s">
        <v>7515</v>
      </c>
      <c r="G69" s="1684">
        <v>1</v>
      </c>
      <c r="H69" s="1684">
        <v>5</v>
      </c>
      <c r="I69" s="1686">
        <f t="shared" si="6"/>
        <v>60</v>
      </c>
      <c r="J69" s="1686">
        <f t="shared" si="11"/>
        <v>10000</v>
      </c>
      <c r="K69" s="1686">
        <v>600000</v>
      </c>
      <c r="L69" s="1686">
        <v>600000</v>
      </c>
      <c r="M69" s="1686"/>
      <c r="N69" s="1686"/>
      <c r="O69" s="1686">
        <f t="shared" si="7"/>
        <v>600000</v>
      </c>
      <c r="P69" s="1686">
        <v>340000</v>
      </c>
      <c r="Q69" s="1686">
        <f t="shared" si="8"/>
        <v>10000</v>
      </c>
      <c r="R69" s="1686"/>
      <c r="S69" s="1638">
        <f t="shared" si="9"/>
        <v>350000</v>
      </c>
      <c r="T69" s="1639">
        <f t="shared" si="10"/>
        <v>250000</v>
      </c>
      <c r="U69" s="1603">
        <v>22</v>
      </c>
    </row>
    <row r="70" spans="1:21" s="1718" customFormat="1" ht="7" x14ac:dyDescent="0.35">
      <c r="A70" s="1716"/>
      <c r="B70" s="1683">
        <v>48</v>
      </c>
      <c r="C70" s="1684" t="s">
        <v>7470</v>
      </c>
      <c r="D70" s="1684" t="s">
        <v>7518</v>
      </c>
      <c r="E70" s="1685">
        <v>45169</v>
      </c>
      <c r="F70" s="1683" t="s">
        <v>7515</v>
      </c>
      <c r="G70" s="1684">
        <v>1</v>
      </c>
      <c r="H70" s="1684">
        <v>5</v>
      </c>
      <c r="I70" s="1686">
        <f t="shared" si="6"/>
        <v>60</v>
      </c>
      <c r="J70" s="1686">
        <f t="shared" si="11"/>
        <v>10000</v>
      </c>
      <c r="K70" s="1686">
        <v>600000</v>
      </c>
      <c r="L70" s="1686">
        <v>600000</v>
      </c>
      <c r="M70" s="1686"/>
      <c r="N70" s="1686"/>
      <c r="O70" s="1686">
        <f t="shared" si="7"/>
        <v>600000</v>
      </c>
      <c r="P70" s="1686">
        <v>340000</v>
      </c>
      <c r="Q70" s="1686">
        <f t="shared" si="8"/>
        <v>10000</v>
      </c>
      <c r="R70" s="1686"/>
      <c r="S70" s="1638">
        <f t="shared" si="9"/>
        <v>350000</v>
      </c>
      <c r="T70" s="1639">
        <f t="shared" si="10"/>
        <v>250000</v>
      </c>
      <c r="U70" s="1603">
        <v>22</v>
      </c>
    </row>
    <row r="71" spans="1:21" s="1718" customFormat="1" ht="7" x14ac:dyDescent="0.35">
      <c r="A71" s="1716"/>
      <c r="B71" s="1683">
        <v>49</v>
      </c>
      <c r="C71" s="1684" t="s">
        <v>7471</v>
      </c>
      <c r="D71" s="1684" t="s">
        <v>7518</v>
      </c>
      <c r="E71" s="1685">
        <v>45169</v>
      </c>
      <c r="F71" s="1683" t="s">
        <v>7515</v>
      </c>
      <c r="G71" s="1684">
        <v>1</v>
      </c>
      <c r="H71" s="1684">
        <v>5</v>
      </c>
      <c r="I71" s="1686">
        <f t="shared" si="6"/>
        <v>60</v>
      </c>
      <c r="J71" s="1686">
        <f t="shared" si="11"/>
        <v>87500</v>
      </c>
      <c r="K71" s="1686">
        <v>5250000</v>
      </c>
      <c r="L71" s="1686">
        <v>5250000</v>
      </c>
      <c r="M71" s="1686"/>
      <c r="N71" s="1686"/>
      <c r="O71" s="1686">
        <f t="shared" si="7"/>
        <v>5250000</v>
      </c>
      <c r="P71" s="1686">
        <v>2975000</v>
      </c>
      <c r="Q71" s="1686">
        <f t="shared" si="8"/>
        <v>87500</v>
      </c>
      <c r="R71" s="1686"/>
      <c r="S71" s="1638">
        <f t="shared" si="9"/>
        <v>3062500</v>
      </c>
      <c r="T71" s="1639">
        <f t="shared" si="10"/>
        <v>2187500</v>
      </c>
      <c r="U71" s="1603">
        <v>22</v>
      </c>
    </row>
    <row r="72" spans="1:21" s="1718" customFormat="1" ht="7" x14ac:dyDescent="0.35">
      <c r="A72" s="1716"/>
      <c r="B72" s="1683">
        <v>50</v>
      </c>
      <c r="C72" s="1684" t="s">
        <v>7472</v>
      </c>
      <c r="D72" s="1684" t="s">
        <v>6648</v>
      </c>
      <c r="E72" s="1685">
        <v>45199</v>
      </c>
      <c r="F72" s="1683" t="s">
        <v>7515</v>
      </c>
      <c r="G72" s="1684">
        <v>1</v>
      </c>
      <c r="H72" s="1684">
        <v>5</v>
      </c>
      <c r="I72" s="1686">
        <f t="shared" si="6"/>
        <v>60</v>
      </c>
      <c r="J72" s="1686">
        <f t="shared" si="11"/>
        <v>1016.6666666666666</v>
      </c>
      <c r="K72" s="1686">
        <v>61000</v>
      </c>
      <c r="L72" s="1686">
        <v>61000</v>
      </c>
      <c r="M72" s="1686"/>
      <c r="N72" s="1686"/>
      <c r="O72" s="1686">
        <f t="shared" si="7"/>
        <v>61000</v>
      </c>
      <c r="P72" s="1686">
        <v>33550.000000000015</v>
      </c>
      <c r="Q72" s="1686">
        <f t="shared" si="8"/>
        <v>1016.6666666666666</v>
      </c>
      <c r="R72" s="1686"/>
      <c r="S72" s="1638">
        <f t="shared" si="9"/>
        <v>34566.666666666679</v>
      </c>
      <c r="T72" s="1639">
        <f t="shared" si="10"/>
        <v>26433.333333333321</v>
      </c>
      <c r="U72" s="1603">
        <v>22</v>
      </c>
    </row>
    <row r="73" spans="1:21" s="1718" customFormat="1" ht="7" x14ac:dyDescent="0.35">
      <c r="A73" s="1716"/>
      <c r="B73" s="1683">
        <v>51</v>
      </c>
      <c r="C73" s="1684" t="s">
        <v>7473</v>
      </c>
      <c r="D73" s="1684" t="s">
        <v>7518</v>
      </c>
      <c r="E73" s="1685">
        <v>45199</v>
      </c>
      <c r="F73" s="1683" t="s">
        <v>7515</v>
      </c>
      <c r="G73" s="1684">
        <v>1</v>
      </c>
      <c r="H73" s="1684">
        <v>5</v>
      </c>
      <c r="I73" s="1686">
        <f t="shared" si="6"/>
        <v>60</v>
      </c>
      <c r="J73" s="1686">
        <f t="shared" si="11"/>
        <v>750</v>
      </c>
      <c r="K73" s="1686">
        <v>45000</v>
      </c>
      <c r="L73" s="1686">
        <v>45000</v>
      </c>
      <c r="M73" s="1686"/>
      <c r="N73" s="1686"/>
      <c r="O73" s="1686">
        <f t="shared" si="7"/>
        <v>45000</v>
      </c>
      <c r="P73" s="1686">
        <v>24750</v>
      </c>
      <c r="Q73" s="1686">
        <f t="shared" si="8"/>
        <v>750</v>
      </c>
      <c r="R73" s="1686"/>
      <c r="S73" s="1638">
        <f t="shared" si="9"/>
        <v>25500</v>
      </c>
      <c r="T73" s="1639">
        <f t="shared" si="10"/>
        <v>19500</v>
      </c>
      <c r="U73" s="1603">
        <v>22</v>
      </c>
    </row>
    <row r="74" spans="1:21" s="1718" customFormat="1" ht="7" x14ac:dyDescent="0.35">
      <c r="A74" s="1716"/>
      <c r="B74" s="1683">
        <v>52</v>
      </c>
      <c r="C74" s="1684" t="s">
        <v>7474</v>
      </c>
      <c r="D74" s="1684" t="s">
        <v>7518</v>
      </c>
      <c r="E74" s="1685">
        <v>45199</v>
      </c>
      <c r="F74" s="1683" t="s">
        <v>7515</v>
      </c>
      <c r="G74" s="1684">
        <v>10</v>
      </c>
      <c r="H74" s="1684">
        <v>5</v>
      </c>
      <c r="I74" s="1686">
        <f t="shared" si="6"/>
        <v>60</v>
      </c>
      <c r="J74" s="1686">
        <f t="shared" si="11"/>
        <v>4416.666666666667</v>
      </c>
      <c r="K74" s="1686">
        <v>26500</v>
      </c>
      <c r="L74" s="1686">
        <v>265000</v>
      </c>
      <c r="M74" s="1686"/>
      <c r="N74" s="1686"/>
      <c r="O74" s="1686">
        <f t="shared" si="7"/>
        <v>265000</v>
      </c>
      <c r="P74" s="1686">
        <v>145750.00000000003</v>
      </c>
      <c r="Q74" s="1686">
        <f t="shared" si="8"/>
        <v>4416.666666666667</v>
      </c>
      <c r="R74" s="1686"/>
      <c r="S74" s="1638">
        <f t="shared" si="9"/>
        <v>150166.66666666669</v>
      </c>
      <c r="T74" s="1639">
        <f t="shared" si="10"/>
        <v>114833.33333333331</v>
      </c>
      <c r="U74" s="1603">
        <v>22</v>
      </c>
    </row>
    <row r="75" spans="1:21" s="1718" customFormat="1" ht="7" x14ac:dyDescent="0.35">
      <c r="A75" s="1716"/>
      <c r="B75" s="1683">
        <v>53</v>
      </c>
      <c r="C75" s="1684" t="s">
        <v>7475</v>
      </c>
      <c r="D75" s="1684" t="s">
        <v>7518</v>
      </c>
      <c r="E75" s="1685">
        <v>45199</v>
      </c>
      <c r="F75" s="1683" t="s">
        <v>7515</v>
      </c>
      <c r="G75" s="1684">
        <v>2</v>
      </c>
      <c r="H75" s="1684">
        <v>5</v>
      </c>
      <c r="I75" s="1686">
        <f t="shared" si="6"/>
        <v>60</v>
      </c>
      <c r="J75" s="1686">
        <f t="shared" si="11"/>
        <v>3666.6666666666665</v>
      </c>
      <c r="K75" s="1686">
        <v>110000</v>
      </c>
      <c r="L75" s="1686">
        <v>220000</v>
      </c>
      <c r="M75" s="1686"/>
      <c r="N75" s="1686"/>
      <c r="O75" s="1686">
        <f t="shared" si="7"/>
        <v>220000</v>
      </c>
      <c r="P75" s="1686">
        <v>121000.00000000006</v>
      </c>
      <c r="Q75" s="1686">
        <f t="shared" si="8"/>
        <v>3666.6666666666665</v>
      </c>
      <c r="R75" s="1686"/>
      <c r="S75" s="1638">
        <f t="shared" si="9"/>
        <v>124666.66666666673</v>
      </c>
      <c r="T75" s="1639">
        <f t="shared" si="10"/>
        <v>95333.33333333327</v>
      </c>
      <c r="U75" s="1603">
        <v>22</v>
      </c>
    </row>
    <row r="76" spans="1:21" s="1718" customFormat="1" ht="7" x14ac:dyDescent="0.35">
      <c r="A76" s="1716"/>
      <c r="B76" s="1683">
        <v>54</v>
      </c>
      <c r="C76" s="1684" t="s">
        <v>7476</v>
      </c>
      <c r="D76" s="1684" t="s">
        <v>7518</v>
      </c>
      <c r="E76" s="1685">
        <v>45199</v>
      </c>
      <c r="F76" s="1683" t="s">
        <v>7515</v>
      </c>
      <c r="G76" s="1684">
        <v>2</v>
      </c>
      <c r="H76" s="1684">
        <v>5</v>
      </c>
      <c r="I76" s="1686">
        <f t="shared" si="6"/>
        <v>60</v>
      </c>
      <c r="J76" s="1686">
        <f t="shared" si="11"/>
        <v>1333.3333333333333</v>
      </c>
      <c r="K76" s="1686">
        <v>40000</v>
      </c>
      <c r="L76" s="1686">
        <v>80000</v>
      </c>
      <c r="M76" s="1686"/>
      <c r="N76" s="1686"/>
      <c r="O76" s="1686">
        <f t="shared" si="7"/>
        <v>80000</v>
      </c>
      <c r="P76" s="1686">
        <v>44000.000000000015</v>
      </c>
      <c r="Q76" s="1686">
        <f t="shared" si="8"/>
        <v>1333.3333333333333</v>
      </c>
      <c r="R76" s="1686"/>
      <c r="S76" s="1638">
        <f t="shared" si="9"/>
        <v>45333.33333333335</v>
      </c>
      <c r="T76" s="1639">
        <f t="shared" si="10"/>
        <v>34666.66666666665</v>
      </c>
      <c r="U76" s="1603">
        <v>22</v>
      </c>
    </row>
    <row r="77" spans="1:21" s="1718" customFormat="1" ht="7" x14ac:dyDescent="0.35">
      <c r="A77" s="1716"/>
      <c r="B77" s="1683">
        <v>55</v>
      </c>
      <c r="C77" s="1684" t="s">
        <v>7477</v>
      </c>
      <c r="D77" s="1684" t="s">
        <v>7518</v>
      </c>
      <c r="E77" s="1685">
        <v>45199</v>
      </c>
      <c r="F77" s="1683" t="s">
        <v>7515</v>
      </c>
      <c r="G77" s="1684">
        <v>2</v>
      </c>
      <c r="H77" s="1684">
        <v>5</v>
      </c>
      <c r="I77" s="1686">
        <f t="shared" si="6"/>
        <v>60</v>
      </c>
      <c r="J77" s="1686">
        <f t="shared" si="11"/>
        <v>633.33333333333337</v>
      </c>
      <c r="K77" s="1686">
        <v>19000</v>
      </c>
      <c r="L77" s="1686">
        <v>38000</v>
      </c>
      <c r="M77" s="1686"/>
      <c r="N77" s="1686"/>
      <c r="O77" s="1686">
        <f t="shared" si="7"/>
        <v>38000</v>
      </c>
      <c r="P77" s="1686">
        <v>20900</v>
      </c>
      <c r="Q77" s="1686">
        <f t="shared" si="8"/>
        <v>633.33333333333337</v>
      </c>
      <c r="R77" s="1686"/>
      <c r="S77" s="1638">
        <f t="shared" si="9"/>
        <v>21533.333333333332</v>
      </c>
      <c r="T77" s="1639">
        <f t="shared" si="10"/>
        <v>16466.666666666668</v>
      </c>
      <c r="U77" s="1603">
        <v>22</v>
      </c>
    </row>
    <row r="78" spans="1:21" s="1718" customFormat="1" ht="7" x14ac:dyDescent="0.35">
      <c r="A78" s="1716"/>
      <c r="B78" s="1683">
        <v>56</v>
      </c>
      <c r="C78" s="1684" t="s">
        <v>7478</v>
      </c>
      <c r="D78" s="1684" t="s">
        <v>7518</v>
      </c>
      <c r="E78" s="1685">
        <v>45199</v>
      </c>
      <c r="F78" s="1683" t="s">
        <v>7515</v>
      </c>
      <c r="G78" s="1684">
        <v>5</v>
      </c>
      <c r="H78" s="1684">
        <v>5</v>
      </c>
      <c r="I78" s="1686">
        <f t="shared" si="6"/>
        <v>60</v>
      </c>
      <c r="J78" s="1686">
        <f t="shared" si="11"/>
        <v>583.33333333333337</v>
      </c>
      <c r="K78" s="1686">
        <v>7000</v>
      </c>
      <c r="L78" s="1686">
        <v>35000</v>
      </c>
      <c r="M78" s="1686"/>
      <c r="N78" s="1686"/>
      <c r="O78" s="1686">
        <f t="shared" si="7"/>
        <v>35000</v>
      </c>
      <c r="P78" s="1686">
        <v>19250.000000000004</v>
      </c>
      <c r="Q78" s="1686">
        <f t="shared" si="8"/>
        <v>583.33333333333337</v>
      </c>
      <c r="R78" s="1686"/>
      <c r="S78" s="1638">
        <f t="shared" si="9"/>
        <v>19833.333333333336</v>
      </c>
      <c r="T78" s="1639">
        <f t="shared" si="10"/>
        <v>15166.666666666664</v>
      </c>
      <c r="U78" s="1603">
        <v>22</v>
      </c>
    </row>
    <row r="79" spans="1:21" s="1718" customFormat="1" ht="7" x14ac:dyDescent="0.35">
      <c r="A79" s="1716"/>
      <c r="B79" s="1683">
        <v>57</v>
      </c>
      <c r="C79" s="1684" t="s">
        <v>7479</v>
      </c>
      <c r="D79" s="1684" t="s">
        <v>7518</v>
      </c>
      <c r="E79" s="1685">
        <v>45199</v>
      </c>
      <c r="F79" s="1683" t="s">
        <v>7515</v>
      </c>
      <c r="G79" s="1684">
        <v>1</v>
      </c>
      <c r="H79" s="1684">
        <v>5</v>
      </c>
      <c r="I79" s="1686">
        <f t="shared" si="6"/>
        <v>60</v>
      </c>
      <c r="J79" s="1686">
        <f t="shared" si="11"/>
        <v>616.66666666666663</v>
      </c>
      <c r="K79" s="1686">
        <v>37000</v>
      </c>
      <c r="L79" s="1686">
        <v>37000</v>
      </c>
      <c r="M79" s="1686"/>
      <c r="N79" s="1686"/>
      <c r="O79" s="1686">
        <f t="shared" si="7"/>
        <v>37000</v>
      </c>
      <c r="P79" s="1686">
        <v>20350</v>
      </c>
      <c r="Q79" s="1686">
        <f t="shared" si="8"/>
        <v>616.66666666666663</v>
      </c>
      <c r="R79" s="1686"/>
      <c r="S79" s="1638">
        <f t="shared" si="9"/>
        <v>20966.666666666668</v>
      </c>
      <c r="T79" s="1639">
        <f t="shared" si="10"/>
        <v>16033.333333333332</v>
      </c>
      <c r="U79" s="1603">
        <v>22</v>
      </c>
    </row>
    <row r="80" spans="1:21" s="1718" customFormat="1" ht="7" x14ac:dyDescent="0.35">
      <c r="A80" s="1716"/>
      <c r="B80" s="1683">
        <v>58</v>
      </c>
      <c r="C80" s="1684" t="s">
        <v>7480</v>
      </c>
      <c r="D80" s="1684" t="s">
        <v>7518</v>
      </c>
      <c r="E80" s="1685">
        <v>45199</v>
      </c>
      <c r="F80" s="1683" t="s">
        <v>7515</v>
      </c>
      <c r="G80" s="1684">
        <v>1</v>
      </c>
      <c r="H80" s="1684">
        <v>5</v>
      </c>
      <c r="I80" s="1686">
        <f t="shared" si="6"/>
        <v>60</v>
      </c>
      <c r="J80" s="1686">
        <f t="shared" si="11"/>
        <v>683.33333333333337</v>
      </c>
      <c r="K80" s="1686">
        <v>41000</v>
      </c>
      <c r="L80" s="1686">
        <v>41000</v>
      </c>
      <c r="M80" s="1686"/>
      <c r="N80" s="1686"/>
      <c r="O80" s="1686">
        <f t="shared" si="7"/>
        <v>41000</v>
      </c>
      <c r="P80" s="1686">
        <v>22549.999999999996</v>
      </c>
      <c r="Q80" s="1686">
        <f t="shared" si="8"/>
        <v>683.33333333333337</v>
      </c>
      <c r="R80" s="1686"/>
      <c r="S80" s="1638">
        <f t="shared" si="9"/>
        <v>23233.333333333328</v>
      </c>
      <c r="T80" s="1639">
        <f t="shared" si="10"/>
        <v>17766.666666666672</v>
      </c>
      <c r="U80" s="1603">
        <v>22</v>
      </c>
    </row>
    <row r="81" spans="1:21" s="1718" customFormat="1" ht="7" x14ac:dyDescent="0.35">
      <c r="A81" s="1716"/>
      <c r="B81" s="1683">
        <v>59</v>
      </c>
      <c r="C81" s="1684" t="s">
        <v>7481</v>
      </c>
      <c r="D81" s="1684" t="s">
        <v>7518</v>
      </c>
      <c r="E81" s="1685">
        <v>45199</v>
      </c>
      <c r="F81" s="1683" t="s">
        <v>7515</v>
      </c>
      <c r="G81" s="1684">
        <v>1</v>
      </c>
      <c r="H81" s="1684">
        <v>5</v>
      </c>
      <c r="I81" s="1686">
        <f t="shared" si="6"/>
        <v>60</v>
      </c>
      <c r="J81" s="1686">
        <f t="shared" si="11"/>
        <v>166.66666666666666</v>
      </c>
      <c r="K81" s="1686">
        <v>10000</v>
      </c>
      <c r="L81" s="1686">
        <v>10000</v>
      </c>
      <c r="M81" s="1686"/>
      <c r="N81" s="1686"/>
      <c r="O81" s="1686">
        <f t="shared" si="7"/>
        <v>10000</v>
      </c>
      <c r="P81" s="1686">
        <v>5500.0000000000009</v>
      </c>
      <c r="Q81" s="1686">
        <f t="shared" si="8"/>
        <v>166.66666666666666</v>
      </c>
      <c r="R81" s="1686"/>
      <c r="S81" s="1638">
        <f t="shared" si="9"/>
        <v>5666.6666666666679</v>
      </c>
      <c r="T81" s="1639">
        <f t="shared" si="10"/>
        <v>4333.3333333333321</v>
      </c>
      <c r="U81" s="1603">
        <v>22</v>
      </c>
    </row>
    <row r="82" spans="1:21" s="1718" customFormat="1" ht="7" x14ac:dyDescent="0.35">
      <c r="A82" s="1716"/>
      <c r="B82" s="1683">
        <v>60</v>
      </c>
      <c r="C82" s="1684" t="s">
        <v>7482</v>
      </c>
      <c r="D82" s="1684" t="s">
        <v>7518</v>
      </c>
      <c r="E82" s="1685">
        <v>45199</v>
      </c>
      <c r="F82" s="1683" t="s">
        <v>7515</v>
      </c>
      <c r="G82" s="1684">
        <v>1</v>
      </c>
      <c r="H82" s="1684">
        <v>5</v>
      </c>
      <c r="I82" s="1686">
        <f t="shared" si="6"/>
        <v>60</v>
      </c>
      <c r="J82" s="1686">
        <f t="shared" si="11"/>
        <v>550</v>
      </c>
      <c r="K82" s="1686">
        <v>33000</v>
      </c>
      <c r="L82" s="1686">
        <v>33000</v>
      </c>
      <c r="M82" s="1686"/>
      <c r="N82" s="1686"/>
      <c r="O82" s="1686">
        <f t="shared" si="7"/>
        <v>33000</v>
      </c>
      <c r="P82" s="1686">
        <v>18150</v>
      </c>
      <c r="Q82" s="1686">
        <f t="shared" si="8"/>
        <v>550</v>
      </c>
      <c r="R82" s="1686"/>
      <c r="S82" s="1638">
        <f t="shared" si="9"/>
        <v>18700</v>
      </c>
      <c r="T82" s="1639">
        <f t="shared" si="10"/>
        <v>14300</v>
      </c>
      <c r="U82" s="1603">
        <v>22</v>
      </c>
    </row>
    <row r="83" spans="1:21" s="1718" customFormat="1" ht="7" x14ac:dyDescent="0.35">
      <c r="A83" s="1716"/>
      <c r="B83" s="1683">
        <v>61</v>
      </c>
      <c r="C83" s="1684" t="s">
        <v>7483</v>
      </c>
      <c r="D83" s="1684" t="s">
        <v>7518</v>
      </c>
      <c r="E83" s="1685">
        <v>45199</v>
      </c>
      <c r="F83" s="1683" t="s">
        <v>7515</v>
      </c>
      <c r="G83" s="1684">
        <v>10</v>
      </c>
      <c r="H83" s="1684">
        <v>5</v>
      </c>
      <c r="I83" s="1686">
        <f t="shared" si="6"/>
        <v>60</v>
      </c>
      <c r="J83" s="1686">
        <f t="shared" si="11"/>
        <v>25833.333333333332</v>
      </c>
      <c r="K83" s="1686">
        <v>155000</v>
      </c>
      <c r="L83" s="1686">
        <v>1550000</v>
      </c>
      <c r="M83" s="1686"/>
      <c r="N83" s="1686"/>
      <c r="O83" s="1686">
        <f t="shared" si="7"/>
        <v>1550000</v>
      </c>
      <c r="P83" s="1686">
        <v>852500.00000000035</v>
      </c>
      <c r="Q83" s="1686">
        <f t="shared" si="8"/>
        <v>25833.333333333332</v>
      </c>
      <c r="R83" s="1686"/>
      <c r="S83" s="1638">
        <f t="shared" si="9"/>
        <v>878333.33333333372</v>
      </c>
      <c r="T83" s="1639">
        <f t="shared" si="10"/>
        <v>671666.66666666628</v>
      </c>
      <c r="U83" s="1603">
        <v>22</v>
      </c>
    </row>
    <row r="84" spans="1:21" s="1718" customFormat="1" ht="7" x14ac:dyDescent="0.35">
      <c r="A84" s="1716"/>
      <c r="B84" s="1683">
        <v>62</v>
      </c>
      <c r="C84" s="1684" t="s">
        <v>7484</v>
      </c>
      <c r="D84" s="1684" t="s">
        <v>7518</v>
      </c>
      <c r="E84" s="1685">
        <v>45199</v>
      </c>
      <c r="F84" s="1683" t="s">
        <v>7515</v>
      </c>
      <c r="G84" s="1684">
        <v>7</v>
      </c>
      <c r="H84" s="1684">
        <v>5</v>
      </c>
      <c r="I84" s="1686">
        <f t="shared" si="6"/>
        <v>60</v>
      </c>
      <c r="J84" s="1686">
        <f t="shared" si="11"/>
        <v>758.33333333333337</v>
      </c>
      <c r="K84" s="1686">
        <v>6500</v>
      </c>
      <c r="L84" s="1686">
        <v>45500</v>
      </c>
      <c r="M84" s="1686"/>
      <c r="N84" s="1686"/>
      <c r="O84" s="1686">
        <f t="shared" si="7"/>
        <v>45500</v>
      </c>
      <c r="P84" s="1686">
        <v>25024.999999999996</v>
      </c>
      <c r="Q84" s="1686">
        <f t="shared" si="8"/>
        <v>758.33333333333337</v>
      </c>
      <c r="R84" s="1686"/>
      <c r="S84" s="1638">
        <f t="shared" si="9"/>
        <v>25783.333333333328</v>
      </c>
      <c r="T84" s="1639">
        <f t="shared" si="10"/>
        <v>19716.666666666672</v>
      </c>
      <c r="U84" s="1603">
        <v>22</v>
      </c>
    </row>
    <row r="85" spans="1:21" s="1718" customFormat="1" ht="7" x14ac:dyDescent="0.35">
      <c r="A85" s="1716"/>
      <c r="B85" s="1683">
        <v>63</v>
      </c>
      <c r="C85" s="1684" t="s">
        <v>7485</v>
      </c>
      <c r="D85" s="1684" t="s">
        <v>7518</v>
      </c>
      <c r="E85" s="1685">
        <v>45199</v>
      </c>
      <c r="F85" s="1683" t="s">
        <v>7515</v>
      </c>
      <c r="G85" s="1684">
        <v>3</v>
      </c>
      <c r="H85" s="1684">
        <v>5</v>
      </c>
      <c r="I85" s="1686">
        <f t="shared" si="6"/>
        <v>60</v>
      </c>
      <c r="J85" s="1686">
        <f t="shared" si="11"/>
        <v>1750</v>
      </c>
      <c r="K85" s="1686">
        <v>35000</v>
      </c>
      <c r="L85" s="1686">
        <v>105000</v>
      </c>
      <c r="M85" s="1686"/>
      <c r="N85" s="1686"/>
      <c r="O85" s="1686">
        <f t="shared" si="7"/>
        <v>105000</v>
      </c>
      <c r="P85" s="1686">
        <v>57750</v>
      </c>
      <c r="Q85" s="1686">
        <f t="shared" si="8"/>
        <v>1750</v>
      </c>
      <c r="R85" s="1686"/>
      <c r="S85" s="1638">
        <f t="shared" si="9"/>
        <v>59500</v>
      </c>
      <c r="T85" s="1639">
        <f t="shared" si="10"/>
        <v>45500</v>
      </c>
      <c r="U85" s="1603">
        <v>22</v>
      </c>
    </row>
    <row r="86" spans="1:21" s="1718" customFormat="1" ht="7" x14ac:dyDescent="0.35">
      <c r="A86" s="1716"/>
      <c r="B86" s="1683">
        <v>64</v>
      </c>
      <c r="C86" s="1684" t="s">
        <v>7486</v>
      </c>
      <c r="D86" s="1684" t="s">
        <v>7518</v>
      </c>
      <c r="E86" s="1685">
        <v>45199</v>
      </c>
      <c r="F86" s="1683" t="s">
        <v>7515</v>
      </c>
      <c r="G86" s="1684">
        <v>2</v>
      </c>
      <c r="H86" s="1684">
        <v>5</v>
      </c>
      <c r="I86" s="1686">
        <f t="shared" si="6"/>
        <v>60</v>
      </c>
      <c r="J86" s="1686">
        <f t="shared" si="11"/>
        <v>450</v>
      </c>
      <c r="K86" s="1686">
        <v>13500</v>
      </c>
      <c r="L86" s="1686">
        <v>27000</v>
      </c>
      <c r="M86" s="1686"/>
      <c r="N86" s="1686"/>
      <c r="O86" s="1686">
        <f t="shared" si="7"/>
        <v>27000</v>
      </c>
      <c r="P86" s="1686">
        <v>14850</v>
      </c>
      <c r="Q86" s="1686">
        <f t="shared" si="8"/>
        <v>450</v>
      </c>
      <c r="R86" s="1686"/>
      <c r="S86" s="1638">
        <f t="shared" si="9"/>
        <v>15300</v>
      </c>
      <c r="T86" s="1639">
        <f t="shared" si="10"/>
        <v>11700</v>
      </c>
      <c r="U86" s="1603">
        <v>22</v>
      </c>
    </row>
    <row r="87" spans="1:21" s="1718" customFormat="1" ht="7" x14ac:dyDescent="0.35">
      <c r="A87" s="1716"/>
      <c r="B87" s="1683">
        <v>65</v>
      </c>
      <c r="C87" s="1684" t="s">
        <v>7487</v>
      </c>
      <c r="D87" s="1684" t="s">
        <v>7518</v>
      </c>
      <c r="E87" s="1685">
        <v>45199</v>
      </c>
      <c r="F87" s="1683" t="s">
        <v>7515</v>
      </c>
      <c r="G87" s="1684">
        <v>2</v>
      </c>
      <c r="H87" s="1684">
        <v>5</v>
      </c>
      <c r="I87" s="1686">
        <f t="shared" ref="I87:I121" si="12">12*H87</f>
        <v>60</v>
      </c>
      <c r="J87" s="1686">
        <f t="shared" si="11"/>
        <v>266.66666666666669</v>
      </c>
      <c r="K87" s="1686">
        <v>8000</v>
      </c>
      <c r="L87" s="1686">
        <v>16000</v>
      </c>
      <c r="M87" s="1686"/>
      <c r="N87" s="1686"/>
      <c r="O87" s="1686">
        <f t="shared" si="7"/>
        <v>16000</v>
      </c>
      <c r="P87" s="1686">
        <v>8800.0000000000018</v>
      </c>
      <c r="Q87" s="1686">
        <f t="shared" si="8"/>
        <v>266.66666666666669</v>
      </c>
      <c r="R87" s="1686"/>
      <c r="S87" s="1638">
        <f t="shared" si="9"/>
        <v>9066.6666666666679</v>
      </c>
      <c r="T87" s="1639">
        <f t="shared" si="10"/>
        <v>6933.3333333333321</v>
      </c>
      <c r="U87" s="1603">
        <v>22</v>
      </c>
    </row>
    <row r="88" spans="1:21" s="1718" customFormat="1" ht="7" x14ac:dyDescent="0.35">
      <c r="A88" s="1716"/>
      <c r="B88" s="1683">
        <v>66</v>
      </c>
      <c r="C88" s="1684" t="s">
        <v>7488</v>
      </c>
      <c r="D88" s="1684" t="s">
        <v>7518</v>
      </c>
      <c r="E88" s="1685">
        <v>45199</v>
      </c>
      <c r="F88" s="1683" t="s">
        <v>7515</v>
      </c>
      <c r="G88" s="1684">
        <v>2</v>
      </c>
      <c r="H88" s="1684">
        <v>5</v>
      </c>
      <c r="I88" s="1686">
        <f t="shared" si="12"/>
        <v>60</v>
      </c>
      <c r="J88" s="1686">
        <f t="shared" ref="J88:J125" si="13">K88*G88/I88</f>
        <v>22083.333333333332</v>
      </c>
      <c r="K88" s="1686">
        <v>662500</v>
      </c>
      <c r="L88" s="1686">
        <v>1325000</v>
      </c>
      <c r="M88" s="1686"/>
      <c r="N88" s="1686"/>
      <c r="O88" s="1686">
        <f t="shared" si="7"/>
        <v>1325000</v>
      </c>
      <c r="P88" s="1686">
        <v>728750.00000000023</v>
      </c>
      <c r="Q88" s="1686">
        <f t="shared" si="8"/>
        <v>22083.333333333332</v>
      </c>
      <c r="R88" s="1686"/>
      <c r="S88" s="1638">
        <f t="shared" si="9"/>
        <v>750833.3333333336</v>
      </c>
      <c r="T88" s="1639">
        <f t="shared" si="10"/>
        <v>574166.6666666664</v>
      </c>
      <c r="U88" s="1603">
        <v>22</v>
      </c>
    </row>
    <row r="89" spans="1:21" s="1718" customFormat="1" ht="7" x14ac:dyDescent="0.35">
      <c r="A89" s="1716"/>
      <c r="B89" s="1683">
        <v>67</v>
      </c>
      <c r="C89" s="1684" t="s">
        <v>7489</v>
      </c>
      <c r="D89" s="1684" t="s">
        <v>7518</v>
      </c>
      <c r="E89" s="1685">
        <v>45199</v>
      </c>
      <c r="F89" s="1683" t="s">
        <v>7515</v>
      </c>
      <c r="G89" s="1684">
        <v>1</v>
      </c>
      <c r="H89" s="1684">
        <v>5</v>
      </c>
      <c r="I89" s="1686">
        <f t="shared" si="12"/>
        <v>60</v>
      </c>
      <c r="J89" s="1686">
        <f t="shared" si="13"/>
        <v>25000</v>
      </c>
      <c r="K89" s="1686">
        <v>1500000</v>
      </c>
      <c r="L89" s="1686">
        <v>1500000</v>
      </c>
      <c r="M89" s="1686"/>
      <c r="N89" s="1686"/>
      <c r="O89" s="1686">
        <f t="shared" si="7"/>
        <v>1500000</v>
      </c>
      <c r="P89" s="1686">
        <v>825000</v>
      </c>
      <c r="Q89" s="1686">
        <f t="shared" si="8"/>
        <v>25000</v>
      </c>
      <c r="R89" s="1686"/>
      <c r="S89" s="1638">
        <f t="shared" si="9"/>
        <v>850000</v>
      </c>
      <c r="T89" s="1639">
        <f t="shared" si="10"/>
        <v>650000</v>
      </c>
      <c r="U89" s="1603">
        <v>22</v>
      </c>
    </row>
    <row r="90" spans="1:21" s="1718" customFormat="1" ht="7" x14ac:dyDescent="0.35">
      <c r="A90" s="1716"/>
      <c r="B90" s="1683">
        <v>68</v>
      </c>
      <c r="C90" s="1684" t="s">
        <v>7490</v>
      </c>
      <c r="D90" s="1684" t="s">
        <v>7518</v>
      </c>
      <c r="E90" s="1685">
        <v>45199</v>
      </c>
      <c r="F90" s="1683" t="s">
        <v>7515</v>
      </c>
      <c r="G90" s="1684">
        <v>1</v>
      </c>
      <c r="H90" s="1684">
        <v>5</v>
      </c>
      <c r="I90" s="1686">
        <f t="shared" si="12"/>
        <v>60</v>
      </c>
      <c r="J90" s="1686">
        <f t="shared" si="13"/>
        <v>1175</v>
      </c>
      <c r="K90" s="1686">
        <v>70500</v>
      </c>
      <c r="L90" s="1686">
        <v>70500</v>
      </c>
      <c r="M90" s="1686"/>
      <c r="N90" s="1686"/>
      <c r="O90" s="1686">
        <f t="shared" si="7"/>
        <v>70500</v>
      </c>
      <c r="P90" s="1686">
        <v>38775</v>
      </c>
      <c r="Q90" s="1686">
        <f t="shared" si="8"/>
        <v>1175</v>
      </c>
      <c r="R90" s="1686"/>
      <c r="S90" s="1638">
        <f t="shared" si="9"/>
        <v>39950</v>
      </c>
      <c r="T90" s="1639">
        <f t="shared" si="10"/>
        <v>30550</v>
      </c>
      <c r="U90" s="1603">
        <v>22</v>
      </c>
    </row>
    <row r="91" spans="1:21" s="1718" customFormat="1" ht="7" x14ac:dyDescent="0.35">
      <c r="A91" s="1716"/>
      <c r="B91" s="1683">
        <v>69</v>
      </c>
      <c r="C91" s="1684" t="s">
        <v>7491</v>
      </c>
      <c r="D91" s="1684" t="s">
        <v>7518</v>
      </c>
      <c r="E91" s="1685">
        <v>45199</v>
      </c>
      <c r="F91" s="1683" t="s">
        <v>7515</v>
      </c>
      <c r="G91" s="1684">
        <v>1</v>
      </c>
      <c r="H91" s="1684">
        <v>5</v>
      </c>
      <c r="I91" s="1686">
        <f t="shared" si="12"/>
        <v>60</v>
      </c>
      <c r="J91" s="1686">
        <f t="shared" si="13"/>
        <v>750</v>
      </c>
      <c r="K91" s="1686">
        <v>45000</v>
      </c>
      <c r="L91" s="1686">
        <v>45000</v>
      </c>
      <c r="M91" s="1686"/>
      <c r="N91" s="1686"/>
      <c r="O91" s="1686">
        <f t="shared" si="7"/>
        <v>45000</v>
      </c>
      <c r="P91" s="1686">
        <v>24750</v>
      </c>
      <c r="Q91" s="1686">
        <f t="shared" si="8"/>
        <v>750</v>
      </c>
      <c r="R91" s="1686"/>
      <c r="S91" s="1638">
        <f t="shared" si="9"/>
        <v>25500</v>
      </c>
      <c r="T91" s="1639">
        <f t="shared" si="10"/>
        <v>19500</v>
      </c>
      <c r="U91" s="1603">
        <v>22</v>
      </c>
    </row>
    <row r="92" spans="1:21" s="1718" customFormat="1" ht="7" x14ac:dyDescent="0.35">
      <c r="A92" s="1716"/>
      <c r="B92" s="1683">
        <v>70</v>
      </c>
      <c r="C92" s="1684" t="s">
        <v>7492</v>
      </c>
      <c r="D92" s="1684" t="s">
        <v>7518</v>
      </c>
      <c r="E92" s="1685">
        <v>45199</v>
      </c>
      <c r="F92" s="1683" t="s">
        <v>7515</v>
      </c>
      <c r="G92" s="1684">
        <v>1</v>
      </c>
      <c r="H92" s="1684">
        <v>5</v>
      </c>
      <c r="I92" s="1686">
        <f t="shared" si="12"/>
        <v>60</v>
      </c>
      <c r="J92" s="1686">
        <f t="shared" si="13"/>
        <v>766.66666666666663</v>
      </c>
      <c r="K92" s="1686">
        <v>46000</v>
      </c>
      <c r="L92" s="1686">
        <v>46000</v>
      </c>
      <c r="M92" s="1686"/>
      <c r="N92" s="1686"/>
      <c r="O92" s="1686">
        <f t="shared" si="7"/>
        <v>46000</v>
      </c>
      <c r="P92" s="1686">
        <v>25300.000000000004</v>
      </c>
      <c r="Q92" s="1686">
        <f t="shared" si="8"/>
        <v>766.66666666666663</v>
      </c>
      <c r="R92" s="1686"/>
      <c r="S92" s="1638">
        <f t="shared" si="9"/>
        <v>26066.666666666672</v>
      </c>
      <c r="T92" s="1639">
        <f t="shared" si="10"/>
        <v>19933.333333333328</v>
      </c>
      <c r="U92" s="1603">
        <v>22</v>
      </c>
    </row>
    <row r="93" spans="1:21" s="1718" customFormat="1" ht="7" x14ac:dyDescent="0.35">
      <c r="A93" s="1716"/>
      <c r="B93" s="1683">
        <v>71</v>
      </c>
      <c r="C93" s="1684" t="s">
        <v>7493</v>
      </c>
      <c r="D93" s="1684" t="s">
        <v>7518</v>
      </c>
      <c r="E93" s="1685">
        <v>45199</v>
      </c>
      <c r="F93" s="1683" t="s">
        <v>7515</v>
      </c>
      <c r="G93" s="1684">
        <v>1</v>
      </c>
      <c r="H93" s="1684">
        <v>5</v>
      </c>
      <c r="I93" s="1686">
        <f t="shared" si="12"/>
        <v>60</v>
      </c>
      <c r="J93" s="1686">
        <f t="shared" si="13"/>
        <v>11500</v>
      </c>
      <c r="K93" s="1686">
        <v>690000</v>
      </c>
      <c r="L93" s="1686">
        <v>690000</v>
      </c>
      <c r="M93" s="1686"/>
      <c r="N93" s="1686"/>
      <c r="O93" s="1686">
        <f t="shared" si="7"/>
        <v>690000</v>
      </c>
      <c r="P93" s="1686">
        <v>379500</v>
      </c>
      <c r="Q93" s="1686">
        <f t="shared" si="8"/>
        <v>11500</v>
      </c>
      <c r="R93" s="1686"/>
      <c r="S93" s="1638">
        <f t="shared" si="9"/>
        <v>391000</v>
      </c>
      <c r="T93" s="1639">
        <f t="shared" si="10"/>
        <v>299000</v>
      </c>
      <c r="U93" s="1603">
        <v>22</v>
      </c>
    </row>
    <row r="94" spans="1:21" s="1718" customFormat="1" ht="7" x14ac:dyDescent="0.35">
      <c r="A94" s="1716"/>
      <c r="B94" s="1683">
        <v>72</v>
      </c>
      <c r="C94" s="1684" t="s">
        <v>7494</v>
      </c>
      <c r="D94" s="1684" t="s">
        <v>7518</v>
      </c>
      <c r="E94" s="1685">
        <v>45199</v>
      </c>
      <c r="F94" s="1683" t="s">
        <v>7515</v>
      </c>
      <c r="G94" s="1684">
        <v>1</v>
      </c>
      <c r="H94" s="1684">
        <v>5</v>
      </c>
      <c r="I94" s="1686">
        <f t="shared" si="12"/>
        <v>60</v>
      </c>
      <c r="J94" s="1686">
        <f t="shared" si="13"/>
        <v>400</v>
      </c>
      <c r="K94" s="1686">
        <v>24000</v>
      </c>
      <c r="L94" s="1686">
        <v>24000</v>
      </c>
      <c r="M94" s="1686"/>
      <c r="N94" s="1686"/>
      <c r="O94" s="1686">
        <f t="shared" si="7"/>
        <v>24000</v>
      </c>
      <c r="P94" s="1686">
        <v>13200</v>
      </c>
      <c r="Q94" s="1686">
        <f t="shared" si="8"/>
        <v>400</v>
      </c>
      <c r="R94" s="1686"/>
      <c r="S94" s="1638">
        <f t="shared" si="9"/>
        <v>13600</v>
      </c>
      <c r="T94" s="1639">
        <f t="shared" si="10"/>
        <v>10400</v>
      </c>
      <c r="U94" s="1603">
        <v>22</v>
      </c>
    </row>
    <row r="95" spans="1:21" s="1718" customFormat="1" ht="7" x14ac:dyDescent="0.35">
      <c r="A95" s="1716"/>
      <c r="B95" s="1683">
        <v>73</v>
      </c>
      <c r="C95" s="1684" t="s">
        <v>7495</v>
      </c>
      <c r="D95" s="1684" t="s">
        <v>7518</v>
      </c>
      <c r="E95" s="1685">
        <v>45199</v>
      </c>
      <c r="F95" s="1683" t="s">
        <v>7515</v>
      </c>
      <c r="G95" s="1684">
        <v>1</v>
      </c>
      <c r="H95" s="1684">
        <v>5</v>
      </c>
      <c r="I95" s="1686">
        <f t="shared" si="12"/>
        <v>60</v>
      </c>
      <c r="J95" s="1686">
        <f t="shared" si="13"/>
        <v>5766.666666666667</v>
      </c>
      <c r="K95" s="1686">
        <v>346000</v>
      </c>
      <c r="L95" s="1686">
        <v>346000</v>
      </c>
      <c r="M95" s="1686"/>
      <c r="N95" s="1686"/>
      <c r="O95" s="1686">
        <f t="shared" si="7"/>
        <v>346000</v>
      </c>
      <c r="P95" s="1686">
        <v>190299.99999999991</v>
      </c>
      <c r="Q95" s="1686">
        <f t="shared" si="8"/>
        <v>5766.666666666667</v>
      </c>
      <c r="R95" s="1686"/>
      <c r="S95" s="1638">
        <f t="shared" si="9"/>
        <v>196066.66666666657</v>
      </c>
      <c r="T95" s="1639">
        <f t="shared" si="10"/>
        <v>149933.33333333343</v>
      </c>
      <c r="U95" s="1603">
        <v>22</v>
      </c>
    </row>
    <row r="96" spans="1:21" s="1718" customFormat="1" ht="7" x14ac:dyDescent="0.35">
      <c r="A96" s="1716"/>
      <c r="B96" s="1683">
        <v>74</v>
      </c>
      <c r="C96" s="1684" t="s">
        <v>7496</v>
      </c>
      <c r="D96" s="1684" t="s">
        <v>7518</v>
      </c>
      <c r="E96" s="1685">
        <v>45199</v>
      </c>
      <c r="F96" s="1683" t="s">
        <v>7515</v>
      </c>
      <c r="G96" s="1684">
        <v>2</v>
      </c>
      <c r="H96" s="1684">
        <v>5</v>
      </c>
      <c r="I96" s="1686">
        <f t="shared" si="12"/>
        <v>60</v>
      </c>
      <c r="J96" s="1686">
        <f t="shared" si="13"/>
        <v>3333.3333333333335</v>
      </c>
      <c r="K96" s="1686">
        <v>100000</v>
      </c>
      <c r="L96" s="1686">
        <v>200000</v>
      </c>
      <c r="M96" s="1686"/>
      <c r="N96" s="1686"/>
      <c r="O96" s="1686">
        <f t="shared" si="7"/>
        <v>200000</v>
      </c>
      <c r="P96" s="1686">
        <v>109999.99999999996</v>
      </c>
      <c r="Q96" s="1686">
        <f t="shared" si="8"/>
        <v>3333.3333333333335</v>
      </c>
      <c r="R96" s="1686"/>
      <c r="S96" s="1638">
        <f t="shared" si="9"/>
        <v>113333.33333333328</v>
      </c>
      <c r="T96" s="1639">
        <f t="shared" si="10"/>
        <v>86666.666666666715</v>
      </c>
      <c r="U96" s="1603">
        <v>22</v>
      </c>
    </row>
    <row r="97" spans="1:21" s="1718" customFormat="1" ht="7" x14ac:dyDescent="0.35">
      <c r="A97" s="1716"/>
      <c r="B97" s="1683">
        <v>75</v>
      </c>
      <c r="C97" s="1684" t="s">
        <v>7497</v>
      </c>
      <c r="D97" s="1684" t="s">
        <v>7518</v>
      </c>
      <c r="E97" s="1685">
        <v>45199</v>
      </c>
      <c r="F97" s="1683" t="s">
        <v>7515</v>
      </c>
      <c r="G97" s="1684">
        <v>2</v>
      </c>
      <c r="H97" s="1684">
        <v>5</v>
      </c>
      <c r="I97" s="1686">
        <f t="shared" si="12"/>
        <v>60</v>
      </c>
      <c r="J97" s="1686">
        <f t="shared" si="13"/>
        <v>400</v>
      </c>
      <c r="K97" s="1686">
        <v>12000</v>
      </c>
      <c r="L97" s="1686">
        <v>24000</v>
      </c>
      <c r="M97" s="1686"/>
      <c r="N97" s="1686"/>
      <c r="O97" s="1686">
        <f t="shared" si="7"/>
        <v>24000</v>
      </c>
      <c r="P97" s="1686">
        <v>13200</v>
      </c>
      <c r="Q97" s="1686">
        <f t="shared" si="8"/>
        <v>400</v>
      </c>
      <c r="R97" s="1686"/>
      <c r="S97" s="1638">
        <f t="shared" si="9"/>
        <v>13600</v>
      </c>
      <c r="T97" s="1639">
        <f t="shared" si="10"/>
        <v>10400</v>
      </c>
      <c r="U97" s="1603">
        <v>22</v>
      </c>
    </row>
    <row r="98" spans="1:21" s="1718" customFormat="1" ht="7" x14ac:dyDescent="0.35">
      <c r="A98" s="1716"/>
      <c r="B98" s="1683">
        <v>76</v>
      </c>
      <c r="C98" s="1684" t="s">
        <v>7498</v>
      </c>
      <c r="D98" s="1684" t="s">
        <v>7518</v>
      </c>
      <c r="E98" s="1685">
        <v>45199</v>
      </c>
      <c r="F98" s="1683" t="s">
        <v>7515</v>
      </c>
      <c r="G98" s="1684">
        <v>1</v>
      </c>
      <c r="H98" s="1684">
        <v>5</v>
      </c>
      <c r="I98" s="1686">
        <f t="shared" si="12"/>
        <v>60</v>
      </c>
      <c r="J98" s="1686">
        <f t="shared" si="13"/>
        <v>200</v>
      </c>
      <c r="K98" s="1686">
        <v>12000</v>
      </c>
      <c r="L98" s="1686">
        <v>12000</v>
      </c>
      <c r="M98" s="1686"/>
      <c r="N98" s="1686"/>
      <c r="O98" s="1686">
        <f t="shared" si="7"/>
        <v>12000</v>
      </c>
      <c r="P98" s="1686">
        <v>6600</v>
      </c>
      <c r="Q98" s="1686">
        <f t="shared" si="8"/>
        <v>200</v>
      </c>
      <c r="R98" s="1686"/>
      <c r="S98" s="1638">
        <f t="shared" si="9"/>
        <v>6800</v>
      </c>
      <c r="T98" s="1639">
        <f t="shared" si="10"/>
        <v>5200</v>
      </c>
      <c r="U98" s="1603">
        <v>22</v>
      </c>
    </row>
    <row r="99" spans="1:21" s="1718" customFormat="1" ht="7" x14ac:dyDescent="0.35">
      <c r="A99" s="1716"/>
      <c r="B99" s="1683">
        <v>77</v>
      </c>
      <c r="C99" s="1684" t="s">
        <v>7499</v>
      </c>
      <c r="D99" s="1684" t="s">
        <v>7518</v>
      </c>
      <c r="E99" s="1685">
        <v>45199</v>
      </c>
      <c r="F99" s="1683" t="s">
        <v>7515</v>
      </c>
      <c r="G99" s="1684">
        <v>1</v>
      </c>
      <c r="H99" s="1684">
        <v>5</v>
      </c>
      <c r="I99" s="1686">
        <f t="shared" si="12"/>
        <v>60</v>
      </c>
      <c r="J99" s="1686">
        <f t="shared" si="13"/>
        <v>5000</v>
      </c>
      <c r="K99" s="1686">
        <v>300000</v>
      </c>
      <c r="L99" s="1686">
        <v>300000</v>
      </c>
      <c r="M99" s="1686"/>
      <c r="N99" s="1686"/>
      <c r="O99" s="1686">
        <f t="shared" si="7"/>
        <v>300000</v>
      </c>
      <c r="P99" s="1686">
        <v>165000</v>
      </c>
      <c r="Q99" s="1686">
        <f t="shared" si="8"/>
        <v>5000</v>
      </c>
      <c r="R99" s="1686"/>
      <c r="S99" s="1638">
        <f t="shared" si="9"/>
        <v>170000</v>
      </c>
      <c r="T99" s="1639">
        <f t="shared" si="10"/>
        <v>130000</v>
      </c>
      <c r="U99" s="1603">
        <v>22</v>
      </c>
    </row>
    <row r="100" spans="1:21" s="1718" customFormat="1" ht="7" x14ac:dyDescent="0.35">
      <c r="A100" s="1716"/>
      <c r="B100" s="1683">
        <v>78</v>
      </c>
      <c r="C100" s="1684" t="s">
        <v>7500</v>
      </c>
      <c r="D100" s="1684" t="s">
        <v>7518</v>
      </c>
      <c r="E100" s="1685">
        <v>45199</v>
      </c>
      <c r="F100" s="1683" t="s">
        <v>7515</v>
      </c>
      <c r="G100" s="1684">
        <v>1</v>
      </c>
      <c r="H100" s="1684">
        <v>5</v>
      </c>
      <c r="I100" s="1686">
        <f t="shared" si="12"/>
        <v>60</v>
      </c>
      <c r="J100" s="1686">
        <f t="shared" si="13"/>
        <v>2833.3333333333335</v>
      </c>
      <c r="K100" s="1686">
        <v>170000</v>
      </c>
      <c r="L100" s="1686">
        <v>170000</v>
      </c>
      <c r="M100" s="1686"/>
      <c r="N100" s="1686"/>
      <c r="O100" s="1686">
        <f t="shared" si="7"/>
        <v>170000</v>
      </c>
      <c r="P100" s="1686">
        <v>93499.999999999985</v>
      </c>
      <c r="Q100" s="1686">
        <f t="shared" si="8"/>
        <v>2833.3333333333335</v>
      </c>
      <c r="R100" s="1686"/>
      <c r="S100" s="1638">
        <f t="shared" si="9"/>
        <v>96333.333333333314</v>
      </c>
      <c r="T100" s="1639">
        <f t="shared" si="10"/>
        <v>73666.666666666686</v>
      </c>
      <c r="U100" s="1603">
        <v>22</v>
      </c>
    </row>
    <row r="101" spans="1:21" s="1718" customFormat="1" ht="7" x14ac:dyDescent="0.35">
      <c r="A101" s="1716"/>
      <c r="B101" s="1683">
        <v>79</v>
      </c>
      <c r="C101" s="1684" t="s">
        <v>7501</v>
      </c>
      <c r="D101" s="1684" t="s">
        <v>7518</v>
      </c>
      <c r="E101" s="1685">
        <v>45199</v>
      </c>
      <c r="F101" s="1683" t="s">
        <v>7515</v>
      </c>
      <c r="G101" s="1684">
        <v>1</v>
      </c>
      <c r="H101" s="1684">
        <v>5</v>
      </c>
      <c r="I101" s="1686">
        <f t="shared" si="12"/>
        <v>60</v>
      </c>
      <c r="J101" s="1686">
        <f t="shared" si="13"/>
        <v>100</v>
      </c>
      <c r="K101" s="1686">
        <v>6000</v>
      </c>
      <c r="L101" s="1686">
        <v>6000</v>
      </c>
      <c r="M101" s="1686"/>
      <c r="N101" s="1686"/>
      <c r="O101" s="1686">
        <f t="shared" si="7"/>
        <v>6000</v>
      </c>
      <c r="P101" s="1686">
        <v>3300</v>
      </c>
      <c r="Q101" s="1686">
        <f t="shared" si="8"/>
        <v>100</v>
      </c>
      <c r="R101" s="1686"/>
      <c r="S101" s="1638">
        <f t="shared" si="9"/>
        <v>3400</v>
      </c>
      <c r="T101" s="1639">
        <f t="shared" si="10"/>
        <v>2600</v>
      </c>
      <c r="U101" s="1603">
        <v>22</v>
      </c>
    </row>
    <row r="102" spans="1:21" s="1718" customFormat="1" ht="7" x14ac:dyDescent="0.35">
      <c r="A102" s="1716"/>
      <c r="B102" s="1683">
        <v>80</v>
      </c>
      <c r="C102" s="1684" t="s">
        <v>7502</v>
      </c>
      <c r="D102" s="1684" t="s">
        <v>7518</v>
      </c>
      <c r="E102" s="1685">
        <v>45199</v>
      </c>
      <c r="F102" s="1683" t="s">
        <v>7515</v>
      </c>
      <c r="G102" s="1684">
        <v>1</v>
      </c>
      <c r="H102" s="1684">
        <v>5</v>
      </c>
      <c r="I102" s="1686">
        <f t="shared" si="12"/>
        <v>60</v>
      </c>
      <c r="J102" s="1686">
        <f t="shared" si="13"/>
        <v>183.33333333333334</v>
      </c>
      <c r="K102" s="1686">
        <v>11000</v>
      </c>
      <c r="L102" s="1686">
        <v>11000</v>
      </c>
      <c r="M102" s="1686"/>
      <c r="N102" s="1686"/>
      <c r="O102" s="1686">
        <f t="shared" si="7"/>
        <v>11000</v>
      </c>
      <c r="P102" s="1686">
        <v>6049.9999999999982</v>
      </c>
      <c r="Q102" s="1686">
        <f t="shared" si="8"/>
        <v>183.33333333333334</v>
      </c>
      <c r="R102" s="1686"/>
      <c r="S102" s="1638">
        <f t="shared" si="9"/>
        <v>6233.3333333333312</v>
      </c>
      <c r="T102" s="1639">
        <f t="shared" si="10"/>
        <v>4766.6666666666688</v>
      </c>
      <c r="U102" s="1603">
        <v>22</v>
      </c>
    </row>
    <row r="103" spans="1:21" s="1718" customFormat="1" ht="7" x14ac:dyDescent="0.35">
      <c r="A103" s="1716"/>
      <c r="B103" s="1683">
        <v>81</v>
      </c>
      <c r="C103" s="1684" t="s">
        <v>7503</v>
      </c>
      <c r="D103" s="1684" t="s">
        <v>7518</v>
      </c>
      <c r="E103" s="1685">
        <v>45230</v>
      </c>
      <c r="F103" s="1683" t="s">
        <v>7515</v>
      </c>
      <c r="G103" s="1684">
        <v>1</v>
      </c>
      <c r="H103" s="1684">
        <v>5</v>
      </c>
      <c r="I103" s="1686">
        <f t="shared" si="12"/>
        <v>60</v>
      </c>
      <c r="J103" s="1686">
        <f t="shared" si="13"/>
        <v>1166.6666666666667</v>
      </c>
      <c r="K103" s="1686">
        <v>70000</v>
      </c>
      <c r="L103" s="1686">
        <v>70000</v>
      </c>
      <c r="M103" s="1686"/>
      <c r="N103" s="1686"/>
      <c r="O103" s="1686">
        <f t="shared" si="7"/>
        <v>70000</v>
      </c>
      <c r="P103" s="1686">
        <v>37333.333333333343</v>
      </c>
      <c r="Q103" s="1686">
        <f t="shared" si="8"/>
        <v>1166.6666666666667</v>
      </c>
      <c r="R103" s="1686"/>
      <c r="S103" s="1638">
        <f t="shared" si="9"/>
        <v>38500.000000000007</v>
      </c>
      <c r="T103" s="1639">
        <f t="shared" si="10"/>
        <v>31499.999999999993</v>
      </c>
      <c r="U103" s="1603">
        <v>22</v>
      </c>
    </row>
    <row r="104" spans="1:21" s="1718" customFormat="1" ht="7" x14ac:dyDescent="0.35">
      <c r="A104" s="1716"/>
      <c r="B104" s="1683">
        <v>82</v>
      </c>
      <c r="C104" s="1684" t="s">
        <v>7504</v>
      </c>
      <c r="D104" s="1684" t="s">
        <v>7518</v>
      </c>
      <c r="E104" s="1685">
        <v>45230</v>
      </c>
      <c r="F104" s="1683" t="s">
        <v>7515</v>
      </c>
      <c r="G104" s="1684">
        <v>1</v>
      </c>
      <c r="H104" s="1684">
        <v>5</v>
      </c>
      <c r="I104" s="1686">
        <f t="shared" si="12"/>
        <v>60</v>
      </c>
      <c r="J104" s="1686">
        <f t="shared" si="13"/>
        <v>5833.333333333333</v>
      </c>
      <c r="K104" s="1686">
        <v>350000</v>
      </c>
      <c r="L104" s="1686">
        <v>350000</v>
      </c>
      <c r="M104" s="1686"/>
      <c r="N104" s="1686"/>
      <c r="O104" s="1686">
        <f t="shared" si="7"/>
        <v>350000</v>
      </c>
      <c r="P104" s="1686">
        <v>186666.66666666672</v>
      </c>
      <c r="Q104" s="1686">
        <f t="shared" si="8"/>
        <v>5833.333333333333</v>
      </c>
      <c r="R104" s="1686"/>
      <c r="S104" s="1638">
        <f t="shared" si="9"/>
        <v>192500.00000000006</v>
      </c>
      <c r="T104" s="1639">
        <f t="shared" si="10"/>
        <v>157499.99999999994</v>
      </c>
      <c r="U104" s="1603">
        <v>22</v>
      </c>
    </row>
    <row r="105" spans="1:21" s="1718" customFormat="1" ht="7" x14ac:dyDescent="0.35">
      <c r="A105" s="1716"/>
      <c r="B105" s="1683">
        <v>83</v>
      </c>
      <c r="C105" s="1684" t="s">
        <v>7505</v>
      </c>
      <c r="D105" s="1684" t="s">
        <v>7518</v>
      </c>
      <c r="E105" s="1685">
        <v>45230</v>
      </c>
      <c r="F105" s="1683" t="s">
        <v>7515</v>
      </c>
      <c r="G105" s="1684">
        <v>1</v>
      </c>
      <c r="H105" s="1684">
        <v>5</v>
      </c>
      <c r="I105" s="1686">
        <f t="shared" si="12"/>
        <v>60</v>
      </c>
      <c r="J105" s="1686">
        <f t="shared" si="13"/>
        <v>450</v>
      </c>
      <c r="K105" s="1686">
        <v>27000</v>
      </c>
      <c r="L105" s="1686">
        <v>27000</v>
      </c>
      <c r="M105" s="1686"/>
      <c r="N105" s="1686"/>
      <c r="O105" s="1686">
        <f t="shared" si="7"/>
        <v>27000</v>
      </c>
      <c r="P105" s="1686">
        <v>14400</v>
      </c>
      <c r="Q105" s="1686">
        <f t="shared" si="8"/>
        <v>450</v>
      </c>
      <c r="R105" s="1686"/>
      <c r="S105" s="1638">
        <f t="shared" si="9"/>
        <v>14850</v>
      </c>
      <c r="T105" s="1639">
        <f t="shared" si="10"/>
        <v>12150</v>
      </c>
      <c r="U105" s="1603">
        <v>22</v>
      </c>
    </row>
    <row r="106" spans="1:21" s="1718" customFormat="1" ht="7" x14ac:dyDescent="0.35">
      <c r="A106" s="1716"/>
      <c r="B106" s="1683">
        <v>84</v>
      </c>
      <c r="C106" s="1684" t="s">
        <v>7445</v>
      </c>
      <c r="D106" s="1684" t="s">
        <v>7518</v>
      </c>
      <c r="E106" s="1685">
        <v>45230</v>
      </c>
      <c r="F106" s="1683" t="s">
        <v>7515</v>
      </c>
      <c r="G106" s="1684">
        <v>1</v>
      </c>
      <c r="H106" s="1684">
        <v>5</v>
      </c>
      <c r="I106" s="1686">
        <f t="shared" si="12"/>
        <v>60</v>
      </c>
      <c r="J106" s="1686">
        <f t="shared" si="13"/>
        <v>2083.3333333333335</v>
      </c>
      <c r="K106" s="1686">
        <v>125000</v>
      </c>
      <c r="L106" s="1686">
        <v>125000</v>
      </c>
      <c r="M106" s="1686"/>
      <c r="N106" s="1686"/>
      <c r="O106" s="1686">
        <f t="shared" si="7"/>
        <v>125000</v>
      </c>
      <c r="P106" s="1686">
        <v>66666.666666666686</v>
      </c>
      <c r="Q106" s="1686">
        <f t="shared" si="8"/>
        <v>2083.3333333333335</v>
      </c>
      <c r="R106" s="1686"/>
      <c r="S106" s="1638">
        <f t="shared" si="9"/>
        <v>68750.000000000015</v>
      </c>
      <c r="T106" s="1639">
        <f t="shared" si="10"/>
        <v>56249.999999999985</v>
      </c>
      <c r="U106" s="1603">
        <v>22</v>
      </c>
    </row>
    <row r="107" spans="1:21" s="1718" customFormat="1" ht="7" x14ac:dyDescent="0.35">
      <c r="A107" s="1716"/>
      <c r="B107" s="1683">
        <v>85</v>
      </c>
      <c r="C107" s="1684" t="s">
        <v>7506</v>
      </c>
      <c r="D107" s="1684" t="s">
        <v>7518</v>
      </c>
      <c r="E107" s="1685">
        <v>45260</v>
      </c>
      <c r="F107" s="1683" t="s">
        <v>7515</v>
      </c>
      <c r="G107" s="1684">
        <v>2</v>
      </c>
      <c r="H107" s="1684">
        <v>5</v>
      </c>
      <c r="I107" s="1686">
        <f t="shared" si="12"/>
        <v>60</v>
      </c>
      <c r="J107" s="1686">
        <f t="shared" si="13"/>
        <v>3550</v>
      </c>
      <c r="K107" s="1686">
        <v>106500</v>
      </c>
      <c r="L107" s="1686">
        <v>213000</v>
      </c>
      <c r="M107" s="1686"/>
      <c r="N107" s="1686"/>
      <c r="O107" s="1686">
        <f t="shared" si="7"/>
        <v>213000</v>
      </c>
      <c r="P107" s="1686">
        <v>110050</v>
      </c>
      <c r="Q107" s="1686">
        <f t="shared" si="8"/>
        <v>3550</v>
      </c>
      <c r="R107" s="1686"/>
      <c r="S107" s="1638">
        <f t="shared" si="9"/>
        <v>113600</v>
      </c>
      <c r="T107" s="1639">
        <f t="shared" si="10"/>
        <v>99400</v>
      </c>
      <c r="U107" s="1603">
        <v>22</v>
      </c>
    </row>
    <row r="108" spans="1:21" s="1718" customFormat="1" ht="7" x14ac:dyDescent="0.35">
      <c r="A108" s="1716"/>
      <c r="B108" s="1683">
        <v>86</v>
      </c>
      <c r="C108" s="1684" t="s">
        <v>7457</v>
      </c>
      <c r="D108" s="1684" t="s">
        <v>7518</v>
      </c>
      <c r="E108" s="1685">
        <v>45260</v>
      </c>
      <c r="F108" s="1683" t="s">
        <v>7515</v>
      </c>
      <c r="G108" s="1684">
        <v>1</v>
      </c>
      <c r="H108" s="1684">
        <v>5</v>
      </c>
      <c r="I108" s="1686">
        <f t="shared" si="12"/>
        <v>60</v>
      </c>
      <c r="J108" s="1686">
        <f t="shared" si="13"/>
        <v>1108.3333333333333</v>
      </c>
      <c r="K108" s="1686">
        <v>66500</v>
      </c>
      <c r="L108" s="1686">
        <v>66500</v>
      </c>
      <c r="M108" s="1686"/>
      <c r="N108" s="1686"/>
      <c r="O108" s="1686">
        <f t="shared" si="7"/>
        <v>66500</v>
      </c>
      <c r="P108" s="1686">
        <v>34358.333333333321</v>
      </c>
      <c r="Q108" s="1686">
        <f t="shared" si="8"/>
        <v>1108.3333333333333</v>
      </c>
      <c r="R108" s="1686"/>
      <c r="S108" s="1638">
        <f t="shared" si="9"/>
        <v>35466.666666666657</v>
      </c>
      <c r="T108" s="1639">
        <f t="shared" si="10"/>
        <v>31033.333333333343</v>
      </c>
      <c r="U108" s="1603">
        <v>22</v>
      </c>
    </row>
    <row r="109" spans="1:21" s="1718" customFormat="1" ht="7" x14ac:dyDescent="0.35">
      <c r="A109" s="1716"/>
      <c r="B109" s="1683">
        <v>87</v>
      </c>
      <c r="C109" s="1684" t="s">
        <v>7507</v>
      </c>
      <c r="D109" s="1684" t="s">
        <v>7518</v>
      </c>
      <c r="E109" s="1685">
        <v>45260</v>
      </c>
      <c r="F109" s="1683" t="s">
        <v>7515</v>
      </c>
      <c r="G109" s="1684">
        <v>3</v>
      </c>
      <c r="H109" s="1684">
        <v>5</v>
      </c>
      <c r="I109" s="1686">
        <f t="shared" si="12"/>
        <v>60</v>
      </c>
      <c r="J109" s="1686">
        <f t="shared" si="13"/>
        <v>1750</v>
      </c>
      <c r="K109" s="1686">
        <v>35000</v>
      </c>
      <c r="L109" s="1686">
        <v>105000</v>
      </c>
      <c r="M109" s="1686"/>
      <c r="N109" s="1686"/>
      <c r="O109" s="1686">
        <f t="shared" si="7"/>
        <v>105000</v>
      </c>
      <c r="P109" s="1686">
        <v>54250</v>
      </c>
      <c r="Q109" s="1686">
        <f t="shared" si="8"/>
        <v>1750</v>
      </c>
      <c r="R109" s="1686"/>
      <c r="S109" s="1638">
        <f t="shared" si="9"/>
        <v>56000</v>
      </c>
      <c r="T109" s="1639">
        <f t="shared" si="10"/>
        <v>49000</v>
      </c>
      <c r="U109" s="1603">
        <v>22</v>
      </c>
    </row>
    <row r="110" spans="1:21" s="1718" customFormat="1" ht="7" x14ac:dyDescent="0.35">
      <c r="A110" s="1716"/>
      <c r="B110" s="1683">
        <v>88</v>
      </c>
      <c r="C110" s="1684" t="s">
        <v>7508</v>
      </c>
      <c r="D110" s="1684" t="s">
        <v>7518</v>
      </c>
      <c r="E110" s="1685">
        <v>45260</v>
      </c>
      <c r="F110" s="1683" t="s">
        <v>7515</v>
      </c>
      <c r="G110" s="1684">
        <v>3</v>
      </c>
      <c r="H110" s="1684">
        <v>5</v>
      </c>
      <c r="I110" s="1686">
        <f t="shared" si="12"/>
        <v>60</v>
      </c>
      <c r="J110" s="1686">
        <f t="shared" si="13"/>
        <v>3075</v>
      </c>
      <c r="K110" s="1686">
        <v>61500</v>
      </c>
      <c r="L110" s="1686">
        <v>184500</v>
      </c>
      <c r="M110" s="1686"/>
      <c r="N110" s="1686"/>
      <c r="O110" s="1686">
        <f t="shared" si="7"/>
        <v>184500</v>
      </c>
      <c r="P110" s="1686">
        <v>95325</v>
      </c>
      <c r="Q110" s="1686">
        <f t="shared" si="8"/>
        <v>3075</v>
      </c>
      <c r="R110" s="1686"/>
      <c r="S110" s="1638">
        <f t="shared" si="9"/>
        <v>98400</v>
      </c>
      <c r="T110" s="1639">
        <f t="shared" si="10"/>
        <v>86100</v>
      </c>
      <c r="U110" s="1603">
        <v>22</v>
      </c>
    </row>
    <row r="111" spans="1:21" s="1718" customFormat="1" ht="7" x14ac:dyDescent="0.35">
      <c r="A111" s="1716"/>
      <c r="B111" s="1683">
        <v>89</v>
      </c>
      <c r="C111" s="1684" t="s">
        <v>7488</v>
      </c>
      <c r="D111" s="1684" t="s">
        <v>7518</v>
      </c>
      <c r="E111" s="1685">
        <v>45260</v>
      </c>
      <c r="F111" s="1683" t="s">
        <v>7515</v>
      </c>
      <c r="G111" s="1684">
        <v>1</v>
      </c>
      <c r="H111" s="1684">
        <v>5</v>
      </c>
      <c r="I111" s="1686">
        <f t="shared" si="12"/>
        <v>60</v>
      </c>
      <c r="J111" s="1686">
        <f t="shared" si="13"/>
        <v>11266.666666666666</v>
      </c>
      <c r="K111" s="1686">
        <v>676000</v>
      </c>
      <c r="L111" s="1686">
        <v>676000</v>
      </c>
      <c r="M111" s="1686"/>
      <c r="N111" s="1686"/>
      <c r="O111" s="1686">
        <f t="shared" si="7"/>
        <v>676000</v>
      </c>
      <c r="P111" s="1686">
        <v>349266.66666666674</v>
      </c>
      <c r="Q111" s="1686">
        <f t="shared" si="8"/>
        <v>11266.666666666666</v>
      </c>
      <c r="R111" s="1686"/>
      <c r="S111" s="1638">
        <f t="shared" si="9"/>
        <v>360533.33333333343</v>
      </c>
      <c r="T111" s="1639">
        <f t="shared" si="10"/>
        <v>315466.66666666657</v>
      </c>
      <c r="U111" s="1603">
        <v>22</v>
      </c>
    </row>
    <row r="112" spans="1:21" s="1718" customFormat="1" ht="7" x14ac:dyDescent="0.35">
      <c r="A112" s="1716"/>
      <c r="B112" s="1683">
        <v>90</v>
      </c>
      <c r="C112" s="1684" t="s">
        <v>7509</v>
      </c>
      <c r="D112" s="1684" t="s">
        <v>7518</v>
      </c>
      <c r="E112" s="1685">
        <v>45260</v>
      </c>
      <c r="F112" s="1683" t="s">
        <v>7515</v>
      </c>
      <c r="G112" s="1684">
        <v>1</v>
      </c>
      <c r="H112" s="1684">
        <v>5</v>
      </c>
      <c r="I112" s="1686">
        <f t="shared" si="12"/>
        <v>60</v>
      </c>
      <c r="J112" s="1686">
        <f t="shared" si="13"/>
        <v>2083.3333333333335</v>
      </c>
      <c r="K112" s="1686">
        <v>125000</v>
      </c>
      <c r="L112" s="1686">
        <v>125000</v>
      </c>
      <c r="M112" s="1686"/>
      <c r="N112" s="1686"/>
      <c r="O112" s="1686">
        <f t="shared" si="7"/>
        <v>125000</v>
      </c>
      <c r="P112" s="1686">
        <v>64583.333333333365</v>
      </c>
      <c r="Q112" s="1686">
        <f t="shared" si="8"/>
        <v>2083.3333333333335</v>
      </c>
      <c r="R112" s="1686"/>
      <c r="S112" s="1638">
        <f t="shared" si="9"/>
        <v>66666.666666666701</v>
      </c>
      <c r="T112" s="1639">
        <f t="shared" si="10"/>
        <v>58333.333333333299</v>
      </c>
      <c r="U112" s="1603">
        <v>22</v>
      </c>
    </row>
    <row r="113" spans="1:21" s="1718" customFormat="1" ht="7" x14ac:dyDescent="0.35">
      <c r="A113" s="1716"/>
      <c r="B113" s="1683">
        <v>91</v>
      </c>
      <c r="C113" s="1684" t="s">
        <v>7510</v>
      </c>
      <c r="D113" s="1684" t="s">
        <v>7518</v>
      </c>
      <c r="E113" s="1685">
        <v>45260</v>
      </c>
      <c r="F113" s="1683" t="s">
        <v>7515</v>
      </c>
      <c r="G113" s="1684">
        <v>1</v>
      </c>
      <c r="H113" s="1684">
        <v>5</v>
      </c>
      <c r="I113" s="1686">
        <f t="shared" si="12"/>
        <v>60</v>
      </c>
      <c r="J113" s="1686">
        <f t="shared" si="13"/>
        <v>616.66666666666663</v>
      </c>
      <c r="K113" s="1686">
        <v>37000</v>
      </c>
      <c r="L113" s="1686">
        <v>37000</v>
      </c>
      <c r="M113" s="1686"/>
      <c r="N113" s="1686"/>
      <c r="O113" s="1686">
        <f t="shared" si="7"/>
        <v>37000</v>
      </c>
      <c r="P113" s="1686">
        <v>19116.666666666664</v>
      </c>
      <c r="Q113" s="1686">
        <f t="shared" si="8"/>
        <v>616.66666666666663</v>
      </c>
      <c r="R113" s="1686"/>
      <c r="S113" s="1638">
        <f t="shared" si="9"/>
        <v>19733.333333333332</v>
      </c>
      <c r="T113" s="1639">
        <f t="shared" si="10"/>
        <v>17266.666666666668</v>
      </c>
      <c r="U113" s="1603">
        <v>22</v>
      </c>
    </row>
    <row r="114" spans="1:21" s="1718" customFormat="1" ht="7" x14ac:dyDescent="0.35">
      <c r="A114" s="1716"/>
      <c r="B114" s="1683">
        <v>92</v>
      </c>
      <c r="C114" s="1684" t="s">
        <v>3118</v>
      </c>
      <c r="D114" s="1684" t="s">
        <v>7518</v>
      </c>
      <c r="E114" s="1685">
        <v>45322</v>
      </c>
      <c r="F114" s="1683" t="s">
        <v>7515</v>
      </c>
      <c r="G114" s="1684">
        <v>1</v>
      </c>
      <c r="H114" s="1684">
        <v>5</v>
      </c>
      <c r="I114" s="1686">
        <f t="shared" si="12"/>
        <v>60</v>
      </c>
      <c r="J114" s="1686">
        <f t="shared" si="13"/>
        <v>10000</v>
      </c>
      <c r="K114" s="1686">
        <v>600000</v>
      </c>
      <c r="L114" s="1686">
        <v>600000</v>
      </c>
      <c r="M114" s="1686"/>
      <c r="N114" s="1686"/>
      <c r="O114" s="1686">
        <f t="shared" si="7"/>
        <v>600000</v>
      </c>
      <c r="P114" s="1686">
        <v>290000</v>
      </c>
      <c r="Q114" s="1686">
        <f t="shared" si="8"/>
        <v>10000</v>
      </c>
      <c r="R114" s="1686"/>
      <c r="S114" s="1638">
        <f t="shared" si="9"/>
        <v>300000</v>
      </c>
      <c r="T114" s="1639">
        <f t="shared" si="10"/>
        <v>300000</v>
      </c>
      <c r="U114" s="1603">
        <v>22</v>
      </c>
    </row>
    <row r="115" spans="1:21" s="1718" customFormat="1" ht="7" x14ac:dyDescent="0.35">
      <c r="A115" s="1716"/>
      <c r="B115" s="1683">
        <v>93</v>
      </c>
      <c r="C115" s="1684" t="s">
        <v>7483</v>
      </c>
      <c r="D115" s="1684" t="s">
        <v>7518</v>
      </c>
      <c r="E115" s="1685">
        <v>45324</v>
      </c>
      <c r="F115" s="1683" t="s">
        <v>7516</v>
      </c>
      <c r="G115" s="1684">
        <v>10</v>
      </c>
      <c r="H115" s="1684">
        <v>5</v>
      </c>
      <c r="I115" s="1686">
        <f t="shared" si="12"/>
        <v>60</v>
      </c>
      <c r="J115" s="1686">
        <f t="shared" si="13"/>
        <v>26416.666666666668</v>
      </c>
      <c r="K115" s="1686">
        <v>158500</v>
      </c>
      <c r="L115" s="1686">
        <v>1585000</v>
      </c>
      <c r="M115" s="1686"/>
      <c r="N115" s="1686"/>
      <c r="O115" s="1686">
        <f t="shared" si="7"/>
        <v>1585000</v>
      </c>
      <c r="P115" s="1686">
        <v>739665.99999999988</v>
      </c>
      <c r="Q115" s="1686">
        <f t="shared" si="8"/>
        <v>26416.666666666668</v>
      </c>
      <c r="R115" s="1686"/>
      <c r="S115" s="1638">
        <f t="shared" si="9"/>
        <v>766082.66666666651</v>
      </c>
      <c r="T115" s="1639">
        <f t="shared" si="10"/>
        <v>818917.33333333349</v>
      </c>
      <c r="U115" s="1603">
        <v>22</v>
      </c>
    </row>
    <row r="116" spans="1:21" s="1718" customFormat="1" ht="7" x14ac:dyDescent="0.35">
      <c r="A116" s="1716"/>
      <c r="B116" s="1683">
        <v>94</v>
      </c>
      <c r="C116" s="1684" t="s">
        <v>7511</v>
      </c>
      <c r="D116" s="1684" t="s">
        <v>7518</v>
      </c>
      <c r="E116" s="1685">
        <v>45412</v>
      </c>
      <c r="F116" s="1683" t="s">
        <v>7517</v>
      </c>
      <c r="G116" s="1684">
        <v>1</v>
      </c>
      <c r="H116" s="1684">
        <v>5</v>
      </c>
      <c r="I116" s="1686">
        <f t="shared" si="12"/>
        <v>60</v>
      </c>
      <c r="J116" s="1686">
        <f t="shared" si="13"/>
        <v>19005</v>
      </c>
      <c r="K116" s="1686">
        <v>1140300</v>
      </c>
      <c r="L116" s="1686">
        <v>1140300</v>
      </c>
      <c r="M116" s="1686"/>
      <c r="N116" s="1686"/>
      <c r="O116" s="1686">
        <f t="shared" si="7"/>
        <v>1140300</v>
      </c>
      <c r="P116" s="1686">
        <v>475125</v>
      </c>
      <c r="Q116" s="1686">
        <f t="shared" si="8"/>
        <v>19005</v>
      </c>
      <c r="R116" s="1686"/>
      <c r="S116" s="1638">
        <f t="shared" si="9"/>
        <v>494130</v>
      </c>
      <c r="T116" s="1639">
        <f t="shared" si="10"/>
        <v>646170</v>
      </c>
      <c r="U116" s="1603">
        <v>22</v>
      </c>
    </row>
    <row r="117" spans="1:21" s="1718" customFormat="1" ht="7" x14ac:dyDescent="0.35">
      <c r="A117" s="1716"/>
      <c r="B117" s="1683">
        <v>95</v>
      </c>
      <c r="C117" s="1684" t="s">
        <v>7512</v>
      </c>
      <c r="D117" s="1684" t="s">
        <v>7518</v>
      </c>
      <c r="E117" s="1685">
        <v>45442</v>
      </c>
      <c r="F117" s="1683"/>
      <c r="G117" s="1684">
        <v>1</v>
      </c>
      <c r="H117" s="1684">
        <v>5</v>
      </c>
      <c r="I117" s="1686">
        <f t="shared" si="12"/>
        <v>60</v>
      </c>
      <c r="J117" s="1686">
        <f t="shared" si="13"/>
        <v>3750</v>
      </c>
      <c r="K117" s="1686">
        <v>225000</v>
      </c>
      <c r="L117" s="1686">
        <v>225000</v>
      </c>
      <c r="M117" s="1686"/>
      <c r="N117" s="1686"/>
      <c r="O117" s="1686">
        <f t="shared" si="7"/>
        <v>225000</v>
      </c>
      <c r="P117" s="1686">
        <v>93750</v>
      </c>
      <c r="Q117" s="1686">
        <f t="shared" si="8"/>
        <v>3750</v>
      </c>
      <c r="R117" s="1686"/>
      <c r="S117" s="1638">
        <f t="shared" si="9"/>
        <v>97500</v>
      </c>
      <c r="T117" s="1639">
        <f t="shared" si="10"/>
        <v>127500</v>
      </c>
      <c r="U117" s="1603">
        <v>22</v>
      </c>
    </row>
    <row r="118" spans="1:21" s="1718" customFormat="1" ht="7" x14ac:dyDescent="0.35">
      <c r="A118" s="1716"/>
      <c r="B118" s="1683">
        <v>96</v>
      </c>
      <c r="C118" s="1684" t="s">
        <v>7513</v>
      </c>
      <c r="D118" s="1684" t="s">
        <v>7518</v>
      </c>
      <c r="E118" s="1685">
        <v>45442</v>
      </c>
      <c r="F118" s="1683"/>
      <c r="G118" s="1684">
        <v>1</v>
      </c>
      <c r="H118" s="1684">
        <v>5</v>
      </c>
      <c r="I118" s="1686">
        <f t="shared" si="12"/>
        <v>60</v>
      </c>
      <c r="J118" s="1686">
        <f t="shared" si="13"/>
        <v>3750</v>
      </c>
      <c r="K118" s="1686">
        <v>225000</v>
      </c>
      <c r="L118" s="1686">
        <v>225000</v>
      </c>
      <c r="M118" s="1686"/>
      <c r="N118" s="1686"/>
      <c r="O118" s="1686">
        <f t="shared" si="7"/>
        <v>225000</v>
      </c>
      <c r="P118" s="1686">
        <v>93750</v>
      </c>
      <c r="Q118" s="1686">
        <f t="shared" si="8"/>
        <v>3750</v>
      </c>
      <c r="R118" s="1686"/>
      <c r="S118" s="1638">
        <f t="shared" si="9"/>
        <v>97500</v>
      </c>
      <c r="T118" s="1639">
        <f t="shared" si="10"/>
        <v>127500</v>
      </c>
      <c r="U118" s="1603">
        <v>22</v>
      </c>
    </row>
    <row r="119" spans="1:21" s="1718" customFormat="1" ht="7" x14ac:dyDescent="0.35">
      <c r="A119" s="1716"/>
      <c r="B119" s="1683">
        <v>97</v>
      </c>
      <c r="C119" s="1684" t="s">
        <v>7514</v>
      </c>
      <c r="D119" s="1684" t="s">
        <v>6648</v>
      </c>
      <c r="E119" s="1685">
        <v>45473</v>
      </c>
      <c r="F119" s="1683"/>
      <c r="G119" s="1684">
        <v>1</v>
      </c>
      <c r="H119" s="1684">
        <v>5</v>
      </c>
      <c r="I119" s="1686">
        <f t="shared" si="12"/>
        <v>60</v>
      </c>
      <c r="J119" s="1686">
        <f t="shared" si="13"/>
        <v>24100</v>
      </c>
      <c r="K119" s="1686">
        <v>1446000</v>
      </c>
      <c r="L119" s="1686">
        <v>1446000</v>
      </c>
      <c r="M119" s="1686"/>
      <c r="N119" s="1686"/>
      <c r="O119" s="1686">
        <f t="shared" si="7"/>
        <v>1446000</v>
      </c>
      <c r="P119" s="1686">
        <v>578400</v>
      </c>
      <c r="Q119" s="1686">
        <f t="shared" si="8"/>
        <v>24100</v>
      </c>
      <c r="R119" s="1686"/>
      <c r="S119" s="1638">
        <f t="shared" si="9"/>
        <v>602500</v>
      </c>
      <c r="T119" s="1639">
        <f t="shared" si="10"/>
        <v>843500</v>
      </c>
      <c r="U119" s="1603">
        <v>22</v>
      </c>
    </row>
    <row r="120" spans="1:21" s="1718" customFormat="1" ht="7" x14ac:dyDescent="0.35">
      <c r="A120" s="1716"/>
      <c r="B120" s="1683">
        <v>98</v>
      </c>
      <c r="C120" s="1684" t="s">
        <v>7432</v>
      </c>
      <c r="D120" s="1684" t="s">
        <v>6648</v>
      </c>
      <c r="E120" s="1685">
        <v>45474</v>
      </c>
      <c r="F120" s="1683"/>
      <c r="G120" s="1684">
        <v>1</v>
      </c>
      <c r="H120" s="1684">
        <v>5</v>
      </c>
      <c r="I120" s="1686">
        <f t="shared" si="12"/>
        <v>60</v>
      </c>
      <c r="J120" s="1686">
        <f t="shared" si="13"/>
        <v>76533.333333333328</v>
      </c>
      <c r="K120" s="1686">
        <v>4592000</v>
      </c>
      <c r="L120" s="1686">
        <v>4592000</v>
      </c>
      <c r="M120" s="1686"/>
      <c r="N120" s="1686"/>
      <c r="O120" s="1686">
        <f t="shared" si="7"/>
        <v>4592000</v>
      </c>
      <c r="P120" s="1686">
        <v>1760266.666666666</v>
      </c>
      <c r="Q120" s="1686">
        <f t="shared" si="8"/>
        <v>76533.333333333328</v>
      </c>
      <c r="R120" s="1686"/>
      <c r="S120" s="1638">
        <f t="shared" si="9"/>
        <v>1836799.9999999993</v>
      </c>
      <c r="T120" s="1639">
        <f>O120-S120</f>
        <v>2755200.0000000009</v>
      </c>
      <c r="U120" s="1603">
        <v>22</v>
      </c>
    </row>
    <row r="121" spans="1:21" s="1718" customFormat="1" ht="7" x14ac:dyDescent="0.35">
      <c r="A121" s="1716"/>
      <c r="B121" s="1683">
        <v>99</v>
      </c>
      <c r="C121" s="1684" t="s">
        <v>7565</v>
      </c>
      <c r="D121" s="1684" t="s">
        <v>7518</v>
      </c>
      <c r="E121" s="1685">
        <v>45552</v>
      </c>
      <c r="F121" s="1683" t="s">
        <v>3123</v>
      </c>
      <c r="G121" s="1684">
        <v>1</v>
      </c>
      <c r="H121" s="1684">
        <v>5</v>
      </c>
      <c r="I121" s="1686">
        <f t="shared" si="12"/>
        <v>60</v>
      </c>
      <c r="J121" s="1686">
        <f t="shared" si="13"/>
        <v>154294.16666666666</v>
      </c>
      <c r="K121" s="1686">
        <v>9257650</v>
      </c>
      <c r="L121" s="1686">
        <v>9257650</v>
      </c>
      <c r="M121" s="1686"/>
      <c r="N121" s="1686"/>
      <c r="O121" s="1686">
        <f>L121+M121-N121</f>
        <v>9257650</v>
      </c>
      <c r="P121" s="1686">
        <v>3240177.4999999991</v>
      </c>
      <c r="Q121" s="1686">
        <f t="shared" si="8"/>
        <v>154294.16666666666</v>
      </c>
      <c r="R121" s="1686"/>
      <c r="S121" s="1638">
        <f t="shared" ref="S121:S122" si="14">P121+Q121-R121</f>
        <v>3394471.6666666656</v>
      </c>
      <c r="T121" s="1687">
        <f>O121-S121</f>
        <v>5863178.333333334</v>
      </c>
      <c r="U121" s="1603">
        <v>22</v>
      </c>
    </row>
    <row r="122" spans="1:21" s="1718" customFormat="1" ht="7" x14ac:dyDescent="0.35">
      <c r="A122" s="1716"/>
      <c r="B122" s="1683">
        <v>100</v>
      </c>
      <c r="C122" s="1684" t="s">
        <v>7566</v>
      </c>
      <c r="D122" s="1684" t="s">
        <v>7518</v>
      </c>
      <c r="E122" s="1685">
        <v>45563</v>
      </c>
      <c r="F122" s="1683" t="s">
        <v>3123</v>
      </c>
      <c r="G122" s="1684">
        <v>1</v>
      </c>
      <c r="H122" s="1684">
        <v>5</v>
      </c>
      <c r="I122" s="1686">
        <v>60</v>
      </c>
      <c r="J122" s="1686">
        <f t="shared" si="13"/>
        <v>40000</v>
      </c>
      <c r="K122" s="1686">
        <v>2400000</v>
      </c>
      <c r="L122" s="1686">
        <v>2400000</v>
      </c>
      <c r="M122" s="1686"/>
      <c r="N122" s="1686"/>
      <c r="O122" s="1686">
        <f>L122+M122-N122</f>
        <v>2400000</v>
      </c>
      <c r="P122" s="1686">
        <v>840000</v>
      </c>
      <c r="Q122" s="1686">
        <f t="shared" si="8"/>
        <v>40000</v>
      </c>
      <c r="R122" s="1686"/>
      <c r="S122" s="1638">
        <f t="shared" si="14"/>
        <v>880000</v>
      </c>
      <c r="T122" s="1639">
        <f t="shared" ref="T122" si="15">O122-S122</f>
        <v>1520000</v>
      </c>
      <c r="U122" s="1603">
        <v>22</v>
      </c>
    </row>
    <row r="123" spans="1:21" s="1718" customFormat="1" ht="7" x14ac:dyDescent="0.35">
      <c r="A123" s="1716"/>
      <c r="B123" s="1683">
        <v>101</v>
      </c>
      <c r="C123" s="1684" t="s">
        <v>7609</v>
      </c>
      <c r="D123" s="1684" t="s">
        <v>7518</v>
      </c>
      <c r="E123" s="1685">
        <v>45604</v>
      </c>
      <c r="F123" s="1683" t="s">
        <v>7610</v>
      </c>
      <c r="G123" s="1684">
        <v>1</v>
      </c>
      <c r="H123" s="1684">
        <v>5</v>
      </c>
      <c r="I123" s="1686">
        <v>60</v>
      </c>
      <c r="J123" s="1686">
        <f t="shared" si="13"/>
        <v>18584.783333333333</v>
      </c>
      <c r="K123" s="1686">
        <v>1115087</v>
      </c>
      <c r="L123" s="1686">
        <f>K123</f>
        <v>1115087</v>
      </c>
      <c r="M123" s="1686"/>
      <c r="N123" s="1686"/>
      <c r="O123" s="1686">
        <f t="shared" ref="O123:O127" si="16">L123+M123-N123</f>
        <v>1115087</v>
      </c>
      <c r="P123" s="1686">
        <v>353110.88333333324</v>
      </c>
      <c r="Q123" s="1686">
        <f t="shared" si="8"/>
        <v>18584.783333333333</v>
      </c>
      <c r="R123" s="1686"/>
      <c r="S123" s="1638">
        <f t="shared" ref="S123:S124" si="17">P123+Q123-R123</f>
        <v>371695.66666666657</v>
      </c>
      <c r="T123" s="1639">
        <f t="shared" ref="T123:T124" si="18">O123-S123</f>
        <v>743391.33333333349</v>
      </c>
      <c r="U123" s="1603">
        <v>22</v>
      </c>
    </row>
    <row r="124" spans="1:21" s="1718" customFormat="1" ht="7" x14ac:dyDescent="0.35">
      <c r="A124" s="1716"/>
      <c r="B124" s="1683">
        <v>102</v>
      </c>
      <c r="C124" s="1684" t="s">
        <v>7679</v>
      </c>
      <c r="D124" s="1684" t="s">
        <v>7518</v>
      </c>
      <c r="E124" s="1685">
        <v>45757</v>
      </c>
      <c r="F124" s="1683" t="s">
        <v>7680</v>
      </c>
      <c r="G124" s="1684">
        <v>1</v>
      </c>
      <c r="H124" s="1684">
        <v>5</v>
      </c>
      <c r="I124" s="1686">
        <v>60</v>
      </c>
      <c r="J124" s="1686">
        <f t="shared" si="13"/>
        <v>15833.333333333334</v>
      </c>
      <c r="K124" s="1686">
        <v>950000</v>
      </c>
      <c r="L124" s="1686">
        <f>G124*K124</f>
        <v>950000</v>
      </c>
      <c r="M124" s="1686"/>
      <c r="N124" s="1686"/>
      <c r="O124" s="1686">
        <f t="shared" si="16"/>
        <v>950000</v>
      </c>
      <c r="P124" s="1686">
        <v>221666.66666666672</v>
      </c>
      <c r="Q124" s="1686">
        <f t="shared" si="8"/>
        <v>15833.333333333334</v>
      </c>
      <c r="R124" s="1686"/>
      <c r="S124" s="1638">
        <f t="shared" si="17"/>
        <v>237500.00000000006</v>
      </c>
      <c r="T124" s="1639">
        <f t="shared" si="18"/>
        <v>712500</v>
      </c>
      <c r="U124" s="1603">
        <v>22</v>
      </c>
    </row>
    <row r="125" spans="1:21" s="1718" customFormat="1" ht="7" x14ac:dyDescent="0.35">
      <c r="A125" s="1716"/>
      <c r="B125" s="1683">
        <v>103</v>
      </c>
      <c r="C125" s="1684" t="s">
        <v>3118</v>
      </c>
      <c r="D125" s="1684" t="s">
        <v>7518</v>
      </c>
      <c r="E125" s="1685">
        <v>45777</v>
      </c>
      <c r="F125" s="1683" t="s">
        <v>7610</v>
      </c>
      <c r="G125" s="1684">
        <v>2</v>
      </c>
      <c r="H125" s="1684">
        <v>5</v>
      </c>
      <c r="I125" s="1686">
        <v>60</v>
      </c>
      <c r="J125" s="1686">
        <f t="shared" si="13"/>
        <v>16066.366666666667</v>
      </c>
      <c r="K125" s="1686">
        <v>481991</v>
      </c>
      <c r="L125" s="1686">
        <f>G125*K125</f>
        <v>963982</v>
      </c>
      <c r="M125" s="1686"/>
      <c r="N125" s="1686"/>
      <c r="O125" s="1686">
        <f t="shared" si="16"/>
        <v>963982</v>
      </c>
      <c r="P125" s="1686">
        <v>224929.13333333333</v>
      </c>
      <c r="Q125" s="1686">
        <f>J125</f>
        <v>16066.366666666667</v>
      </c>
      <c r="R125" s="1686"/>
      <c r="S125" s="1638">
        <f t="shared" ref="S125:S136" si="19">P125+Q125-R125</f>
        <v>240995.5</v>
      </c>
      <c r="T125" s="1639">
        <f t="shared" ref="T125:T136" si="20">O125-S125</f>
        <v>722986.5</v>
      </c>
      <c r="U125" s="1603">
        <v>22</v>
      </c>
    </row>
    <row r="126" spans="1:21" s="1718" customFormat="1" ht="7" x14ac:dyDescent="0.35">
      <c r="A126" s="1716"/>
      <c r="B126" s="1683">
        <v>104</v>
      </c>
      <c r="C126" s="1684" t="s">
        <v>8078</v>
      </c>
      <c r="D126" s="1684" t="s">
        <v>7518</v>
      </c>
      <c r="E126" s="1685">
        <v>46041</v>
      </c>
      <c r="F126" s="1683" t="s">
        <v>8079</v>
      </c>
      <c r="G126" s="1684">
        <v>1</v>
      </c>
      <c r="H126" s="1684">
        <v>5</v>
      </c>
      <c r="I126" s="1686">
        <v>60</v>
      </c>
      <c r="J126" s="1686">
        <v>27500</v>
      </c>
      <c r="K126" s="1686">
        <v>1650000</v>
      </c>
      <c r="L126" s="1686">
        <f>K126*G126</f>
        <v>1650000</v>
      </c>
      <c r="M126" s="1686"/>
      <c r="N126" s="1686"/>
      <c r="O126" s="1686">
        <f t="shared" si="16"/>
        <v>1650000</v>
      </c>
      <c r="P126" s="1686">
        <v>137500</v>
      </c>
      <c r="Q126" s="1686">
        <f t="shared" si="8"/>
        <v>27500</v>
      </c>
      <c r="R126" s="1686"/>
      <c r="S126" s="1638">
        <f t="shared" si="19"/>
        <v>165000</v>
      </c>
      <c r="T126" s="1639">
        <f t="shared" si="20"/>
        <v>1485000</v>
      </c>
      <c r="U126" s="1603">
        <v>22</v>
      </c>
    </row>
    <row r="127" spans="1:21" s="1718" customFormat="1" ht="7" x14ac:dyDescent="0.35">
      <c r="A127" s="1716"/>
      <c r="B127" s="1683">
        <v>105</v>
      </c>
      <c r="C127" s="3264" t="s">
        <v>8101</v>
      </c>
      <c r="D127" s="3264" t="s">
        <v>7518</v>
      </c>
      <c r="E127" s="3265">
        <v>46064</v>
      </c>
      <c r="F127" s="3266" t="s">
        <v>7610</v>
      </c>
      <c r="G127" s="3264">
        <v>1</v>
      </c>
      <c r="H127" s="3264">
        <v>5</v>
      </c>
      <c r="I127" s="3267">
        <v>60</v>
      </c>
      <c r="J127" s="1686">
        <f>K127*G127/I127</f>
        <v>10540</v>
      </c>
      <c r="K127" s="3267">
        <v>632400</v>
      </c>
      <c r="L127" s="1686">
        <f>K127*G127</f>
        <v>632400</v>
      </c>
      <c r="M127" s="1686"/>
      <c r="N127" s="1686"/>
      <c r="O127" s="1686">
        <f t="shared" si="16"/>
        <v>632400</v>
      </c>
      <c r="P127" s="1686">
        <v>42160</v>
      </c>
      <c r="Q127" s="1686">
        <f t="shared" si="8"/>
        <v>10540</v>
      </c>
      <c r="R127" s="1686"/>
      <c r="S127" s="1638">
        <f t="shared" ref="S127:S128" si="21">P127+Q127-R127</f>
        <v>52700</v>
      </c>
      <c r="T127" s="1639">
        <f t="shared" ref="T127:T128" si="22">O127-S127</f>
        <v>579700</v>
      </c>
      <c r="U127" s="1603">
        <v>22</v>
      </c>
    </row>
    <row r="128" spans="1:21" s="1718" customFormat="1" ht="7" x14ac:dyDescent="0.35">
      <c r="A128" s="1716"/>
      <c r="B128" s="1683">
        <v>106</v>
      </c>
      <c r="C128" s="1684"/>
      <c r="D128" s="1684"/>
      <c r="E128" s="1685"/>
      <c r="F128" s="1683"/>
      <c r="G128" s="1684"/>
      <c r="H128" s="1684"/>
      <c r="I128" s="1686"/>
      <c r="J128" s="1686"/>
      <c r="K128" s="1686"/>
      <c r="L128" s="1686">
        <f t="shared" ref="L128" si="23">K128*G128</f>
        <v>0</v>
      </c>
      <c r="M128" s="1686"/>
      <c r="N128" s="1686"/>
      <c r="O128" s="1686"/>
      <c r="P128" s="1686">
        <v>0</v>
      </c>
      <c r="Q128" s="1686">
        <f t="shared" si="8"/>
        <v>0</v>
      </c>
      <c r="R128" s="1686"/>
      <c r="S128" s="1638">
        <f t="shared" si="21"/>
        <v>0</v>
      </c>
      <c r="T128" s="1639">
        <f t="shared" si="22"/>
        <v>0</v>
      </c>
      <c r="U128" s="1603">
        <v>22</v>
      </c>
    </row>
    <row r="129" spans="1:22" s="1718" customFormat="1" ht="7" x14ac:dyDescent="0.35">
      <c r="A129" s="1716"/>
      <c r="B129" s="1683">
        <v>107</v>
      </c>
      <c r="C129" s="1684"/>
      <c r="D129" s="1684"/>
      <c r="E129" s="1685"/>
      <c r="F129" s="1683"/>
      <c r="G129" s="1684"/>
      <c r="H129" s="1684"/>
      <c r="I129" s="1686"/>
      <c r="J129" s="1686"/>
      <c r="K129" s="1686"/>
      <c r="L129" s="1686"/>
      <c r="M129" s="1686"/>
      <c r="N129" s="1686"/>
      <c r="O129" s="1686"/>
      <c r="P129" s="1686"/>
      <c r="Q129" s="1686"/>
      <c r="R129" s="1686"/>
      <c r="S129" s="1638"/>
      <c r="T129" s="1639"/>
      <c r="U129" s="1603">
        <v>22</v>
      </c>
    </row>
    <row r="130" spans="1:22" s="1718" customFormat="1" ht="7" x14ac:dyDescent="0.35">
      <c r="A130" s="1716"/>
      <c r="B130" s="1683">
        <v>108</v>
      </c>
      <c r="C130" s="1684"/>
      <c r="D130" s="1684"/>
      <c r="E130" s="1685"/>
      <c r="F130" s="1683"/>
      <c r="G130" s="1684"/>
      <c r="H130" s="1684"/>
      <c r="I130" s="1686"/>
      <c r="J130" s="1686"/>
      <c r="K130" s="1686"/>
      <c r="L130" s="1686"/>
      <c r="M130" s="1686"/>
      <c r="N130" s="1686"/>
      <c r="O130" s="1686"/>
      <c r="P130" s="1686"/>
      <c r="Q130" s="1686"/>
      <c r="R130" s="1686"/>
      <c r="S130" s="1638"/>
      <c r="T130" s="1639"/>
      <c r="U130" s="1603">
        <v>22</v>
      </c>
    </row>
    <row r="131" spans="1:22" s="1718" customFormat="1" ht="7" x14ac:dyDescent="0.35">
      <c r="A131" s="1716"/>
      <c r="B131" s="1683">
        <v>109</v>
      </c>
      <c r="C131" s="1684"/>
      <c r="D131" s="1684"/>
      <c r="E131" s="1685"/>
      <c r="F131" s="1683"/>
      <c r="G131" s="1684"/>
      <c r="H131" s="1684"/>
      <c r="I131" s="1686"/>
      <c r="J131" s="1686"/>
      <c r="K131" s="1686"/>
      <c r="L131" s="1686"/>
      <c r="M131" s="1686"/>
      <c r="N131" s="1686"/>
      <c r="O131" s="1686"/>
      <c r="P131" s="1686"/>
      <c r="Q131" s="1686"/>
      <c r="R131" s="1686"/>
      <c r="S131" s="1638"/>
      <c r="T131" s="1639"/>
      <c r="U131" s="1603">
        <v>22</v>
      </c>
    </row>
    <row r="132" spans="1:22" s="1718" customFormat="1" ht="7" x14ac:dyDescent="0.35">
      <c r="A132" s="1716"/>
      <c r="B132" s="1683">
        <v>110</v>
      </c>
      <c r="C132" s="1684"/>
      <c r="D132" s="1684"/>
      <c r="E132" s="1685"/>
      <c r="F132" s="1683"/>
      <c r="G132" s="1684"/>
      <c r="H132" s="1684"/>
      <c r="I132" s="1686"/>
      <c r="J132" s="1686"/>
      <c r="K132" s="1686"/>
      <c r="L132" s="1686"/>
      <c r="M132" s="1686"/>
      <c r="N132" s="1686"/>
      <c r="O132" s="1686"/>
      <c r="P132" s="1686"/>
      <c r="Q132" s="1686"/>
      <c r="R132" s="1686"/>
      <c r="S132" s="1638"/>
      <c r="T132" s="1639"/>
      <c r="U132" s="1603">
        <v>22</v>
      </c>
    </row>
    <row r="133" spans="1:22" s="1718" customFormat="1" ht="7" x14ac:dyDescent="0.35">
      <c r="A133" s="1716"/>
      <c r="B133" s="1683">
        <v>111</v>
      </c>
      <c r="C133" s="1684"/>
      <c r="D133" s="1684"/>
      <c r="E133" s="1685"/>
      <c r="F133" s="1683"/>
      <c r="G133" s="1684"/>
      <c r="H133" s="1684"/>
      <c r="I133" s="1686"/>
      <c r="J133" s="1686"/>
      <c r="K133" s="1686"/>
      <c r="L133" s="1686"/>
      <c r="M133" s="1686"/>
      <c r="N133" s="1686"/>
      <c r="O133" s="1686"/>
      <c r="P133" s="1686"/>
      <c r="Q133" s="1686"/>
      <c r="R133" s="1686"/>
      <c r="S133" s="1638"/>
      <c r="T133" s="1639"/>
      <c r="U133" s="1603">
        <v>22</v>
      </c>
    </row>
    <row r="134" spans="1:22" s="1718" customFormat="1" ht="7" x14ac:dyDescent="0.35">
      <c r="A134" s="1716"/>
      <c r="B134" s="1683">
        <v>112</v>
      </c>
      <c r="C134" s="1684"/>
      <c r="D134" s="1684"/>
      <c r="E134" s="1685"/>
      <c r="F134" s="1683"/>
      <c r="G134" s="1684"/>
      <c r="H134" s="1684"/>
      <c r="I134" s="1686"/>
      <c r="J134" s="1686"/>
      <c r="K134" s="1686"/>
      <c r="L134" s="1686"/>
      <c r="M134" s="1686"/>
      <c r="N134" s="1686"/>
      <c r="O134" s="1686"/>
      <c r="P134" s="1686"/>
      <c r="Q134" s="1686"/>
      <c r="R134" s="1686"/>
      <c r="S134" s="1638"/>
      <c r="T134" s="1639"/>
      <c r="U134" s="1603">
        <v>22</v>
      </c>
    </row>
    <row r="135" spans="1:22" s="1718" customFormat="1" ht="7" x14ac:dyDescent="0.35">
      <c r="A135" s="1716"/>
      <c r="B135" s="1683">
        <v>113</v>
      </c>
      <c r="C135" s="1684"/>
      <c r="D135" s="1684"/>
      <c r="E135" s="1685"/>
      <c r="F135" s="1683"/>
      <c r="G135" s="1684"/>
      <c r="H135" s="1684"/>
      <c r="I135" s="1686"/>
      <c r="J135" s="1686"/>
      <c r="K135" s="1686"/>
      <c r="L135" s="1686"/>
      <c r="M135" s="1686"/>
      <c r="N135" s="1686"/>
      <c r="O135" s="1686"/>
      <c r="P135" s="1686"/>
      <c r="Q135" s="1686"/>
      <c r="R135" s="1686"/>
      <c r="S135" s="1638"/>
      <c r="T135" s="1639"/>
      <c r="U135" s="1603">
        <v>22</v>
      </c>
    </row>
    <row r="136" spans="1:22" s="1718" customFormat="1" ht="7.5" thickBot="1" x14ac:dyDescent="0.4">
      <c r="A136" s="1716"/>
      <c r="B136" s="1683">
        <v>114</v>
      </c>
      <c r="C136" s="1684"/>
      <c r="D136" s="1684"/>
      <c r="E136" s="1685"/>
      <c r="F136" s="1683"/>
      <c r="G136" s="1684"/>
      <c r="H136" s="1684"/>
      <c r="I136" s="1686"/>
      <c r="J136" s="1686"/>
      <c r="K136" s="1686"/>
      <c r="L136" s="1686"/>
      <c r="M136" s="1686"/>
      <c r="N136" s="1686"/>
      <c r="O136" s="1686">
        <f t="shared" si="7"/>
        <v>0</v>
      </c>
      <c r="P136" s="1686">
        <v>0</v>
      </c>
      <c r="Q136" s="1686">
        <f t="shared" si="8"/>
        <v>0</v>
      </c>
      <c r="R136" s="1686"/>
      <c r="S136" s="1638">
        <f t="shared" si="19"/>
        <v>0</v>
      </c>
      <c r="T136" s="1639">
        <f t="shared" si="20"/>
        <v>0</v>
      </c>
      <c r="U136" s="1603">
        <v>22</v>
      </c>
    </row>
    <row r="137" spans="1:22" s="1718" customFormat="1" ht="12.5" thickBot="1" x14ac:dyDescent="0.4">
      <c r="A137" s="1716"/>
      <c r="B137" s="3920" t="s">
        <v>7519</v>
      </c>
      <c r="C137" s="3921"/>
      <c r="D137" s="3921"/>
      <c r="E137" s="2912"/>
      <c r="F137" s="2913"/>
      <c r="G137" s="2914"/>
      <c r="H137" s="2914"/>
      <c r="I137" s="2915"/>
      <c r="J137" s="2915"/>
      <c r="K137" s="2915"/>
      <c r="L137" s="2915">
        <f>SUM(L23:L136)</f>
        <v>65409919</v>
      </c>
      <c r="M137" s="2915">
        <f t="shared" ref="M137:S137" si="24">SUM(M23:M136)</f>
        <v>0</v>
      </c>
      <c r="N137" s="2915">
        <f t="shared" si="24"/>
        <v>0</v>
      </c>
      <c r="O137" s="2915">
        <f>SUM(O23:O136)</f>
        <v>65409919</v>
      </c>
      <c r="P137" s="2915">
        <f>SUM(P23:P136)</f>
        <v>32337326.850000005</v>
      </c>
      <c r="Q137" s="2915">
        <f t="shared" ref="Q137" si="25">SUM(Q23:Q136)</f>
        <v>1040165.3166666667</v>
      </c>
      <c r="R137" s="2915">
        <f t="shared" si="24"/>
        <v>0</v>
      </c>
      <c r="S137" s="2915">
        <f t="shared" si="24"/>
        <v>33377492.16666666</v>
      </c>
      <c r="T137" s="2915">
        <f>SUM(T23:T136)</f>
        <v>32032426.833333332</v>
      </c>
      <c r="U137" s="1603"/>
    </row>
    <row r="138" spans="1:22" s="1631" customFormat="1" ht="7" x14ac:dyDescent="0.35">
      <c r="A138" s="1643">
        <v>4</v>
      </c>
      <c r="B138" s="1644" t="s">
        <v>3111</v>
      </c>
      <c r="C138" s="1645"/>
      <c r="D138" s="1636"/>
      <c r="E138" s="1637"/>
      <c r="F138" s="1635"/>
      <c r="G138" s="1636"/>
      <c r="H138" s="1636"/>
      <c r="I138" s="1638"/>
      <c r="J138" s="1638"/>
      <c r="K138" s="1638"/>
      <c r="L138" s="1638"/>
      <c r="M138" s="1638"/>
      <c r="N138" s="1638"/>
      <c r="O138" s="1638"/>
      <c r="P138" s="1638"/>
      <c r="Q138" s="1638"/>
      <c r="R138" s="1638"/>
      <c r="S138" s="1638"/>
      <c r="T138" s="1639"/>
      <c r="U138" s="1640"/>
    </row>
    <row r="139" spans="1:22" s="1631" customFormat="1" ht="7" x14ac:dyDescent="0.35">
      <c r="A139" s="1643"/>
      <c r="B139" s="1735" t="s">
        <v>2447</v>
      </c>
      <c r="C139" s="1645" t="s">
        <v>1579</v>
      </c>
      <c r="D139" s="1636"/>
      <c r="E139" s="1637"/>
      <c r="F139" s="1635"/>
      <c r="G139" s="1636"/>
      <c r="H139" s="1636"/>
      <c r="I139" s="1638"/>
      <c r="J139" s="1638"/>
      <c r="K139" s="1638"/>
      <c r="L139" s="1638"/>
      <c r="M139" s="1638"/>
      <c r="N139" s="1638"/>
      <c r="O139" s="1638"/>
      <c r="P139" s="1638"/>
      <c r="Q139" s="1638"/>
      <c r="R139" s="1638"/>
      <c r="S139" s="1638"/>
      <c r="T139" s="1639"/>
      <c r="U139" s="1640"/>
    </row>
    <row r="140" spans="1:22" s="1718" customFormat="1" ht="7" x14ac:dyDescent="0.35">
      <c r="A140" s="1643"/>
      <c r="B140" s="1683">
        <v>1</v>
      </c>
      <c r="C140" s="1684" t="s">
        <v>7521</v>
      </c>
      <c r="D140" s="1684" t="s">
        <v>6648</v>
      </c>
      <c r="E140" s="1685">
        <v>45138</v>
      </c>
      <c r="F140" s="1683" t="s">
        <v>7515</v>
      </c>
      <c r="G140" s="1684">
        <v>2</v>
      </c>
      <c r="H140" s="1684">
        <v>5</v>
      </c>
      <c r="I140" s="1686">
        <f t="shared" ref="I140:I172" si="26">12*H140</f>
        <v>60</v>
      </c>
      <c r="J140" s="1686">
        <f>K140*G140/I140</f>
        <v>5000</v>
      </c>
      <c r="K140" s="1686">
        <v>150000</v>
      </c>
      <c r="L140" s="1638">
        <f>G140*K140</f>
        <v>300000</v>
      </c>
      <c r="M140" s="1638"/>
      <c r="N140" s="1638"/>
      <c r="O140" s="1686">
        <f t="shared" ref="O140:O173" si="27">L140+M140-N140</f>
        <v>300000</v>
      </c>
      <c r="P140" s="1638">
        <v>175000</v>
      </c>
      <c r="Q140" s="1638">
        <f t="shared" ref="Q140:Q173" si="28">J140</f>
        <v>5000</v>
      </c>
      <c r="R140" s="1638"/>
      <c r="S140" s="1638">
        <f t="shared" ref="S140" si="29">P140+Q140-R140</f>
        <v>180000</v>
      </c>
      <c r="T140" s="1639">
        <f t="shared" ref="T140" si="30">O140-S140</f>
        <v>120000</v>
      </c>
      <c r="U140" s="1603">
        <v>32</v>
      </c>
      <c r="V140" s="1631"/>
    </row>
    <row r="141" spans="1:22" s="1718" customFormat="1" ht="7" x14ac:dyDescent="0.35">
      <c r="A141" s="1643"/>
      <c r="B141" s="1683">
        <v>2</v>
      </c>
      <c r="C141" s="1684" t="s">
        <v>7522</v>
      </c>
      <c r="D141" s="1684" t="s">
        <v>6648</v>
      </c>
      <c r="E141" s="1685">
        <v>45138</v>
      </c>
      <c r="F141" s="1683" t="s">
        <v>7515</v>
      </c>
      <c r="G141" s="1684">
        <v>7</v>
      </c>
      <c r="H141" s="1684">
        <v>5</v>
      </c>
      <c r="I141" s="1686">
        <f t="shared" si="26"/>
        <v>60</v>
      </c>
      <c r="J141" s="1686">
        <f t="shared" ref="J141:J172" si="31">K141*G141/I141</f>
        <v>2333.3333333333335</v>
      </c>
      <c r="K141" s="1686">
        <v>20000</v>
      </c>
      <c r="L141" s="1638">
        <f t="shared" ref="L141:L168" si="32">G141*K141</f>
        <v>140000</v>
      </c>
      <c r="M141" s="1638"/>
      <c r="N141" s="1638"/>
      <c r="O141" s="1686">
        <f t="shared" si="27"/>
        <v>140000</v>
      </c>
      <c r="P141" s="1638">
        <v>81666.666666666642</v>
      </c>
      <c r="Q141" s="1638">
        <f t="shared" si="28"/>
        <v>2333.3333333333335</v>
      </c>
      <c r="R141" s="1638"/>
      <c r="S141" s="1638">
        <f t="shared" ref="S141:S169" si="33">P141+Q141-R141</f>
        <v>83999.999999999971</v>
      </c>
      <c r="T141" s="1639">
        <f t="shared" ref="T141:T169" si="34">O141-S141</f>
        <v>56000.000000000029</v>
      </c>
      <c r="U141" s="1603">
        <v>32</v>
      </c>
      <c r="V141" s="1631"/>
    </row>
    <row r="142" spans="1:22" s="1718" customFormat="1" ht="7" x14ac:dyDescent="0.35">
      <c r="A142" s="1643"/>
      <c r="B142" s="1683">
        <v>3</v>
      </c>
      <c r="C142" s="1684" t="s">
        <v>7523</v>
      </c>
      <c r="D142" s="1684" t="s">
        <v>6648</v>
      </c>
      <c r="E142" s="1685">
        <v>45138</v>
      </c>
      <c r="F142" s="1683" t="s">
        <v>7515</v>
      </c>
      <c r="G142" s="1684">
        <v>20</v>
      </c>
      <c r="H142" s="1684">
        <v>5</v>
      </c>
      <c r="I142" s="1686">
        <f t="shared" si="26"/>
        <v>60</v>
      </c>
      <c r="J142" s="1686">
        <f t="shared" si="31"/>
        <v>5000</v>
      </c>
      <c r="K142" s="1686">
        <v>15000</v>
      </c>
      <c r="L142" s="1638">
        <f t="shared" si="32"/>
        <v>300000</v>
      </c>
      <c r="M142" s="1638"/>
      <c r="N142" s="1638"/>
      <c r="O142" s="1686">
        <f t="shared" si="27"/>
        <v>300000</v>
      </c>
      <c r="P142" s="1638">
        <v>175000</v>
      </c>
      <c r="Q142" s="1638">
        <f t="shared" si="28"/>
        <v>5000</v>
      </c>
      <c r="R142" s="1638"/>
      <c r="S142" s="1638">
        <f t="shared" si="33"/>
        <v>180000</v>
      </c>
      <c r="T142" s="1639">
        <f t="shared" si="34"/>
        <v>120000</v>
      </c>
      <c r="U142" s="1603">
        <v>32</v>
      </c>
      <c r="V142" s="1631"/>
    </row>
    <row r="143" spans="1:22" s="1718" customFormat="1" ht="7" x14ac:dyDescent="0.35">
      <c r="A143" s="1643"/>
      <c r="B143" s="1683">
        <v>4</v>
      </c>
      <c r="C143" s="1684" t="s">
        <v>7524</v>
      </c>
      <c r="D143" s="1684" t="s">
        <v>6648</v>
      </c>
      <c r="E143" s="1685">
        <v>45138</v>
      </c>
      <c r="F143" s="1683" t="s">
        <v>7515</v>
      </c>
      <c r="G143" s="1684">
        <v>3</v>
      </c>
      <c r="H143" s="1684">
        <v>5</v>
      </c>
      <c r="I143" s="1686">
        <f t="shared" si="26"/>
        <v>60</v>
      </c>
      <c r="J143" s="1686">
        <f t="shared" si="31"/>
        <v>1250</v>
      </c>
      <c r="K143" s="1686">
        <v>25000</v>
      </c>
      <c r="L143" s="1638">
        <f t="shared" si="32"/>
        <v>75000</v>
      </c>
      <c r="M143" s="1638"/>
      <c r="N143" s="1638"/>
      <c r="O143" s="1686">
        <f t="shared" si="27"/>
        <v>75000</v>
      </c>
      <c r="P143" s="1638">
        <v>43750</v>
      </c>
      <c r="Q143" s="1638">
        <f t="shared" si="28"/>
        <v>1250</v>
      </c>
      <c r="R143" s="1638"/>
      <c r="S143" s="1638">
        <f t="shared" si="33"/>
        <v>45000</v>
      </c>
      <c r="T143" s="1639">
        <f t="shared" si="34"/>
        <v>30000</v>
      </c>
      <c r="U143" s="1603">
        <v>32</v>
      </c>
      <c r="V143" s="1631"/>
    </row>
    <row r="144" spans="1:22" s="1718" customFormat="1" ht="7" x14ac:dyDescent="0.35">
      <c r="A144" s="1643"/>
      <c r="B144" s="1683">
        <v>5</v>
      </c>
      <c r="C144" s="1684" t="s">
        <v>7523</v>
      </c>
      <c r="D144" s="1684" t="s">
        <v>6648</v>
      </c>
      <c r="E144" s="1685">
        <v>45138</v>
      </c>
      <c r="F144" s="1683" t="s">
        <v>7515</v>
      </c>
      <c r="G144" s="1684">
        <v>10</v>
      </c>
      <c r="H144" s="1684">
        <v>5</v>
      </c>
      <c r="I144" s="1686">
        <f t="shared" si="26"/>
        <v>60</v>
      </c>
      <c r="J144" s="1686">
        <f t="shared" si="31"/>
        <v>3166.6666666666665</v>
      </c>
      <c r="K144" s="1686">
        <v>19000</v>
      </c>
      <c r="L144" s="1638">
        <f t="shared" si="32"/>
        <v>190000</v>
      </c>
      <c r="M144" s="1638"/>
      <c r="N144" s="1638"/>
      <c r="O144" s="1686">
        <f t="shared" si="27"/>
        <v>190000</v>
      </c>
      <c r="P144" s="1638">
        <v>110833.33333333342</v>
      </c>
      <c r="Q144" s="1638">
        <f t="shared" si="28"/>
        <v>3166.6666666666665</v>
      </c>
      <c r="R144" s="1638"/>
      <c r="S144" s="1638">
        <f t="shared" si="33"/>
        <v>114000.00000000009</v>
      </c>
      <c r="T144" s="1639">
        <f t="shared" si="34"/>
        <v>75999.999999999913</v>
      </c>
      <c r="U144" s="1603">
        <v>32</v>
      </c>
      <c r="V144" s="1631"/>
    </row>
    <row r="145" spans="1:22" s="1718" customFormat="1" ht="7" x14ac:dyDescent="0.35">
      <c r="A145" s="1643"/>
      <c r="B145" s="1683">
        <v>6</v>
      </c>
      <c r="C145" s="1684" t="s">
        <v>3016</v>
      </c>
      <c r="D145" s="1684" t="s">
        <v>7518</v>
      </c>
      <c r="E145" s="1685">
        <v>45138</v>
      </c>
      <c r="F145" s="1683" t="s">
        <v>7515</v>
      </c>
      <c r="G145" s="1684">
        <v>1</v>
      </c>
      <c r="H145" s="1684">
        <v>5</v>
      </c>
      <c r="I145" s="1686">
        <f t="shared" si="26"/>
        <v>60</v>
      </c>
      <c r="J145" s="1686">
        <f t="shared" si="31"/>
        <v>666.66666666666663</v>
      </c>
      <c r="K145" s="1686">
        <v>40000</v>
      </c>
      <c r="L145" s="1638">
        <f t="shared" si="32"/>
        <v>40000</v>
      </c>
      <c r="M145" s="1638"/>
      <c r="N145" s="1638"/>
      <c r="O145" s="1686">
        <f t="shared" si="27"/>
        <v>40000</v>
      </c>
      <c r="P145" s="1638">
        <v>23333.333333333343</v>
      </c>
      <c r="Q145" s="1638">
        <f t="shared" si="28"/>
        <v>666.66666666666663</v>
      </c>
      <c r="R145" s="1638"/>
      <c r="S145" s="1638">
        <f t="shared" si="33"/>
        <v>24000.000000000011</v>
      </c>
      <c r="T145" s="1639">
        <f t="shared" si="34"/>
        <v>15999.999999999989</v>
      </c>
      <c r="U145" s="1603">
        <v>32</v>
      </c>
      <c r="V145" s="1631"/>
    </row>
    <row r="146" spans="1:22" s="1718" customFormat="1" ht="7" x14ac:dyDescent="0.35">
      <c r="A146" s="1643"/>
      <c r="B146" s="1683">
        <v>7</v>
      </c>
      <c r="C146" s="1684" t="s">
        <v>7525</v>
      </c>
      <c r="D146" s="1684" t="s">
        <v>7518</v>
      </c>
      <c r="E146" s="1685">
        <v>45138</v>
      </c>
      <c r="F146" s="1683" t="s">
        <v>7515</v>
      </c>
      <c r="G146" s="1684">
        <v>1</v>
      </c>
      <c r="H146" s="1684">
        <v>5</v>
      </c>
      <c r="I146" s="1686">
        <f t="shared" si="26"/>
        <v>60</v>
      </c>
      <c r="J146" s="1686">
        <f t="shared" si="31"/>
        <v>7500</v>
      </c>
      <c r="K146" s="1686">
        <v>450000</v>
      </c>
      <c r="L146" s="1638">
        <f t="shared" si="32"/>
        <v>450000</v>
      </c>
      <c r="M146" s="1638"/>
      <c r="N146" s="1638"/>
      <c r="O146" s="1686">
        <f t="shared" si="27"/>
        <v>450000</v>
      </c>
      <c r="P146" s="1638">
        <v>262500</v>
      </c>
      <c r="Q146" s="1638">
        <f t="shared" si="28"/>
        <v>7500</v>
      </c>
      <c r="R146" s="1638"/>
      <c r="S146" s="1638">
        <f t="shared" si="33"/>
        <v>270000</v>
      </c>
      <c r="T146" s="1639">
        <f t="shared" si="34"/>
        <v>180000</v>
      </c>
      <c r="U146" s="1603">
        <v>32</v>
      </c>
      <c r="V146" s="1631"/>
    </row>
    <row r="147" spans="1:22" s="1718" customFormat="1" ht="7" x14ac:dyDescent="0.35">
      <c r="A147" s="1643"/>
      <c r="B147" s="1683">
        <v>8</v>
      </c>
      <c r="C147" s="1684" t="s">
        <v>7526</v>
      </c>
      <c r="D147" s="1684" t="s">
        <v>7518</v>
      </c>
      <c r="E147" s="1685">
        <v>45138</v>
      </c>
      <c r="F147" s="1683" t="s">
        <v>7515</v>
      </c>
      <c r="G147" s="1684">
        <v>1</v>
      </c>
      <c r="H147" s="1684">
        <v>5</v>
      </c>
      <c r="I147" s="1686">
        <f t="shared" si="26"/>
        <v>60</v>
      </c>
      <c r="J147" s="1686">
        <f t="shared" si="31"/>
        <v>416.66666666666669</v>
      </c>
      <c r="K147" s="1686">
        <v>25000</v>
      </c>
      <c r="L147" s="1638">
        <f t="shared" si="32"/>
        <v>25000</v>
      </c>
      <c r="M147" s="1638"/>
      <c r="N147" s="1638"/>
      <c r="O147" s="1686">
        <f t="shared" si="27"/>
        <v>25000</v>
      </c>
      <c r="P147" s="1638">
        <v>14583.33333333333</v>
      </c>
      <c r="Q147" s="1638">
        <f t="shared" si="28"/>
        <v>416.66666666666669</v>
      </c>
      <c r="R147" s="1638"/>
      <c r="S147" s="1638">
        <f t="shared" si="33"/>
        <v>14999.999999999996</v>
      </c>
      <c r="T147" s="1639">
        <f t="shared" si="34"/>
        <v>10000.000000000004</v>
      </c>
      <c r="U147" s="1603">
        <v>32</v>
      </c>
      <c r="V147" s="1631"/>
    </row>
    <row r="148" spans="1:22" s="1718" customFormat="1" ht="7" x14ac:dyDescent="0.35">
      <c r="A148" s="1643"/>
      <c r="B148" s="1683">
        <v>9</v>
      </c>
      <c r="C148" s="1684" t="s">
        <v>7527</v>
      </c>
      <c r="D148" s="1684" t="s">
        <v>7518</v>
      </c>
      <c r="E148" s="1685">
        <v>45138</v>
      </c>
      <c r="F148" s="1683" t="s">
        <v>7515</v>
      </c>
      <c r="G148" s="1684">
        <v>1</v>
      </c>
      <c r="H148" s="1684">
        <v>5</v>
      </c>
      <c r="I148" s="1686">
        <f t="shared" si="26"/>
        <v>60</v>
      </c>
      <c r="J148" s="1686">
        <f t="shared" si="31"/>
        <v>416.66666666666669</v>
      </c>
      <c r="K148" s="1686">
        <v>25000</v>
      </c>
      <c r="L148" s="1638">
        <f t="shared" si="32"/>
        <v>25000</v>
      </c>
      <c r="M148" s="1638"/>
      <c r="N148" s="1638"/>
      <c r="O148" s="1686">
        <f t="shared" si="27"/>
        <v>25000</v>
      </c>
      <c r="P148" s="1638">
        <v>14583.33333333333</v>
      </c>
      <c r="Q148" s="1638">
        <f t="shared" si="28"/>
        <v>416.66666666666669</v>
      </c>
      <c r="R148" s="1638"/>
      <c r="S148" s="1638">
        <f t="shared" si="33"/>
        <v>14999.999999999996</v>
      </c>
      <c r="T148" s="1639">
        <f t="shared" si="34"/>
        <v>10000.000000000004</v>
      </c>
      <c r="U148" s="1603">
        <v>32</v>
      </c>
      <c r="V148" s="1631"/>
    </row>
    <row r="149" spans="1:22" s="1718" customFormat="1" ht="7" x14ac:dyDescent="0.35">
      <c r="A149" s="1643"/>
      <c r="B149" s="1683">
        <v>10</v>
      </c>
      <c r="C149" s="1684" t="s">
        <v>7528</v>
      </c>
      <c r="D149" s="1684" t="s">
        <v>7518</v>
      </c>
      <c r="E149" s="1685">
        <v>45138</v>
      </c>
      <c r="F149" s="1683" t="s">
        <v>7515</v>
      </c>
      <c r="G149" s="1684">
        <v>1</v>
      </c>
      <c r="H149" s="1684">
        <v>5</v>
      </c>
      <c r="I149" s="1686">
        <f t="shared" si="26"/>
        <v>60</v>
      </c>
      <c r="J149" s="1686">
        <f t="shared" si="31"/>
        <v>5000</v>
      </c>
      <c r="K149" s="1686">
        <v>300000</v>
      </c>
      <c r="L149" s="1638">
        <f t="shared" si="32"/>
        <v>300000</v>
      </c>
      <c r="M149" s="1638"/>
      <c r="N149" s="1638"/>
      <c r="O149" s="1686">
        <f t="shared" si="27"/>
        <v>300000</v>
      </c>
      <c r="P149" s="1638">
        <v>175000</v>
      </c>
      <c r="Q149" s="1638">
        <f t="shared" si="28"/>
        <v>5000</v>
      </c>
      <c r="R149" s="1638"/>
      <c r="S149" s="1638">
        <f t="shared" si="33"/>
        <v>180000</v>
      </c>
      <c r="T149" s="1639">
        <f t="shared" si="34"/>
        <v>120000</v>
      </c>
      <c r="U149" s="1603">
        <v>32</v>
      </c>
      <c r="V149" s="1631"/>
    </row>
    <row r="150" spans="1:22" s="1718" customFormat="1" ht="7" x14ac:dyDescent="0.35">
      <c r="A150" s="1643"/>
      <c r="B150" s="1683">
        <v>11</v>
      </c>
      <c r="C150" s="1684" t="s">
        <v>7529</v>
      </c>
      <c r="D150" s="1684" t="s">
        <v>7518</v>
      </c>
      <c r="E150" s="1685">
        <v>45138</v>
      </c>
      <c r="F150" s="1683" t="s">
        <v>7515</v>
      </c>
      <c r="G150" s="1684">
        <v>1</v>
      </c>
      <c r="H150" s="1684">
        <v>5</v>
      </c>
      <c r="I150" s="1686">
        <f t="shared" si="26"/>
        <v>60</v>
      </c>
      <c r="J150" s="1686">
        <f t="shared" si="31"/>
        <v>33333.333333333336</v>
      </c>
      <c r="K150" s="1686">
        <v>2000000</v>
      </c>
      <c r="L150" s="1638">
        <f t="shared" si="32"/>
        <v>2000000</v>
      </c>
      <c r="M150" s="1638"/>
      <c r="N150" s="1638"/>
      <c r="O150" s="1686">
        <f t="shared" si="27"/>
        <v>2000000</v>
      </c>
      <c r="P150" s="1638">
        <v>1166666.6666666665</v>
      </c>
      <c r="Q150" s="1638">
        <f t="shared" si="28"/>
        <v>33333.333333333336</v>
      </c>
      <c r="R150" s="1638"/>
      <c r="S150" s="1638">
        <f t="shared" si="33"/>
        <v>1199999.9999999998</v>
      </c>
      <c r="T150" s="1639">
        <f t="shared" si="34"/>
        <v>800000.00000000023</v>
      </c>
      <c r="U150" s="1603">
        <v>32</v>
      </c>
      <c r="V150" s="1631"/>
    </row>
    <row r="151" spans="1:22" s="1718" customFormat="1" ht="7" x14ac:dyDescent="0.35">
      <c r="A151" s="1643"/>
      <c r="B151" s="1683">
        <v>12</v>
      </c>
      <c r="C151" s="1684" t="s">
        <v>7530</v>
      </c>
      <c r="D151" s="1684" t="s">
        <v>7518</v>
      </c>
      <c r="E151" s="1685">
        <v>45138</v>
      </c>
      <c r="F151" s="1683" t="s">
        <v>7515</v>
      </c>
      <c r="G151" s="1684">
        <v>2</v>
      </c>
      <c r="H151" s="1684">
        <v>5</v>
      </c>
      <c r="I151" s="1686">
        <f t="shared" si="26"/>
        <v>60</v>
      </c>
      <c r="J151" s="1686">
        <f t="shared" si="31"/>
        <v>3333.3333333333335</v>
      </c>
      <c r="K151" s="1686">
        <v>100000</v>
      </c>
      <c r="L151" s="1638">
        <f t="shared" si="32"/>
        <v>200000</v>
      </c>
      <c r="M151" s="1638"/>
      <c r="N151" s="1638"/>
      <c r="O151" s="1686">
        <f t="shared" si="27"/>
        <v>200000</v>
      </c>
      <c r="P151" s="1638">
        <v>116666.66666666657</v>
      </c>
      <c r="Q151" s="1638">
        <f t="shared" si="28"/>
        <v>3333.3333333333335</v>
      </c>
      <c r="R151" s="1638"/>
      <c r="S151" s="1638">
        <f t="shared" si="33"/>
        <v>119999.9999999999</v>
      </c>
      <c r="T151" s="1639">
        <f t="shared" si="34"/>
        <v>80000.000000000102</v>
      </c>
      <c r="U151" s="1603">
        <v>32</v>
      </c>
      <c r="V151" s="1631"/>
    </row>
    <row r="152" spans="1:22" s="1718" customFormat="1" ht="7" x14ac:dyDescent="0.35">
      <c r="A152" s="1643"/>
      <c r="B152" s="1683">
        <v>13</v>
      </c>
      <c r="C152" s="1684" t="s">
        <v>7531</v>
      </c>
      <c r="D152" s="1684" t="s">
        <v>7518</v>
      </c>
      <c r="E152" s="1685">
        <v>45138</v>
      </c>
      <c r="F152" s="1683" t="s">
        <v>7515</v>
      </c>
      <c r="G152" s="1684">
        <v>1</v>
      </c>
      <c r="H152" s="1684">
        <v>5</v>
      </c>
      <c r="I152" s="1686">
        <f t="shared" si="26"/>
        <v>60</v>
      </c>
      <c r="J152" s="1686">
        <f t="shared" si="31"/>
        <v>25000</v>
      </c>
      <c r="K152" s="1686">
        <v>1500000</v>
      </c>
      <c r="L152" s="1638">
        <f t="shared" si="32"/>
        <v>1500000</v>
      </c>
      <c r="M152" s="1638"/>
      <c r="N152" s="1638"/>
      <c r="O152" s="1686">
        <f t="shared" si="27"/>
        <v>1500000</v>
      </c>
      <c r="P152" s="1638">
        <v>875000</v>
      </c>
      <c r="Q152" s="1638">
        <f t="shared" si="28"/>
        <v>25000</v>
      </c>
      <c r="R152" s="1638"/>
      <c r="S152" s="1638">
        <f t="shared" si="33"/>
        <v>900000</v>
      </c>
      <c r="T152" s="1639">
        <f t="shared" si="34"/>
        <v>600000</v>
      </c>
      <c r="U152" s="1603">
        <v>32</v>
      </c>
      <c r="V152" s="1631"/>
    </row>
    <row r="153" spans="1:22" s="1718" customFormat="1" ht="7" x14ac:dyDescent="0.35">
      <c r="A153" s="1643"/>
      <c r="B153" s="1683">
        <v>14</v>
      </c>
      <c r="C153" s="1684" t="s">
        <v>7532</v>
      </c>
      <c r="D153" s="1684" t="s">
        <v>7518</v>
      </c>
      <c r="E153" s="1685">
        <v>45138</v>
      </c>
      <c r="F153" s="1683" t="s">
        <v>7515</v>
      </c>
      <c r="G153" s="1684">
        <v>2</v>
      </c>
      <c r="H153" s="1684">
        <v>5</v>
      </c>
      <c r="I153" s="1686">
        <f t="shared" si="26"/>
        <v>60</v>
      </c>
      <c r="J153" s="1686">
        <f t="shared" si="31"/>
        <v>1666.6666666666667</v>
      </c>
      <c r="K153" s="1686">
        <v>50000</v>
      </c>
      <c r="L153" s="1638">
        <f t="shared" si="32"/>
        <v>100000</v>
      </c>
      <c r="M153" s="1638"/>
      <c r="N153" s="1638"/>
      <c r="O153" s="1686">
        <f t="shared" si="27"/>
        <v>100000</v>
      </c>
      <c r="P153" s="1638">
        <v>58333.333333333307</v>
      </c>
      <c r="Q153" s="1638">
        <f t="shared" si="28"/>
        <v>1666.6666666666667</v>
      </c>
      <c r="R153" s="1638"/>
      <c r="S153" s="1638">
        <f t="shared" si="33"/>
        <v>59999.999999999971</v>
      </c>
      <c r="T153" s="1639">
        <f t="shared" si="34"/>
        <v>40000.000000000029</v>
      </c>
      <c r="U153" s="1603">
        <v>32</v>
      </c>
      <c r="V153" s="1631"/>
    </row>
    <row r="154" spans="1:22" s="1718" customFormat="1" ht="7" x14ac:dyDescent="0.35">
      <c r="A154" s="1643"/>
      <c r="B154" s="1683">
        <v>15</v>
      </c>
      <c r="C154" s="1684" t="s">
        <v>7533</v>
      </c>
      <c r="D154" s="1684" t="s">
        <v>7518</v>
      </c>
      <c r="E154" s="1685">
        <v>45138</v>
      </c>
      <c r="F154" s="1683" t="s">
        <v>7515</v>
      </c>
      <c r="G154" s="1684">
        <v>1</v>
      </c>
      <c r="H154" s="1684">
        <v>5</v>
      </c>
      <c r="I154" s="1686">
        <f t="shared" si="26"/>
        <v>60</v>
      </c>
      <c r="J154" s="1686">
        <f t="shared" si="31"/>
        <v>5000</v>
      </c>
      <c r="K154" s="1686">
        <v>300000</v>
      </c>
      <c r="L154" s="1638">
        <f t="shared" si="32"/>
        <v>300000</v>
      </c>
      <c r="M154" s="1638"/>
      <c r="N154" s="1638"/>
      <c r="O154" s="1686">
        <f t="shared" si="27"/>
        <v>300000</v>
      </c>
      <c r="P154" s="1638">
        <v>175000</v>
      </c>
      <c r="Q154" s="1638">
        <f t="shared" si="28"/>
        <v>5000</v>
      </c>
      <c r="R154" s="1638"/>
      <c r="S154" s="1638">
        <f t="shared" si="33"/>
        <v>180000</v>
      </c>
      <c r="T154" s="1639">
        <f t="shared" si="34"/>
        <v>120000</v>
      </c>
      <c r="U154" s="1603">
        <v>32</v>
      </c>
      <c r="V154" s="1631"/>
    </row>
    <row r="155" spans="1:22" s="1718" customFormat="1" ht="7" x14ac:dyDescent="0.35">
      <c r="A155" s="1643"/>
      <c r="B155" s="1683">
        <v>16</v>
      </c>
      <c r="C155" s="1684" t="s">
        <v>7534</v>
      </c>
      <c r="D155" s="1684" t="s">
        <v>7518</v>
      </c>
      <c r="E155" s="1685">
        <v>45138</v>
      </c>
      <c r="F155" s="1683" t="s">
        <v>7515</v>
      </c>
      <c r="G155" s="1684">
        <v>1</v>
      </c>
      <c r="H155" s="1684">
        <v>5</v>
      </c>
      <c r="I155" s="1686">
        <f t="shared" si="26"/>
        <v>60</v>
      </c>
      <c r="J155" s="1686">
        <f t="shared" si="31"/>
        <v>708.33333333333337</v>
      </c>
      <c r="K155" s="1686">
        <v>42500</v>
      </c>
      <c r="L155" s="1638">
        <f t="shared" si="32"/>
        <v>42500</v>
      </c>
      <c r="M155" s="1638"/>
      <c r="N155" s="1638"/>
      <c r="O155" s="1686">
        <f t="shared" si="27"/>
        <v>42500</v>
      </c>
      <c r="P155" s="1638">
        <v>24791.666666666653</v>
      </c>
      <c r="Q155" s="1638">
        <f t="shared" si="28"/>
        <v>708.33333333333337</v>
      </c>
      <c r="R155" s="1638"/>
      <c r="S155" s="1638">
        <f t="shared" si="33"/>
        <v>25499.999999999985</v>
      </c>
      <c r="T155" s="1639">
        <f t="shared" si="34"/>
        <v>17000.000000000015</v>
      </c>
      <c r="U155" s="1603">
        <v>32</v>
      </c>
      <c r="V155" s="1631"/>
    </row>
    <row r="156" spans="1:22" s="1718" customFormat="1" ht="7" x14ac:dyDescent="0.35">
      <c r="A156" s="1643"/>
      <c r="B156" s="1683">
        <v>17</v>
      </c>
      <c r="C156" s="1684" t="s">
        <v>7535</v>
      </c>
      <c r="D156" s="1684" t="s">
        <v>7518</v>
      </c>
      <c r="E156" s="1685">
        <v>45138</v>
      </c>
      <c r="F156" s="1683" t="s">
        <v>7515</v>
      </c>
      <c r="G156" s="1684">
        <v>2</v>
      </c>
      <c r="H156" s="1684">
        <v>5</v>
      </c>
      <c r="I156" s="1686">
        <f t="shared" si="26"/>
        <v>60</v>
      </c>
      <c r="J156" s="1686">
        <f t="shared" si="31"/>
        <v>1883.3333333333333</v>
      </c>
      <c r="K156" s="1686">
        <v>56500</v>
      </c>
      <c r="L156" s="1638">
        <f t="shared" si="32"/>
        <v>113000</v>
      </c>
      <c r="M156" s="1638"/>
      <c r="N156" s="1638"/>
      <c r="O156" s="1686">
        <f t="shared" si="27"/>
        <v>113000</v>
      </c>
      <c r="P156" s="1638">
        <v>65916.666666666701</v>
      </c>
      <c r="Q156" s="1638">
        <f t="shared" si="28"/>
        <v>1883.3333333333333</v>
      </c>
      <c r="R156" s="1638"/>
      <c r="S156" s="1638">
        <f t="shared" si="33"/>
        <v>67800.000000000029</v>
      </c>
      <c r="T156" s="1639">
        <f t="shared" si="34"/>
        <v>45199.999999999971</v>
      </c>
      <c r="U156" s="1603">
        <v>32</v>
      </c>
      <c r="V156" s="1631"/>
    </row>
    <row r="157" spans="1:22" s="1718" customFormat="1" ht="7" x14ac:dyDescent="0.35">
      <c r="A157" s="1643"/>
      <c r="B157" s="1683">
        <v>18</v>
      </c>
      <c r="C157" s="1684" t="s">
        <v>7442</v>
      </c>
      <c r="D157" s="1684" t="s">
        <v>7518</v>
      </c>
      <c r="E157" s="1685">
        <v>45138</v>
      </c>
      <c r="F157" s="1683" t="s">
        <v>7515</v>
      </c>
      <c r="G157" s="1684">
        <v>1</v>
      </c>
      <c r="H157" s="1684">
        <v>5</v>
      </c>
      <c r="I157" s="1686">
        <f t="shared" si="26"/>
        <v>60</v>
      </c>
      <c r="J157" s="1686">
        <f t="shared" si="31"/>
        <v>5250</v>
      </c>
      <c r="K157" s="1686">
        <v>315000</v>
      </c>
      <c r="L157" s="1638">
        <f t="shared" si="32"/>
        <v>315000</v>
      </c>
      <c r="M157" s="1638"/>
      <c r="N157" s="1638"/>
      <c r="O157" s="1686">
        <f t="shared" si="27"/>
        <v>315000</v>
      </c>
      <c r="P157" s="1638">
        <v>183750</v>
      </c>
      <c r="Q157" s="1638">
        <f t="shared" si="28"/>
        <v>5250</v>
      </c>
      <c r="R157" s="1638"/>
      <c r="S157" s="1638">
        <f t="shared" si="33"/>
        <v>189000</v>
      </c>
      <c r="T157" s="1639">
        <f t="shared" si="34"/>
        <v>126000</v>
      </c>
      <c r="U157" s="1603">
        <v>32</v>
      </c>
      <c r="V157" s="1631"/>
    </row>
    <row r="158" spans="1:22" s="1718" customFormat="1" ht="7" x14ac:dyDescent="0.35">
      <c r="A158" s="1643"/>
      <c r="B158" s="1683">
        <v>19</v>
      </c>
      <c r="C158" s="1684" t="s">
        <v>7536</v>
      </c>
      <c r="D158" s="1684" t="s">
        <v>7518</v>
      </c>
      <c r="E158" s="1685">
        <v>45138</v>
      </c>
      <c r="F158" s="1683" t="s">
        <v>7515</v>
      </c>
      <c r="G158" s="1684">
        <v>1</v>
      </c>
      <c r="H158" s="1684">
        <v>5</v>
      </c>
      <c r="I158" s="1686">
        <f t="shared" si="26"/>
        <v>60</v>
      </c>
      <c r="J158" s="1686">
        <f t="shared" si="31"/>
        <v>750</v>
      </c>
      <c r="K158" s="1686">
        <v>45000</v>
      </c>
      <c r="L158" s="1638">
        <f t="shared" si="32"/>
        <v>45000</v>
      </c>
      <c r="M158" s="1638"/>
      <c r="N158" s="1638"/>
      <c r="O158" s="1686">
        <f t="shared" si="27"/>
        <v>45000</v>
      </c>
      <c r="P158" s="1638">
        <v>26250</v>
      </c>
      <c r="Q158" s="1638">
        <f t="shared" si="28"/>
        <v>750</v>
      </c>
      <c r="R158" s="1638"/>
      <c r="S158" s="1638">
        <f t="shared" si="33"/>
        <v>27000</v>
      </c>
      <c r="T158" s="1639">
        <f t="shared" si="34"/>
        <v>18000</v>
      </c>
      <c r="U158" s="1603">
        <v>32</v>
      </c>
      <c r="V158" s="1631"/>
    </row>
    <row r="159" spans="1:22" s="1718" customFormat="1" ht="7" x14ac:dyDescent="0.35">
      <c r="A159" s="1643"/>
      <c r="B159" s="1683">
        <v>20</v>
      </c>
      <c r="C159" s="1684" t="s">
        <v>7537</v>
      </c>
      <c r="D159" s="1684" t="s">
        <v>7518</v>
      </c>
      <c r="E159" s="1685">
        <v>45138</v>
      </c>
      <c r="F159" s="1683" t="s">
        <v>7515</v>
      </c>
      <c r="G159" s="1684">
        <v>1</v>
      </c>
      <c r="H159" s="1684">
        <v>5</v>
      </c>
      <c r="I159" s="1686">
        <f t="shared" si="26"/>
        <v>60</v>
      </c>
      <c r="J159" s="1686">
        <f t="shared" si="31"/>
        <v>15883.333333333334</v>
      </c>
      <c r="K159" s="1686">
        <v>953000</v>
      </c>
      <c r="L159" s="1638">
        <f t="shared" si="32"/>
        <v>953000</v>
      </c>
      <c r="M159" s="1638"/>
      <c r="N159" s="1638"/>
      <c r="O159" s="1686">
        <f t="shared" si="27"/>
        <v>953000</v>
      </c>
      <c r="P159" s="1638">
        <v>555916.6666666664</v>
      </c>
      <c r="Q159" s="1638">
        <f t="shared" si="28"/>
        <v>15883.333333333334</v>
      </c>
      <c r="R159" s="1638"/>
      <c r="S159" s="1638">
        <f t="shared" si="33"/>
        <v>571799.99999999977</v>
      </c>
      <c r="T159" s="1639">
        <f t="shared" si="34"/>
        <v>381200.00000000023</v>
      </c>
      <c r="U159" s="1603">
        <v>32</v>
      </c>
      <c r="V159" s="1631"/>
    </row>
    <row r="160" spans="1:22" s="1718" customFormat="1" ht="7" x14ac:dyDescent="0.35">
      <c r="A160" s="1643"/>
      <c r="B160" s="1683">
        <v>21</v>
      </c>
      <c r="C160" s="1684" t="s">
        <v>7538</v>
      </c>
      <c r="D160" s="1684" t="s">
        <v>7518</v>
      </c>
      <c r="E160" s="1685">
        <v>45138</v>
      </c>
      <c r="F160" s="1683" t="s">
        <v>7515</v>
      </c>
      <c r="G160" s="1684">
        <v>1</v>
      </c>
      <c r="H160" s="1684">
        <v>5</v>
      </c>
      <c r="I160" s="1686">
        <f t="shared" si="26"/>
        <v>60</v>
      </c>
      <c r="J160" s="1686">
        <f t="shared" si="31"/>
        <v>975</v>
      </c>
      <c r="K160" s="1686">
        <v>58500</v>
      </c>
      <c r="L160" s="1638">
        <f t="shared" si="32"/>
        <v>58500</v>
      </c>
      <c r="M160" s="1638"/>
      <c r="N160" s="1638"/>
      <c r="O160" s="1686">
        <f t="shared" si="27"/>
        <v>58500</v>
      </c>
      <c r="P160" s="1638">
        <v>34125</v>
      </c>
      <c r="Q160" s="1638">
        <f t="shared" si="28"/>
        <v>975</v>
      </c>
      <c r="R160" s="1638"/>
      <c r="S160" s="1638">
        <f t="shared" si="33"/>
        <v>35100</v>
      </c>
      <c r="T160" s="1639">
        <f t="shared" si="34"/>
        <v>23400</v>
      </c>
      <c r="U160" s="1603">
        <v>32</v>
      </c>
      <c r="V160" s="1631"/>
    </row>
    <row r="161" spans="1:22" s="1718" customFormat="1" ht="7" x14ac:dyDescent="0.35">
      <c r="A161" s="1643"/>
      <c r="B161" s="1683">
        <v>22</v>
      </c>
      <c r="C161" s="1684" t="s">
        <v>7539</v>
      </c>
      <c r="D161" s="1684" t="s">
        <v>7518</v>
      </c>
      <c r="E161" s="1685">
        <v>45138</v>
      </c>
      <c r="F161" s="1683" t="s">
        <v>7515</v>
      </c>
      <c r="G161" s="1684">
        <v>1</v>
      </c>
      <c r="H161" s="1684">
        <v>5</v>
      </c>
      <c r="I161" s="1686">
        <f t="shared" si="26"/>
        <v>60</v>
      </c>
      <c r="J161" s="1686">
        <f t="shared" si="31"/>
        <v>1125</v>
      </c>
      <c r="K161" s="1686">
        <v>67500</v>
      </c>
      <c r="L161" s="1638">
        <f t="shared" si="32"/>
        <v>67500</v>
      </c>
      <c r="M161" s="1638"/>
      <c r="N161" s="1638"/>
      <c r="O161" s="1686">
        <f t="shared" si="27"/>
        <v>67500</v>
      </c>
      <c r="P161" s="1638">
        <v>39375</v>
      </c>
      <c r="Q161" s="1638">
        <f t="shared" si="28"/>
        <v>1125</v>
      </c>
      <c r="R161" s="1638"/>
      <c r="S161" s="1638">
        <f t="shared" si="33"/>
        <v>40500</v>
      </c>
      <c r="T161" s="1639">
        <f t="shared" si="34"/>
        <v>27000</v>
      </c>
      <c r="U161" s="1603">
        <v>32</v>
      </c>
      <c r="V161" s="1631"/>
    </row>
    <row r="162" spans="1:22" s="1718" customFormat="1" ht="7" x14ac:dyDescent="0.35">
      <c r="A162" s="1643"/>
      <c r="B162" s="1683">
        <v>23</v>
      </c>
      <c r="C162" s="1684" t="s">
        <v>7540</v>
      </c>
      <c r="D162" s="1684" t="s">
        <v>7518</v>
      </c>
      <c r="E162" s="1685">
        <v>45138</v>
      </c>
      <c r="F162" s="1683" t="s">
        <v>7515</v>
      </c>
      <c r="G162" s="1684">
        <v>1</v>
      </c>
      <c r="H162" s="1684">
        <v>5</v>
      </c>
      <c r="I162" s="1686">
        <f t="shared" si="26"/>
        <v>60</v>
      </c>
      <c r="J162" s="1686">
        <f t="shared" si="31"/>
        <v>6010.0666666666666</v>
      </c>
      <c r="K162" s="1686">
        <v>360604</v>
      </c>
      <c r="L162" s="1638">
        <f t="shared" si="32"/>
        <v>360604</v>
      </c>
      <c r="M162" s="1638"/>
      <c r="N162" s="1638"/>
      <c r="O162" s="1686">
        <f t="shared" si="27"/>
        <v>360604</v>
      </c>
      <c r="P162" s="1638">
        <v>210352.33333333355</v>
      </c>
      <c r="Q162" s="1638">
        <f t="shared" si="28"/>
        <v>6010.0666666666666</v>
      </c>
      <c r="R162" s="1638"/>
      <c r="S162" s="1638">
        <f t="shared" si="33"/>
        <v>216362.40000000023</v>
      </c>
      <c r="T162" s="1639">
        <f t="shared" si="34"/>
        <v>144241.59999999977</v>
      </c>
      <c r="U162" s="1603">
        <v>32</v>
      </c>
      <c r="V162" s="1631"/>
    </row>
    <row r="163" spans="1:22" s="1718" customFormat="1" ht="7" x14ac:dyDescent="0.35">
      <c r="A163" s="1643"/>
      <c r="B163" s="1683">
        <v>24</v>
      </c>
      <c r="C163" s="1684" t="s">
        <v>7482</v>
      </c>
      <c r="D163" s="1684" t="s">
        <v>7518</v>
      </c>
      <c r="E163" s="1685">
        <v>45138</v>
      </c>
      <c r="F163" s="1683" t="s">
        <v>7515</v>
      </c>
      <c r="G163" s="1684">
        <v>1</v>
      </c>
      <c r="H163" s="1684">
        <v>5</v>
      </c>
      <c r="I163" s="1686">
        <f t="shared" si="26"/>
        <v>60</v>
      </c>
      <c r="J163" s="1686">
        <f t="shared" si="31"/>
        <v>550</v>
      </c>
      <c r="K163" s="1686">
        <v>33000</v>
      </c>
      <c r="L163" s="1638">
        <f t="shared" si="32"/>
        <v>33000</v>
      </c>
      <c r="M163" s="1638"/>
      <c r="N163" s="1638"/>
      <c r="O163" s="1686">
        <f t="shared" si="27"/>
        <v>33000</v>
      </c>
      <c r="P163" s="1638">
        <v>19250</v>
      </c>
      <c r="Q163" s="1638">
        <f t="shared" si="28"/>
        <v>550</v>
      </c>
      <c r="R163" s="1638"/>
      <c r="S163" s="1638">
        <f t="shared" si="33"/>
        <v>19800</v>
      </c>
      <c r="T163" s="1639">
        <f t="shared" si="34"/>
        <v>13200</v>
      </c>
      <c r="U163" s="1603">
        <v>32</v>
      </c>
      <c r="V163" s="1631"/>
    </row>
    <row r="164" spans="1:22" s="1718" customFormat="1" ht="7" x14ac:dyDescent="0.35">
      <c r="A164" s="1643"/>
      <c r="B164" s="1683">
        <v>25</v>
      </c>
      <c r="C164" s="1684" t="s">
        <v>7541</v>
      </c>
      <c r="D164" s="1684" t="s">
        <v>7518</v>
      </c>
      <c r="E164" s="1685">
        <v>45169</v>
      </c>
      <c r="F164" s="1683" t="s">
        <v>7515</v>
      </c>
      <c r="G164" s="1684">
        <v>3</v>
      </c>
      <c r="H164" s="1684">
        <v>5</v>
      </c>
      <c r="I164" s="1686">
        <f t="shared" si="26"/>
        <v>60</v>
      </c>
      <c r="J164" s="1686">
        <f t="shared" si="31"/>
        <v>7500</v>
      </c>
      <c r="K164" s="1686">
        <v>150000</v>
      </c>
      <c r="L164" s="1638">
        <f t="shared" si="32"/>
        <v>450000</v>
      </c>
      <c r="M164" s="1638"/>
      <c r="N164" s="1638"/>
      <c r="O164" s="1686">
        <f t="shared" si="27"/>
        <v>450000</v>
      </c>
      <c r="P164" s="1638">
        <v>255000</v>
      </c>
      <c r="Q164" s="1638">
        <f t="shared" si="28"/>
        <v>7500</v>
      </c>
      <c r="R164" s="1638"/>
      <c r="S164" s="1638">
        <f t="shared" si="33"/>
        <v>262500</v>
      </c>
      <c r="T164" s="1639">
        <f t="shared" si="34"/>
        <v>187500</v>
      </c>
      <c r="U164" s="1603">
        <v>32</v>
      </c>
      <c r="V164" s="1631"/>
    </row>
    <row r="165" spans="1:22" s="1718" customFormat="1" ht="7" x14ac:dyDescent="0.35">
      <c r="A165" s="1643"/>
      <c r="B165" s="1683">
        <v>26</v>
      </c>
      <c r="C165" s="1684" t="s">
        <v>7542</v>
      </c>
      <c r="D165" s="1684" t="s">
        <v>7518</v>
      </c>
      <c r="E165" s="1685">
        <v>45169</v>
      </c>
      <c r="F165" s="1683" t="s">
        <v>7515</v>
      </c>
      <c r="G165" s="1684">
        <v>1</v>
      </c>
      <c r="H165" s="1684">
        <v>5</v>
      </c>
      <c r="I165" s="1686">
        <f t="shared" si="26"/>
        <v>60</v>
      </c>
      <c r="J165" s="1686">
        <f t="shared" si="31"/>
        <v>2500</v>
      </c>
      <c r="K165" s="1686">
        <v>150000</v>
      </c>
      <c r="L165" s="1638">
        <f t="shared" si="32"/>
        <v>150000</v>
      </c>
      <c r="M165" s="1638"/>
      <c r="N165" s="1638"/>
      <c r="O165" s="1686">
        <f t="shared" si="27"/>
        <v>150000</v>
      </c>
      <c r="P165" s="1638">
        <v>85000</v>
      </c>
      <c r="Q165" s="1638">
        <f t="shared" si="28"/>
        <v>2500</v>
      </c>
      <c r="R165" s="1638"/>
      <c r="S165" s="1638">
        <f t="shared" si="33"/>
        <v>87500</v>
      </c>
      <c r="T165" s="1639">
        <f t="shared" si="34"/>
        <v>62500</v>
      </c>
      <c r="U165" s="1603">
        <v>32</v>
      </c>
      <c r="V165" s="1631"/>
    </row>
    <row r="166" spans="1:22" s="1718" customFormat="1" ht="7" x14ac:dyDescent="0.35">
      <c r="A166" s="1643"/>
      <c r="B166" s="1683">
        <v>27</v>
      </c>
      <c r="C166" s="1684" t="s">
        <v>7543</v>
      </c>
      <c r="D166" s="1684" t="s">
        <v>7518</v>
      </c>
      <c r="E166" s="1685">
        <v>45199</v>
      </c>
      <c r="F166" s="1683" t="s">
        <v>7515</v>
      </c>
      <c r="G166" s="1684">
        <v>1</v>
      </c>
      <c r="H166" s="1684">
        <v>5</v>
      </c>
      <c r="I166" s="1686">
        <f t="shared" si="26"/>
        <v>60</v>
      </c>
      <c r="J166" s="1686">
        <f t="shared" si="31"/>
        <v>625</v>
      </c>
      <c r="K166" s="1686">
        <v>37500</v>
      </c>
      <c r="L166" s="1638">
        <f t="shared" si="32"/>
        <v>37500</v>
      </c>
      <c r="M166" s="1638"/>
      <c r="N166" s="1638"/>
      <c r="O166" s="1686">
        <f t="shared" si="27"/>
        <v>37500</v>
      </c>
      <c r="P166" s="1638">
        <v>20625</v>
      </c>
      <c r="Q166" s="1638">
        <f t="shared" si="28"/>
        <v>625</v>
      </c>
      <c r="R166" s="1638"/>
      <c r="S166" s="1638">
        <f t="shared" si="33"/>
        <v>21250</v>
      </c>
      <c r="T166" s="1639">
        <f t="shared" si="34"/>
        <v>16250</v>
      </c>
      <c r="U166" s="1603">
        <v>32</v>
      </c>
      <c r="V166" s="1631"/>
    </row>
    <row r="167" spans="1:22" s="1718" customFormat="1" ht="7" x14ac:dyDescent="0.35">
      <c r="A167" s="1643"/>
      <c r="B167" s="1683">
        <v>28</v>
      </c>
      <c r="C167" s="1684" t="s">
        <v>7544</v>
      </c>
      <c r="D167" s="1684" t="s">
        <v>7518</v>
      </c>
      <c r="E167" s="1685">
        <v>45230</v>
      </c>
      <c r="F167" s="1683" t="s">
        <v>7515</v>
      </c>
      <c r="G167" s="1684">
        <v>1</v>
      </c>
      <c r="H167" s="1684">
        <v>5</v>
      </c>
      <c r="I167" s="1686">
        <f t="shared" si="26"/>
        <v>60</v>
      </c>
      <c r="J167" s="1686">
        <f t="shared" si="31"/>
        <v>2250</v>
      </c>
      <c r="K167" s="1686">
        <v>135000</v>
      </c>
      <c r="L167" s="1638">
        <f t="shared" si="32"/>
        <v>135000</v>
      </c>
      <c r="M167" s="1638"/>
      <c r="N167" s="1638"/>
      <c r="O167" s="1686">
        <f t="shared" si="27"/>
        <v>135000</v>
      </c>
      <c r="P167" s="1638">
        <v>72000</v>
      </c>
      <c r="Q167" s="1638">
        <f t="shared" si="28"/>
        <v>2250</v>
      </c>
      <c r="R167" s="1638"/>
      <c r="S167" s="1638">
        <f t="shared" si="33"/>
        <v>74250</v>
      </c>
      <c r="T167" s="1639">
        <f t="shared" si="34"/>
        <v>60750</v>
      </c>
      <c r="U167" s="1603">
        <v>32</v>
      </c>
      <c r="V167" s="1631"/>
    </row>
    <row r="168" spans="1:22" s="1718" customFormat="1" ht="7" x14ac:dyDescent="0.35">
      <c r="A168" s="1643"/>
      <c r="B168" s="1683">
        <v>29</v>
      </c>
      <c r="C168" s="1684" t="s">
        <v>7545</v>
      </c>
      <c r="D168" s="1684" t="s">
        <v>7518</v>
      </c>
      <c r="E168" s="1685">
        <v>45260</v>
      </c>
      <c r="F168" s="1683" t="s">
        <v>7515</v>
      </c>
      <c r="G168" s="1684">
        <v>1</v>
      </c>
      <c r="H168" s="1684">
        <v>5</v>
      </c>
      <c r="I168" s="1686">
        <f t="shared" si="26"/>
        <v>60</v>
      </c>
      <c r="J168" s="1686">
        <f t="shared" si="31"/>
        <v>550</v>
      </c>
      <c r="K168" s="1686">
        <v>33000</v>
      </c>
      <c r="L168" s="1638">
        <f t="shared" si="32"/>
        <v>33000</v>
      </c>
      <c r="M168" s="1638"/>
      <c r="N168" s="1638"/>
      <c r="O168" s="1686">
        <f t="shared" si="27"/>
        <v>33000</v>
      </c>
      <c r="P168" s="1638">
        <v>17050</v>
      </c>
      <c r="Q168" s="1638">
        <f t="shared" si="28"/>
        <v>550</v>
      </c>
      <c r="R168" s="1638"/>
      <c r="S168" s="1638">
        <f t="shared" si="33"/>
        <v>17600</v>
      </c>
      <c r="T168" s="1639">
        <f t="shared" si="34"/>
        <v>15400</v>
      </c>
      <c r="U168" s="1603">
        <v>32</v>
      </c>
      <c r="V168" s="1631"/>
    </row>
    <row r="169" spans="1:22" s="1718" customFormat="1" ht="7" x14ac:dyDescent="0.35">
      <c r="A169" s="1643"/>
      <c r="B169" s="1683">
        <v>30</v>
      </c>
      <c r="C169" s="1684" t="s">
        <v>7546</v>
      </c>
      <c r="D169" s="1684" t="s">
        <v>7518</v>
      </c>
      <c r="E169" s="1685">
        <v>45260</v>
      </c>
      <c r="F169" s="1683" t="s">
        <v>7515</v>
      </c>
      <c r="G169" s="1684">
        <v>1</v>
      </c>
      <c r="H169" s="1684">
        <v>5</v>
      </c>
      <c r="I169" s="1686">
        <f t="shared" si="26"/>
        <v>60</v>
      </c>
      <c r="J169" s="1686">
        <f t="shared" si="31"/>
        <v>2333.3333333333335</v>
      </c>
      <c r="K169" s="1686">
        <v>140000</v>
      </c>
      <c r="L169" s="1638">
        <f>G169*K169</f>
        <v>140000</v>
      </c>
      <c r="M169" s="1638"/>
      <c r="N169" s="1638"/>
      <c r="O169" s="1686">
        <f t="shared" si="27"/>
        <v>140000</v>
      </c>
      <c r="P169" s="1638">
        <v>72333.333333333343</v>
      </c>
      <c r="Q169" s="1638">
        <f t="shared" si="28"/>
        <v>2333.3333333333335</v>
      </c>
      <c r="R169" s="1638"/>
      <c r="S169" s="1638">
        <f t="shared" si="33"/>
        <v>74666.666666666672</v>
      </c>
      <c r="T169" s="1639">
        <f t="shared" si="34"/>
        <v>65333.333333333328</v>
      </c>
      <c r="U169" s="1603">
        <v>32</v>
      </c>
      <c r="V169" s="1631"/>
    </row>
    <row r="170" spans="1:22" s="1718" customFormat="1" ht="7" x14ac:dyDescent="0.35">
      <c r="A170" s="1643"/>
      <c r="B170" s="1683">
        <v>31</v>
      </c>
      <c r="C170" s="3264" t="s">
        <v>8102</v>
      </c>
      <c r="D170" s="3264" t="s">
        <v>7518</v>
      </c>
      <c r="E170" s="3265">
        <v>46064</v>
      </c>
      <c r="F170" s="3266" t="s">
        <v>7610</v>
      </c>
      <c r="G170" s="3264">
        <v>1</v>
      </c>
      <c r="H170" s="3264">
        <v>5</v>
      </c>
      <c r="I170" s="3267">
        <f t="shared" si="26"/>
        <v>60</v>
      </c>
      <c r="J170" s="1686">
        <f t="shared" si="31"/>
        <v>13895.666666666666</v>
      </c>
      <c r="K170" s="1686">
        <v>833740</v>
      </c>
      <c r="L170" s="1638">
        <f>G170*K170</f>
        <v>833740</v>
      </c>
      <c r="M170" s="1638"/>
      <c r="N170" s="1638"/>
      <c r="O170" s="1686">
        <f t="shared" si="27"/>
        <v>833740</v>
      </c>
      <c r="P170" s="1638">
        <v>55582.666666666664</v>
      </c>
      <c r="Q170" s="1638">
        <f t="shared" si="28"/>
        <v>13895.666666666666</v>
      </c>
      <c r="R170" s="1638"/>
      <c r="S170" s="1638">
        <f t="shared" ref="S170:S173" si="35">P170+Q170-R170</f>
        <v>69478.333333333328</v>
      </c>
      <c r="T170" s="1639">
        <f t="shared" ref="T170:T173" si="36">O170-S170</f>
        <v>764261.66666666663</v>
      </c>
      <c r="U170" s="1603">
        <v>32</v>
      </c>
      <c r="V170" s="1631"/>
    </row>
    <row r="171" spans="1:22" s="1718" customFormat="1" ht="7" x14ac:dyDescent="0.35">
      <c r="A171" s="1643"/>
      <c r="B171" s="1683">
        <v>32</v>
      </c>
      <c r="C171" s="3264" t="s">
        <v>8103</v>
      </c>
      <c r="D171" s="3264" t="s">
        <v>7518</v>
      </c>
      <c r="E171" s="3265">
        <v>46065</v>
      </c>
      <c r="F171" s="3266" t="s">
        <v>7610</v>
      </c>
      <c r="G171" s="3264">
        <v>1</v>
      </c>
      <c r="H171" s="3264">
        <v>5</v>
      </c>
      <c r="I171" s="3267">
        <f t="shared" si="26"/>
        <v>60</v>
      </c>
      <c r="J171" s="1686">
        <f t="shared" si="31"/>
        <v>10825.666666666666</v>
      </c>
      <c r="K171" s="1686">
        <v>649540</v>
      </c>
      <c r="L171" s="1638">
        <f>G171*K171</f>
        <v>649540</v>
      </c>
      <c r="M171" s="1638"/>
      <c r="N171" s="1638"/>
      <c r="O171" s="1686">
        <f t="shared" si="27"/>
        <v>649540</v>
      </c>
      <c r="P171" s="1638">
        <v>43302.666666666664</v>
      </c>
      <c r="Q171" s="1638">
        <f t="shared" si="28"/>
        <v>10825.666666666666</v>
      </c>
      <c r="R171" s="1638"/>
      <c r="S171" s="1638">
        <f t="shared" si="35"/>
        <v>54128.333333333328</v>
      </c>
      <c r="T171" s="1639">
        <f t="shared" si="36"/>
        <v>595411.66666666663</v>
      </c>
      <c r="U171" s="1603">
        <v>32</v>
      </c>
      <c r="V171" s="1631"/>
    </row>
    <row r="172" spans="1:22" s="1718" customFormat="1" ht="7" x14ac:dyDescent="0.35">
      <c r="A172" s="1643"/>
      <c r="B172" s="1683">
        <v>33</v>
      </c>
      <c r="C172" s="3264" t="s">
        <v>8104</v>
      </c>
      <c r="D172" s="3264" t="s">
        <v>7518</v>
      </c>
      <c r="E172" s="3265">
        <v>46064</v>
      </c>
      <c r="F172" s="3266" t="s">
        <v>7610</v>
      </c>
      <c r="G172" s="3264">
        <v>1</v>
      </c>
      <c r="H172" s="3264">
        <v>5</v>
      </c>
      <c r="I172" s="3267">
        <f t="shared" si="26"/>
        <v>60</v>
      </c>
      <c r="J172" s="1686">
        <f t="shared" si="31"/>
        <v>6893</v>
      </c>
      <c r="K172" s="1686">
        <v>413580</v>
      </c>
      <c r="L172" s="1638">
        <f>G172*K172</f>
        <v>413580</v>
      </c>
      <c r="M172" s="1638"/>
      <c r="N172" s="1638"/>
      <c r="O172" s="1686">
        <f t="shared" si="27"/>
        <v>413580</v>
      </c>
      <c r="P172" s="1638">
        <v>27572</v>
      </c>
      <c r="Q172" s="1638">
        <f t="shared" si="28"/>
        <v>6893</v>
      </c>
      <c r="R172" s="1638"/>
      <c r="S172" s="1638">
        <f t="shared" si="35"/>
        <v>34465</v>
      </c>
      <c r="T172" s="1639">
        <f t="shared" si="36"/>
        <v>379115</v>
      </c>
      <c r="U172" s="1603">
        <v>32</v>
      </c>
      <c r="V172" s="1631"/>
    </row>
    <row r="173" spans="1:22" s="1718" customFormat="1" ht="7" x14ac:dyDescent="0.35">
      <c r="A173" s="1643"/>
      <c r="B173" s="1683">
        <v>34</v>
      </c>
      <c r="C173" s="1684"/>
      <c r="D173" s="1684"/>
      <c r="E173" s="1685"/>
      <c r="F173" s="1683"/>
      <c r="G173" s="1684"/>
      <c r="H173" s="1684"/>
      <c r="I173" s="1686"/>
      <c r="J173" s="1686"/>
      <c r="K173" s="1686"/>
      <c r="L173" s="1638"/>
      <c r="M173" s="1638"/>
      <c r="N173" s="1638"/>
      <c r="O173" s="1686">
        <f t="shared" si="27"/>
        <v>0</v>
      </c>
      <c r="P173" s="1638">
        <v>0</v>
      </c>
      <c r="Q173" s="1638">
        <f t="shared" si="28"/>
        <v>0</v>
      </c>
      <c r="R173" s="1638"/>
      <c r="S173" s="1638">
        <f t="shared" si="35"/>
        <v>0</v>
      </c>
      <c r="T173" s="1639">
        <f t="shared" si="36"/>
        <v>0</v>
      </c>
      <c r="U173" s="1603">
        <v>32</v>
      </c>
      <c r="V173" s="1631"/>
    </row>
    <row r="174" spans="1:22" s="1718" customFormat="1" ht="7" x14ac:dyDescent="0.35">
      <c r="A174" s="1643"/>
      <c r="B174" s="1683">
        <v>35</v>
      </c>
      <c r="C174" s="1684"/>
      <c r="D174" s="1684"/>
      <c r="E174" s="1685"/>
      <c r="F174" s="1683"/>
      <c r="G174" s="1684"/>
      <c r="H174" s="1684"/>
      <c r="I174" s="1686"/>
      <c r="J174" s="1686"/>
      <c r="K174" s="1686"/>
      <c r="L174" s="1638"/>
      <c r="M174" s="1638"/>
      <c r="N174" s="1638"/>
      <c r="O174" s="1638"/>
      <c r="P174" s="1638"/>
      <c r="Q174" s="1638"/>
      <c r="R174" s="1638"/>
      <c r="S174" s="1638"/>
      <c r="T174" s="1639"/>
      <c r="U174" s="1603">
        <v>32</v>
      </c>
      <c r="V174" s="1631"/>
    </row>
    <row r="175" spans="1:22" s="1718" customFormat="1" ht="7" x14ac:dyDescent="0.35">
      <c r="A175" s="1643"/>
      <c r="B175" s="1683">
        <v>36</v>
      </c>
      <c r="C175" s="1684"/>
      <c r="D175" s="1684"/>
      <c r="E175" s="1685"/>
      <c r="F175" s="1683"/>
      <c r="G175" s="1684"/>
      <c r="H175" s="1684"/>
      <c r="I175" s="1686"/>
      <c r="J175" s="1686"/>
      <c r="K175" s="1686"/>
      <c r="L175" s="1638"/>
      <c r="M175" s="1638"/>
      <c r="N175" s="1638"/>
      <c r="O175" s="1638"/>
      <c r="P175" s="1638"/>
      <c r="Q175" s="1638"/>
      <c r="R175" s="1638"/>
      <c r="S175" s="1638"/>
      <c r="T175" s="1639"/>
      <c r="U175" s="1603">
        <v>32</v>
      </c>
      <c r="V175" s="1631"/>
    </row>
    <row r="176" spans="1:22" s="1718" customFormat="1" ht="7.5" thickBot="1" x14ac:dyDescent="0.4">
      <c r="A176" s="1643"/>
      <c r="B176" s="1683">
        <v>37</v>
      </c>
      <c r="C176" s="1684" t="s">
        <v>7930</v>
      </c>
      <c r="D176" s="1684"/>
      <c r="E176" s="1685"/>
      <c r="F176" s="1683"/>
      <c r="G176" s="1684"/>
      <c r="H176" s="1684"/>
      <c r="I176" s="1686"/>
      <c r="J176" s="1686"/>
      <c r="K176" s="1686"/>
      <c r="L176" s="1638"/>
      <c r="M176" s="1638"/>
      <c r="N176" s="1638"/>
      <c r="O176" s="1638"/>
      <c r="P176" s="1638"/>
      <c r="Q176" s="1638"/>
      <c r="R176" s="1638"/>
      <c r="S176" s="1638"/>
      <c r="T176" s="1639"/>
      <c r="U176" s="1603">
        <v>32</v>
      </c>
      <c r="V176" s="1631"/>
    </row>
    <row r="177" spans="1:22" s="1718" customFormat="1" ht="7.5" thickBot="1" x14ac:dyDescent="0.4">
      <c r="A177" s="2906"/>
      <c r="B177" s="2907"/>
      <c r="C177" s="2908"/>
      <c r="D177" s="2908"/>
      <c r="E177" s="2909"/>
      <c r="F177" s="2910"/>
      <c r="G177" s="2908"/>
      <c r="H177" s="2908"/>
      <c r="I177" s="2911"/>
      <c r="J177" s="2911">
        <f>SUM(J140:J176)</f>
        <v>179591.06666666665</v>
      </c>
      <c r="K177" s="2911">
        <f t="shared" ref="K177:T177" si="37">SUM(K140:K176)</f>
        <v>9492964</v>
      </c>
      <c r="L177" s="2911">
        <f t="shared" si="37"/>
        <v>10775464</v>
      </c>
      <c r="M177" s="2911">
        <f t="shared" si="37"/>
        <v>0</v>
      </c>
      <c r="N177" s="2911">
        <f t="shared" si="37"/>
        <v>0</v>
      </c>
      <c r="O177" s="2911">
        <f t="shared" si="37"/>
        <v>10775464</v>
      </c>
      <c r="P177" s="2911">
        <f t="shared" si="37"/>
        <v>5276109.666666667</v>
      </c>
      <c r="Q177" s="2911">
        <f t="shared" si="37"/>
        <v>179591.06666666665</v>
      </c>
      <c r="R177" s="2911">
        <f t="shared" si="37"/>
        <v>0</v>
      </c>
      <c r="S177" s="2911">
        <f t="shared" si="37"/>
        <v>5455700.7333333334</v>
      </c>
      <c r="T177" s="2911">
        <f t="shared" si="37"/>
        <v>5319763.2666666666</v>
      </c>
      <c r="U177" s="1603"/>
      <c r="V177" s="1631"/>
    </row>
    <row r="178" spans="1:22" s="1718" customFormat="1" ht="7" x14ac:dyDescent="0.35">
      <c r="A178" s="1643"/>
      <c r="B178" s="1683"/>
      <c r="C178" s="1684"/>
      <c r="D178" s="1684"/>
      <c r="E178" s="1685"/>
      <c r="F178" s="1683"/>
      <c r="G178" s="1684"/>
      <c r="H178" s="1684"/>
      <c r="I178" s="1686"/>
      <c r="J178" s="1686"/>
      <c r="K178" s="1686"/>
      <c r="L178" s="1638"/>
      <c r="M178" s="1638"/>
      <c r="N178" s="1638"/>
      <c r="O178" s="1638"/>
      <c r="P178" s="1638"/>
      <c r="Q178" s="1638"/>
      <c r="R178" s="1638"/>
      <c r="S178" s="1638"/>
      <c r="T178" s="1639"/>
      <c r="U178" s="1603"/>
      <c r="V178" s="1631"/>
    </row>
    <row r="179" spans="1:22" s="1631" customFormat="1" ht="7" x14ac:dyDescent="0.35">
      <c r="A179" s="1643">
        <v>5</v>
      </c>
      <c r="B179" s="1644" t="s">
        <v>3109</v>
      </c>
      <c r="C179" s="1645"/>
      <c r="D179" s="1636"/>
      <c r="E179" s="1637"/>
      <c r="F179" s="1635"/>
      <c r="G179" s="1636"/>
      <c r="H179" s="1636"/>
      <c r="I179" s="1638">
        <f>12*H179</f>
        <v>0</v>
      </c>
      <c r="J179" s="1638"/>
      <c r="K179" s="1638"/>
      <c r="L179" s="1638"/>
      <c r="M179" s="1638"/>
      <c r="N179" s="1638"/>
      <c r="O179" s="1638"/>
      <c r="P179" s="1638"/>
      <c r="Q179" s="1638"/>
      <c r="R179" s="1638"/>
      <c r="S179" s="1638"/>
      <c r="T179" s="1639"/>
      <c r="U179" s="1640"/>
    </row>
    <row r="180" spans="1:22" s="1642" customFormat="1" ht="7.5" thickBot="1" x14ac:dyDescent="0.4">
      <c r="A180" s="1632"/>
      <c r="B180" s="1635">
        <v>1</v>
      </c>
      <c r="C180" s="1636"/>
      <c r="D180" s="1636"/>
      <c r="E180" s="1637"/>
      <c r="F180" s="1635"/>
      <c r="G180" s="1636"/>
      <c r="H180" s="1636"/>
      <c r="I180" s="1638"/>
      <c r="J180" s="1638"/>
      <c r="K180" s="1638"/>
      <c r="L180" s="1638"/>
      <c r="M180" s="1638"/>
      <c r="N180" s="1638"/>
      <c r="O180" s="1638">
        <f>L180+M180-N180</f>
        <v>0</v>
      </c>
      <c r="P180" s="1638">
        <v>0</v>
      </c>
      <c r="Q180" s="1638">
        <f>J180</f>
        <v>0</v>
      </c>
      <c r="R180" s="1638"/>
      <c r="S180" s="1638">
        <f>P180+Q180-R180</f>
        <v>0</v>
      </c>
      <c r="T180" s="1639">
        <f>O180-S180</f>
        <v>0</v>
      </c>
      <c r="U180" s="1640">
        <v>42</v>
      </c>
    </row>
    <row r="181" spans="1:22" x14ac:dyDescent="0.35">
      <c r="A181" s="1719">
        <v>6</v>
      </c>
      <c r="B181" s="1756" t="s">
        <v>3167</v>
      </c>
      <c r="C181" s="1747"/>
      <c r="D181" s="1736"/>
      <c r="E181" s="1737"/>
      <c r="F181" s="1738"/>
      <c r="G181" s="1736"/>
      <c r="H181" s="1736"/>
      <c r="I181" s="1739"/>
      <c r="J181" s="1739"/>
      <c r="K181" s="1739"/>
      <c r="L181" s="1739"/>
      <c r="M181" s="1739"/>
      <c r="N181" s="1739"/>
      <c r="O181" s="1739"/>
      <c r="P181" s="1739"/>
      <c r="Q181" s="1739"/>
      <c r="R181" s="1739"/>
      <c r="S181" s="1739"/>
      <c r="T181" s="1748"/>
      <c r="U181" s="1640">
        <v>42</v>
      </c>
      <c r="V181" s="1555"/>
    </row>
    <row r="182" spans="1:22" x14ac:dyDescent="0.35">
      <c r="A182" s="1719"/>
      <c r="B182" s="1757">
        <v>1</v>
      </c>
      <c r="C182" s="1747" t="s">
        <v>3168</v>
      </c>
      <c r="D182" s="1736"/>
      <c r="E182" s="1737"/>
      <c r="F182" s="1738"/>
      <c r="G182" s="1736"/>
      <c r="H182" s="1736"/>
      <c r="I182" s="1739"/>
      <c r="J182" s="1739"/>
      <c r="K182" s="1739"/>
      <c r="L182" s="1739"/>
      <c r="M182" s="1739"/>
      <c r="N182" s="1739"/>
      <c r="O182" s="1739"/>
      <c r="P182" s="1739"/>
      <c r="Q182" s="1739"/>
      <c r="R182" s="1739"/>
      <c r="S182" s="1739"/>
      <c r="T182" s="1748"/>
      <c r="U182" s="1640">
        <v>42</v>
      </c>
      <c r="V182" s="1555"/>
    </row>
    <row r="183" spans="1:22" x14ac:dyDescent="0.35">
      <c r="A183" s="1719"/>
      <c r="B183" s="1757">
        <v>1</v>
      </c>
      <c r="C183" s="1750" t="s">
        <v>557</v>
      </c>
      <c r="D183" s="1736"/>
      <c r="E183" s="1737"/>
      <c r="F183" s="1738"/>
      <c r="G183" s="1736"/>
      <c r="H183" s="1736"/>
      <c r="I183" s="1739"/>
      <c r="J183" s="1739"/>
      <c r="K183" s="1739"/>
      <c r="L183" s="1686"/>
      <c r="M183" s="1686"/>
      <c r="N183" s="1686"/>
      <c r="O183" s="1686">
        <f>L183+M183-N183</f>
        <v>0</v>
      </c>
      <c r="P183" s="1686"/>
      <c r="Q183" s="1686">
        <f>J183</f>
        <v>0</v>
      </c>
      <c r="R183" s="1686"/>
      <c r="S183" s="1686"/>
      <c r="T183" s="1687">
        <f>O183-S183</f>
        <v>0</v>
      </c>
      <c r="U183" s="1640">
        <v>42</v>
      </c>
      <c r="V183" s="1555"/>
    </row>
    <row r="184" spans="1:22" x14ac:dyDescent="0.35">
      <c r="A184" s="1719"/>
      <c r="B184" s="1758">
        <v>2</v>
      </c>
      <c r="C184" s="1749" t="s">
        <v>3169</v>
      </c>
      <c r="D184" s="1736"/>
      <c r="E184" s="1737"/>
      <c r="F184" s="1738"/>
      <c r="G184" s="1736"/>
      <c r="H184" s="1736"/>
      <c r="I184" s="1739"/>
      <c r="J184" s="1739"/>
      <c r="K184" s="1739"/>
      <c r="L184" s="1739"/>
      <c r="M184" s="1739"/>
      <c r="N184" s="1739"/>
      <c r="O184" s="1739"/>
      <c r="P184" s="1739"/>
      <c r="Q184" s="1739"/>
      <c r="R184" s="1739"/>
      <c r="S184" s="1739"/>
      <c r="T184" s="1748"/>
      <c r="U184" s="1640">
        <v>42</v>
      </c>
      <c r="V184" s="1555"/>
    </row>
    <row r="185" spans="1:22" ht="12" thickBot="1" x14ac:dyDescent="0.4">
      <c r="A185" s="1719"/>
      <c r="B185" s="1757" t="s">
        <v>2447</v>
      </c>
      <c r="C185" s="1750" t="s">
        <v>3170</v>
      </c>
      <c r="D185" s="1736"/>
      <c r="E185" s="1737"/>
      <c r="F185" s="1738"/>
      <c r="G185" s="1736"/>
      <c r="H185" s="1736"/>
      <c r="I185" s="1739"/>
      <c r="J185" s="1739"/>
      <c r="K185" s="1739"/>
      <c r="L185" s="1759"/>
      <c r="M185" s="1739"/>
      <c r="N185" s="1739"/>
      <c r="O185" s="1686">
        <f>L185+M185-N185</f>
        <v>0</v>
      </c>
      <c r="P185" s="1686"/>
      <c r="Q185" s="1739"/>
      <c r="R185" s="1739"/>
      <c r="S185" s="1739"/>
      <c r="T185" s="1687">
        <f>O185-S185</f>
        <v>0</v>
      </c>
      <c r="U185" s="1603"/>
      <c r="V185" s="1555"/>
    </row>
    <row r="186" spans="1:22" s="648" customFormat="1" ht="12" thickBot="1" x14ac:dyDescent="0.4">
      <c r="A186" s="1708"/>
      <c r="B186" s="1760"/>
      <c r="C186" s="1761"/>
      <c r="D186" s="1762"/>
      <c r="E186" s="1763"/>
      <c r="F186" s="1764"/>
      <c r="G186" s="1762"/>
      <c r="H186" s="1762"/>
      <c r="I186" s="1765"/>
      <c r="J186" s="1765"/>
      <c r="K186" s="1765"/>
      <c r="L186" s="1765">
        <f>SUM(L183:L185)</f>
        <v>0</v>
      </c>
      <c r="M186" s="1765">
        <f t="shared" ref="M186:T186" si="38">SUM(M183:M185)</f>
        <v>0</v>
      </c>
      <c r="N186" s="1765">
        <f t="shared" si="38"/>
        <v>0</v>
      </c>
      <c r="O186" s="1765">
        <f t="shared" si="38"/>
        <v>0</v>
      </c>
      <c r="P186" s="1765">
        <v>0</v>
      </c>
      <c r="Q186" s="1765">
        <f t="shared" si="38"/>
        <v>0</v>
      </c>
      <c r="R186" s="1765">
        <f t="shared" si="38"/>
        <v>0</v>
      </c>
      <c r="S186" s="1765">
        <f t="shared" si="38"/>
        <v>0</v>
      </c>
      <c r="T186" s="1765">
        <f t="shared" si="38"/>
        <v>0</v>
      </c>
      <c r="U186" s="1640"/>
    </row>
    <row r="187" spans="1:22" s="648" customFormat="1" ht="12" thickBot="1" x14ac:dyDescent="0.4">
      <c r="A187" s="1632"/>
      <c r="B187" s="1649"/>
      <c r="C187" s="1641"/>
      <c r="D187" s="1636"/>
      <c r="E187" s="1637"/>
      <c r="F187" s="1635"/>
      <c r="G187" s="1636"/>
      <c r="H187" s="1636"/>
      <c r="I187" s="1638"/>
      <c r="J187" s="1638"/>
      <c r="K187" s="1638"/>
      <c r="L187" s="1638"/>
      <c r="M187" s="1638"/>
      <c r="N187" s="1638"/>
      <c r="O187" s="1638"/>
      <c r="P187" s="1638"/>
      <c r="Q187" s="1638"/>
      <c r="R187" s="1638"/>
      <c r="S187" s="1638"/>
      <c r="T187" s="1639"/>
      <c r="U187" s="1640"/>
    </row>
    <row r="188" spans="1:22" s="1655" customFormat="1" ht="12" thickBot="1" x14ac:dyDescent="0.4">
      <c r="A188" s="3913" t="s">
        <v>3121</v>
      </c>
      <c r="B188" s="3914"/>
      <c r="C188" s="3914"/>
      <c r="D188" s="2856"/>
      <c r="E188" s="2857"/>
      <c r="F188" s="2857"/>
      <c r="G188" s="2856"/>
      <c r="H188" s="2856"/>
      <c r="I188" s="2856">
        <f>12*H188</f>
        <v>0</v>
      </c>
      <c r="J188" s="2856"/>
      <c r="K188" s="2856"/>
      <c r="L188" s="2856">
        <f>L177+L137+L20</f>
        <v>126185383</v>
      </c>
      <c r="M188" s="2856">
        <f>M177+M137+M20</f>
        <v>0</v>
      </c>
      <c r="N188" s="2856">
        <f t="shared" ref="N188" si="39">N177+N137+N20</f>
        <v>0</v>
      </c>
      <c r="O188" s="2856">
        <f>O177+O137+O20</f>
        <v>126185383</v>
      </c>
      <c r="P188" s="2856">
        <f t="shared" ref="P188:R188" si="40">P177+P137+P20</f>
        <v>54280103.183333352</v>
      </c>
      <c r="Q188" s="2856">
        <f>Q177+Q137+Q20</f>
        <v>1428089.7166666666</v>
      </c>
      <c r="R188" s="2856">
        <f t="shared" si="40"/>
        <v>0</v>
      </c>
      <c r="S188" s="2856">
        <f>S177+S137+S20</f>
        <v>55708192.900000006</v>
      </c>
      <c r="T188" s="2856">
        <f>T177+T137+T20</f>
        <v>70477190.099999994</v>
      </c>
      <c r="U188" s="1652"/>
      <c r="V188" s="1653"/>
    </row>
    <row r="189" spans="1:22" x14ac:dyDescent="0.35">
      <c r="V189" s="1766"/>
    </row>
    <row r="191" spans="1:22" x14ac:dyDescent="0.35">
      <c r="S191" s="1664" t="s">
        <v>3252</v>
      </c>
      <c r="T191" s="1664">
        <f>Q20</f>
        <v>208333.33333333334</v>
      </c>
      <c r="U191" s="1665" t="s">
        <v>3123</v>
      </c>
    </row>
    <row r="192" spans="1:22" x14ac:dyDescent="0.35">
      <c r="S192" s="1663" t="s">
        <v>6650</v>
      </c>
      <c r="T192" s="1663">
        <f>Q137</f>
        <v>1040165.3166666667</v>
      </c>
    </row>
    <row r="193" spans="19:20" x14ac:dyDescent="0.35">
      <c r="S193" s="1663" t="s">
        <v>7586</v>
      </c>
      <c r="T193" s="1663">
        <f>Q177</f>
        <v>179591.06666666665</v>
      </c>
    </row>
  </sheetData>
  <autoFilter ref="L8:T188"/>
  <mergeCells count="17">
    <mergeCell ref="A5:T5"/>
    <mergeCell ref="A2:T2"/>
    <mergeCell ref="A3:T3"/>
    <mergeCell ref="A4:T4"/>
    <mergeCell ref="A1:T1"/>
    <mergeCell ref="A188:C188"/>
    <mergeCell ref="A6:T6"/>
    <mergeCell ref="A7:B11"/>
    <mergeCell ref="F7:F11"/>
    <mergeCell ref="G7:G11"/>
    <mergeCell ref="H7:H11"/>
    <mergeCell ref="K7:K11"/>
    <mergeCell ref="L7:O7"/>
    <mergeCell ref="P7:S7"/>
    <mergeCell ref="T10:T11"/>
    <mergeCell ref="B137:D137"/>
    <mergeCell ref="B20:D20"/>
  </mergeCells>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P100"/>
  <sheetViews>
    <sheetView topLeftCell="A56" zoomScale="90" zoomScaleNormal="90" zoomScaleSheetLayoutView="80" workbookViewId="0">
      <selection activeCell="F72" sqref="F72"/>
    </sheetView>
  </sheetViews>
  <sheetFormatPr defaultColWidth="8.81640625" defaultRowHeight="13" outlineLevelRow="1" x14ac:dyDescent="0.3"/>
  <cols>
    <col min="1" max="1" width="1.54296875" style="43" customWidth="1"/>
    <col min="2" max="2" width="0.7265625" style="43" customWidth="1"/>
    <col min="3" max="3" width="1.7265625" style="43" customWidth="1"/>
    <col min="4" max="4" width="35.81640625" style="43" customWidth="1"/>
    <col min="5" max="5" width="24.1796875" style="50" customWidth="1"/>
    <col min="6" max="8" width="24.1796875" style="2783" customWidth="1"/>
    <col min="9" max="9" width="34.81640625" style="43" customWidth="1"/>
    <col min="10" max="10" width="1.81640625" style="58" customWidth="1"/>
    <col min="11" max="11" width="18.7265625" style="43" customWidth="1"/>
    <col min="12" max="13" width="18.453125" style="3191" customWidth="1"/>
    <col min="14" max="14" width="13.453125" style="3243" customWidth="1"/>
    <col min="15" max="16" width="20.36328125" style="43" customWidth="1"/>
    <col min="17" max="17" width="15.453125" style="43" customWidth="1"/>
    <col min="18" max="16384" width="8.81640625" style="43"/>
  </cols>
  <sheetData>
    <row r="1" spans="2:16" s="2267" customFormat="1" ht="14" x14ac:dyDescent="0.3">
      <c r="B1" s="3410" t="s">
        <v>7325</v>
      </c>
      <c r="C1" s="3410"/>
      <c r="D1" s="3410"/>
      <c r="E1" s="3410"/>
      <c r="F1" s="3410"/>
      <c r="G1" s="3410"/>
      <c r="H1" s="3410"/>
      <c r="I1" s="3410"/>
      <c r="J1" s="3410"/>
      <c r="L1" s="3189"/>
      <c r="M1" s="3189"/>
      <c r="N1" s="3240"/>
    </row>
    <row r="2" spans="2:16" s="2267" customFormat="1" ht="3.75" customHeight="1" x14ac:dyDescent="0.3">
      <c r="B2" s="2057"/>
      <c r="C2" s="2057"/>
      <c r="D2" s="2057"/>
      <c r="E2" s="2057"/>
      <c r="F2" s="2731"/>
      <c r="G2" s="2731"/>
      <c r="H2" s="2731"/>
      <c r="I2" s="2057"/>
      <c r="J2" s="2057"/>
      <c r="L2" s="3189"/>
      <c r="M2" s="3189"/>
      <c r="N2" s="3240"/>
    </row>
    <row r="3" spans="2:16" s="2267" customFormat="1" ht="6.75" customHeight="1" x14ac:dyDescent="0.3">
      <c r="B3" s="2057"/>
      <c r="C3" s="2057"/>
      <c r="D3" s="2057"/>
      <c r="E3" s="2057"/>
      <c r="F3" s="2731"/>
      <c r="G3" s="2731"/>
      <c r="H3" s="2731"/>
      <c r="I3" s="2057"/>
      <c r="J3" s="2057"/>
      <c r="L3" s="3189"/>
      <c r="M3" s="3189"/>
      <c r="N3" s="3240"/>
    </row>
    <row r="4" spans="2:16" s="1153" customFormat="1" ht="22.5" customHeight="1" outlineLevel="1" x14ac:dyDescent="0.35">
      <c r="B4" s="3812" t="s">
        <v>7205</v>
      </c>
      <c r="C4" s="3812"/>
      <c r="D4" s="3812"/>
      <c r="E4" s="3812"/>
      <c r="F4" s="3812"/>
      <c r="G4" s="3812"/>
      <c r="H4" s="3812"/>
      <c r="I4" s="3812"/>
      <c r="J4" s="3812"/>
      <c r="L4" s="3190"/>
      <c r="M4" s="3190"/>
      <c r="N4" s="3241"/>
    </row>
    <row r="5" spans="2:16" s="2267" customFormat="1" ht="14" x14ac:dyDescent="0.3">
      <c r="B5" s="1734" t="s">
        <v>7300</v>
      </c>
      <c r="C5" s="2268"/>
      <c r="D5" s="2268"/>
      <c r="E5" s="2269"/>
      <c r="F5" s="2732"/>
      <c r="G5" s="2732"/>
      <c r="H5" s="2732"/>
      <c r="I5" s="2268"/>
      <c r="J5" s="82" t="s">
        <v>7301</v>
      </c>
      <c r="L5" s="3189"/>
      <c r="M5" s="3189"/>
      <c r="N5" s="3240"/>
    </row>
    <row r="6" spans="2:16" s="2267" customFormat="1" ht="21" customHeight="1" x14ac:dyDescent="0.3">
      <c r="B6" s="3873" t="str">
        <f>NRC!B5</f>
        <v>30 June 2026</v>
      </c>
      <c r="C6" s="3873"/>
      <c r="D6" s="3873"/>
      <c r="E6" s="2275"/>
      <c r="F6" s="2733"/>
      <c r="G6" s="2733"/>
      <c r="H6" s="2733"/>
      <c r="I6" s="3400">
        <f>NRC!I5</f>
        <v>46203</v>
      </c>
      <c r="J6" s="3400"/>
      <c r="L6" s="3189"/>
      <c r="M6" s="3189"/>
      <c r="N6" s="3240"/>
    </row>
    <row r="7" spans="2:16" s="2267" customFormat="1" ht="14" x14ac:dyDescent="0.3">
      <c r="B7" s="1734" t="str">
        <f>IN!C9</f>
        <v>(Dengan perbandingan informasi keuangan untuk bulan yang berakhir 31 May 2026 /</v>
      </c>
      <c r="C7" s="2275"/>
      <c r="D7" s="2275"/>
      <c r="E7" s="2275"/>
      <c r="F7" s="2733"/>
      <c r="G7" s="2733"/>
      <c r="H7" s="2733"/>
      <c r="I7" s="2275"/>
      <c r="J7" s="82" t="str">
        <f>IN!C10</f>
        <v>With Comparative financial information for the month ended May 31, 2026 )</v>
      </c>
      <c r="L7" s="3189"/>
      <c r="M7" s="3189"/>
      <c r="N7" s="3240"/>
    </row>
    <row r="8" spans="2:16" s="2267" customFormat="1" ht="14" x14ac:dyDescent="0.3">
      <c r="B8" s="1734" t="str">
        <f>[20]NRC!B7</f>
        <v>(Disajikan dalam rupiah)</v>
      </c>
      <c r="C8" s="2275"/>
      <c r="D8" s="2275"/>
      <c r="E8" s="2275"/>
      <c r="F8" s="2733"/>
      <c r="G8" s="2733"/>
      <c r="H8" s="2733"/>
      <c r="I8" s="2275"/>
      <c r="J8" s="82" t="str">
        <f>[20]NRC!J7</f>
        <v xml:space="preserve"> (Expressed in rupiah)</v>
      </c>
      <c r="L8" s="3189"/>
      <c r="M8" s="3189"/>
      <c r="N8" s="3240"/>
    </row>
    <row r="9" spans="2:16" s="2197" customFormat="1" ht="15" customHeight="1" thickBot="1" x14ac:dyDescent="0.4">
      <c r="B9" s="130"/>
      <c r="C9" s="2734"/>
      <c r="D9" s="2734"/>
      <c r="E9" s="2735">
        <f>E18-'[21]12 (Nrc kns)'!$E$17</f>
        <v>-190774326.53</v>
      </c>
      <c r="F9" s="2736"/>
      <c r="G9" s="2736"/>
      <c r="H9" s="2736"/>
      <c r="I9" s="2734"/>
      <c r="J9" s="408"/>
      <c r="L9" s="3934" t="s">
        <v>8039</v>
      </c>
      <c r="M9" s="3934"/>
      <c r="N9" s="3242"/>
      <c r="O9" s="3934" t="s">
        <v>8042</v>
      </c>
      <c r="P9" s="3934"/>
    </row>
    <row r="10" spans="2:16" ht="15" customHeight="1" thickBot="1" x14ac:dyDescent="0.35">
      <c r="B10" s="3904" t="s">
        <v>178</v>
      </c>
      <c r="C10" s="3904"/>
      <c r="D10" s="3904"/>
      <c r="E10" s="2737" t="s">
        <v>7302</v>
      </c>
      <c r="F10" s="2737" t="s">
        <v>7303</v>
      </c>
      <c r="G10" s="2737" t="s">
        <v>7304</v>
      </c>
      <c r="H10" s="2737" t="s">
        <v>7305</v>
      </c>
      <c r="I10" s="3880" t="s">
        <v>180</v>
      </c>
      <c r="J10" s="3880"/>
      <c r="L10" s="3930" t="s">
        <v>8040</v>
      </c>
      <c r="M10" s="3932" t="s">
        <v>8041</v>
      </c>
      <c r="O10" s="3930" t="s">
        <v>8040</v>
      </c>
      <c r="P10" s="3932" t="s">
        <v>8041</v>
      </c>
    </row>
    <row r="11" spans="2:16" s="369" customFormat="1" ht="14.25" customHeight="1" thickBot="1" x14ac:dyDescent="0.35">
      <c r="B11" s="3904"/>
      <c r="C11" s="3904"/>
      <c r="D11" s="3904"/>
      <c r="E11" s="2738" t="s">
        <v>7306</v>
      </c>
      <c r="F11" s="2738" t="s">
        <v>7307</v>
      </c>
      <c r="G11" s="2738" t="s">
        <v>7308</v>
      </c>
      <c r="H11" s="2738" t="s">
        <v>7309</v>
      </c>
      <c r="I11" s="3880"/>
      <c r="J11" s="3880"/>
      <c r="L11" s="3931"/>
      <c r="M11" s="3933"/>
      <c r="N11" s="3244"/>
      <c r="O11" s="3931"/>
      <c r="P11" s="3933"/>
    </row>
    <row r="12" spans="2:16" ht="16.5" customHeight="1" x14ac:dyDescent="0.3">
      <c r="B12" s="228"/>
      <c r="C12" s="98" t="s">
        <v>7208</v>
      </c>
      <c r="D12" s="99"/>
      <c r="E12" s="2739"/>
      <c r="F12" s="2739"/>
      <c r="G12" s="2739"/>
      <c r="H12" s="2739"/>
      <c r="I12" s="2740"/>
      <c r="J12" s="232" t="s">
        <v>183</v>
      </c>
      <c r="L12" s="3193"/>
      <c r="M12" s="3194"/>
    </row>
    <row r="13" spans="2:16" ht="16.5" customHeight="1" x14ac:dyDescent="0.3">
      <c r="B13" s="228"/>
      <c r="C13" s="98" t="s">
        <v>184</v>
      </c>
      <c r="D13" s="98"/>
      <c r="E13" s="2739"/>
      <c r="F13" s="2739"/>
      <c r="G13" s="2739"/>
      <c r="H13" s="2739"/>
      <c r="I13" s="2741"/>
      <c r="J13" s="232" t="s">
        <v>7209</v>
      </c>
      <c r="L13" s="3193"/>
      <c r="M13" s="3194"/>
      <c r="P13" s="3194"/>
    </row>
    <row r="14" spans="2:16" ht="15" customHeight="1" x14ac:dyDescent="0.3">
      <c r="B14" s="228"/>
      <c r="C14" s="84" t="s">
        <v>7210</v>
      </c>
      <c r="D14" s="109"/>
      <c r="E14" s="3028">
        <f>'12'!E14</f>
        <v>217617399.5</v>
      </c>
      <c r="F14" s="3028">
        <f>CLK!Q127</f>
        <v>919800</v>
      </c>
      <c r="G14" s="2728"/>
      <c r="H14" s="2728">
        <f>SUM(E14:G14)</f>
        <v>218537199.5</v>
      </c>
      <c r="I14" s="2742"/>
      <c r="J14" s="236" t="s">
        <v>7211</v>
      </c>
      <c r="L14" s="3195">
        <f>F14-'[24]20'!F14</f>
        <v>821300</v>
      </c>
      <c r="M14" s="3196">
        <f>F14-'[25]20'!F14</f>
        <v>-10113000</v>
      </c>
      <c r="P14" s="3196">
        <f>E14-'[26]20'!E14</f>
        <v>23794600</v>
      </c>
    </row>
    <row r="15" spans="2:16" ht="15" customHeight="1" x14ac:dyDescent="0.3">
      <c r="B15" s="228"/>
      <c r="C15" s="109" t="s">
        <v>7649</v>
      </c>
      <c r="D15" s="109"/>
      <c r="E15" s="3028">
        <f>'12'!E15</f>
        <v>5443759</v>
      </c>
      <c r="F15" s="3028">
        <f>CLK!Q129+CLK!Q131+CLK!Q132+CLK!Q133</f>
        <v>337729300</v>
      </c>
      <c r="G15" s="2728"/>
      <c r="H15" s="2728">
        <f t="shared" ref="H15:H24" si="0">SUM(E15:G15)</f>
        <v>343173059</v>
      </c>
      <c r="I15" s="2742"/>
      <c r="J15" s="236" t="s">
        <v>7213</v>
      </c>
      <c r="L15" s="3195">
        <f>F15-'[24]20'!F15</f>
        <v>-81083750</v>
      </c>
      <c r="M15" s="3196">
        <f>F15-'[26]20'!F15</f>
        <v>237354550</v>
      </c>
      <c r="P15" s="3196">
        <f>E15-'[26]20'!E15</f>
        <v>4745242</v>
      </c>
    </row>
    <row r="16" spans="2:16" ht="15" customHeight="1" outlineLevel="1" x14ac:dyDescent="0.3">
      <c r="B16" s="228"/>
      <c r="C16" s="84" t="s">
        <v>591</v>
      </c>
      <c r="D16" s="109"/>
      <c r="E16" s="3028">
        <f>'12'!E16</f>
        <v>7.999999972525984E-2</v>
      </c>
      <c r="F16" s="3028">
        <f>CLK!Q150-CLK!Q144</f>
        <v>2566715502</v>
      </c>
      <c r="G16" s="2728"/>
      <c r="H16" s="2728">
        <f t="shared" si="0"/>
        <v>2566715502.0799999</v>
      </c>
      <c r="I16" s="2742"/>
      <c r="J16" s="236" t="s">
        <v>591</v>
      </c>
      <c r="L16" s="3195">
        <f>F16-'[24]20'!F16</f>
        <v>660190125</v>
      </c>
      <c r="M16" s="3196">
        <f>F16-'[26]20'!F16</f>
        <v>1725038340</v>
      </c>
      <c r="P16" s="3196">
        <f>E16-'[26]20'!E16</f>
        <v>-186194</v>
      </c>
    </row>
    <row r="17" spans="2:16" ht="15" customHeight="1" x14ac:dyDescent="0.3">
      <c r="B17" s="228"/>
      <c r="C17" s="84" t="s">
        <v>7214</v>
      </c>
      <c r="D17" s="109"/>
      <c r="E17" s="2728">
        <f>'12'!E17</f>
        <v>140077350</v>
      </c>
      <c r="F17" s="2728">
        <f>CLK!Q170</f>
        <v>847774000</v>
      </c>
      <c r="G17" s="2728"/>
      <c r="H17" s="2728">
        <f t="shared" si="0"/>
        <v>987851350</v>
      </c>
      <c r="I17" s="2742"/>
      <c r="J17" s="236" t="s">
        <v>189</v>
      </c>
      <c r="L17" s="3197">
        <f>F17-'[24]20'!F17</f>
        <v>39212000</v>
      </c>
      <c r="M17" s="3198">
        <f>F17-'[26]20'!F17</f>
        <v>250683000</v>
      </c>
      <c r="P17" s="3198">
        <f>E17-'[26]20'!E17</f>
        <v>105909850</v>
      </c>
    </row>
    <row r="18" spans="2:16" ht="15" customHeight="1" x14ac:dyDescent="0.3">
      <c r="B18" s="228"/>
      <c r="C18" s="84" t="s">
        <v>197</v>
      </c>
      <c r="D18" s="109"/>
      <c r="E18" s="2728">
        <f>'12'!E18</f>
        <v>0</v>
      </c>
      <c r="F18" s="2728">
        <f>CLK!Q222</f>
        <v>78023803.5</v>
      </c>
      <c r="G18" s="2728"/>
      <c r="H18" s="2728">
        <f t="shared" si="0"/>
        <v>78023803.5</v>
      </c>
      <c r="I18" s="2742"/>
      <c r="J18" s="236" t="s">
        <v>7215</v>
      </c>
      <c r="L18" s="3197">
        <f>F18-'[24]20'!F18</f>
        <v>11483136.833333328</v>
      </c>
      <c r="M18" s="3198">
        <f>F18-'[26]20'!F18</f>
        <v>-8929958.4047619104</v>
      </c>
      <c r="P18" s="3198">
        <f>E18-'[26]20'!E18</f>
        <v>0</v>
      </c>
    </row>
    <row r="19" spans="2:16" ht="15" customHeight="1" x14ac:dyDescent="0.3">
      <c r="B19" s="228"/>
      <c r="C19" s="84" t="s">
        <v>199</v>
      </c>
      <c r="D19" s="109"/>
      <c r="E19" s="2728">
        <f>'12'!E19</f>
        <v>75534081</v>
      </c>
      <c r="F19" s="2728">
        <f>CLK!Q249-SUM(CLK!Q242:V246)</f>
        <v>131418181</v>
      </c>
      <c r="G19" s="2728"/>
      <c r="H19" s="2728">
        <f t="shared" si="0"/>
        <v>206952262</v>
      </c>
      <c r="I19" s="2742"/>
      <c r="J19" s="236" t="s">
        <v>200</v>
      </c>
      <c r="L19" s="3197">
        <f>F19-'[24]20'!F19</f>
        <v>58367685</v>
      </c>
      <c r="M19" s="3198">
        <f>F19-'[26]20'!F19</f>
        <v>58367685</v>
      </c>
      <c r="P19" s="3198">
        <f>E19-'[26]20'!E19</f>
        <v>-4882962</v>
      </c>
    </row>
    <row r="20" spans="2:16" ht="15" customHeight="1" x14ac:dyDescent="0.3">
      <c r="B20" s="228"/>
      <c r="C20" s="84" t="s">
        <v>201</v>
      </c>
      <c r="D20" s="109"/>
      <c r="E20" s="2728">
        <f>'12'!E20</f>
        <v>0</v>
      </c>
      <c r="F20" s="2728">
        <f>CLK!Q264</f>
        <v>0</v>
      </c>
      <c r="G20" s="2728"/>
      <c r="H20" s="2728">
        <f t="shared" si="0"/>
        <v>0</v>
      </c>
      <c r="I20" s="2742"/>
      <c r="J20" s="236" t="s">
        <v>202</v>
      </c>
      <c r="L20" s="3197">
        <f>F20-'[24]20'!F20</f>
        <v>0</v>
      </c>
      <c r="M20" s="3198">
        <f>F20-'[26]20'!F20</f>
        <v>0</v>
      </c>
      <c r="P20" s="3198">
        <f>E20-'[26]20'!E20</f>
        <v>0</v>
      </c>
    </row>
    <row r="21" spans="2:16" ht="15" customHeight="1" x14ac:dyDescent="0.3">
      <c r="B21" s="228"/>
      <c r="C21" s="84" t="s">
        <v>203</v>
      </c>
      <c r="D21" s="109"/>
      <c r="E21" s="2728">
        <f>'12'!E21</f>
        <v>0</v>
      </c>
      <c r="F21" s="2728">
        <f>CLK!Q308</f>
        <v>32400000</v>
      </c>
      <c r="G21" s="2728"/>
      <c r="H21" s="2728">
        <f t="shared" si="0"/>
        <v>32400000</v>
      </c>
      <c r="I21" s="2742"/>
      <c r="J21" s="236" t="s">
        <v>7216</v>
      </c>
      <c r="L21" s="3197">
        <f>F21-'[24]20'!F21</f>
        <v>3900000</v>
      </c>
      <c r="M21" s="3198">
        <f>F21-'[26]20'!F21</f>
        <v>-130491012</v>
      </c>
      <c r="P21" s="3198">
        <f>E21-'[26]20'!E21</f>
        <v>0</v>
      </c>
    </row>
    <row r="22" spans="2:16" ht="15" customHeight="1" x14ac:dyDescent="0.3">
      <c r="B22" s="228"/>
      <c r="C22" s="84" t="s">
        <v>205</v>
      </c>
      <c r="D22" s="109"/>
      <c r="E22" s="2728">
        <f>'12'!E22</f>
        <v>0</v>
      </c>
      <c r="F22" s="2728">
        <f>CLK!Q322</f>
        <v>9166665.6600000001</v>
      </c>
      <c r="G22" s="2728"/>
      <c r="H22" s="2728">
        <f t="shared" si="0"/>
        <v>9166665.6600000001</v>
      </c>
      <c r="I22" s="2742"/>
      <c r="J22" s="236" t="s">
        <v>206</v>
      </c>
      <c r="L22" s="3197">
        <f>F22-'[24]20'!F22</f>
        <v>2249998.66</v>
      </c>
      <c r="M22" s="3198">
        <f>F22-'[26]20'!F22</f>
        <v>-250001.33999999985</v>
      </c>
      <c r="P22" s="3198">
        <f>E22-'[26]20'!E22</f>
        <v>0</v>
      </c>
    </row>
    <row r="23" spans="2:16" ht="15" customHeight="1" x14ac:dyDescent="0.3">
      <c r="B23" s="228"/>
      <c r="C23" s="84" t="s">
        <v>7217</v>
      </c>
      <c r="D23" s="109"/>
      <c r="E23" s="2728">
        <f>'12'!E23</f>
        <v>0</v>
      </c>
      <c r="F23" s="2728">
        <v>0</v>
      </c>
      <c r="G23" s="2728"/>
      <c r="H23" s="2728">
        <f t="shared" si="0"/>
        <v>0</v>
      </c>
      <c r="I23" s="2742"/>
      <c r="J23" s="236" t="s">
        <v>7218</v>
      </c>
      <c r="L23" s="3197">
        <f>F23-'[24]20'!F23</f>
        <v>0</v>
      </c>
      <c r="M23" s="3198">
        <f>F23-'[26]20'!F23</f>
        <v>0</v>
      </c>
      <c r="P23" s="3198">
        <f>E23-'[26]20'!E23</f>
        <v>0</v>
      </c>
    </row>
    <row r="24" spans="2:16" ht="13.5" thickBot="1" x14ac:dyDescent="0.35">
      <c r="B24" s="228"/>
      <c r="C24" s="84"/>
      <c r="D24" s="109"/>
      <c r="E24" s="2560"/>
      <c r="F24" s="2560"/>
      <c r="G24" s="2560"/>
      <c r="H24" s="2728">
        <f t="shared" si="0"/>
        <v>0</v>
      </c>
      <c r="I24" s="2742"/>
      <c r="J24" s="236"/>
      <c r="L24" s="3199">
        <f>F24-'[24]20'!F24</f>
        <v>0</v>
      </c>
      <c r="M24" s="3200">
        <f>F24-'[26]20'!F24</f>
        <v>0</v>
      </c>
      <c r="P24" s="3200">
        <f>E24-'[26]20'!E24</f>
        <v>0</v>
      </c>
    </row>
    <row r="25" spans="2:16" ht="16.5" customHeight="1" thickBot="1" x14ac:dyDescent="0.35">
      <c r="B25" s="2743"/>
      <c r="C25" s="2111" t="s">
        <v>207</v>
      </c>
      <c r="D25" s="2744"/>
      <c r="E25" s="2745">
        <f>SUM(E14:E24)</f>
        <v>438672589.58000004</v>
      </c>
      <c r="F25" s="2745">
        <f>SUM(F14:F24)</f>
        <v>4004147252.1599998</v>
      </c>
      <c r="G25" s="2745">
        <f t="shared" ref="G25:H25" si="1">SUM(G14:G24)</f>
        <v>0</v>
      </c>
      <c r="H25" s="2745">
        <f t="shared" si="1"/>
        <v>4442819841.7399998</v>
      </c>
      <c r="I25" s="2746"/>
      <c r="J25" s="2747" t="s">
        <v>7219</v>
      </c>
      <c r="L25" s="3201">
        <f>F25-'[24]20'!F25</f>
        <v>695140495.49333334</v>
      </c>
      <c r="M25" s="3202">
        <f>F25-'[26]20'!F25</f>
        <v>2132182503.2552381</v>
      </c>
      <c r="P25" s="3202">
        <f>E25-'[26]20'!E25</f>
        <v>129380536</v>
      </c>
    </row>
    <row r="26" spans="2:16" ht="16.5" customHeight="1" x14ac:dyDescent="0.3">
      <c r="B26" s="334"/>
      <c r="C26" s="130" t="s">
        <v>209</v>
      </c>
      <c r="D26" s="98"/>
      <c r="E26" s="131"/>
      <c r="F26" s="131"/>
      <c r="G26" s="131"/>
      <c r="H26" s="131"/>
      <c r="I26" s="2741"/>
      <c r="J26" s="232" t="s">
        <v>7220</v>
      </c>
      <c r="L26" s="3203">
        <f>F26-'[24]20'!F26</f>
        <v>0</v>
      </c>
      <c r="M26" s="3204">
        <f>F26-'[26]20'!F26</f>
        <v>0</v>
      </c>
      <c r="P26" s="3204">
        <f>E26-'[26]20'!E26</f>
        <v>0</v>
      </c>
    </row>
    <row r="27" spans="2:16" ht="16.5" customHeight="1" x14ac:dyDescent="0.3">
      <c r="B27" s="334"/>
      <c r="C27" s="84" t="s">
        <v>7221</v>
      </c>
      <c r="D27" s="98"/>
      <c r="E27" s="2728"/>
      <c r="F27" s="131"/>
      <c r="G27" s="131"/>
      <c r="H27" s="131"/>
      <c r="I27" s="2741"/>
      <c r="J27" s="236" t="s">
        <v>7222</v>
      </c>
      <c r="L27" s="3203">
        <f>F27-'[24]20'!F27</f>
        <v>0</v>
      </c>
      <c r="M27" s="3204">
        <f>F27-'[26]20'!F27</f>
        <v>0</v>
      </c>
      <c r="P27" s="3204">
        <f>E27-'[26]20'!E27</f>
        <v>0</v>
      </c>
    </row>
    <row r="28" spans="2:16" ht="15" customHeight="1" x14ac:dyDescent="0.3">
      <c r="B28" s="334"/>
      <c r="C28" s="84" t="s">
        <v>213</v>
      </c>
      <c r="D28" s="109"/>
      <c r="E28" s="2728"/>
      <c r="F28" s="113"/>
      <c r="G28" s="113"/>
      <c r="H28" s="113"/>
      <c r="I28" s="2742"/>
      <c r="J28" s="236" t="s">
        <v>214</v>
      </c>
      <c r="L28" s="3205">
        <f>F28-'[24]20'!F28</f>
        <v>0</v>
      </c>
      <c r="M28" s="3206">
        <f>F28-'[26]20'!F28</f>
        <v>0</v>
      </c>
      <c r="P28" s="3206">
        <f>E28-'[26]20'!E28</f>
        <v>0</v>
      </c>
    </row>
    <row r="29" spans="2:16" ht="15" customHeight="1" x14ac:dyDescent="0.3">
      <c r="B29" s="334"/>
      <c r="C29" s="84" t="s">
        <v>190</v>
      </c>
      <c r="D29" s="109" t="s">
        <v>215</v>
      </c>
      <c r="E29" s="2728">
        <f>'12'!E29</f>
        <v>126185383</v>
      </c>
      <c r="F29" s="2728">
        <f>CLK!AF347-CLK!AF341</f>
        <v>22870267989.001999</v>
      </c>
      <c r="G29" s="2728"/>
      <c r="H29" s="2728">
        <f t="shared" ref="H29:H32" si="2">SUM(E29:G29)</f>
        <v>22996453372.001999</v>
      </c>
      <c r="I29" s="111" t="s">
        <v>7223</v>
      </c>
      <c r="J29" s="236" t="s">
        <v>190</v>
      </c>
      <c r="L29" s="3197">
        <f>F29-'[24]20'!F29</f>
        <v>715992419</v>
      </c>
      <c r="M29" s="3198">
        <f>F29-'[26]20'!F29</f>
        <v>2155790317.0019989</v>
      </c>
      <c r="P29" s="3198">
        <f>E29-'[26]20'!E29</f>
        <v>4179260</v>
      </c>
    </row>
    <row r="30" spans="2:16" ht="15" customHeight="1" x14ac:dyDescent="0.3">
      <c r="B30" s="334"/>
      <c r="C30" s="84" t="s">
        <v>190</v>
      </c>
      <c r="D30" s="109" t="s">
        <v>217</v>
      </c>
      <c r="E30" s="2759">
        <f>'12'!E30</f>
        <v>-55708193.360002689</v>
      </c>
      <c r="F30" s="2748">
        <f>-(CLK!AF358-CLK!AF357)</f>
        <v>-3684920603.5914783</v>
      </c>
      <c r="G30" s="2728"/>
      <c r="H30" s="2728">
        <f t="shared" si="2"/>
        <v>-3740628796.9514809</v>
      </c>
      <c r="I30" s="111" t="s">
        <v>218</v>
      </c>
      <c r="J30" s="236" t="s">
        <v>190</v>
      </c>
      <c r="L30" s="3207">
        <f>F30-'[24]20'!F30</f>
        <v>-669532582.2406497</v>
      </c>
      <c r="M30" s="3208">
        <f>F30-'[26]20'!F30</f>
        <v>-1111193297.2719336</v>
      </c>
      <c r="P30" s="3208">
        <f>E30-'[26]20'!E30</f>
        <v>-16676996.370002687</v>
      </c>
    </row>
    <row r="31" spans="2:16" ht="15" customHeight="1" x14ac:dyDescent="0.3">
      <c r="B31" s="334"/>
      <c r="C31" s="84"/>
      <c r="D31" s="109"/>
      <c r="E31" s="2728">
        <f>SUM(E29:E30)</f>
        <v>70477189.639997303</v>
      </c>
      <c r="F31" s="2728">
        <f>SUM(F29:F30)</f>
        <v>19185347385.410522</v>
      </c>
      <c r="G31" s="2728"/>
      <c r="H31" s="2728">
        <f t="shared" si="2"/>
        <v>19255824575.050518</v>
      </c>
      <c r="I31" s="2742"/>
      <c r="J31" s="236"/>
      <c r="L31" s="3197">
        <f>F31-'[24]20'!F31</f>
        <v>46459836.759353638</v>
      </c>
      <c r="M31" s="3198">
        <f>F31-'[26]20'!F31</f>
        <v>1044597019.7300682</v>
      </c>
      <c r="P31" s="3198">
        <f>E31-'[26]20'!E31</f>
        <v>-12497736.370002687</v>
      </c>
    </row>
    <row r="32" spans="2:16" ht="15" customHeight="1" x14ac:dyDescent="0.3">
      <c r="B32" s="334"/>
      <c r="C32" s="84" t="s">
        <v>219</v>
      </c>
      <c r="D32" s="109"/>
      <c r="E32" s="2728">
        <f>'[22]14'!C58</f>
        <v>0</v>
      </c>
      <c r="F32" s="2728">
        <f>CLK!Q434</f>
        <v>10130900</v>
      </c>
      <c r="G32" s="2728"/>
      <c r="H32" s="2728">
        <f t="shared" si="2"/>
        <v>10130900</v>
      </c>
      <c r="I32" s="2742"/>
      <c r="J32" s="236" t="s">
        <v>220</v>
      </c>
      <c r="L32" s="3197">
        <f>F32-'[24]20'!F32</f>
        <v>7152900</v>
      </c>
      <c r="M32" s="3198">
        <f>F32-'[26]20'!F32</f>
        <v>-2409600</v>
      </c>
      <c r="P32" s="3198">
        <f>E32-'[26]20'!E32</f>
        <v>0</v>
      </c>
    </row>
    <row r="33" spans="2:16" ht="6.75" customHeight="1" thickBot="1" x14ac:dyDescent="0.35">
      <c r="B33" s="334"/>
      <c r="C33" s="84"/>
      <c r="D33" s="109"/>
      <c r="E33" s="113"/>
      <c r="F33" s="113"/>
      <c r="G33" s="113"/>
      <c r="H33" s="113"/>
      <c r="I33" s="2742"/>
      <c r="J33" s="236"/>
      <c r="L33" s="3205"/>
      <c r="M33" s="3206"/>
      <c r="P33" s="3206">
        <f>E33-'[26]20'!E33</f>
        <v>0</v>
      </c>
    </row>
    <row r="34" spans="2:16" ht="16.5" customHeight="1" thickBot="1" x14ac:dyDescent="0.35">
      <c r="B34" s="2743"/>
      <c r="C34" s="2111" t="s">
        <v>221</v>
      </c>
      <c r="D34" s="2744"/>
      <c r="E34" s="2749">
        <f>E31+E32</f>
        <v>70477189.639997303</v>
      </c>
      <c r="F34" s="2749">
        <f>F31+F32</f>
        <v>19195478285.410522</v>
      </c>
      <c r="G34" s="2749">
        <f t="shared" ref="G34:H34" si="3">G31+G32</f>
        <v>0</v>
      </c>
      <c r="H34" s="2749">
        <f t="shared" si="3"/>
        <v>19265955475.050518</v>
      </c>
      <c r="I34" s="2746"/>
      <c r="J34" s="2747" t="s">
        <v>7224</v>
      </c>
      <c r="L34" s="3201">
        <f>F34-'[24]20'!F34</f>
        <v>53612736.759353638</v>
      </c>
      <c r="M34" s="3209">
        <f>F34-'[26]20'!F34</f>
        <v>1042187419.7300682</v>
      </c>
      <c r="P34" s="3209">
        <f>E34-'[26]20'!E34</f>
        <v>-12497736.370002687</v>
      </c>
    </row>
    <row r="35" spans="2:16" ht="7.5" customHeight="1" thickBot="1" x14ac:dyDescent="0.35">
      <c r="B35" s="334"/>
      <c r="C35" s="130"/>
      <c r="D35" s="98"/>
      <c r="E35" s="131"/>
      <c r="F35" s="2750"/>
      <c r="G35" s="2752"/>
      <c r="H35" s="2752"/>
      <c r="I35" s="2741"/>
      <c r="J35" s="232"/>
      <c r="L35" s="3210"/>
      <c r="M35" s="3211"/>
      <c r="P35" s="3211">
        <f>E35-'[26]20'!E35</f>
        <v>0</v>
      </c>
    </row>
    <row r="36" spans="2:16" ht="30" customHeight="1" thickBot="1" x14ac:dyDescent="0.35">
      <c r="B36" s="3901" t="s">
        <v>223</v>
      </c>
      <c r="C36" s="3901"/>
      <c r="D36" s="3901"/>
      <c r="E36" s="2751">
        <f>E34+E25</f>
        <v>509149779.21999735</v>
      </c>
      <c r="F36" s="2751">
        <f>F34+F25</f>
        <v>23199625537.570522</v>
      </c>
      <c r="G36" s="2751">
        <f t="shared" ref="G36:H36" si="4">G34+G25</f>
        <v>0</v>
      </c>
      <c r="H36" s="2751">
        <f t="shared" si="4"/>
        <v>23708775316.79052</v>
      </c>
      <c r="I36" s="3902" t="s">
        <v>7225</v>
      </c>
      <c r="J36" s="3902"/>
      <c r="K36" s="159">
        <f>H36-E36-F36</f>
        <v>0</v>
      </c>
      <c r="L36" s="3212">
        <f>F36-'[24]20'!F36</f>
        <v>748753232.25268555</v>
      </c>
      <c r="M36" s="3213">
        <f>F36-'[26]20'!F36</f>
        <v>3174369922.9853058</v>
      </c>
      <c r="P36" s="3213">
        <f>E36-'[26]20'!E36</f>
        <v>116882799.62999731</v>
      </c>
    </row>
    <row r="37" spans="2:16" ht="16.5" customHeight="1" x14ac:dyDescent="0.3">
      <c r="B37" s="228"/>
      <c r="C37" s="130" t="s">
        <v>7226</v>
      </c>
      <c r="D37" s="63"/>
      <c r="E37" s="131"/>
      <c r="F37" s="479"/>
      <c r="G37" s="2858"/>
      <c r="H37" s="2858"/>
      <c r="I37" s="2740"/>
      <c r="J37" s="232" t="s">
        <v>7227</v>
      </c>
      <c r="L37" s="3214">
        <f>F37-'[24]20'!F37</f>
        <v>0</v>
      </c>
      <c r="M37" s="3215">
        <f>F37-'[26]20'!F37</f>
        <v>0</v>
      </c>
      <c r="P37" s="3215">
        <f>E37-'[26]20'!E37</f>
        <v>0</v>
      </c>
    </row>
    <row r="38" spans="2:16" ht="16.5" customHeight="1" x14ac:dyDescent="0.3">
      <c r="B38" s="228"/>
      <c r="C38" s="130" t="s">
        <v>227</v>
      </c>
      <c r="D38" s="130"/>
      <c r="E38" s="2728"/>
      <c r="F38" s="2739"/>
      <c r="G38" s="2739"/>
      <c r="H38" s="2739"/>
      <c r="I38" s="2741"/>
      <c r="J38" s="232" t="s">
        <v>7228</v>
      </c>
      <c r="L38" s="3193">
        <f>F38-'[24]20'!F38</f>
        <v>0</v>
      </c>
      <c r="M38" s="3194">
        <f>F38-'[26]20'!F38</f>
        <v>0</v>
      </c>
      <c r="P38" s="3194">
        <f>E38-'[26]20'!E38</f>
        <v>0</v>
      </c>
    </row>
    <row r="39" spans="2:16" ht="15" customHeight="1" x14ac:dyDescent="0.3">
      <c r="B39" s="228"/>
      <c r="C39" s="84" t="s">
        <v>7229</v>
      </c>
      <c r="D39" s="130"/>
      <c r="E39" s="2728">
        <f>'12'!E39</f>
        <v>0</v>
      </c>
      <c r="F39" s="2728">
        <f>CLK!Q474-CLK!Q464</f>
        <v>127867575</v>
      </c>
      <c r="G39" s="2728"/>
      <c r="H39" s="2728">
        <f t="shared" ref="H39:H45" si="5">SUM(E39:G39)</f>
        <v>127867575</v>
      </c>
      <c r="I39" s="2741"/>
      <c r="J39" s="236" t="s">
        <v>230</v>
      </c>
      <c r="K39" s="2752"/>
      <c r="L39" s="3197">
        <f>F39-'[24]20'!F39</f>
        <v>-57394425</v>
      </c>
      <c r="M39" s="3198">
        <f>F39-'[26]20'!F39</f>
        <v>127867575</v>
      </c>
      <c r="P39" s="3198">
        <f>E39-'[26]20'!E39</f>
        <v>0</v>
      </c>
    </row>
    <row r="40" spans="2:16" ht="15" customHeight="1" x14ac:dyDescent="0.3">
      <c r="B40" s="228"/>
      <c r="C40" s="84" t="s">
        <v>237</v>
      </c>
      <c r="D40" s="130"/>
      <c r="E40" s="2728">
        <f>'12'!E40</f>
        <v>0</v>
      </c>
      <c r="F40" s="2728">
        <f>CLK!Q509</f>
        <v>434150828</v>
      </c>
      <c r="G40" s="2728"/>
      <c r="H40" s="2728">
        <f t="shared" si="5"/>
        <v>434150828</v>
      </c>
      <c r="I40" s="2741"/>
      <c r="J40" s="236" t="s">
        <v>7230</v>
      </c>
      <c r="K40" s="2752"/>
      <c r="L40" s="3197">
        <f>F40-'[24]20'!F40</f>
        <v>-84060250</v>
      </c>
      <c r="M40" s="3198">
        <f>F40-'[26]20'!F40</f>
        <v>-999776610</v>
      </c>
      <c r="P40" s="3198">
        <f>E40-'[26]20'!E40</f>
        <v>0</v>
      </c>
    </row>
    <row r="41" spans="2:16" ht="15" customHeight="1" x14ac:dyDescent="0.3">
      <c r="B41" s="228"/>
      <c r="C41" s="84" t="s">
        <v>247</v>
      </c>
      <c r="D41" s="84"/>
      <c r="E41" s="2728">
        <f>'12'!E41</f>
        <v>0</v>
      </c>
      <c r="F41" s="2728">
        <f>CLK!Q527</f>
        <v>370022227</v>
      </c>
      <c r="G41" s="2728"/>
      <c r="H41" s="2728">
        <f t="shared" si="5"/>
        <v>370022227</v>
      </c>
      <c r="I41" s="2742"/>
      <c r="J41" s="236" t="s">
        <v>7231</v>
      </c>
      <c r="K41" s="2752"/>
      <c r="L41" s="3197">
        <f>F41-'[24]20'!F41</f>
        <v>70971867</v>
      </c>
      <c r="M41" s="3198">
        <f>F41-'[26]20'!F41</f>
        <v>370022227</v>
      </c>
      <c r="P41" s="3198">
        <f>E41-'[26]20'!E41</f>
        <v>0</v>
      </c>
    </row>
    <row r="42" spans="2:16" ht="15" customHeight="1" x14ac:dyDescent="0.3">
      <c r="B42" s="228"/>
      <c r="C42" s="84" t="s">
        <v>249</v>
      </c>
      <c r="D42" s="84"/>
      <c r="E42" s="2728">
        <f>'12'!E42</f>
        <v>0</v>
      </c>
      <c r="F42" s="2728">
        <f>CLK!Q540</f>
        <v>0</v>
      </c>
      <c r="G42" s="2728"/>
      <c r="H42" s="2728">
        <f t="shared" si="5"/>
        <v>0</v>
      </c>
      <c r="I42" s="2742"/>
      <c r="J42" s="236" t="s">
        <v>250</v>
      </c>
      <c r="K42" s="2752"/>
      <c r="L42" s="3197">
        <f>F42-'[24]20'!F42</f>
        <v>0</v>
      </c>
      <c r="M42" s="3198">
        <f>F42-'[26]20'!F42</f>
        <v>0</v>
      </c>
      <c r="P42" s="3198">
        <f>E42-'[26]20'!E42</f>
        <v>0</v>
      </c>
    </row>
    <row r="43" spans="2:16" ht="15" customHeight="1" outlineLevel="1" x14ac:dyDescent="0.3">
      <c r="B43" s="228"/>
      <c r="C43" s="84" t="s">
        <v>251</v>
      </c>
      <c r="D43" s="84"/>
      <c r="E43" s="2728">
        <f>'12'!E43</f>
        <v>0</v>
      </c>
      <c r="F43" s="2728">
        <f>CLK!Q555</f>
        <v>783200000</v>
      </c>
      <c r="G43" s="2728"/>
      <c r="H43" s="2728">
        <f t="shared" si="5"/>
        <v>783200000</v>
      </c>
      <c r="I43" s="2742"/>
      <c r="J43" s="236" t="s">
        <v>7232</v>
      </c>
      <c r="K43" s="2752"/>
      <c r="L43" s="3197">
        <f>F43-'[24]20'!F43</f>
        <v>607400000</v>
      </c>
      <c r="M43" s="3198">
        <f>F43-'[26]20'!F43</f>
        <v>760700000</v>
      </c>
      <c r="P43" s="3198">
        <f>E43-'[26]20'!E43</f>
        <v>0</v>
      </c>
    </row>
    <row r="44" spans="2:16" ht="15" customHeight="1" x14ac:dyDescent="0.3">
      <c r="B44" s="228"/>
      <c r="C44" s="84" t="s">
        <v>7233</v>
      </c>
      <c r="D44" s="84"/>
      <c r="E44" s="2728">
        <f>'12'!E44</f>
        <v>0</v>
      </c>
      <c r="F44" s="2728">
        <v>0</v>
      </c>
      <c r="G44" s="2728"/>
      <c r="H44" s="2728">
        <f t="shared" si="5"/>
        <v>0</v>
      </c>
      <c r="I44" s="2742"/>
      <c r="J44" s="236" t="s">
        <v>7234</v>
      </c>
      <c r="K44" s="2752"/>
      <c r="L44" s="3197">
        <f>F44-'[24]20'!F44</f>
        <v>0</v>
      </c>
      <c r="M44" s="3198">
        <f>F44-'[26]20'!F44</f>
        <v>0</v>
      </c>
      <c r="P44" s="3198">
        <f>E44-'[26]20'!E44</f>
        <v>0</v>
      </c>
    </row>
    <row r="45" spans="2:16" ht="15" customHeight="1" thickBot="1" x14ac:dyDescent="0.35">
      <c r="B45" s="228"/>
      <c r="C45" s="84" t="s">
        <v>253</v>
      </c>
      <c r="D45" s="84"/>
      <c r="E45" s="2728">
        <f>'12'!E45</f>
        <v>0</v>
      </c>
      <c r="F45" s="2728">
        <f>CLK!Q572</f>
        <v>246688431.33000001</v>
      </c>
      <c r="G45" s="2728"/>
      <c r="H45" s="2728">
        <f t="shared" si="5"/>
        <v>246688431.33000001</v>
      </c>
      <c r="I45" s="2742"/>
      <c r="J45" s="236" t="s">
        <v>254</v>
      </c>
      <c r="K45" s="2752"/>
      <c r="L45" s="3197">
        <f>F45-'[24]20'!F45</f>
        <v>2889753.3300000131</v>
      </c>
      <c r="M45" s="3198">
        <f>F45-'[26]20'!F45</f>
        <v>29754278.330000013</v>
      </c>
      <c r="P45" s="3198">
        <f>E45-'[26]20'!E45</f>
        <v>0</v>
      </c>
    </row>
    <row r="46" spans="2:16" ht="24" customHeight="1" thickBot="1" x14ac:dyDescent="0.35">
      <c r="B46" s="2743"/>
      <c r="C46" s="2111" t="s">
        <v>255</v>
      </c>
      <c r="D46" s="2111"/>
      <c r="E46" s="2753">
        <f>SUM(E39:E45)</f>
        <v>0</v>
      </c>
      <c r="F46" s="2753">
        <f>SUM(F39:F45)</f>
        <v>1961929061.3299999</v>
      </c>
      <c r="G46" s="2753">
        <f t="shared" ref="G46:H46" si="6">SUM(G39:G45)</f>
        <v>0</v>
      </c>
      <c r="H46" s="2753">
        <f t="shared" si="6"/>
        <v>1961929061.3299999</v>
      </c>
      <c r="I46" s="2746"/>
      <c r="J46" s="2747" t="s">
        <v>7235</v>
      </c>
      <c r="K46" s="159">
        <f>H46-E46-F46</f>
        <v>0</v>
      </c>
      <c r="L46" s="3216">
        <f>F46-'[24]20'!F46</f>
        <v>539806945.32999992</v>
      </c>
      <c r="M46" s="3217">
        <f>F46-'[26]20'!F46</f>
        <v>288567470.32999992</v>
      </c>
      <c r="P46" s="3217">
        <f>E46-'[26]20'!E46</f>
        <v>0</v>
      </c>
    </row>
    <row r="47" spans="2:16" ht="16.5" customHeight="1" x14ac:dyDescent="0.3">
      <c r="B47" s="228"/>
      <c r="C47" s="130" t="s">
        <v>257</v>
      </c>
      <c r="D47" s="130"/>
      <c r="E47" s="2560"/>
      <c r="F47" s="2560"/>
      <c r="G47" s="2560"/>
      <c r="H47" s="2560"/>
      <c r="I47" s="2741"/>
      <c r="J47" s="232" t="s">
        <v>7236</v>
      </c>
      <c r="L47" s="3199">
        <f>F47-'[24]20'!F47</f>
        <v>0</v>
      </c>
      <c r="M47" s="3200">
        <f>F47-'[26]20'!F47</f>
        <v>0</v>
      </c>
      <c r="P47" s="3200">
        <f>E47-'[26]20'!E47</f>
        <v>0</v>
      </c>
    </row>
    <row r="48" spans="2:16" ht="25.5" customHeight="1" thickBot="1" x14ac:dyDescent="0.35">
      <c r="B48" s="334"/>
      <c r="C48" s="84" t="s">
        <v>190</v>
      </c>
      <c r="D48" s="84" t="s">
        <v>7237</v>
      </c>
      <c r="E48" s="2728">
        <f>'12'!E48</f>
        <v>0</v>
      </c>
      <c r="F48" s="2728">
        <f>CLK!Q583</f>
        <v>0</v>
      </c>
      <c r="G48" s="2728"/>
      <c r="H48" s="2728">
        <f t="shared" ref="H48" si="7">SUM(E48:G48)</f>
        <v>0</v>
      </c>
      <c r="I48" s="2754"/>
      <c r="J48" s="236" t="s">
        <v>7238</v>
      </c>
      <c r="L48" s="3197">
        <f>F48-'[24]20'!F48</f>
        <v>0</v>
      </c>
      <c r="M48" s="3198">
        <f>F48-'[26]20'!F48</f>
        <v>0</v>
      </c>
      <c r="P48" s="3198">
        <f>E48-'[26]20'!E48</f>
        <v>0</v>
      </c>
    </row>
    <row r="49" spans="2:16" ht="16.5" customHeight="1" thickBot="1" x14ac:dyDescent="0.35">
      <c r="B49" s="2743"/>
      <c r="C49" s="2111" t="s">
        <v>263</v>
      </c>
      <c r="D49" s="2111"/>
      <c r="E49" s="2755">
        <f>SUM(E48:E48)</f>
        <v>0</v>
      </c>
      <c r="F49" s="2755">
        <f t="shared" ref="F49:H49" si="8">SUM(F48:F48)</f>
        <v>0</v>
      </c>
      <c r="G49" s="2755">
        <f t="shared" si="8"/>
        <v>0</v>
      </c>
      <c r="H49" s="2755">
        <f t="shared" si="8"/>
        <v>0</v>
      </c>
      <c r="I49" s="2746"/>
      <c r="J49" s="2747" t="s">
        <v>7239</v>
      </c>
      <c r="L49" s="3218">
        <f>F49-'[24]20'!F49</f>
        <v>0</v>
      </c>
      <c r="M49" s="3219">
        <f>F49-'[26]20'!F49</f>
        <v>0</v>
      </c>
      <c r="P49" s="3219">
        <f>E49-'[26]20'!E49</f>
        <v>0</v>
      </c>
    </row>
    <row r="50" spans="2:16" ht="4.5" customHeight="1" thickBot="1" x14ac:dyDescent="0.35">
      <c r="B50" s="228"/>
      <c r="C50" s="130"/>
      <c r="D50" s="130"/>
      <c r="E50" s="2560"/>
      <c r="F50" s="2560"/>
      <c r="G50" s="2560"/>
      <c r="H50" s="2560"/>
      <c r="I50" s="2741"/>
      <c r="J50" s="232"/>
      <c r="L50" s="3199">
        <f>F50-'[24]20'!F50</f>
        <v>0</v>
      </c>
      <c r="M50" s="3200">
        <f>F50-'[26]20'!F50</f>
        <v>0</v>
      </c>
      <c r="P50" s="3200">
        <f>E50-'[26]20'!E50</f>
        <v>0</v>
      </c>
    </row>
    <row r="51" spans="2:16" ht="16.5" customHeight="1" thickBot="1" x14ac:dyDescent="0.35">
      <c r="B51" s="2743"/>
      <c r="C51" s="2111" t="s">
        <v>7240</v>
      </c>
      <c r="D51" s="2111"/>
      <c r="E51" s="2753">
        <f>E49+E46</f>
        <v>0</v>
      </c>
      <c r="F51" s="2753">
        <f>F49+F46</f>
        <v>1961929061.3299999</v>
      </c>
      <c r="G51" s="2753">
        <f t="shared" ref="G51:H51" si="9">G49+G46</f>
        <v>0</v>
      </c>
      <c r="H51" s="2753">
        <f t="shared" si="9"/>
        <v>1961929061.3299999</v>
      </c>
      <c r="I51" s="2746"/>
      <c r="J51" s="2747" t="s">
        <v>7241</v>
      </c>
      <c r="K51" s="159">
        <f>H51-E51-F51</f>
        <v>0</v>
      </c>
      <c r="L51" s="3216">
        <f>F51-'[24]20'!F51</f>
        <v>539806945.32999992</v>
      </c>
      <c r="M51" s="3217">
        <f>F51-'[26]20'!F51</f>
        <v>288567470.32999992</v>
      </c>
      <c r="P51" s="3217">
        <f>E51-'[26]20'!E51</f>
        <v>0</v>
      </c>
    </row>
    <row r="52" spans="2:16" ht="15" customHeight="1" x14ac:dyDescent="0.3">
      <c r="B52" s="228"/>
      <c r="C52" s="130" t="s">
        <v>7242</v>
      </c>
      <c r="D52" s="130"/>
      <c r="E52" s="131"/>
      <c r="F52" s="131"/>
      <c r="G52" s="131"/>
      <c r="H52" s="131"/>
      <c r="I52" s="2741"/>
      <c r="J52" s="232" t="s">
        <v>1140</v>
      </c>
      <c r="L52" s="3203">
        <f>F52-'[24]20'!F52</f>
        <v>0</v>
      </c>
      <c r="M52" s="3204">
        <f>F52-'[26]20'!F52</f>
        <v>0</v>
      </c>
      <c r="P52" s="3204">
        <f>E52-'[26]20'!E52</f>
        <v>0</v>
      </c>
    </row>
    <row r="53" spans="2:16" ht="15" customHeight="1" x14ac:dyDescent="0.3">
      <c r="B53" s="228"/>
      <c r="C53" s="84" t="s">
        <v>945</v>
      </c>
      <c r="D53" s="84"/>
      <c r="E53" s="2728">
        <f>'12'!E53</f>
        <v>392266979.59000003</v>
      </c>
      <c r="F53" s="2728"/>
      <c r="G53" s="2728"/>
      <c r="H53" s="2728">
        <f t="shared" ref="H53:H61" si="10">SUM(E53:G53)</f>
        <v>392266979.59000003</v>
      </c>
      <c r="I53" s="2742"/>
      <c r="J53" s="236" t="s">
        <v>946</v>
      </c>
      <c r="L53" s="3197">
        <f>F53-'[24]20'!F53</f>
        <v>0</v>
      </c>
      <c r="M53" s="3198">
        <f>F53-'[26]20'!F53</f>
        <v>0</v>
      </c>
      <c r="P53" s="3198">
        <f>E53-'[26]20'!E53</f>
        <v>82846744</v>
      </c>
    </row>
    <row r="54" spans="2:16" ht="15" customHeight="1" x14ac:dyDescent="0.3">
      <c r="B54" s="228"/>
      <c r="C54" s="84" t="s">
        <v>947</v>
      </c>
      <c r="D54" s="84"/>
      <c r="E54" s="2728"/>
      <c r="F54" s="113"/>
      <c r="G54" s="2904"/>
      <c r="H54" s="2728">
        <f t="shared" si="10"/>
        <v>0</v>
      </c>
      <c r="I54" s="2742"/>
      <c r="J54" s="236" t="s">
        <v>948</v>
      </c>
      <c r="L54" s="3205">
        <f>F54-'[24]20'!F54</f>
        <v>0</v>
      </c>
      <c r="M54" s="3206">
        <f>F54-'[26]20'!F54</f>
        <v>0</v>
      </c>
      <c r="P54" s="3206">
        <f>E54-'[26]20'!E54</f>
        <v>0</v>
      </c>
    </row>
    <row r="55" spans="2:16" ht="15" customHeight="1" x14ac:dyDescent="0.3">
      <c r="B55" s="228"/>
      <c r="C55" s="84" t="s">
        <v>7243</v>
      </c>
      <c r="D55" s="130"/>
      <c r="E55" s="2728"/>
      <c r="F55" s="113"/>
      <c r="G55" s="2904"/>
      <c r="H55" s="2728">
        <f t="shared" si="10"/>
        <v>0</v>
      </c>
      <c r="I55" s="2756"/>
      <c r="J55" s="232" t="s">
        <v>7244</v>
      </c>
      <c r="L55" s="3205">
        <f>F55-'[24]20'!F55</f>
        <v>0</v>
      </c>
      <c r="M55" s="3206">
        <f>F55-'[26]20'!F55</f>
        <v>0</v>
      </c>
      <c r="P55" s="3206">
        <f>E55-'[26]20'!E55</f>
        <v>0</v>
      </c>
    </row>
    <row r="56" spans="2:16" ht="15" customHeight="1" x14ac:dyDescent="0.3">
      <c r="B56" s="228"/>
      <c r="C56" s="84" t="s">
        <v>190</v>
      </c>
      <c r="D56" s="84" t="s">
        <v>7245</v>
      </c>
      <c r="E56" s="2728">
        <v>0</v>
      </c>
      <c r="F56" s="113"/>
      <c r="G56" s="2904"/>
      <c r="H56" s="2728">
        <f t="shared" si="10"/>
        <v>0</v>
      </c>
      <c r="I56" s="263" t="s">
        <v>7246</v>
      </c>
      <c r="J56" s="236" t="s">
        <v>190</v>
      </c>
      <c r="L56" s="3205">
        <f>F56-'[24]20'!F56</f>
        <v>0</v>
      </c>
      <c r="M56" s="3206">
        <f>F56-'[26]20'!F56</f>
        <v>0</v>
      </c>
      <c r="P56" s="3206">
        <f>E56-'[26]20'!E56</f>
        <v>0</v>
      </c>
    </row>
    <row r="57" spans="2:16" ht="15" customHeight="1" x14ac:dyDescent="0.3">
      <c r="B57" s="228"/>
      <c r="C57" s="84" t="s">
        <v>190</v>
      </c>
      <c r="D57" s="84" t="s">
        <v>7247</v>
      </c>
      <c r="E57" s="2728"/>
      <c r="F57" s="113"/>
      <c r="G57" s="2904"/>
      <c r="H57" s="2728">
        <f t="shared" si="10"/>
        <v>0</v>
      </c>
      <c r="I57" s="263" t="s">
        <v>7248</v>
      </c>
      <c r="J57" s="236" t="s">
        <v>190</v>
      </c>
      <c r="L57" s="3205">
        <f>F57-'[24]20'!F57</f>
        <v>0</v>
      </c>
      <c r="M57" s="3206">
        <f>F57-'[26]20'!F57</f>
        <v>0</v>
      </c>
      <c r="P57" s="3206">
        <f>E57-'[26]20'!E57</f>
        <v>0</v>
      </c>
    </row>
    <row r="58" spans="2:16" ht="15" customHeight="1" x14ac:dyDescent="0.3">
      <c r="B58" s="228"/>
      <c r="C58" s="84" t="s">
        <v>190</v>
      </c>
      <c r="D58" s="84" t="s">
        <v>7249</v>
      </c>
      <c r="E58" s="2728"/>
      <c r="F58" s="113"/>
      <c r="G58" s="2904"/>
      <c r="H58" s="2728">
        <f t="shared" si="10"/>
        <v>0</v>
      </c>
      <c r="I58" s="263" t="s">
        <v>7250</v>
      </c>
      <c r="J58" s="236" t="s">
        <v>190</v>
      </c>
      <c r="L58" s="3205">
        <f>F58-'[24]20'!F58</f>
        <v>0</v>
      </c>
      <c r="M58" s="3206">
        <f>F58-'[26]20'!F58</f>
        <v>0</v>
      </c>
      <c r="P58" s="3206">
        <f>E58-'[26]20'!E58</f>
        <v>0</v>
      </c>
    </row>
    <row r="59" spans="2:16" ht="15" customHeight="1" x14ac:dyDescent="0.3">
      <c r="B59" s="228"/>
      <c r="C59" s="84" t="s">
        <v>190</v>
      </c>
      <c r="D59" s="84" t="s">
        <v>7251</v>
      </c>
      <c r="E59" s="2728"/>
      <c r="F59" s="2283"/>
      <c r="G59" s="113"/>
      <c r="H59" s="2728">
        <f t="shared" si="10"/>
        <v>0</v>
      </c>
      <c r="I59" s="111" t="s">
        <v>7252</v>
      </c>
      <c r="J59" s="236" t="s">
        <v>190</v>
      </c>
      <c r="L59" s="3220">
        <f>F59-'[24]20'!F59</f>
        <v>0</v>
      </c>
      <c r="M59" s="3206">
        <f>F59-'[26]20'!F59</f>
        <v>0</v>
      </c>
      <c r="P59" s="3206">
        <f>E59-'[26]20'!E59</f>
        <v>0</v>
      </c>
    </row>
    <row r="60" spans="2:16" ht="15" customHeight="1" x14ac:dyDescent="0.3">
      <c r="B60" s="228"/>
      <c r="C60" s="84" t="s">
        <v>190</v>
      </c>
      <c r="D60" s="84" t="s">
        <v>7253</v>
      </c>
      <c r="E60" s="2728"/>
      <c r="F60" s="2729"/>
      <c r="G60" s="2728"/>
      <c r="H60" s="2728">
        <f t="shared" si="10"/>
        <v>0</v>
      </c>
      <c r="I60" s="111" t="s">
        <v>7254</v>
      </c>
      <c r="J60" s="236" t="s">
        <v>190</v>
      </c>
      <c r="L60" s="3221">
        <f>F60-'[24]20'!F60</f>
        <v>0</v>
      </c>
      <c r="M60" s="3198">
        <f>F60-'[26]20'!F60</f>
        <v>0</v>
      </c>
      <c r="P60" s="3198">
        <f>E60-'[26]20'!E60</f>
        <v>0</v>
      </c>
    </row>
    <row r="61" spans="2:16" ht="15" customHeight="1" x14ac:dyDescent="0.3">
      <c r="B61" s="228"/>
      <c r="C61" s="84"/>
      <c r="D61" s="84"/>
      <c r="E61" s="2758"/>
      <c r="F61" s="2759"/>
      <c r="G61" s="2905"/>
      <c r="H61" s="2759">
        <f t="shared" si="10"/>
        <v>0</v>
      </c>
      <c r="I61" s="111" t="s">
        <v>7255</v>
      </c>
      <c r="J61" s="236" t="s">
        <v>190</v>
      </c>
      <c r="L61" s="3222">
        <f>F61-'[24]20'!F61</f>
        <v>0</v>
      </c>
      <c r="M61" s="3223">
        <f>F61-'[26]20'!F61</f>
        <v>0</v>
      </c>
      <c r="P61" s="3223">
        <f>E61-'[26]20'!E61</f>
        <v>0</v>
      </c>
    </row>
    <row r="62" spans="2:16" ht="15" customHeight="1" x14ac:dyDescent="0.3">
      <c r="B62" s="228"/>
      <c r="C62" s="84"/>
      <c r="D62" s="84"/>
      <c r="E62" s="2728">
        <f>SUM(E56:E61)</f>
        <v>0</v>
      </c>
      <c r="F62" s="2728">
        <f t="shared" ref="F62:H62" si="11">SUM(F56:F61)</f>
        <v>0</v>
      </c>
      <c r="G62" s="2728">
        <f t="shared" si="11"/>
        <v>0</v>
      </c>
      <c r="H62" s="2728">
        <f t="shared" si="11"/>
        <v>0</v>
      </c>
      <c r="I62" s="2760"/>
      <c r="J62" s="236"/>
      <c r="L62" s="3197">
        <f>F62-'[24]20'!F62</f>
        <v>0</v>
      </c>
      <c r="M62" s="3198">
        <f>F62-'[26]20'!F62</f>
        <v>0</v>
      </c>
      <c r="P62" s="3198">
        <f>E62-'[26]20'!E62</f>
        <v>0</v>
      </c>
    </row>
    <row r="63" spans="2:16" ht="15" customHeight="1" x14ac:dyDescent="0.3">
      <c r="B63" s="228"/>
      <c r="C63" s="84" t="s">
        <v>950</v>
      </c>
      <c r="D63" s="130"/>
      <c r="E63" s="2739"/>
      <c r="F63" s="131"/>
      <c r="G63" s="131"/>
      <c r="H63" s="131"/>
      <c r="I63" s="2741"/>
      <c r="J63" s="232" t="s">
        <v>951</v>
      </c>
      <c r="L63" s="3203">
        <f>F63-'[24]20'!F63</f>
        <v>0</v>
      </c>
      <c r="M63" s="3204">
        <f>F63-'[26]20'!F63</f>
        <v>0</v>
      </c>
      <c r="P63" s="3204">
        <f>E63-'[26]20'!E63</f>
        <v>0</v>
      </c>
    </row>
    <row r="64" spans="2:16" ht="15" customHeight="1" x14ac:dyDescent="0.3">
      <c r="B64" s="228"/>
      <c r="C64" s="84" t="s">
        <v>190</v>
      </c>
      <c r="D64" s="84" t="s">
        <v>7256</v>
      </c>
      <c r="E64" s="2728">
        <f>'12'!E64</f>
        <v>112002911.34666392</v>
      </c>
      <c r="F64" s="2728">
        <v>0</v>
      </c>
      <c r="G64" s="2728"/>
      <c r="H64" s="2728">
        <f t="shared" ref="H64:H65" si="12">SUM(E64:G64)</f>
        <v>112002911.34666392</v>
      </c>
      <c r="I64" s="111" t="s">
        <v>7257</v>
      </c>
      <c r="J64" s="236" t="s">
        <v>190</v>
      </c>
      <c r="L64" s="3197">
        <f>F64-'[24]20'!F64</f>
        <v>0</v>
      </c>
      <c r="M64" s="3198">
        <f>F64-'[26]20'!F64</f>
        <v>0</v>
      </c>
      <c r="P64" s="3198">
        <f>E64-'[26]20'!E64</f>
        <v>35560436.963330582</v>
      </c>
    </row>
    <row r="65" spans="2:16" ht="15" customHeight="1" x14ac:dyDescent="0.3">
      <c r="B65" s="228"/>
      <c r="C65" s="84" t="s">
        <v>190</v>
      </c>
      <c r="D65" s="109" t="s">
        <v>7258</v>
      </c>
      <c r="E65" s="2759">
        <f>'12'!E65</f>
        <v>4879888.2833333332</v>
      </c>
      <c r="F65" s="2759">
        <v>0</v>
      </c>
      <c r="G65" s="2905"/>
      <c r="H65" s="2759">
        <f t="shared" si="12"/>
        <v>4879888.2833333332</v>
      </c>
      <c r="I65" s="111" t="s">
        <v>7259</v>
      </c>
      <c r="J65" s="236" t="s">
        <v>190</v>
      </c>
      <c r="L65" s="3222">
        <f>F65-'[24]20'!F65</f>
        <v>0</v>
      </c>
      <c r="M65" s="3223">
        <f>F65-'[26]20'!F65</f>
        <v>0</v>
      </c>
      <c r="P65" s="3223">
        <f>E65-'[26]20'!E65</f>
        <v>-1524381.333333333</v>
      </c>
    </row>
    <row r="66" spans="2:16" s="50" customFormat="1" ht="15" customHeight="1" x14ac:dyDescent="0.3">
      <c r="B66" s="228"/>
      <c r="C66" s="130"/>
      <c r="D66" s="130"/>
      <c r="E66" s="2761">
        <f>SUM(E64:E65)</f>
        <v>116882799.62999725</v>
      </c>
      <c r="F66" s="2761">
        <f t="shared" ref="F66:H66" si="13">SUM(F64:F65)</f>
        <v>0</v>
      </c>
      <c r="G66" s="2761">
        <f t="shared" si="13"/>
        <v>0</v>
      </c>
      <c r="H66" s="2761">
        <f t="shared" si="13"/>
        <v>116882799.62999725</v>
      </c>
      <c r="I66" s="2741"/>
      <c r="J66" s="232"/>
      <c r="L66" s="3224">
        <f>F66-'[24]20'!F66</f>
        <v>0</v>
      </c>
      <c r="M66" s="3225">
        <f>F66-'[26]20'!F66</f>
        <v>0</v>
      </c>
      <c r="N66" s="3245"/>
      <c r="P66" s="3225">
        <f>E66-'[26]20'!E66</f>
        <v>34036055.629997253</v>
      </c>
    </row>
    <row r="67" spans="2:16" s="50" customFormat="1" ht="15" customHeight="1" x14ac:dyDescent="0.3">
      <c r="B67" s="228"/>
      <c r="C67" s="130"/>
      <c r="D67" s="130"/>
      <c r="E67" s="2764">
        <f>E66+E62+E53</f>
        <v>509149779.21999729</v>
      </c>
      <c r="F67" s="2764">
        <f t="shared" ref="F67:G67" si="14">F66+F62</f>
        <v>0</v>
      </c>
      <c r="G67" s="2764">
        <f t="shared" si="14"/>
        <v>0</v>
      </c>
      <c r="H67" s="2764">
        <f>H66+H62+H53</f>
        <v>509149779.21999729</v>
      </c>
      <c r="I67" s="2560"/>
      <c r="J67" s="232"/>
      <c r="L67" s="3226">
        <f>F67-'[24]20'!F67</f>
        <v>0</v>
      </c>
      <c r="M67" s="3227">
        <f>F67-'[26]20'!F67</f>
        <v>0</v>
      </c>
      <c r="N67" s="3245"/>
      <c r="P67" s="3227">
        <f>E67-'[26]20'!E67</f>
        <v>116882799.62999725</v>
      </c>
    </row>
    <row r="68" spans="2:16" s="50" customFormat="1" ht="15" customHeight="1" x14ac:dyDescent="0.3">
      <c r="B68" s="228"/>
      <c r="C68" s="130"/>
      <c r="D68" s="130"/>
      <c r="E68" s="2764"/>
      <c r="F68" s="2764"/>
      <c r="G68" s="2764"/>
      <c r="H68" s="2764"/>
      <c r="I68" s="2560"/>
      <c r="J68" s="232"/>
      <c r="L68" s="3226">
        <f>F68-'[24]20'!F68</f>
        <v>0</v>
      </c>
      <c r="M68" s="3227">
        <f>F68-'[26]20'!F68</f>
        <v>0</v>
      </c>
      <c r="N68" s="3245"/>
      <c r="P68" s="3227">
        <f>E68-'[26]20'!E68</f>
        <v>0</v>
      </c>
    </row>
    <row r="69" spans="2:16" s="50" customFormat="1" ht="15" customHeight="1" x14ac:dyDescent="0.3">
      <c r="B69" s="228"/>
      <c r="C69" s="84" t="s">
        <v>7310</v>
      </c>
      <c r="D69" s="130"/>
      <c r="E69" s="2764"/>
      <c r="F69" s="2761">
        <f>CLK!AA653-CLK!AA626</f>
        <v>14461988888.47999</v>
      </c>
      <c r="G69" s="2764"/>
      <c r="H69" s="2728">
        <f t="shared" ref="H69:H72" si="15">SUM(E69:G69)</f>
        <v>14461988888.47999</v>
      </c>
      <c r="I69" s="2560"/>
      <c r="J69" s="232"/>
      <c r="L69" s="3224">
        <f>F69-'[24]20'!F69</f>
        <v>142090087.12999535</v>
      </c>
      <c r="M69" s="3225">
        <f>F69-'[26]20'!F69</f>
        <v>2620307254.6499958</v>
      </c>
      <c r="N69" s="3245"/>
      <c r="P69" s="3225">
        <f>E69-'[26]20'!E69</f>
        <v>0</v>
      </c>
    </row>
    <row r="70" spans="2:16" s="50" customFormat="1" ht="15" customHeight="1" x14ac:dyDescent="0.3">
      <c r="B70" s="228"/>
      <c r="C70" s="84" t="s">
        <v>283</v>
      </c>
      <c r="D70" s="130"/>
      <c r="E70" s="2764"/>
      <c r="F70" s="2761">
        <f>CLK!X785</f>
        <v>337644500</v>
      </c>
      <c r="G70" s="2764"/>
      <c r="H70" s="2728">
        <f t="shared" si="15"/>
        <v>337644500</v>
      </c>
      <c r="I70" s="2560"/>
      <c r="J70" s="232"/>
      <c r="L70" s="3224">
        <f>F70-'[24]20'!F70</f>
        <v>66856200</v>
      </c>
      <c r="M70" s="3225">
        <f>F70-'[26]20'!F70</f>
        <v>265495200</v>
      </c>
      <c r="N70" s="3245"/>
      <c r="P70" s="3225">
        <f>E70-'[26]20'!E70</f>
        <v>0</v>
      </c>
    </row>
    <row r="71" spans="2:16" s="50" customFormat="1" ht="15" customHeight="1" x14ac:dyDescent="0.3">
      <c r="B71" s="228"/>
      <c r="C71" s="84" t="s">
        <v>285</v>
      </c>
      <c r="D71" s="130"/>
      <c r="E71" s="2764"/>
      <c r="F71" s="2761">
        <f>CLK!X792</f>
        <v>6438063087</v>
      </c>
      <c r="G71" s="2764"/>
      <c r="H71" s="2728">
        <f t="shared" si="15"/>
        <v>6438063087</v>
      </c>
      <c r="I71" s="2560"/>
      <c r="J71" s="232"/>
      <c r="L71" s="3224">
        <f>F71-'[24]20'!F71</f>
        <v>0</v>
      </c>
      <c r="M71" s="3225">
        <f>F71-'[26]20'!F71</f>
        <v>0</v>
      </c>
      <c r="N71" s="3245"/>
      <c r="P71" s="3225">
        <f>E71-'[26]20'!E71</f>
        <v>0</v>
      </c>
    </row>
    <row r="72" spans="2:16" s="50" customFormat="1" ht="15" customHeight="1" x14ac:dyDescent="0.3">
      <c r="B72" s="228"/>
      <c r="C72" s="130"/>
      <c r="D72" s="130"/>
      <c r="E72" s="2764"/>
      <c r="F72" s="2764">
        <f>SUM(F69:F71)</f>
        <v>21237696475.479988</v>
      </c>
      <c r="G72" s="2764"/>
      <c r="H72" s="2739">
        <f t="shared" si="15"/>
        <v>21237696475.479988</v>
      </c>
      <c r="I72" s="2560"/>
      <c r="J72" s="232"/>
      <c r="L72" s="3226">
        <f>F72-'[24]20'!F72</f>
        <v>208946287.12999344</v>
      </c>
      <c r="M72" s="3227">
        <f>F72-'[26]20'!F72</f>
        <v>2885802454.6499939</v>
      </c>
      <c r="N72" s="3245"/>
      <c r="P72" s="3227">
        <f>E72-'[26]20'!E72</f>
        <v>0</v>
      </c>
    </row>
    <row r="73" spans="2:16" s="50" customFormat="1" ht="7.5" customHeight="1" thickBot="1" x14ac:dyDescent="0.35">
      <c r="B73" s="228"/>
      <c r="C73" s="130"/>
      <c r="D73" s="130"/>
      <c r="E73" s="2765"/>
      <c r="F73" s="131"/>
      <c r="G73" s="131"/>
      <c r="H73" s="131"/>
      <c r="I73" s="2741"/>
      <c r="J73" s="232"/>
      <c r="L73" s="3203">
        <f>F73-'[24]20'!F73</f>
        <v>0</v>
      </c>
      <c r="M73" s="3204">
        <f>F73-'[26]20'!F73</f>
        <v>0</v>
      </c>
      <c r="N73" s="3245"/>
      <c r="P73" s="3204">
        <f>E73-'[26]20'!E73</f>
        <v>0</v>
      </c>
    </row>
    <row r="74" spans="2:16" ht="16.5" customHeight="1" thickBot="1" x14ac:dyDescent="0.35">
      <c r="B74" s="2743"/>
      <c r="C74" s="2111" t="s">
        <v>7262</v>
      </c>
      <c r="D74" s="2111"/>
      <c r="E74" s="2753">
        <f>E72+E67</f>
        <v>509149779.21999729</v>
      </c>
      <c r="F74" s="2753">
        <f>SUM(F69:F71)</f>
        <v>21237696475.479988</v>
      </c>
      <c r="G74" s="2753">
        <f t="shared" ref="G74:H74" si="16">G72+G67</f>
        <v>0</v>
      </c>
      <c r="H74" s="2753">
        <f t="shared" si="16"/>
        <v>21746846254.699986</v>
      </c>
      <c r="I74" s="2746"/>
      <c r="J74" s="2747" t="s">
        <v>7263</v>
      </c>
      <c r="K74" s="159">
        <f>H74-E74-F74</f>
        <v>0</v>
      </c>
      <c r="L74" s="3216">
        <f>F74-'[24]20'!F74</f>
        <v>208946287.12999344</v>
      </c>
      <c r="M74" s="3217">
        <f>F74-'[26]20'!F74</f>
        <v>2885802454.6499939</v>
      </c>
      <c r="P74" s="3217">
        <f>E74-'[26]20'!E74</f>
        <v>116882799.62999725</v>
      </c>
    </row>
    <row r="75" spans="2:16" ht="5.25" customHeight="1" thickBot="1" x14ac:dyDescent="0.35">
      <c r="B75" s="334"/>
      <c r="C75" s="84"/>
      <c r="D75" s="84"/>
      <c r="E75" s="131"/>
      <c r="F75" s="131"/>
      <c r="G75" s="131"/>
      <c r="H75" s="131"/>
      <c r="I75" s="2742"/>
      <c r="J75" s="236"/>
      <c r="L75" s="3203">
        <f>F75-'[24]20'!F75</f>
        <v>0</v>
      </c>
      <c r="M75" s="3204">
        <f>F75-'[26]20'!F75</f>
        <v>0</v>
      </c>
      <c r="P75" s="3204">
        <f>E75-'[26]20'!E75</f>
        <v>0</v>
      </c>
    </row>
    <row r="76" spans="2:16" ht="16" customHeight="1" thickBot="1" x14ac:dyDescent="0.35">
      <c r="B76" s="2766"/>
      <c r="C76" s="2767" t="s">
        <v>7264</v>
      </c>
      <c r="D76" s="2767"/>
      <c r="E76" s="2768">
        <f>E74+E51</f>
        <v>509149779.21999729</v>
      </c>
      <c r="F76" s="2768">
        <f>F74+F51</f>
        <v>23199625536.80999</v>
      </c>
      <c r="G76" s="2768">
        <f>G74+G51</f>
        <v>0</v>
      </c>
      <c r="H76" s="2768">
        <f>H74+H51</f>
        <v>23708775316.029984</v>
      </c>
      <c r="I76" s="2769"/>
      <c r="J76" s="2770" t="s">
        <v>7265</v>
      </c>
      <c r="K76" s="159">
        <f>H76-E76-F76</f>
        <v>0</v>
      </c>
      <c r="L76" s="3228">
        <f>F76-'[24]20'!F76</f>
        <v>748753232.45999527</v>
      </c>
      <c r="M76" s="3229">
        <f>F76-'[26]20'!F76</f>
        <v>3174369924.9799957</v>
      </c>
      <c r="P76" s="3229">
        <f>E76-'[26]20'!E76</f>
        <v>116882799.62999725</v>
      </c>
    </row>
    <row r="77" spans="2:16" s="2772" customFormat="1" ht="14.15" customHeight="1" x14ac:dyDescent="0.3">
      <c r="B77" s="187"/>
      <c r="C77" s="2633"/>
      <c r="D77" s="2633"/>
      <c r="E77" s="2771">
        <f>E76-E36</f>
        <v>0</v>
      </c>
      <c r="F77" s="2771">
        <f>F76-F36-0.5+1.61</f>
        <v>0.34946762084960947</v>
      </c>
      <c r="G77" s="2771"/>
      <c r="H77" s="2771">
        <f>H76-H36+0.92</f>
        <v>0.15946380615234379</v>
      </c>
      <c r="I77" s="2633"/>
      <c r="J77" s="189"/>
      <c r="L77" s="3192"/>
      <c r="M77" s="3230"/>
      <c r="N77" s="3246"/>
    </row>
    <row r="78" spans="2:16" s="2772" customFormat="1" ht="14.15" customHeight="1" x14ac:dyDescent="0.3">
      <c r="B78" s="187"/>
      <c r="C78" s="2633"/>
      <c r="D78" s="2633"/>
      <c r="E78" s="2771"/>
      <c r="F78" s="2771"/>
      <c r="G78" s="2771"/>
      <c r="H78" s="2771"/>
      <c r="I78" s="2633" t="s">
        <v>8044</v>
      </c>
      <c r="J78" s="189"/>
      <c r="K78" s="3239" t="s">
        <v>8043</v>
      </c>
      <c r="L78" s="3232"/>
      <c r="M78" s="3233">
        <v>-19201599.989997901</v>
      </c>
      <c r="N78" s="3248">
        <v>45869</v>
      </c>
    </row>
    <row r="79" spans="2:16" s="393" customFormat="1" ht="13" customHeight="1" x14ac:dyDescent="0.3">
      <c r="B79" s="510"/>
      <c r="C79" s="511"/>
      <c r="D79" s="511"/>
      <c r="E79" s="2773">
        <f>E76-E36</f>
        <v>0</v>
      </c>
      <c r="F79" s="2773">
        <f>F76-F36</f>
        <v>-0.76053237915039063</v>
      </c>
      <c r="G79" s="2773"/>
      <c r="H79" s="2773"/>
      <c r="I79" s="511"/>
      <c r="J79" s="512"/>
      <c r="L79" s="3234"/>
      <c r="M79" s="3250">
        <v>36689300.009998441</v>
      </c>
      <c r="N79" s="3248">
        <v>45900</v>
      </c>
    </row>
    <row r="80" spans="2:16" s="181" customFormat="1" ht="8.25" hidden="1" customHeight="1" x14ac:dyDescent="0.3">
      <c r="B80" s="362"/>
      <c r="C80" s="84"/>
      <c r="D80" s="84"/>
      <c r="E80" s="152"/>
      <c r="F80" s="152"/>
      <c r="G80" s="152"/>
      <c r="H80" s="152"/>
      <c r="I80" s="84"/>
      <c r="J80" s="87"/>
      <c r="L80" s="3235"/>
      <c r="M80" s="3235"/>
      <c r="N80" s="3248"/>
    </row>
    <row r="81" spans="2:15" s="2778" customFormat="1" ht="16.5" customHeight="1" x14ac:dyDescent="0.3">
      <c r="B81" s="2774" t="str">
        <f>IN!C4</f>
        <v>Laporan Keuangan June 2026</v>
      </c>
      <c r="C81" s="2774"/>
      <c r="D81" s="2774"/>
      <c r="E81" s="3929" t="s">
        <v>168</v>
      </c>
      <c r="F81" s="3929"/>
      <c r="G81" s="3929"/>
      <c r="H81" s="3929"/>
      <c r="I81" s="2774"/>
      <c r="J81" s="2777" t="str">
        <f>IN!D4</f>
        <v>Financial Statement Jun 2026</v>
      </c>
      <c r="L81" s="3236"/>
      <c r="M81" s="3249"/>
      <c r="N81" s="3248">
        <v>45930</v>
      </c>
      <c r="O81" s="2778">
        <v>2645605053.706666</v>
      </c>
    </row>
    <row r="82" spans="2:15" ht="15.75" customHeight="1" x14ac:dyDescent="0.3">
      <c r="B82" s="63"/>
      <c r="C82" s="86"/>
      <c r="D82" s="86"/>
      <c r="E82" s="2331"/>
      <c r="F82" s="2331"/>
      <c r="G82" s="2331"/>
      <c r="H82" s="2331"/>
      <c r="I82" s="86"/>
      <c r="J82" s="87"/>
      <c r="L82" s="3237"/>
      <c r="M82" s="3237"/>
      <c r="N82" s="3248">
        <v>45961</v>
      </c>
      <c r="O82" s="159"/>
    </row>
    <row r="83" spans="2:15" s="176" customFormat="1" ht="15.75" customHeight="1" x14ac:dyDescent="0.3">
      <c r="B83" s="48"/>
      <c r="C83" s="43"/>
      <c r="D83" s="43"/>
      <c r="E83" s="2331">
        <f>+E77</f>
        <v>0</v>
      </c>
      <c r="F83" s="2331">
        <f>+F77</f>
        <v>0.34946762084960947</v>
      </c>
      <c r="G83" s="2331">
        <f>F83</f>
        <v>0.34946762084960947</v>
      </c>
      <c r="H83" s="2331"/>
      <c r="I83" s="43"/>
      <c r="J83" s="58"/>
      <c r="L83" s="3238"/>
      <c r="M83" s="3237"/>
      <c r="N83" s="3248">
        <v>45991</v>
      </c>
    </row>
    <row r="84" spans="2:15" x14ac:dyDescent="0.3">
      <c r="B84" s="3903">
        <v>1</v>
      </c>
      <c r="C84" s="3903"/>
      <c r="D84" s="3903"/>
      <c r="E84" s="3903"/>
      <c r="F84" s="3903"/>
      <c r="G84" s="3903"/>
      <c r="H84" s="3903"/>
      <c r="I84" s="3903"/>
      <c r="J84" s="3903"/>
      <c r="L84" s="3237"/>
      <c r="M84" s="3237"/>
      <c r="N84" s="3248">
        <v>46022</v>
      </c>
    </row>
    <row r="85" spans="2:15" ht="15.75" customHeight="1" thickBot="1" x14ac:dyDescent="0.35">
      <c r="B85" s="48"/>
      <c r="E85" s="2779"/>
      <c r="F85" s="2779"/>
      <c r="G85" s="2779"/>
      <c r="H85" s="2779"/>
      <c r="L85" s="3237"/>
      <c r="M85" s="3237"/>
      <c r="N85" s="3248">
        <v>46053</v>
      </c>
    </row>
    <row r="86" spans="2:15" ht="25" customHeight="1" x14ac:dyDescent="0.3">
      <c r="B86" s="2780"/>
      <c r="C86" s="393"/>
      <c r="D86" s="3926" t="s">
        <v>8012</v>
      </c>
      <c r="E86" s="3927"/>
      <c r="F86" s="3928"/>
      <c r="G86" s="2329"/>
      <c r="H86" s="2329"/>
      <c r="I86" s="393"/>
      <c r="J86" s="394"/>
      <c r="N86" s="3248">
        <v>46081</v>
      </c>
    </row>
    <row r="87" spans="2:15" ht="15.75" customHeight="1" x14ac:dyDescent="0.3">
      <c r="B87" s="2780"/>
      <c r="C87" s="393"/>
      <c r="D87" s="3168" t="s">
        <v>3194</v>
      </c>
      <c r="E87" s="3160" t="s">
        <v>7617</v>
      </c>
      <c r="F87" s="3161" t="s">
        <v>7303</v>
      </c>
      <c r="G87" s="2329"/>
      <c r="H87" s="2329"/>
      <c r="I87" s="393"/>
      <c r="J87" s="394"/>
      <c r="N87" s="3248">
        <v>46112</v>
      </c>
    </row>
    <row r="88" spans="2:15" ht="15.75" customHeight="1" x14ac:dyDescent="0.3">
      <c r="B88" s="2780"/>
      <c r="C88" s="393"/>
      <c r="D88" s="3162" t="s">
        <v>8014</v>
      </c>
      <c r="E88" s="3163">
        <f>'[27]20'!$E$76</f>
        <v>392266979.59000003</v>
      </c>
      <c r="F88" s="3164">
        <f>'[27]20'!$F$76</f>
        <v>20025255611.829994</v>
      </c>
      <c r="G88" s="2329"/>
      <c r="H88" s="2329"/>
      <c r="I88" s="393"/>
      <c r="J88" s="394"/>
      <c r="N88" s="3248">
        <v>46142</v>
      </c>
    </row>
    <row r="89" spans="2:15" ht="15.75" customHeight="1" thickBot="1" x14ac:dyDescent="0.35">
      <c r="B89" s="2780"/>
      <c r="C89" s="393"/>
      <c r="D89" s="3165" t="s">
        <v>8013</v>
      </c>
      <c r="E89" s="3166">
        <f>E76-E88</f>
        <v>116882799.62999725</v>
      </c>
      <c r="F89" s="3167">
        <f>F76-F88</f>
        <v>3174369924.9799957</v>
      </c>
      <c r="G89" s="2150"/>
      <c r="H89" s="2150"/>
      <c r="I89" s="393"/>
      <c r="J89" s="394"/>
      <c r="N89" s="3248">
        <v>46173</v>
      </c>
    </row>
    <row r="90" spans="2:15" ht="15.75" customHeight="1" x14ac:dyDescent="0.3">
      <c r="B90" s="2780"/>
      <c r="C90" s="393"/>
      <c r="D90" s="393"/>
      <c r="E90" s="2782"/>
      <c r="F90" s="2782"/>
      <c r="G90" s="2782"/>
      <c r="H90" s="2782"/>
      <c r="I90" s="393"/>
      <c r="J90" s="394"/>
      <c r="N90" s="3248">
        <v>46203</v>
      </c>
    </row>
    <row r="91" spans="2:15" ht="15.75" customHeight="1" x14ac:dyDescent="0.3">
      <c r="B91" s="2780"/>
      <c r="C91" s="393"/>
      <c r="D91" s="393"/>
      <c r="E91" s="2150"/>
      <c r="F91" s="2150"/>
      <c r="G91" s="2150"/>
      <c r="H91" s="2150"/>
      <c r="I91" s="393"/>
      <c r="J91" s="394"/>
      <c r="N91" s="3247"/>
    </row>
    <row r="92" spans="2:15" ht="15.75" customHeight="1" x14ac:dyDescent="0.3">
      <c r="B92" s="48"/>
      <c r="N92" s="3247"/>
    </row>
    <row r="93" spans="2:15" ht="15.75" customHeight="1" x14ac:dyDescent="0.3">
      <c r="B93" s="48"/>
    </row>
    <row r="94" spans="2:15" ht="15.75" customHeight="1" x14ac:dyDescent="0.3">
      <c r="B94" s="48"/>
      <c r="I94" s="43">
        <v>2</v>
      </c>
    </row>
    <row r="95" spans="2:15" ht="15.75" customHeight="1" x14ac:dyDescent="0.3">
      <c r="B95" s="48"/>
    </row>
    <row r="96" spans="2:15" ht="15.75" customHeight="1" x14ac:dyDescent="0.3"/>
    <row r="97" spans="4:9" ht="15.75" customHeight="1" x14ac:dyDescent="0.3"/>
    <row r="100" spans="4:9" x14ac:dyDescent="0.3">
      <c r="D100" s="43">
        <v>3</v>
      </c>
      <c r="I100" s="43">
        <v>3</v>
      </c>
    </row>
  </sheetData>
  <mergeCells count="17">
    <mergeCell ref="L10:L11"/>
    <mergeCell ref="M10:M11"/>
    <mergeCell ref="L9:M9"/>
    <mergeCell ref="O9:P9"/>
    <mergeCell ref="O10:O11"/>
    <mergeCell ref="P10:P11"/>
    <mergeCell ref="D86:F86"/>
    <mergeCell ref="B36:D36"/>
    <mergeCell ref="I36:J36"/>
    <mergeCell ref="B84:J84"/>
    <mergeCell ref="B1:J1"/>
    <mergeCell ref="B4:J4"/>
    <mergeCell ref="B6:D6"/>
    <mergeCell ref="I6:J6"/>
    <mergeCell ref="B10:D11"/>
    <mergeCell ref="I10:J11"/>
    <mergeCell ref="E81:H81"/>
  </mergeCells>
  <pageMargins left="0.7" right="0.7" top="0.75" bottom="0.75" header="0.3" footer="0.3"/>
  <pageSetup paperSize="9" orientation="portrait" horizontalDpi="0" verticalDpi="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25"/>
  <sheetViews>
    <sheetView view="pageBreakPreview" zoomScale="80" zoomScaleNormal="70" zoomScaleSheetLayoutView="80" workbookViewId="0">
      <selection activeCell="F9" sqref="F9"/>
    </sheetView>
  </sheetViews>
  <sheetFormatPr defaultColWidth="8.81640625" defaultRowHeight="13" outlineLevelRow="1" x14ac:dyDescent="0.3"/>
  <cols>
    <col min="1" max="1" width="1.54296875" style="43" customWidth="1"/>
    <col min="2" max="2" width="0.7265625" style="43" customWidth="1"/>
    <col min="3" max="3" width="1.7265625" style="43" customWidth="1"/>
    <col min="4" max="4" width="21.453125" style="43" customWidth="1"/>
    <col min="5" max="5" width="20.1796875" style="50" customWidth="1"/>
    <col min="6" max="7" width="20.1796875" style="2783" customWidth="1"/>
    <col min="8" max="8" width="1.453125" style="43" customWidth="1"/>
    <col min="9" max="9" width="23" style="43" customWidth="1"/>
    <col min="10" max="16384" width="8.81640625" style="43"/>
  </cols>
  <sheetData>
    <row r="1" spans="2:7" s="2267" customFormat="1" ht="14" x14ac:dyDescent="0.3">
      <c r="B1" s="3410" t="s">
        <v>7325</v>
      </c>
      <c r="C1" s="3410"/>
      <c r="D1" s="3410"/>
      <c r="E1" s="3410"/>
      <c r="F1" s="3410"/>
      <c r="G1" s="3410"/>
    </row>
    <row r="2" spans="2:7" s="2267" customFormat="1" ht="14" x14ac:dyDescent="0.3">
      <c r="B2" s="3872" t="s">
        <v>7616</v>
      </c>
      <c r="C2" s="3872"/>
      <c r="D2" s="3872"/>
      <c r="E2" s="3872"/>
      <c r="F2" s="3872"/>
      <c r="G2" s="3872"/>
    </row>
    <row r="3" spans="2:7" s="2267" customFormat="1" ht="21" customHeight="1" x14ac:dyDescent="0.3">
      <c r="B3" s="3943" t="str">
        <f>NRC!B5</f>
        <v>30 June 2026</v>
      </c>
      <c r="C3" s="3943"/>
      <c r="D3" s="3943"/>
      <c r="E3" s="3943"/>
      <c r="F3" s="3943"/>
      <c r="G3" s="3943"/>
    </row>
    <row r="4" spans="2:7" s="2197" customFormat="1" ht="15" customHeight="1" thickBot="1" x14ac:dyDescent="0.35">
      <c r="B4" s="130"/>
      <c r="C4" s="2734"/>
      <c r="D4" s="2734"/>
      <c r="E4" s="2735"/>
      <c r="F4" s="2736"/>
      <c r="G4" s="2736"/>
    </row>
    <row r="5" spans="2:7" ht="15" customHeight="1" thickBot="1" x14ac:dyDescent="0.35">
      <c r="B5" s="3935" t="s">
        <v>178</v>
      </c>
      <c r="C5" s="3936"/>
      <c r="D5" s="3936"/>
      <c r="E5" s="3011" t="s">
        <v>7303</v>
      </c>
      <c r="F5" s="3012" t="s">
        <v>7617</v>
      </c>
      <c r="G5" s="3015" t="s">
        <v>7614</v>
      </c>
    </row>
    <row r="6" spans="2:7" s="369" customFormat="1" ht="14.25" customHeight="1" thickBot="1" x14ac:dyDescent="0.35">
      <c r="B6" s="3937"/>
      <c r="C6" s="3938"/>
      <c r="D6" s="3938"/>
      <c r="E6" s="3009" t="s">
        <v>7307</v>
      </c>
      <c r="F6" s="3013" t="s">
        <v>7306</v>
      </c>
      <c r="G6" s="3016" t="s">
        <v>7615</v>
      </c>
    </row>
    <row r="7" spans="2:7" ht="8.5" customHeight="1" thickBot="1" x14ac:dyDescent="0.35">
      <c r="B7" s="97"/>
      <c r="C7" s="2988"/>
      <c r="D7" s="2989"/>
      <c r="E7" s="2990"/>
      <c r="F7" s="2990"/>
      <c r="G7" s="2991"/>
    </row>
    <row r="8" spans="2:7" ht="16.5" customHeight="1" thickBot="1" x14ac:dyDescent="0.35">
      <c r="B8" s="3122"/>
      <c r="C8" s="3944" t="s">
        <v>7932</v>
      </c>
      <c r="D8" s="3944"/>
      <c r="E8" s="3944"/>
      <c r="F8" s="3944"/>
      <c r="G8" s="3945"/>
    </row>
    <row r="9" spans="2:7" ht="32.25" customHeight="1" thickBot="1" x14ac:dyDescent="0.35">
      <c r="B9" s="3939" t="str">
        <f>B3</f>
        <v>30 June 2026</v>
      </c>
      <c r="C9" s="3940"/>
      <c r="D9" s="3941"/>
      <c r="E9" s="3010">
        <f>RL!C229</f>
        <v>558578300</v>
      </c>
      <c r="F9" s="3014">
        <f>'13'!E13</f>
        <v>82572250</v>
      </c>
      <c r="G9" s="3017">
        <f>E9+F9</f>
        <v>641150550</v>
      </c>
    </row>
    <row r="10" spans="2:7" ht="8.5" customHeight="1" thickBot="1" x14ac:dyDescent="0.35">
      <c r="B10" s="2994"/>
      <c r="C10" s="3123"/>
      <c r="D10" s="3123"/>
      <c r="E10" s="3124"/>
      <c r="F10" s="3124"/>
      <c r="G10" s="3125"/>
    </row>
    <row r="11" spans="2:7" ht="15.75" customHeight="1" thickBot="1" x14ac:dyDescent="0.35">
      <c r="B11" s="3126"/>
      <c r="C11" s="3946" t="s">
        <v>7933</v>
      </c>
      <c r="D11" s="3946"/>
      <c r="E11" s="3946"/>
      <c r="F11" s="3946"/>
      <c r="G11" s="3946"/>
    </row>
    <row r="12" spans="2:7" ht="33" customHeight="1" thickBot="1" x14ac:dyDescent="0.35">
      <c r="B12" s="3939" t="str">
        <f>B3</f>
        <v>30 June 2026</v>
      </c>
      <c r="C12" s="3940"/>
      <c r="D12" s="3941"/>
      <c r="E12" s="3010">
        <f>RL!C2536</f>
        <v>592181856.65999997</v>
      </c>
      <c r="F12" s="3014">
        <f>'13'!E22+'13'!E49</f>
        <v>77692361.716666669</v>
      </c>
      <c r="G12" s="3017">
        <f t="shared" ref="G12" si="0">E12+F12</f>
        <v>669874218.37666667</v>
      </c>
    </row>
    <row r="13" spans="2:7" ht="8.5" customHeight="1" outlineLevel="1" thickBot="1" x14ac:dyDescent="0.35">
      <c r="B13" s="2993"/>
      <c r="C13" s="2995"/>
      <c r="D13" s="2995"/>
      <c r="E13" s="2987"/>
      <c r="F13" s="2987"/>
      <c r="G13" s="2992"/>
    </row>
    <row r="14" spans="2:7" ht="15" customHeight="1" outlineLevel="1" thickBot="1" x14ac:dyDescent="0.35">
      <c r="B14" s="2993"/>
      <c r="C14" s="3947" t="s">
        <v>7934</v>
      </c>
      <c r="D14" s="3947"/>
      <c r="E14" s="3947"/>
      <c r="F14" s="3947"/>
      <c r="G14" s="3948"/>
    </row>
    <row r="15" spans="2:7" ht="33" customHeight="1" thickBot="1" x14ac:dyDescent="0.35">
      <c r="B15" s="3939" t="str">
        <f>B3</f>
        <v>30 June 2026</v>
      </c>
      <c r="C15" s="3940"/>
      <c r="D15" s="3941"/>
      <c r="E15" s="3136">
        <f>E9-E12</f>
        <v>-33603556.659999967</v>
      </c>
      <c r="F15" s="3137">
        <f>F9-F12</f>
        <v>4879888.2833333313</v>
      </c>
      <c r="G15" s="3135">
        <f>E15+F15</f>
        <v>-28723668.376666635</v>
      </c>
    </row>
    <row r="16" spans="2:7" s="181" customFormat="1" ht="8.25" hidden="1" customHeight="1" x14ac:dyDescent="0.15">
      <c r="B16" s="362"/>
      <c r="C16" s="84"/>
      <c r="D16" s="84"/>
      <c r="E16" s="152"/>
      <c r="F16" s="152"/>
      <c r="G16" s="152"/>
    </row>
    <row r="17" spans="2:8" s="181" customFormat="1" ht="8.25" customHeight="1" x14ac:dyDescent="0.15">
      <c r="B17" s="362"/>
      <c r="C17" s="84"/>
      <c r="D17" s="84"/>
      <c r="E17" s="152"/>
      <c r="F17" s="152"/>
      <c r="G17" s="152"/>
    </row>
    <row r="18" spans="2:8" s="2778" customFormat="1" ht="16.5" customHeight="1" x14ac:dyDescent="0.35">
      <c r="B18" s="2774" t="str">
        <f>IN!C4</f>
        <v>Laporan Keuangan June 2026</v>
      </c>
      <c r="C18" s="2774"/>
      <c r="D18" s="2774"/>
      <c r="E18" s="3942" t="str">
        <f>IN!D4</f>
        <v>Financial Statement Jun 2026</v>
      </c>
      <c r="F18" s="3942"/>
      <c r="G18" s="3942"/>
      <c r="H18" s="2986"/>
    </row>
    <row r="22" spans="2:8" x14ac:dyDescent="0.3">
      <c r="E22" s="2076"/>
    </row>
    <row r="23" spans="2:8" x14ac:dyDescent="0.3">
      <c r="E23" s="3270"/>
    </row>
    <row r="24" spans="2:8" x14ac:dyDescent="0.3">
      <c r="E24" s="3270"/>
    </row>
    <row r="25" spans="2:8" x14ac:dyDescent="0.3">
      <c r="E25" s="2076"/>
    </row>
  </sheetData>
  <mergeCells count="11">
    <mergeCell ref="B1:G1"/>
    <mergeCell ref="B5:D6"/>
    <mergeCell ref="B15:D15"/>
    <mergeCell ref="E18:G18"/>
    <mergeCell ref="B2:G2"/>
    <mergeCell ref="B3:G3"/>
    <mergeCell ref="B9:D9"/>
    <mergeCell ref="B12:D12"/>
    <mergeCell ref="C8:G8"/>
    <mergeCell ref="C11:G11"/>
    <mergeCell ref="C14:G14"/>
  </mergeCell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788"/>
  <sheetViews>
    <sheetView topLeftCell="A367" zoomScale="110" zoomScaleNormal="110" workbookViewId="0">
      <selection activeCell="E409" sqref="E409"/>
    </sheetView>
  </sheetViews>
  <sheetFormatPr defaultRowHeight="14.5" x14ac:dyDescent="0.35"/>
  <cols>
    <col min="1" max="1" width="9.1796875" style="943"/>
    <col min="2" max="2" width="40.7265625" customWidth="1"/>
    <col min="3" max="3" width="29.54296875" customWidth="1"/>
    <col min="4" max="4" width="21.453125" customWidth="1"/>
    <col min="5" max="5" width="18" customWidth="1"/>
    <col min="6" max="6" width="21.7265625" customWidth="1"/>
  </cols>
  <sheetData>
    <row r="2" spans="1:4" x14ac:dyDescent="0.35">
      <c r="A2" s="943" t="s">
        <v>7326</v>
      </c>
    </row>
    <row r="3" spans="1:4" x14ac:dyDescent="0.35">
      <c r="A3" s="943" t="s">
        <v>7327</v>
      </c>
    </row>
    <row r="4" spans="1:4" x14ac:dyDescent="0.35">
      <c r="A4" s="943" t="s">
        <v>7328</v>
      </c>
    </row>
    <row r="6" spans="1:4" x14ac:dyDescent="0.35">
      <c r="A6" s="943" t="s">
        <v>1054</v>
      </c>
    </row>
    <row r="8" spans="1:4" x14ac:dyDescent="0.35">
      <c r="A8" s="943" t="s">
        <v>8510</v>
      </c>
    </row>
    <row r="9" spans="1:4" x14ac:dyDescent="0.35">
      <c r="A9" s="943" t="s">
        <v>8511</v>
      </c>
    </row>
    <row r="10" spans="1:4" x14ac:dyDescent="0.35">
      <c r="A10" s="943" t="s">
        <v>8512</v>
      </c>
    </row>
    <row r="13" spans="1:4" x14ac:dyDescent="0.35">
      <c r="A13" s="943" t="s">
        <v>1055</v>
      </c>
      <c r="B13" t="s">
        <v>183</v>
      </c>
    </row>
    <row r="14" spans="1:4" x14ac:dyDescent="0.35">
      <c r="A14" s="943" t="s">
        <v>1056</v>
      </c>
      <c r="B14" t="s">
        <v>1057</v>
      </c>
    </row>
    <row r="15" spans="1:4" x14ac:dyDescent="0.35">
      <c r="A15" s="943" t="s">
        <v>1058</v>
      </c>
      <c r="B15" t="s">
        <v>1059</v>
      </c>
      <c r="D15" s="2984"/>
    </row>
    <row r="16" spans="1:4" x14ac:dyDescent="0.35">
      <c r="A16" s="943" t="s">
        <v>1177</v>
      </c>
      <c r="B16" t="s">
        <v>1178</v>
      </c>
      <c r="C16" s="944">
        <v>0</v>
      </c>
    </row>
    <row r="17" spans="1:4" x14ac:dyDescent="0.35">
      <c r="A17" s="943" t="s">
        <v>585</v>
      </c>
      <c r="B17" t="s">
        <v>1060</v>
      </c>
      <c r="C17" s="944">
        <v>919800</v>
      </c>
      <c r="D17" s="944"/>
    </row>
    <row r="18" spans="1:4" x14ac:dyDescent="0.35">
      <c r="A18" s="943" t="s">
        <v>588</v>
      </c>
      <c r="B18" t="s">
        <v>1061</v>
      </c>
      <c r="C18" s="944">
        <v>85600</v>
      </c>
      <c r="D18" s="944"/>
    </row>
    <row r="19" spans="1:4" x14ac:dyDescent="0.35">
      <c r="A19" s="943" t="s">
        <v>1179</v>
      </c>
      <c r="B19" t="s">
        <v>1180</v>
      </c>
      <c r="C19" s="944">
        <v>0</v>
      </c>
    </row>
    <row r="20" spans="1:4" x14ac:dyDescent="0.35">
      <c r="A20" s="943" t="s">
        <v>1181</v>
      </c>
      <c r="B20" t="s">
        <v>1182</v>
      </c>
      <c r="C20" s="944">
        <v>175654800</v>
      </c>
      <c r="D20" s="944"/>
    </row>
    <row r="21" spans="1:4" x14ac:dyDescent="0.35">
      <c r="A21" s="943" t="s">
        <v>1183</v>
      </c>
      <c r="B21" t="s">
        <v>1184</v>
      </c>
      <c r="C21" s="944">
        <v>161988900</v>
      </c>
      <c r="D21" s="944"/>
    </row>
    <row r="22" spans="1:4" x14ac:dyDescent="0.35">
      <c r="A22" s="943" t="s">
        <v>1185</v>
      </c>
      <c r="B22" t="s">
        <v>1186</v>
      </c>
      <c r="C22" s="944">
        <v>0</v>
      </c>
    </row>
    <row r="23" spans="1:4" x14ac:dyDescent="0.35">
      <c r="A23" s="943" t="s">
        <v>1187</v>
      </c>
      <c r="B23" t="s">
        <v>1188</v>
      </c>
      <c r="C23" s="944">
        <v>0</v>
      </c>
    </row>
    <row r="24" spans="1:4" x14ac:dyDescent="0.35">
      <c r="A24" s="943" t="s">
        <v>1189</v>
      </c>
      <c r="B24" t="s">
        <v>7134</v>
      </c>
      <c r="C24" s="944">
        <v>0</v>
      </c>
    </row>
    <row r="25" spans="1:4" x14ac:dyDescent="0.35">
      <c r="A25" s="943" t="s">
        <v>1190</v>
      </c>
      <c r="B25" t="s">
        <v>1191</v>
      </c>
      <c r="C25" s="944">
        <v>0</v>
      </c>
    </row>
    <row r="26" spans="1:4" x14ac:dyDescent="0.35">
      <c r="A26" s="943" t="s">
        <v>1192</v>
      </c>
      <c r="B26" t="s">
        <v>1193</v>
      </c>
      <c r="C26" s="944">
        <v>0</v>
      </c>
    </row>
    <row r="27" spans="1:4" x14ac:dyDescent="0.35">
      <c r="A27" s="943" t="s">
        <v>1062</v>
      </c>
      <c r="B27" t="s">
        <v>7135</v>
      </c>
      <c r="C27" s="944">
        <v>2368365264</v>
      </c>
      <c r="D27" s="944"/>
    </row>
    <row r="28" spans="1:4" x14ac:dyDescent="0.35">
      <c r="A28" s="943" t="s">
        <v>593</v>
      </c>
      <c r="B28" t="s">
        <v>7177</v>
      </c>
      <c r="C28" s="944">
        <v>136214910</v>
      </c>
      <c r="D28" s="944"/>
    </row>
    <row r="29" spans="1:4" x14ac:dyDescent="0.35">
      <c r="A29" s="943" t="s">
        <v>1063</v>
      </c>
      <c r="B29" t="s">
        <v>7178</v>
      </c>
      <c r="C29" s="944">
        <v>61760328</v>
      </c>
      <c r="D29" s="944">
        <f>C29-'[28]BMI YYSN'!$D$33</f>
        <v>0</v>
      </c>
    </row>
    <row r="30" spans="1:4" x14ac:dyDescent="0.35">
      <c r="A30" s="943" t="s">
        <v>1064</v>
      </c>
      <c r="B30" t="s">
        <v>7179</v>
      </c>
      <c r="C30" s="944">
        <v>375000</v>
      </c>
      <c r="D30" s="944">
        <f>C30-[28]BNISy!$D$30</f>
        <v>-700000</v>
      </c>
    </row>
    <row r="31" spans="1:4" x14ac:dyDescent="0.35">
      <c r="A31" s="943" t="s">
        <v>1065</v>
      </c>
      <c r="B31" t="s">
        <v>7180</v>
      </c>
      <c r="C31" s="944">
        <v>0</v>
      </c>
    </row>
    <row r="32" spans="1:4" x14ac:dyDescent="0.35">
      <c r="A32" s="943" t="s">
        <v>1066</v>
      </c>
      <c r="B32" t="s">
        <v>7181</v>
      </c>
      <c r="C32" s="944">
        <v>0</v>
      </c>
    </row>
    <row r="33" spans="1:5" x14ac:dyDescent="0.35">
      <c r="A33" s="943" t="s">
        <v>1067</v>
      </c>
      <c r="B33" t="s">
        <v>7182</v>
      </c>
      <c r="C33" s="944">
        <v>0</v>
      </c>
    </row>
    <row r="34" spans="1:5" x14ac:dyDescent="0.35">
      <c r="A34" s="943" t="s">
        <v>1194</v>
      </c>
      <c r="B34" t="s">
        <v>1195</v>
      </c>
      <c r="C34" s="944">
        <v>0</v>
      </c>
    </row>
    <row r="35" spans="1:5" x14ac:dyDescent="0.35">
      <c r="A35" s="943" t="s">
        <v>1196</v>
      </c>
      <c r="B35" t="s">
        <v>1197</v>
      </c>
      <c r="C35" s="944">
        <v>0</v>
      </c>
    </row>
    <row r="36" spans="1:5" x14ac:dyDescent="0.35">
      <c r="A36" s="943" t="s">
        <v>1198</v>
      </c>
      <c r="B36" t="s">
        <v>1193</v>
      </c>
      <c r="C36" s="944">
        <v>0</v>
      </c>
    </row>
    <row r="37" spans="1:5" x14ac:dyDescent="0.35">
      <c r="A37" s="943" t="s">
        <v>1199</v>
      </c>
      <c r="B37" t="s">
        <v>1200</v>
      </c>
      <c r="C37" s="944">
        <v>0</v>
      </c>
    </row>
    <row r="38" spans="1:5" x14ac:dyDescent="0.35">
      <c r="A38" s="943" t="s">
        <v>1201</v>
      </c>
      <c r="B38" t="s">
        <v>1202</v>
      </c>
      <c r="C38" s="944">
        <v>0</v>
      </c>
    </row>
    <row r="39" spans="1:5" x14ac:dyDescent="0.35">
      <c r="A39" s="943" t="s">
        <v>1203</v>
      </c>
      <c r="B39" t="s">
        <v>1204</v>
      </c>
      <c r="C39" s="944">
        <v>0</v>
      </c>
    </row>
    <row r="40" spans="1:5" x14ac:dyDescent="0.35">
      <c r="A40" s="943" t="s">
        <v>1205</v>
      </c>
      <c r="B40" t="s">
        <v>1206</v>
      </c>
      <c r="C40" s="944">
        <v>0</v>
      </c>
    </row>
    <row r="41" spans="1:5" x14ac:dyDescent="0.35">
      <c r="A41" s="943" t="s">
        <v>1207</v>
      </c>
      <c r="B41" t="s">
        <v>1208</v>
      </c>
      <c r="C41" s="944">
        <v>0</v>
      </c>
    </row>
    <row r="42" spans="1:5" x14ac:dyDescent="0.35">
      <c r="A42" s="943" t="s">
        <v>1209</v>
      </c>
      <c r="B42" t="s">
        <v>1210</v>
      </c>
      <c r="C42" s="944">
        <v>0</v>
      </c>
    </row>
    <row r="43" spans="1:5" x14ac:dyDescent="0.35">
      <c r="A43" s="943" t="s">
        <v>1211</v>
      </c>
      <c r="B43" t="s">
        <v>1186</v>
      </c>
      <c r="C43" s="944">
        <v>0</v>
      </c>
    </row>
    <row r="44" spans="1:5" x14ac:dyDescent="0.35">
      <c r="A44" s="943" t="s">
        <v>1212</v>
      </c>
      <c r="B44" t="s">
        <v>1188</v>
      </c>
      <c r="C44" s="944">
        <v>0</v>
      </c>
    </row>
    <row r="45" spans="1:5" x14ac:dyDescent="0.35">
      <c r="B45" t="s">
        <v>1068</v>
      </c>
      <c r="C45" s="944">
        <v>2905364602</v>
      </c>
      <c r="D45">
        <f>NRC!E13</f>
        <v>3128425760.5799999</v>
      </c>
      <c r="E45" s="1682">
        <f>C45-D45+CLK!Q144+CLK!Q128</f>
        <v>0</v>
      </c>
    </row>
    <row r="46" spans="1:5" x14ac:dyDescent="0.35">
      <c r="A46" s="943" t="s">
        <v>1213</v>
      </c>
      <c r="B46" t="s">
        <v>1214</v>
      </c>
      <c r="C46" s="944"/>
    </row>
    <row r="47" spans="1:5" x14ac:dyDescent="0.35">
      <c r="A47" s="943" t="s">
        <v>1215</v>
      </c>
      <c r="B47" t="s">
        <v>1216</v>
      </c>
      <c r="C47" s="944">
        <v>0</v>
      </c>
    </row>
    <row r="48" spans="1:5" x14ac:dyDescent="0.35">
      <c r="A48" s="943" t="s">
        <v>1217</v>
      </c>
      <c r="B48" t="s">
        <v>1218</v>
      </c>
      <c r="C48" s="944">
        <v>0</v>
      </c>
    </row>
    <row r="49" spans="1:3" x14ac:dyDescent="0.35">
      <c r="A49" s="943" t="s">
        <v>1219</v>
      </c>
      <c r="B49" t="s">
        <v>1220</v>
      </c>
      <c r="C49" s="944">
        <v>0</v>
      </c>
    </row>
    <row r="50" spans="1:3" x14ac:dyDescent="0.35">
      <c r="A50" s="943" t="s">
        <v>1221</v>
      </c>
      <c r="B50" t="s">
        <v>1222</v>
      </c>
      <c r="C50" s="944">
        <v>0</v>
      </c>
    </row>
    <row r="51" spans="1:3" x14ac:dyDescent="0.35">
      <c r="A51" s="943" t="s">
        <v>1223</v>
      </c>
      <c r="B51" t="s">
        <v>1224</v>
      </c>
      <c r="C51" s="944">
        <v>0</v>
      </c>
    </row>
    <row r="52" spans="1:3" x14ac:dyDescent="0.35">
      <c r="B52" t="s">
        <v>1225</v>
      </c>
      <c r="C52" s="944">
        <v>0</v>
      </c>
    </row>
    <row r="53" spans="1:3" x14ac:dyDescent="0.35">
      <c r="A53" s="943" t="s">
        <v>1069</v>
      </c>
      <c r="B53" t="s">
        <v>1070</v>
      </c>
      <c r="C53" s="944"/>
    </row>
    <row r="54" spans="1:3" x14ac:dyDescent="0.35">
      <c r="A54" s="943" t="s">
        <v>1226</v>
      </c>
      <c r="B54" t="s">
        <v>1227</v>
      </c>
      <c r="C54" s="944">
        <v>0</v>
      </c>
    </row>
    <row r="55" spans="1:3" x14ac:dyDescent="0.35">
      <c r="A55" s="943" t="s">
        <v>1228</v>
      </c>
      <c r="B55" t="s">
        <v>1229</v>
      </c>
      <c r="C55" s="944">
        <v>0</v>
      </c>
    </row>
    <row r="56" spans="1:3" x14ac:dyDescent="0.35">
      <c r="A56" s="943" t="s">
        <v>1071</v>
      </c>
      <c r="B56" t="s">
        <v>1072</v>
      </c>
      <c r="C56" s="944">
        <v>251757000</v>
      </c>
    </row>
    <row r="57" spans="1:3" x14ac:dyDescent="0.35">
      <c r="A57" s="943" t="s">
        <v>1073</v>
      </c>
      <c r="B57" t="s">
        <v>1074</v>
      </c>
      <c r="C57" s="944">
        <v>378916000</v>
      </c>
    </row>
    <row r="58" spans="1:3" x14ac:dyDescent="0.35">
      <c r="A58" s="943" t="s">
        <v>1075</v>
      </c>
      <c r="B58" t="s">
        <v>1076</v>
      </c>
      <c r="C58" s="944">
        <v>34150000</v>
      </c>
    </row>
    <row r="59" spans="1:3" x14ac:dyDescent="0.35">
      <c r="A59" s="943" t="s">
        <v>1230</v>
      </c>
      <c r="B59" t="s">
        <v>1231</v>
      </c>
      <c r="C59" s="944">
        <v>0</v>
      </c>
    </row>
    <row r="60" spans="1:3" x14ac:dyDescent="0.35">
      <c r="A60" s="943" t="s">
        <v>1232</v>
      </c>
      <c r="B60" t="s">
        <v>1233</v>
      </c>
      <c r="C60" s="944">
        <v>0</v>
      </c>
    </row>
    <row r="61" spans="1:3" x14ac:dyDescent="0.35">
      <c r="A61" s="943" t="s">
        <v>1234</v>
      </c>
      <c r="B61" t="s">
        <v>1235</v>
      </c>
      <c r="C61" s="944">
        <v>0</v>
      </c>
    </row>
    <row r="62" spans="1:3" x14ac:dyDescent="0.35">
      <c r="A62" s="943" t="s">
        <v>1236</v>
      </c>
      <c r="B62" t="s">
        <v>1237</v>
      </c>
      <c r="C62" s="944">
        <v>0</v>
      </c>
    </row>
    <row r="63" spans="1:3" x14ac:dyDescent="0.35">
      <c r="A63" s="943" t="s">
        <v>1238</v>
      </c>
      <c r="B63" t="s">
        <v>1239</v>
      </c>
      <c r="C63" s="944">
        <v>0</v>
      </c>
    </row>
    <row r="64" spans="1:3" x14ac:dyDescent="0.35">
      <c r="A64" s="943" t="s">
        <v>1240</v>
      </c>
      <c r="B64" t="s">
        <v>1241</v>
      </c>
      <c r="C64" s="944">
        <v>0</v>
      </c>
    </row>
    <row r="65" spans="1:3" x14ac:dyDescent="0.35">
      <c r="A65" s="943" t="s">
        <v>1242</v>
      </c>
      <c r="B65" t="s">
        <v>1078</v>
      </c>
      <c r="C65" s="944">
        <v>0</v>
      </c>
    </row>
    <row r="66" spans="1:3" x14ac:dyDescent="0.35">
      <c r="A66" s="943" t="s">
        <v>1077</v>
      </c>
      <c r="B66" t="s">
        <v>1078</v>
      </c>
      <c r="C66" s="944">
        <v>182951000</v>
      </c>
    </row>
    <row r="67" spans="1:3" x14ac:dyDescent="0.35">
      <c r="A67" s="943" t="s">
        <v>1243</v>
      </c>
      <c r="B67" t="s">
        <v>1244</v>
      </c>
      <c r="C67" s="944">
        <v>0</v>
      </c>
    </row>
    <row r="68" spans="1:3" x14ac:dyDescent="0.35">
      <c r="A68" s="943" t="s">
        <v>1245</v>
      </c>
      <c r="B68" t="s">
        <v>1246</v>
      </c>
      <c r="C68" s="944">
        <v>0</v>
      </c>
    </row>
    <row r="69" spans="1:3" x14ac:dyDescent="0.35">
      <c r="A69" s="943" t="s">
        <v>1247</v>
      </c>
      <c r="B69" t="s">
        <v>1248</v>
      </c>
      <c r="C69" s="944">
        <v>0</v>
      </c>
    </row>
    <row r="70" spans="1:3" x14ac:dyDescent="0.35">
      <c r="A70" s="943" t="s">
        <v>1249</v>
      </c>
      <c r="B70" t="s">
        <v>1250</v>
      </c>
      <c r="C70" s="944">
        <v>0</v>
      </c>
    </row>
    <row r="71" spans="1:3" x14ac:dyDescent="0.35">
      <c r="A71" s="943" t="s">
        <v>1251</v>
      </c>
      <c r="B71" t="s">
        <v>1252</v>
      </c>
      <c r="C71" s="944">
        <v>0</v>
      </c>
    </row>
    <row r="72" spans="1:3" x14ac:dyDescent="0.35">
      <c r="A72" s="943" t="s">
        <v>1253</v>
      </c>
      <c r="B72" t="s">
        <v>1254</v>
      </c>
      <c r="C72" s="944">
        <v>0</v>
      </c>
    </row>
    <row r="73" spans="1:3" x14ac:dyDescent="0.35">
      <c r="A73" s="943" t="s">
        <v>1255</v>
      </c>
      <c r="B73" t="s">
        <v>1256</v>
      </c>
      <c r="C73" s="944">
        <v>0</v>
      </c>
    </row>
    <row r="74" spans="1:3" x14ac:dyDescent="0.35">
      <c r="A74" s="943" t="s">
        <v>1257</v>
      </c>
      <c r="B74" t="s">
        <v>1258</v>
      </c>
      <c r="C74" s="944">
        <v>0</v>
      </c>
    </row>
    <row r="75" spans="1:3" x14ac:dyDescent="0.35">
      <c r="A75" s="943" t="s">
        <v>1259</v>
      </c>
      <c r="B75" t="s">
        <v>1260</v>
      </c>
      <c r="C75" s="944">
        <v>0</v>
      </c>
    </row>
    <row r="76" spans="1:3" x14ac:dyDescent="0.35">
      <c r="A76" s="943" t="s">
        <v>1261</v>
      </c>
      <c r="B76" t="s">
        <v>1262</v>
      </c>
      <c r="C76" s="944">
        <v>0</v>
      </c>
    </row>
    <row r="77" spans="1:3" x14ac:dyDescent="0.35">
      <c r="A77" s="943" t="s">
        <v>1263</v>
      </c>
      <c r="B77" t="s">
        <v>1264</v>
      </c>
      <c r="C77" s="944">
        <v>0</v>
      </c>
    </row>
    <row r="78" spans="1:3" x14ac:dyDescent="0.35">
      <c r="A78" s="943" t="s">
        <v>1265</v>
      </c>
      <c r="B78" t="s">
        <v>1266</v>
      </c>
      <c r="C78" s="944">
        <v>0</v>
      </c>
    </row>
    <row r="79" spans="1:3" x14ac:dyDescent="0.35">
      <c r="A79" s="943" t="s">
        <v>1267</v>
      </c>
      <c r="B79" t="s">
        <v>1268</v>
      </c>
      <c r="C79" s="944">
        <v>0</v>
      </c>
    </row>
    <row r="80" spans="1:3" x14ac:dyDescent="0.35">
      <c r="A80" s="943" t="s">
        <v>1269</v>
      </c>
      <c r="B80" t="s">
        <v>1268</v>
      </c>
      <c r="C80" s="944">
        <v>0</v>
      </c>
    </row>
    <row r="81" spans="1:3" x14ac:dyDescent="0.35">
      <c r="A81" s="943" t="s">
        <v>1270</v>
      </c>
      <c r="B81" t="s">
        <v>1268</v>
      </c>
      <c r="C81" s="944">
        <v>0</v>
      </c>
    </row>
    <row r="82" spans="1:3" x14ac:dyDescent="0.35">
      <c r="A82" s="943" t="s">
        <v>1271</v>
      </c>
      <c r="B82" t="s">
        <v>1256</v>
      </c>
      <c r="C82" s="944">
        <v>0</v>
      </c>
    </row>
    <row r="83" spans="1:3" x14ac:dyDescent="0.35">
      <c r="A83" s="943" t="s">
        <v>1272</v>
      </c>
      <c r="B83" t="s">
        <v>1273</v>
      </c>
      <c r="C83" s="944">
        <v>0</v>
      </c>
    </row>
    <row r="84" spans="1:3" x14ac:dyDescent="0.35">
      <c r="A84" s="943" t="s">
        <v>1274</v>
      </c>
      <c r="B84" t="s">
        <v>1275</v>
      </c>
      <c r="C84" s="944">
        <v>0</v>
      </c>
    </row>
    <row r="85" spans="1:3" x14ac:dyDescent="0.35">
      <c r="A85" s="943" t="s">
        <v>1276</v>
      </c>
      <c r="B85" t="s">
        <v>1275</v>
      </c>
      <c r="C85" s="944">
        <v>0</v>
      </c>
    </row>
    <row r="86" spans="1:3" x14ac:dyDescent="0.35">
      <c r="A86" s="943" t="s">
        <v>1277</v>
      </c>
      <c r="B86" t="s">
        <v>1278</v>
      </c>
      <c r="C86" s="944">
        <v>0</v>
      </c>
    </row>
    <row r="87" spans="1:3" x14ac:dyDescent="0.35">
      <c r="A87" s="943" t="s">
        <v>1279</v>
      </c>
      <c r="B87" t="s">
        <v>1280</v>
      </c>
      <c r="C87" s="944">
        <v>0</v>
      </c>
    </row>
    <row r="88" spans="1:3" x14ac:dyDescent="0.35">
      <c r="A88" s="943" t="s">
        <v>1281</v>
      </c>
      <c r="B88" t="s">
        <v>1282</v>
      </c>
      <c r="C88" s="944">
        <v>0</v>
      </c>
    </row>
    <row r="89" spans="1:3" x14ac:dyDescent="0.35">
      <c r="A89" s="943" t="s">
        <v>1283</v>
      </c>
      <c r="B89" t="s">
        <v>1284</v>
      </c>
      <c r="C89" s="944">
        <v>0</v>
      </c>
    </row>
    <row r="90" spans="1:3" x14ac:dyDescent="0.35">
      <c r="A90" s="943" t="s">
        <v>1285</v>
      </c>
      <c r="B90" t="s">
        <v>1286</v>
      </c>
      <c r="C90" s="944">
        <v>0</v>
      </c>
    </row>
    <row r="91" spans="1:3" x14ac:dyDescent="0.35">
      <c r="A91" s="943" t="s">
        <v>1287</v>
      </c>
      <c r="B91" t="s">
        <v>1288</v>
      </c>
      <c r="C91" s="944">
        <v>0</v>
      </c>
    </row>
    <row r="92" spans="1:3" x14ac:dyDescent="0.35">
      <c r="A92" s="943" t="s">
        <v>1289</v>
      </c>
      <c r="B92" t="s">
        <v>1290</v>
      </c>
      <c r="C92" s="944">
        <v>0</v>
      </c>
    </row>
    <row r="93" spans="1:3" x14ac:dyDescent="0.35">
      <c r="A93" s="943" t="s">
        <v>1291</v>
      </c>
      <c r="B93" t="s">
        <v>1292</v>
      </c>
      <c r="C93" s="944">
        <v>0</v>
      </c>
    </row>
    <row r="94" spans="1:3" x14ac:dyDescent="0.35">
      <c r="A94" s="943" t="s">
        <v>1293</v>
      </c>
      <c r="B94" t="s">
        <v>1294</v>
      </c>
      <c r="C94" s="944">
        <v>0</v>
      </c>
    </row>
    <row r="95" spans="1:3" x14ac:dyDescent="0.35">
      <c r="A95" s="943" t="s">
        <v>1295</v>
      </c>
      <c r="B95" t="s">
        <v>1296</v>
      </c>
      <c r="C95" s="944">
        <v>0</v>
      </c>
    </row>
    <row r="96" spans="1:3" x14ac:dyDescent="0.35">
      <c r="A96" s="943" t="s">
        <v>1297</v>
      </c>
      <c r="B96" t="s">
        <v>1298</v>
      </c>
      <c r="C96" s="944">
        <v>0</v>
      </c>
    </row>
    <row r="97" spans="1:5" x14ac:dyDescent="0.35">
      <c r="A97" s="943" t="s">
        <v>1299</v>
      </c>
      <c r="B97" t="s">
        <v>1222</v>
      </c>
      <c r="C97" s="944">
        <v>0</v>
      </c>
    </row>
    <row r="98" spans="1:5" x14ac:dyDescent="0.35">
      <c r="B98" t="s">
        <v>1079</v>
      </c>
      <c r="C98" s="944">
        <v>847774000</v>
      </c>
      <c r="D98">
        <f>NRC!E18</f>
        <v>987851350</v>
      </c>
      <c r="E98" s="1682">
        <f>C98-D98+CLK!Q190</f>
        <v>0</v>
      </c>
    </row>
    <row r="99" spans="1:5" x14ac:dyDescent="0.35">
      <c r="A99" s="943" t="s">
        <v>1080</v>
      </c>
      <c r="B99" t="s">
        <v>1081</v>
      </c>
      <c r="C99" s="944"/>
    </row>
    <row r="100" spans="1:5" x14ac:dyDescent="0.35">
      <c r="A100" s="943" t="s">
        <v>1300</v>
      </c>
      <c r="B100" t="s">
        <v>1301</v>
      </c>
      <c r="C100" s="944">
        <v>0</v>
      </c>
    </row>
    <row r="101" spans="1:5" x14ac:dyDescent="0.35">
      <c r="A101" s="943" t="s">
        <v>1082</v>
      </c>
      <c r="B101" t="s">
        <v>1083</v>
      </c>
      <c r="C101" s="944">
        <v>76049803.069999993</v>
      </c>
      <c r="D101" s="944">
        <f>C101-'2'!D48</f>
        <v>73049803.069999993</v>
      </c>
    </row>
    <row r="102" spans="1:5" x14ac:dyDescent="0.35">
      <c r="A102" s="943" t="s">
        <v>1302</v>
      </c>
      <c r="B102" t="s">
        <v>1303</v>
      </c>
      <c r="C102" s="944">
        <v>0</v>
      </c>
    </row>
    <row r="103" spans="1:5" x14ac:dyDescent="0.35">
      <c r="A103" s="943" t="s">
        <v>1304</v>
      </c>
      <c r="B103" t="s">
        <v>1305</v>
      </c>
      <c r="C103" s="944">
        <v>0</v>
      </c>
    </row>
    <row r="104" spans="1:5" x14ac:dyDescent="0.35">
      <c r="A104" s="943" t="s">
        <v>1306</v>
      </c>
      <c r="B104" t="s">
        <v>1307</v>
      </c>
      <c r="C104" s="944">
        <v>0</v>
      </c>
    </row>
    <row r="105" spans="1:5" x14ac:dyDescent="0.35">
      <c r="A105" s="943" t="s">
        <v>1308</v>
      </c>
      <c r="B105" t="s">
        <v>1309</v>
      </c>
      <c r="C105" s="944">
        <v>0</v>
      </c>
    </row>
    <row r="106" spans="1:5" x14ac:dyDescent="0.35">
      <c r="A106" s="943" t="s">
        <v>1310</v>
      </c>
      <c r="B106" t="s">
        <v>1311</v>
      </c>
      <c r="C106" s="944">
        <v>0</v>
      </c>
    </row>
    <row r="107" spans="1:5" x14ac:dyDescent="0.35">
      <c r="A107" s="943" t="s">
        <v>1084</v>
      </c>
      <c r="B107" t="s">
        <v>1085</v>
      </c>
      <c r="C107" s="944">
        <v>0</v>
      </c>
    </row>
    <row r="108" spans="1:5" x14ac:dyDescent="0.35">
      <c r="A108" s="943" t="s">
        <v>1312</v>
      </c>
      <c r="B108" t="s">
        <v>1313</v>
      </c>
      <c r="C108" s="944">
        <v>0</v>
      </c>
    </row>
    <row r="109" spans="1:5" x14ac:dyDescent="0.35">
      <c r="A109" s="943" t="s">
        <v>1314</v>
      </c>
      <c r="B109" t="s">
        <v>1315</v>
      </c>
      <c r="C109" s="944">
        <v>0</v>
      </c>
    </row>
    <row r="110" spans="1:5" x14ac:dyDescent="0.35">
      <c r="A110" s="943" t="s">
        <v>1316</v>
      </c>
      <c r="B110" t="s">
        <v>1317</v>
      </c>
      <c r="C110" s="944">
        <v>0</v>
      </c>
    </row>
    <row r="111" spans="1:5" x14ac:dyDescent="0.35">
      <c r="A111" s="943" t="s">
        <v>1318</v>
      </c>
      <c r="B111" t="s">
        <v>1319</v>
      </c>
      <c r="C111" s="944">
        <v>0</v>
      </c>
    </row>
    <row r="112" spans="1:5" x14ac:dyDescent="0.35">
      <c r="A112" s="943" t="s">
        <v>1320</v>
      </c>
      <c r="B112" t="s">
        <v>1321</v>
      </c>
      <c r="C112" s="944">
        <v>0</v>
      </c>
    </row>
    <row r="113" spans="1:3" x14ac:dyDescent="0.35">
      <c r="A113" s="943" t="s">
        <v>1322</v>
      </c>
      <c r="B113" t="s">
        <v>1323</v>
      </c>
      <c r="C113" s="944">
        <v>0</v>
      </c>
    </row>
    <row r="114" spans="1:3" x14ac:dyDescent="0.35">
      <c r="A114" s="943" t="s">
        <v>1324</v>
      </c>
      <c r="B114" t="s">
        <v>1325</v>
      </c>
      <c r="C114" s="944">
        <v>0</v>
      </c>
    </row>
    <row r="115" spans="1:3" x14ac:dyDescent="0.35">
      <c r="A115" s="943" t="s">
        <v>1326</v>
      </c>
      <c r="B115" t="s">
        <v>1327</v>
      </c>
      <c r="C115" s="944">
        <v>0</v>
      </c>
    </row>
    <row r="116" spans="1:3" x14ac:dyDescent="0.35">
      <c r="A116" s="943" t="s">
        <v>1328</v>
      </c>
      <c r="B116" t="s">
        <v>1329</v>
      </c>
      <c r="C116" s="944">
        <v>0</v>
      </c>
    </row>
    <row r="117" spans="1:3" x14ac:dyDescent="0.35">
      <c r="A117" s="943" t="s">
        <v>1330</v>
      </c>
      <c r="B117" t="s">
        <v>1331</v>
      </c>
      <c r="C117" s="944">
        <v>0</v>
      </c>
    </row>
    <row r="118" spans="1:3" x14ac:dyDescent="0.35">
      <c r="A118" s="943" t="s">
        <v>1332</v>
      </c>
      <c r="B118" t="s">
        <v>1333</v>
      </c>
      <c r="C118" s="944">
        <v>0</v>
      </c>
    </row>
    <row r="119" spans="1:3" x14ac:dyDescent="0.35">
      <c r="A119" s="943" t="s">
        <v>1334</v>
      </c>
      <c r="B119" t="s">
        <v>1335</v>
      </c>
      <c r="C119" s="944">
        <v>0</v>
      </c>
    </row>
    <row r="120" spans="1:3" x14ac:dyDescent="0.35">
      <c r="A120" s="943" t="s">
        <v>1336</v>
      </c>
      <c r="B120" t="s">
        <v>1337</v>
      </c>
      <c r="C120" s="944">
        <v>0</v>
      </c>
    </row>
    <row r="121" spans="1:3" x14ac:dyDescent="0.35">
      <c r="A121" s="943" t="s">
        <v>1338</v>
      </c>
      <c r="B121" t="s">
        <v>1339</v>
      </c>
      <c r="C121" s="944">
        <v>0</v>
      </c>
    </row>
    <row r="122" spans="1:3" x14ac:dyDescent="0.35">
      <c r="A122" s="943" t="s">
        <v>1340</v>
      </c>
      <c r="B122" t="s">
        <v>1341</v>
      </c>
      <c r="C122" s="944">
        <v>0</v>
      </c>
    </row>
    <row r="123" spans="1:3" x14ac:dyDescent="0.35">
      <c r="A123" s="943" t="s">
        <v>1342</v>
      </c>
      <c r="B123" t="s">
        <v>1343</v>
      </c>
      <c r="C123" s="944">
        <v>0</v>
      </c>
    </row>
    <row r="124" spans="1:3" x14ac:dyDescent="0.35">
      <c r="A124" s="943" t="s">
        <v>1344</v>
      </c>
      <c r="B124" t="s">
        <v>1345</v>
      </c>
      <c r="C124" s="944">
        <v>0</v>
      </c>
    </row>
    <row r="125" spans="1:3" x14ac:dyDescent="0.35">
      <c r="A125" s="943" t="s">
        <v>1346</v>
      </c>
      <c r="B125" t="s">
        <v>1347</v>
      </c>
      <c r="C125" s="944">
        <v>0</v>
      </c>
    </row>
    <row r="126" spans="1:3" x14ac:dyDescent="0.35">
      <c r="A126" s="943" t="s">
        <v>1348</v>
      </c>
      <c r="B126" t="s">
        <v>1349</v>
      </c>
      <c r="C126" s="944">
        <v>0</v>
      </c>
    </row>
    <row r="127" spans="1:3" x14ac:dyDescent="0.35">
      <c r="A127" s="943" t="s">
        <v>1350</v>
      </c>
      <c r="B127" t="s">
        <v>1351</v>
      </c>
      <c r="C127" s="944">
        <v>0</v>
      </c>
    </row>
    <row r="128" spans="1:3" x14ac:dyDescent="0.35">
      <c r="A128" s="943" t="s">
        <v>1352</v>
      </c>
      <c r="B128" t="s">
        <v>1353</v>
      </c>
      <c r="C128" s="944">
        <v>0</v>
      </c>
    </row>
    <row r="129" spans="1:5" x14ac:dyDescent="0.35">
      <c r="A129" s="943" t="s">
        <v>1354</v>
      </c>
      <c r="B129" t="s">
        <v>1355</v>
      </c>
      <c r="C129" s="944">
        <v>0</v>
      </c>
    </row>
    <row r="130" spans="1:5" x14ac:dyDescent="0.35">
      <c r="A130" s="943" t="s">
        <v>1356</v>
      </c>
      <c r="B130" t="s">
        <v>1357</v>
      </c>
      <c r="C130" s="944">
        <v>0</v>
      </c>
    </row>
    <row r="131" spans="1:5" x14ac:dyDescent="0.35">
      <c r="A131" s="943" t="s">
        <v>1358</v>
      </c>
      <c r="B131" t="s">
        <v>1359</v>
      </c>
      <c r="C131" s="944">
        <v>0</v>
      </c>
    </row>
    <row r="132" spans="1:5" x14ac:dyDescent="0.35">
      <c r="A132" s="943" t="s">
        <v>1360</v>
      </c>
      <c r="B132" t="s">
        <v>1361</v>
      </c>
      <c r="C132" s="944">
        <v>0</v>
      </c>
    </row>
    <row r="133" spans="1:5" x14ac:dyDescent="0.35">
      <c r="A133" s="943" t="s">
        <v>1362</v>
      </c>
      <c r="B133" t="s">
        <v>1363</v>
      </c>
      <c r="C133" s="944">
        <v>0</v>
      </c>
    </row>
    <row r="134" spans="1:5" x14ac:dyDescent="0.35">
      <c r="A134" s="943" t="s">
        <v>1364</v>
      </c>
      <c r="B134" t="s">
        <v>1284</v>
      </c>
      <c r="C134" s="944">
        <v>0</v>
      </c>
    </row>
    <row r="135" spans="1:5" x14ac:dyDescent="0.35">
      <c r="A135" s="943" t="s">
        <v>1365</v>
      </c>
      <c r="B135" t="s">
        <v>1366</v>
      </c>
      <c r="C135" s="944">
        <v>0</v>
      </c>
    </row>
    <row r="136" spans="1:5" x14ac:dyDescent="0.35">
      <c r="A136" s="943" t="s">
        <v>1367</v>
      </c>
      <c r="B136" t="s">
        <v>7183</v>
      </c>
      <c r="C136" s="944">
        <v>0</v>
      </c>
    </row>
    <row r="137" spans="1:5" x14ac:dyDescent="0.35">
      <c r="A137" s="943" t="s">
        <v>1368</v>
      </c>
      <c r="B137" t="s">
        <v>1369</v>
      </c>
      <c r="C137" s="944">
        <v>0</v>
      </c>
    </row>
    <row r="138" spans="1:5" x14ac:dyDescent="0.35">
      <c r="A138" s="943" t="s">
        <v>1370</v>
      </c>
      <c r="B138" t="s">
        <v>1371</v>
      </c>
      <c r="C138" s="944">
        <v>0</v>
      </c>
    </row>
    <row r="139" spans="1:5" x14ac:dyDescent="0.35">
      <c r="A139" s="943" t="s">
        <v>1372</v>
      </c>
      <c r="B139" t="s">
        <v>1373</v>
      </c>
      <c r="C139" s="944">
        <v>0</v>
      </c>
    </row>
    <row r="140" spans="1:5" x14ac:dyDescent="0.35">
      <c r="A140" s="943" t="s">
        <v>1374</v>
      </c>
      <c r="B140" t="s">
        <v>7184</v>
      </c>
      <c r="C140" s="944">
        <v>1974000</v>
      </c>
    </row>
    <row r="141" spans="1:5" x14ac:dyDescent="0.35">
      <c r="A141" s="943" t="s">
        <v>1375</v>
      </c>
      <c r="B141" t="s">
        <v>1376</v>
      </c>
      <c r="C141" s="944">
        <v>0</v>
      </c>
    </row>
    <row r="142" spans="1:5" x14ac:dyDescent="0.35">
      <c r="A142" s="943" t="s">
        <v>1377</v>
      </c>
      <c r="B142" t="s">
        <v>350</v>
      </c>
      <c r="C142" s="944">
        <v>0</v>
      </c>
    </row>
    <row r="143" spans="1:5" x14ac:dyDescent="0.35">
      <c r="B143" t="s">
        <v>1086</v>
      </c>
      <c r="C143" s="944">
        <v>78023803.069999993</v>
      </c>
      <c r="D143">
        <f>NRC!E19</f>
        <v>78023803.5</v>
      </c>
      <c r="E143" s="1682">
        <f>C143-D143</f>
        <v>-0.43000000715255737</v>
      </c>
    </row>
    <row r="144" spans="1:5" x14ac:dyDescent="0.35">
      <c r="A144" s="943" t="s">
        <v>1378</v>
      </c>
      <c r="B144" t="s">
        <v>1379</v>
      </c>
      <c r="C144" s="944"/>
    </row>
    <row r="145" spans="1:3" x14ac:dyDescent="0.35">
      <c r="A145" s="943" t="s">
        <v>1380</v>
      </c>
      <c r="B145" t="s">
        <v>1381</v>
      </c>
      <c r="C145" s="944">
        <v>0</v>
      </c>
    </row>
    <row r="146" spans="1:3" x14ac:dyDescent="0.35">
      <c r="A146" s="943" t="s">
        <v>1382</v>
      </c>
      <c r="B146" t="s">
        <v>1383</v>
      </c>
      <c r="C146" s="944">
        <v>73709181</v>
      </c>
    </row>
    <row r="147" spans="1:3" x14ac:dyDescent="0.35">
      <c r="A147" s="943" t="s">
        <v>1384</v>
      </c>
      <c r="B147" t="s">
        <v>1385</v>
      </c>
      <c r="C147" s="944">
        <v>46980000</v>
      </c>
    </row>
    <row r="148" spans="1:3" x14ac:dyDescent="0.35">
      <c r="A148" s="943" t="s">
        <v>1386</v>
      </c>
      <c r="B148" t="s">
        <v>1387</v>
      </c>
      <c r="C148" s="944">
        <v>0</v>
      </c>
    </row>
    <row r="149" spans="1:3" x14ac:dyDescent="0.35">
      <c r="A149" s="943" t="s">
        <v>1388</v>
      </c>
      <c r="B149" t="s">
        <v>1389</v>
      </c>
      <c r="C149" s="944">
        <v>0</v>
      </c>
    </row>
    <row r="150" spans="1:3" x14ac:dyDescent="0.35">
      <c r="A150" s="943" t="s">
        <v>1390</v>
      </c>
      <c r="B150" t="s">
        <v>1391</v>
      </c>
      <c r="C150" s="944">
        <v>0</v>
      </c>
    </row>
    <row r="151" spans="1:3" x14ac:dyDescent="0.35">
      <c r="A151" s="943" t="s">
        <v>1392</v>
      </c>
      <c r="B151" t="s">
        <v>1393</v>
      </c>
      <c r="C151" s="944">
        <v>0</v>
      </c>
    </row>
    <row r="152" spans="1:3" x14ac:dyDescent="0.35">
      <c r="A152" s="943" t="s">
        <v>1394</v>
      </c>
      <c r="B152" t="s">
        <v>1395</v>
      </c>
      <c r="C152" s="944">
        <v>0</v>
      </c>
    </row>
    <row r="153" spans="1:3" x14ac:dyDescent="0.35">
      <c r="A153" s="943" t="s">
        <v>1396</v>
      </c>
      <c r="B153" t="s">
        <v>1397</v>
      </c>
      <c r="C153" s="944">
        <v>0</v>
      </c>
    </row>
    <row r="154" spans="1:3" x14ac:dyDescent="0.35">
      <c r="A154" s="943" t="s">
        <v>1398</v>
      </c>
      <c r="B154" t="s">
        <v>1399</v>
      </c>
      <c r="C154" s="944">
        <v>0</v>
      </c>
    </row>
    <row r="155" spans="1:3" x14ac:dyDescent="0.35">
      <c r="A155" s="943" t="s">
        <v>1400</v>
      </c>
      <c r="B155" t="s">
        <v>1401</v>
      </c>
      <c r="C155" s="944">
        <v>0</v>
      </c>
    </row>
    <row r="156" spans="1:3" x14ac:dyDescent="0.35">
      <c r="A156" s="943" t="s">
        <v>1402</v>
      </c>
      <c r="B156" t="s">
        <v>1403</v>
      </c>
      <c r="C156" s="944">
        <v>0</v>
      </c>
    </row>
    <row r="157" spans="1:3" x14ac:dyDescent="0.35">
      <c r="A157" s="943" t="s">
        <v>1404</v>
      </c>
      <c r="B157" t="s">
        <v>1405</v>
      </c>
      <c r="C157" s="944">
        <v>0</v>
      </c>
    </row>
    <row r="158" spans="1:3" x14ac:dyDescent="0.35">
      <c r="A158" s="943" t="s">
        <v>1406</v>
      </c>
      <c r="B158" t="s">
        <v>1387</v>
      </c>
      <c r="C158" s="944">
        <v>0</v>
      </c>
    </row>
    <row r="159" spans="1:3" x14ac:dyDescent="0.35">
      <c r="A159" s="943" t="s">
        <v>1407</v>
      </c>
      <c r="B159" t="s">
        <v>1408</v>
      </c>
      <c r="C159" s="944">
        <v>0</v>
      </c>
    </row>
    <row r="160" spans="1:3" x14ac:dyDescent="0.35">
      <c r="A160" s="943" t="s">
        <v>1409</v>
      </c>
      <c r="B160" t="s">
        <v>1410</v>
      </c>
      <c r="C160" s="944">
        <v>0</v>
      </c>
    </row>
    <row r="161" spans="1:5" x14ac:dyDescent="0.35">
      <c r="A161" s="943" t="s">
        <v>1411</v>
      </c>
      <c r="B161" t="s">
        <v>1412</v>
      </c>
      <c r="C161" s="944">
        <v>0</v>
      </c>
    </row>
    <row r="162" spans="1:5" x14ac:dyDescent="0.35">
      <c r="A162" s="943" t="s">
        <v>1413</v>
      </c>
      <c r="B162" t="s">
        <v>1414</v>
      </c>
      <c r="C162" s="944">
        <v>0</v>
      </c>
    </row>
    <row r="163" spans="1:5" x14ac:dyDescent="0.35">
      <c r="A163" s="943" t="s">
        <v>1415</v>
      </c>
      <c r="B163" t="s">
        <v>1397</v>
      </c>
      <c r="C163" s="944">
        <v>0</v>
      </c>
    </row>
    <row r="164" spans="1:5" x14ac:dyDescent="0.35">
      <c r="A164" s="943" t="s">
        <v>1416</v>
      </c>
      <c r="B164" t="s">
        <v>1417</v>
      </c>
      <c r="C164" s="944">
        <v>0</v>
      </c>
    </row>
    <row r="165" spans="1:5" x14ac:dyDescent="0.35">
      <c r="A165" s="943" t="s">
        <v>1418</v>
      </c>
      <c r="B165" t="s">
        <v>1419</v>
      </c>
      <c r="C165" s="944">
        <v>10729000</v>
      </c>
    </row>
    <row r="166" spans="1:5" x14ac:dyDescent="0.35">
      <c r="A166" s="943" t="s">
        <v>1420</v>
      </c>
      <c r="B166" t="s">
        <v>1397</v>
      </c>
      <c r="C166" s="944">
        <v>0</v>
      </c>
    </row>
    <row r="167" spans="1:5" x14ac:dyDescent="0.35">
      <c r="B167" t="s">
        <v>1421</v>
      </c>
      <c r="C167" s="944">
        <v>131418181</v>
      </c>
      <c r="D167">
        <f>NRC!E20</f>
        <v>206952262</v>
      </c>
      <c r="E167" s="1682">
        <f>C167-D167+CLK!Q242</f>
        <v>0</v>
      </c>
    </row>
    <row r="168" spans="1:5" x14ac:dyDescent="0.35">
      <c r="A168" s="943" t="s">
        <v>1422</v>
      </c>
      <c r="B168" t="s">
        <v>1423</v>
      </c>
      <c r="C168" s="944"/>
    </row>
    <row r="169" spans="1:5" x14ac:dyDescent="0.35">
      <c r="A169" s="943" t="s">
        <v>1424</v>
      </c>
      <c r="B169" t="s">
        <v>1425</v>
      </c>
      <c r="C169" s="944">
        <v>0</v>
      </c>
    </row>
    <row r="170" spans="1:5" x14ac:dyDescent="0.35">
      <c r="A170" s="943" t="s">
        <v>1426</v>
      </c>
      <c r="B170" t="s">
        <v>1427</v>
      </c>
      <c r="C170" s="944">
        <v>0</v>
      </c>
    </row>
    <row r="171" spans="1:5" x14ac:dyDescent="0.35">
      <c r="A171" s="943" t="s">
        <v>1428</v>
      </c>
      <c r="B171" t="s">
        <v>1429</v>
      </c>
      <c r="C171" s="944">
        <v>0</v>
      </c>
    </row>
    <row r="172" spans="1:5" x14ac:dyDescent="0.35">
      <c r="A172" s="943" t="s">
        <v>1430</v>
      </c>
      <c r="B172" t="s">
        <v>1431</v>
      </c>
      <c r="C172" s="944">
        <v>0</v>
      </c>
    </row>
    <row r="173" spans="1:5" x14ac:dyDescent="0.35">
      <c r="A173" s="943" t="s">
        <v>1432</v>
      </c>
      <c r="B173" t="s">
        <v>1433</v>
      </c>
      <c r="C173" s="944">
        <v>0</v>
      </c>
    </row>
    <row r="174" spans="1:5" x14ac:dyDescent="0.35">
      <c r="A174" s="943" t="s">
        <v>1434</v>
      </c>
      <c r="B174" t="s">
        <v>1435</v>
      </c>
      <c r="C174" s="944">
        <v>0</v>
      </c>
    </row>
    <row r="175" spans="1:5" x14ac:dyDescent="0.35">
      <c r="A175" s="943" t="s">
        <v>1436</v>
      </c>
      <c r="B175" t="s">
        <v>1437</v>
      </c>
      <c r="C175" s="944">
        <v>0</v>
      </c>
    </row>
    <row r="176" spans="1:5" x14ac:dyDescent="0.35">
      <c r="A176" s="943" t="s">
        <v>1438</v>
      </c>
      <c r="B176" t="s">
        <v>1439</v>
      </c>
      <c r="C176" s="944">
        <v>0</v>
      </c>
    </row>
    <row r="177" spans="1:3" x14ac:dyDescent="0.35">
      <c r="A177" s="943" t="s">
        <v>1440</v>
      </c>
      <c r="B177" t="s">
        <v>1441</v>
      </c>
      <c r="C177" s="944">
        <v>0</v>
      </c>
    </row>
    <row r="178" spans="1:3" x14ac:dyDescent="0.35">
      <c r="A178" s="943" t="s">
        <v>1442</v>
      </c>
      <c r="B178" t="s">
        <v>1443</v>
      </c>
      <c r="C178" s="944">
        <v>0</v>
      </c>
    </row>
    <row r="179" spans="1:3" x14ac:dyDescent="0.35">
      <c r="A179" s="943" t="s">
        <v>1444</v>
      </c>
      <c r="B179" t="s">
        <v>1445</v>
      </c>
      <c r="C179" s="944">
        <v>0</v>
      </c>
    </row>
    <row r="180" spans="1:3" x14ac:dyDescent="0.35">
      <c r="A180" s="943" t="s">
        <v>1446</v>
      </c>
      <c r="B180" t="s">
        <v>1447</v>
      </c>
      <c r="C180" s="944">
        <v>0</v>
      </c>
    </row>
    <row r="181" spans="1:3" x14ac:dyDescent="0.35">
      <c r="A181" s="943" t="s">
        <v>1448</v>
      </c>
      <c r="B181" t="s">
        <v>1449</v>
      </c>
      <c r="C181" s="944">
        <v>0</v>
      </c>
    </row>
    <row r="182" spans="1:3" x14ac:dyDescent="0.35">
      <c r="A182" s="943" t="s">
        <v>1450</v>
      </c>
      <c r="B182" t="s">
        <v>1451</v>
      </c>
      <c r="C182" s="944">
        <v>0</v>
      </c>
    </row>
    <row r="183" spans="1:3" x14ac:dyDescent="0.35">
      <c r="A183" s="943" t="s">
        <v>1452</v>
      </c>
      <c r="B183" t="s">
        <v>1453</v>
      </c>
      <c r="C183" s="944">
        <v>0</v>
      </c>
    </row>
    <row r="184" spans="1:3" x14ac:dyDescent="0.35">
      <c r="A184" s="943" t="s">
        <v>1454</v>
      </c>
      <c r="B184" t="s">
        <v>1455</v>
      </c>
      <c r="C184" s="944">
        <v>0</v>
      </c>
    </row>
    <row r="185" spans="1:3" x14ac:dyDescent="0.35">
      <c r="A185" s="943" t="s">
        <v>1456</v>
      </c>
      <c r="B185" t="s">
        <v>1457</v>
      </c>
      <c r="C185" s="944">
        <v>0</v>
      </c>
    </row>
    <row r="186" spans="1:3" x14ac:dyDescent="0.35">
      <c r="A186" s="943" t="s">
        <v>1458</v>
      </c>
      <c r="B186" t="s">
        <v>1459</v>
      </c>
      <c r="C186" s="944">
        <v>0</v>
      </c>
    </row>
    <row r="187" spans="1:3" x14ac:dyDescent="0.35">
      <c r="A187" s="943" t="s">
        <v>1460</v>
      </c>
      <c r="B187" t="s">
        <v>1461</v>
      </c>
      <c r="C187" s="944">
        <v>0</v>
      </c>
    </row>
    <row r="188" spans="1:3" x14ac:dyDescent="0.35">
      <c r="A188" s="943" t="s">
        <v>1462</v>
      </c>
      <c r="B188" t="s">
        <v>1463</v>
      </c>
      <c r="C188" s="944">
        <v>0</v>
      </c>
    </row>
    <row r="189" spans="1:3" x14ac:dyDescent="0.35">
      <c r="A189" s="943" t="s">
        <v>1464</v>
      </c>
      <c r="B189" t="s">
        <v>1465</v>
      </c>
      <c r="C189" s="944">
        <v>0</v>
      </c>
    </row>
    <row r="190" spans="1:3" x14ac:dyDescent="0.35">
      <c r="A190" s="943" t="s">
        <v>1466</v>
      </c>
      <c r="B190" t="s">
        <v>1467</v>
      </c>
      <c r="C190" s="944">
        <v>3900000</v>
      </c>
    </row>
    <row r="191" spans="1:3" x14ac:dyDescent="0.35">
      <c r="A191" s="943" t="s">
        <v>1468</v>
      </c>
      <c r="B191" t="s">
        <v>1469</v>
      </c>
      <c r="C191" s="944">
        <v>0</v>
      </c>
    </row>
    <row r="192" spans="1:3" x14ac:dyDescent="0.35">
      <c r="A192" s="943" t="s">
        <v>1470</v>
      </c>
      <c r="B192" t="s">
        <v>1457</v>
      </c>
      <c r="C192" s="944">
        <v>0</v>
      </c>
    </row>
    <row r="193" spans="1:5" x14ac:dyDescent="0.35">
      <c r="A193" s="943" t="s">
        <v>1471</v>
      </c>
      <c r="B193" t="s">
        <v>1472</v>
      </c>
      <c r="C193" s="944">
        <v>0</v>
      </c>
    </row>
    <row r="194" spans="1:5" x14ac:dyDescent="0.35">
      <c r="A194" s="943" t="s">
        <v>1473</v>
      </c>
      <c r="B194" t="s">
        <v>1457</v>
      </c>
      <c r="C194" s="944">
        <v>28500000</v>
      </c>
    </row>
    <row r="195" spans="1:5" x14ac:dyDescent="0.35">
      <c r="B195" t="s">
        <v>1474</v>
      </c>
      <c r="C195" s="944">
        <v>32400000</v>
      </c>
      <c r="D195">
        <f>NRC!E22</f>
        <v>32400000</v>
      </c>
      <c r="E195" s="1682">
        <f>C195-D195</f>
        <v>0</v>
      </c>
    </row>
    <row r="196" spans="1:5" x14ac:dyDescent="0.35">
      <c r="A196" s="943" t="s">
        <v>1475</v>
      </c>
      <c r="B196" t="s">
        <v>1476</v>
      </c>
      <c r="C196" s="944"/>
    </row>
    <row r="197" spans="1:5" x14ac:dyDescent="0.35">
      <c r="A197" s="943" t="s">
        <v>1477</v>
      </c>
      <c r="B197" t="s">
        <v>1478</v>
      </c>
      <c r="C197" s="944">
        <v>0</v>
      </c>
    </row>
    <row r="198" spans="1:5" x14ac:dyDescent="0.35">
      <c r="A198" s="943" t="s">
        <v>1479</v>
      </c>
      <c r="B198" t="s">
        <v>1480</v>
      </c>
      <c r="C198" s="944">
        <v>0</v>
      </c>
    </row>
    <row r="199" spans="1:5" x14ac:dyDescent="0.35">
      <c r="A199" s="943" t="s">
        <v>1481</v>
      </c>
      <c r="B199" t="s">
        <v>1482</v>
      </c>
      <c r="C199" s="944">
        <v>0</v>
      </c>
    </row>
    <row r="200" spans="1:5" x14ac:dyDescent="0.35">
      <c r="A200" s="943" t="s">
        <v>1483</v>
      </c>
      <c r="B200" t="s">
        <v>1484</v>
      </c>
      <c r="C200" s="944">
        <v>9166665.6600000001</v>
      </c>
      <c r="E200" s="944"/>
    </row>
    <row r="201" spans="1:5" x14ac:dyDescent="0.35">
      <c r="A201" s="943" t="s">
        <v>1485</v>
      </c>
      <c r="B201" t="s">
        <v>1486</v>
      </c>
      <c r="C201" s="944">
        <v>0</v>
      </c>
    </row>
    <row r="202" spans="1:5" x14ac:dyDescent="0.35">
      <c r="A202" s="943" t="s">
        <v>1487</v>
      </c>
      <c r="B202" t="s">
        <v>1488</v>
      </c>
      <c r="C202" s="944">
        <v>0</v>
      </c>
    </row>
    <row r="203" spans="1:5" x14ac:dyDescent="0.35">
      <c r="A203" s="943" t="s">
        <v>1489</v>
      </c>
      <c r="B203" t="s">
        <v>1490</v>
      </c>
      <c r="C203" s="944">
        <v>0</v>
      </c>
    </row>
    <row r="204" spans="1:5" x14ac:dyDescent="0.35">
      <c r="A204" s="943" t="s">
        <v>1491</v>
      </c>
      <c r="B204" t="s">
        <v>1492</v>
      </c>
      <c r="C204" s="944">
        <v>0</v>
      </c>
    </row>
    <row r="205" spans="1:5" x14ac:dyDescent="0.35">
      <c r="A205" s="943" t="s">
        <v>1493</v>
      </c>
      <c r="B205" t="s">
        <v>1494</v>
      </c>
      <c r="C205" s="944">
        <v>0</v>
      </c>
    </row>
    <row r="206" spans="1:5" x14ac:dyDescent="0.35">
      <c r="A206" s="943" t="s">
        <v>1495</v>
      </c>
      <c r="B206" t="s">
        <v>1496</v>
      </c>
      <c r="C206" s="944">
        <v>0</v>
      </c>
    </row>
    <row r="207" spans="1:5" x14ac:dyDescent="0.35">
      <c r="A207" s="943" t="s">
        <v>1497</v>
      </c>
      <c r="B207" t="s">
        <v>1498</v>
      </c>
      <c r="C207" s="944">
        <v>0</v>
      </c>
    </row>
    <row r="208" spans="1:5" x14ac:dyDescent="0.35">
      <c r="A208" s="943" t="s">
        <v>1499</v>
      </c>
      <c r="B208" t="s">
        <v>1500</v>
      </c>
      <c r="C208" s="944">
        <v>0</v>
      </c>
    </row>
    <row r="209" spans="1:5" x14ac:dyDescent="0.35">
      <c r="A209" s="943" t="s">
        <v>1501</v>
      </c>
      <c r="B209" t="s">
        <v>1502</v>
      </c>
      <c r="C209" s="944">
        <v>0</v>
      </c>
    </row>
    <row r="210" spans="1:5" x14ac:dyDescent="0.35">
      <c r="A210" s="943" t="s">
        <v>1503</v>
      </c>
      <c r="B210" t="s">
        <v>1504</v>
      </c>
      <c r="C210" s="944">
        <v>0</v>
      </c>
    </row>
    <row r="211" spans="1:5" x14ac:dyDescent="0.35">
      <c r="A211" s="943" t="s">
        <v>1505</v>
      </c>
      <c r="B211" t="s">
        <v>1506</v>
      </c>
      <c r="C211" s="944">
        <v>0</v>
      </c>
    </row>
    <row r="212" spans="1:5" x14ac:dyDescent="0.35">
      <c r="A212" s="943" t="s">
        <v>1507</v>
      </c>
      <c r="B212" t="s">
        <v>1508</v>
      </c>
      <c r="C212" s="944">
        <v>0</v>
      </c>
    </row>
    <row r="213" spans="1:5" x14ac:dyDescent="0.35">
      <c r="A213" s="943" t="s">
        <v>1509</v>
      </c>
      <c r="B213" t="s">
        <v>1510</v>
      </c>
      <c r="C213" s="944">
        <v>0</v>
      </c>
    </row>
    <row r="214" spans="1:5" x14ac:dyDescent="0.35">
      <c r="A214" s="943" t="s">
        <v>1511</v>
      </c>
      <c r="B214" t="s">
        <v>1512</v>
      </c>
      <c r="C214" s="944">
        <v>0</v>
      </c>
    </row>
    <row r="215" spans="1:5" x14ac:dyDescent="0.35">
      <c r="A215" s="943" t="s">
        <v>1513</v>
      </c>
      <c r="B215" t="s">
        <v>1514</v>
      </c>
      <c r="C215" s="944">
        <v>0</v>
      </c>
    </row>
    <row r="216" spans="1:5" x14ac:dyDescent="0.35">
      <c r="B216" t="s">
        <v>1515</v>
      </c>
      <c r="C216" s="944">
        <v>9166665.6600000001</v>
      </c>
    </row>
    <row r="217" spans="1:5" x14ac:dyDescent="0.35">
      <c r="B217" t="s">
        <v>1087</v>
      </c>
      <c r="C217" s="944">
        <v>4004147251.73</v>
      </c>
      <c r="D217" s="944">
        <f>NRC!E25-'12'!E25</f>
        <v>4004147252.1599998</v>
      </c>
      <c r="E217" s="1682">
        <f>C217-D217</f>
        <v>-0.42999982833862305</v>
      </c>
    </row>
    <row r="218" spans="1:5" x14ac:dyDescent="0.35">
      <c r="A218" s="943" t="s">
        <v>1088</v>
      </c>
      <c r="B218" t="s">
        <v>1089</v>
      </c>
      <c r="C218" s="944"/>
    </row>
    <row r="219" spans="1:5" x14ac:dyDescent="0.35">
      <c r="A219" s="943" t="s">
        <v>1516</v>
      </c>
      <c r="B219" t="s">
        <v>1517</v>
      </c>
      <c r="C219" s="944"/>
    </row>
    <row r="220" spans="1:5" x14ac:dyDescent="0.35">
      <c r="A220" s="943" t="s">
        <v>1518</v>
      </c>
      <c r="B220" t="s">
        <v>1519</v>
      </c>
      <c r="C220" s="944">
        <v>0</v>
      </c>
    </row>
    <row r="221" spans="1:5" x14ac:dyDescent="0.35">
      <c r="A221" s="943" t="s">
        <v>1520</v>
      </c>
      <c r="B221" t="s">
        <v>1521</v>
      </c>
      <c r="C221" s="944">
        <v>0</v>
      </c>
    </row>
    <row r="222" spans="1:5" x14ac:dyDescent="0.35">
      <c r="A222" s="943" t="s">
        <v>1522</v>
      </c>
      <c r="B222" t="s">
        <v>1523</v>
      </c>
      <c r="C222" s="944">
        <v>0</v>
      </c>
    </row>
    <row r="223" spans="1:5" x14ac:dyDescent="0.35">
      <c r="A223" s="943" t="s">
        <v>1524</v>
      </c>
      <c r="B223" t="s">
        <v>1525</v>
      </c>
      <c r="C223" s="944">
        <v>0</v>
      </c>
    </row>
    <row r="224" spans="1:5" x14ac:dyDescent="0.35">
      <c r="B224" t="s">
        <v>1526</v>
      </c>
      <c r="C224" s="944">
        <v>0</v>
      </c>
    </row>
    <row r="225" spans="1:3" x14ac:dyDescent="0.35">
      <c r="A225" s="943" t="s">
        <v>1090</v>
      </c>
      <c r="B225" t="s">
        <v>1091</v>
      </c>
      <c r="C225" s="944"/>
    </row>
    <row r="226" spans="1:3" x14ac:dyDescent="0.35">
      <c r="A226" s="943" t="s">
        <v>1527</v>
      </c>
      <c r="B226" t="s">
        <v>1528</v>
      </c>
      <c r="C226" s="944">
        <v>0</v>
      </c>
    </row>
    <row r="227" spans="1:3" x14ac:dyDescent="0.35">
      <c r="A227" s="943" t="s">
        <v>1092</v>
      </c>
      <c r="B227" t="s">
        <v>744</v>
      </c>
      <c r="C227" s="944">
        <v>3883970000</v>
      </c>
    </row>
    <row r="228" spans="1:3" x14ac:dyDescent="0.35">
      <c r="A228" s="943" t="s">
        <v>1093</v>
      </c>
      <c r="B228" t="s">
        <v>1094</v>
      </c>
      <c r="C228" s="944">
        <v>4176785320</v>
      </c>
    </row>
    <row r="229" spans="1:3" x14ac:dyDescent="0.35">
      <c r="A229" s="943" t="s">
        <v>1529</v>
      </c>
      <c r="B229" t="s">
        <v>1530</v>
      </c>
      <c r="C229" s="944">
        <v>3218100000</v>
      </c>
    </row>
    <row r="230" spans="1:3" x14ac:dyDescent="0.35">
      <c r="A230" s="943" t="s">
        <v>1531</v>
      </c>
      <c r="B230" t="s">
        <v>1532</v>
      </c>
      <c r="C230" s="944">
        <v>1044626000</v>
      </c>
    </row>
    <row r="231" spans="1:3" x14ac:dyDescent="0.35">
      <c r="A231" s="943" t="s">
        <v>1533</v>
      </c>
      <c r="B231" t="s">
        <v>1534</v>
      </c>
      <c r="C231" s="944">
        <v>3310150737</v>
      </c>
    </row>
    <row r="232" spans="1:3" x14ac:dyDescent="0.35">
      <c r="A232" s="943" t="s">
        <v>1535</v>
      </c>
      <c r="B232" t="s">
        <v>1536</v>
      </c>
      <c r="C232" s="944">
        <v>0</v>
      </c>
    </row>
    <row r="233" spans="1:3" x14ac:dyDescent="0.35">
      <c r="A233" s="943" t="s">
        <v>1537</v>
      </c>
      <c r="B233" t="s">
        <v>1538</v>
      </c>
      <c r="C233" s="944">
        <v>0</v>
      </c>
    </row>
    <row r="234" spans="1:3" x14ac:dyDescent="0.35">
      <c r="A234" s="943" t="s">
        <v>1539</v>
      </c>
      <c r="B234" t="s">
        <v>1540</v>
      </c>
      <c r="C234" s="944">
        <v>560702250</v>
      </c>
    </row>
    <row r="235" spans="1:3" x14ac:dyDescent="0.35">
      <c r="A235" s="943" t="s">
        <v>1541</v>
      </c>
      <c r="B235" t="s">
        <v>1542</v>
      </c>
      <c r="C235" s="944">
        <v>37000000</v>
      </c>
    </row>
    <row r="236" spans="1:3" x14ac:dyDescent="0.35">
      <c r="A236" s="943" t="s">
        <v>1543</v>
      </c>
      <c r="B236" t="s">
        <v>561</v>
      </c>
      <c r="C236" s="944">
        <v>0</v>
      </c>
    </row>
    <row r="237" spans="1:3" x14ac:dyDescent="0.35">
      <c r="A237" s="943" t="s">
        <v>1544</v>
      </c>
      <c r="B237" t="s">
        <v>1545</v>
      </c>
      <c r="C237" s="944">
        <v>35079500</v>
      </c>
    </row>
    <row r="238" spans="1:3" x14ac:dyDescent="0.35">
      <c r="A238" s="943" t="s">
        <v>1546</v>
      </c>
      <c r="B238" t="s">
        <v>1547</v>
      </c>
      <c r="C238" s="944">
        <v>0</v>
      </c>
    </row>
    <row r="239" spans="1:3" x14ac:dyDescent="0.35">
      <c r="A239" s="943" t="s">
        <v>1548</v>
      </c>
      <c r="B239" t="s">
        <v>1549</v>
      </c>
      <c r="C239" s="944">
        <v>18800000</v>
      </c>
    </row>
    <row r="240" spans="1:3" x14ac:dyDescent="0.35">
      <c r="A240" s="943" t="s">
        <v>1550</v>
      </c>
      <c r="B240" t="s">
        <v>1551</v>
      </c>
      <c r="C240" s="944">
        <v>26069300</v>
      </c>
    </row>
    <row r="241" spans="1:3" x14ac:dyDescent="0.35">
      <c r="A241" s="943" t="s">
        <v>1552</v>
      </c>
      <c r="B241" t="s">
        <v>1553</v>
      </c>
      <c r="C241" s="944">
        <v>791771500</v>
      </c>
    </row>
    <row r="242" spans="1:3" x14ac:dyDescent="0.35">
      <c r="A242" s="943" t="s">
        <v>1554</v>
      </c>
      <c r="B242" t="s">
        <v>1555</v>
      </c>
      <c r="C242" s="944">
        <v>0</v>
      </c>
    </row>
    <row r="243" spans="1:3" x14ac:dyDescent="0.35">
      <c r="A243" s="943" t="s">
        <v>1556</v>
      </c>
      <c r="B243" t="s">
        <v>1557</v>
      </c>
      <c r="C243" s="944">
        <v>148238833</v>
      </c>
    </row>
    <row r="244" spans="1:3" x14ac:dyDescent="0.35">
      <c r="A244" s="943" t="s">
        <v>1558</v>
      </c>
      <c r="B244" t="s">
        <v>1559</v>
      </c>
      <c r="C244" s="944">
        <v>62209000</v>
      </c>
    </row>
    <row r="245" spans="1:3" x14ac:dyDescent="0.35">
      <c r="A245" s="943" t="s">
        <v>1560</v>
      </c>
      <c r="B245" t="s">
        <v>1561</v>
      </c>
      <c r="C245" s="944">
        <v>0</v>
      </c>
    </row>
    <row r="246" spans="1:3" x14ac:dyDescent="0.35">
      <c r="A246" s="943" t="s">
        <v>1095</v>
      </c>
      <c r="B246" t="s">
        <v>1096</v>
      </c>
      <c r="C246" s="944">
        <v>0</v>
      </c>
    </row>
    <row r="247" spans="1:3" x14ac:dyDescent="0.35">
      <c r="A247" s="943" t="s">
        <v>1097</v>
      </c>
      <c r="B247" t="s">
        <v>1098</v>
      </c>
      <c r="C247" s="944">
        <v>603107294</v>
      </c>
    </row>
    <row r="248" spans="1:3" x14ac:dyDescent="0.35">
      <c r="A248" s="943" t="s">
        <v>1562</v>
      </c>
      <c r="B248" t="s">
        <v>1563</v>
      </c>
      <c r="C248" s="944">
        <v>30262448</v>
      </c>
    </row>
    <row r="249" spans="1:3" x14ac:dyDescent="0.35">
      <c r="A249" s="943" t="s">
        <v>1564</v>
      </c>
      <c r="B249" t="s">
        <v>1565</v>
      </c>
      <c r="C249" s="944">
        <v>18283500</v>
      </c>
    </row>
    <row r="250" spans="1:3" x14ac:dyDescent="0.35">
      <c r="A250" s="943" t="s">
        <v>1566</v>
      </c>
      <c r="B250" t="s">
        <v>7185</v>
      </c>
      <c r="C250" s="944">
        <v>167316868</v>
      </c>
    </row>
    <row r="251" spans="1:3" x14ac:dyDescent="0.35">
      <c r="A251" s="943" t="s">
        <v>1568</v>
      </c>
      <c r="B251" t="s">
        <v>1569</v>
      </c>
      <c r="C251" s="944">
        <v>0</v>
      </c>
    </row>
    <row r="252" spans="1:3" x14ac:dyDescent="0.35">
      <c r="A252" s="943" t="s">
        <v>1570</v>
      </c>
      <c r="B252" t="s">
        <v>1571</v>
      </c>
      <c r="C252" s="944">
        <v>47962500</v>
      </c>
    </row>
    <row r="253" spans="1:3" x14ac:dyDescent="0.35">
      <c r="A253" s="943" t="s">
        <v>1572</v>
      </c>
      <c r="B253" t="s">
        <v>1573</v>
      </c>
      <c r="C253" s="944">
        <v>0</v>
      </c>
    </row>
    <row r="254" spans="1:3" x14ac:dyDescent="0.35">
      <c r="A254" s="943" t="s">
        <v>1574</v>
      </c>
      <c r="B254" t="s">
        <v>1575</v>
      </c>
      <c r="C254" s="944">
        <v>0</v>
      </c>
    </row>
    <row r="255" spans="1:3" x14ac:dyDescent="0.35">
      <c r="A255" s="943" t="s">
        <v>1576</v>
      </c>
      <c r="B255" t="s">
        <v>1577</v>
      </c>
      <c r="C255" s="944">
        <v>0</v>
      </c>
    </row>
    <row r="256" spans="1:3" x14ac:dyDescent="0.35">
      <c r="A256" s="943" t="s">
        <v>1099</v>
      </c>
      <c r="B256" t="s">
        <v>1100</v>
      </c>
      <c r="C256" s="944">
        <v>0</v>
      </c>
    </row>
    <row r="257" spans="1:3" x14ac:dyDescent="0.35">
      <c r="A257" s="943" t="s">
        <v>1578</v>
      </c>
      <c r="B257" t="s">
        <v>1579</v>
      </c>
      <c r="C257" s="944">
        <v>102296001</v>
      </c>
    </row>
    <row r="258" spans="1:3" x14ac:dyDescent="0.35">
      <c r="A258" s="943" t="s">
        <v>1580</v>
      </c>
      <c r="B258" t="s">
        <v>1581</v>
      </c>
      <c r="C258" s="944">
        <v>84350580</v>
      </c>
    </row>
    <row r="259" spans="1:3" x14ac:dyDescent="0.35">
      <c r="A259" s="943" t="s">
        <v>1582</v>
      </c>
      <c r="B259" t="s">
        <v>1583</v>
      </c>
      <c r="C259" s="944">
        <v>842714000</v>
      </c>
    </row>
    <row r="260" spans="1:3" x14ac:dyDescent="0.35">
      <c r="A260" s="943" t="s">
        <v>1584</v>
      </c>
      <c r="B260" t="s">
        <v>1585</v>
      </c>
      <c r="C260" s="944">
        <v>239438600</v>
      </c>
    </row>
    <row r="261" spans="1:3" x14ac:dyDescent="0.35">
      <c r="A261" s="943" t="s">
        <v>1586</v>
      </c>
      <c r="B261" t="s">
        <v>1587</v>
      </c>
      <c r="C261" s="944">
        <v>90899738</v>
      </c>
    </row>
    <row r="262" spans="1:3" x14ac:dyDescent="0.35">
      <c r="A262" s="943" t="s">
        <v>1588</v>
      </c>
      <c r="B262" t="s">
        <v>1589</v>
      </c>
      <c r="C262" s="944">
        <v>35362784</v>
      </c>
    </row>
    <row r="263" spans="1:3" x14ac:dyDescent="0.35">
      <c r="A263" s="943" t="s">
        <v>1590</v>
      </c>
      <c r="B263" t="s">
        <v>1591</v>
      </c>
      <c r="C263" s="944">
        <v>15321820</v>
      </c>
    </row>
    <row r="264" spans="1:3" x14ac:dyDescent="0.35">
      <c r="A264" s="943" t="s">
        <v>1592</v>
      </c>
      <c r="B264" t="s">
        <v>1593</v>
      </c>
      <c r="C264" s="944">
        <v>55595030</v>
      </c>
    </row>
    <row r="265" spans="1:3" x14ac:dyDescent="0.35">
      <c r="A265" s="943" t="s">
        <v>1594</v>
      </c>
      <c r="B265" t="s">
        <v>1595</v>
      </c>
      <c r="C265" s="944">
        <v>0</v>
      </c>
    </row>
    <row r="266" spans="1:3" x14ac:dyDescent="0.35">
      <c r="A266" s="943" t="s">
        <v>1101</v>
      </c>
      <c r="B266" t="s">
        <v>1102</v>
      </c>
      <c r="C266" s="944">
        <v>0</v>
      </c>
    </row>
    <row r="267" spans="1:3" x14ac:dyDescent="0.35">
      <c r="A267" s="943" t="s">
        <v>1596</v>
      </c>
      <c r="B267" t="s">
        <v>1597</v>
      </c>
      <c r="C267" s="944">
        <v>275000000</v>
      </c>
    </row>
    <row r="268" spans="1:3" x14ac:dyDescent="0.35">
      <c r="A268" s="943" t="s">
        <v>1598</v>
      </c>
      <c r="B268" t="s">
        <v>1599</v>
      </c>
      <c r="C268" s="944">
        <v>23000000</v>
      </c>
    </row>
    <row r="269" spans="1:3" x14ac:dyDescent="0.35">
      <c r="A269" s="943" t="s">
        <v>1600</v>
      </c>
      <c r="B269" t="s">
        <v>1601</v>
      </c>
      <c r="C269" s="944">
        <v>0</v>
      </c>
    </row>
    <row r="270" spans="1:3" x14ac:dyDescent="0.35">
      <c r="A270" s="943" t="s">
        <v>1602</v>
      </c>
      <c r="B270" t="s">
        <v>1603</v>
      </c>
      <c r="C270" s="944">
        <v>0</v>
      </c>
    </row>
    <row r="271" spans="1:3" x14ac:dyDescent="0.35">
      <c r="A271" s="943" t="s">
        <v>1604</v>
      </c>
      <c r="B271" t="s">
        <v>1605</v>
      </c>
      <c r="C271" s="944">
        <v>0</v>
      </c>
    </row>
    <row r="272" spans="1:3" x14ac:dyDescent="0.35">
      <c r="A272" s="943" t="s">
        <v>1606</v>
      </c>
      <c r="B272" t="s">
        <v>1607</v>
      </c>
      <c r="C272" s="944">
        <v>0</v>
      </c>
    </row>
    <row r="273" spans="1:5" x14ac:dyDescent="0.35">
      <c r="A273" s="943" t="s">
        <v>1608</v>
      </c>
      <c r="B273" t="s">
        <v>1609</v>
      </c>
      <c r="C273" s="944">
        <v>0</v>
      </c>
    </row>
    <row r="274" spans="1:5" x14ac:dyDescent="0.35">
      <c r="A274" s="943" t="s">
        <v>1610</v>
      </c>
      <c r="B274" t="s">
        <v>1611</v>
      </c>
      <c r="C274" s="944">
        <v>0</v>
      </c>
    </row>
    <row r="275" spans="1:5" x14ac:dyDescent="0.35">
      <c r="A275" s="943" t="s">
        <v>1612</v>
      </c>
      <c r="B275" t="s">
        <v>1613</v>
      </c>
      <c r="C275" s="944">
        <v>0</v>
      </c>
    </row>
    <row r="276" spans="1:5" x14ac:dyDescent="0.35">
      <c r="A276" s="943" t="s">
        <v>1614</v>
      </c>
      <c r="B276" t="s">
        <v>1615</v>
      </c>
      <c r="C276" s="944">
        <v>0</v>
      </c>
    </row>
    <row r="277" spans="1:5" x14ac:dyDescent="0.35">
      <c r="A277" s="943" t="s">
        <v>1616</v>
      </c>
      <c r="B277" t="s">
        <v>1617</v>
      </c>
      <c r="C277" s="944">
        <v>2925854386</v>
      </c>
    </row>
    <row r="278" spans="1:5" x14ac:dyDescent="0.35">
      <c r="A278" s="943" t="s">
        <v>1618</v>
      </c>
      <c r="B278" t="s">
        <v>1619</v>
      </c>
      <c r="C278" s="944">
        <v>0</v>
      </c>
    </row>
    <row r="279" spans="1:5" x14ac:dyDescent="0.35">
      <c r="A279" s="943" t="s">
        <v>1103</v>
      </c>
      <c r="B279" t="s">
        <v>1104</v>
      </c>
      <c r="C279" s="944">
        <v>0</v>
      </c>
    </row>
    <row r="280" spans="1:5" x14ac:dyDescent="0.35">
      <c r="B280" t="s">
        <v>1105</v>
      </c>
      <c r="C280" s="944">
        <v>22870267989</v>
      </c>
      <c r="D280" s="944">
        <f>NRC!E29-'12'!E29</f>
        <v>22870267989.001999</v>
      </c>
      <c r="E280" s="1682">
        <f>C280-D280</f>
        <v>-1.9989013671875E-3</v>
      </c>
    </row>
    <row r="281" spans="1:5" x14ac:dyDescent="0.35">
      <c r="A281" s="943" t="s">
        <v>1106</v>
      </c>
      <c r="B281" t="s">
        <v>1107</v>
      </c>
      <c r="C281" s="944"/>
    </row>
    <row r="282" spans="1:5" x14ac:dyDescent="0.35">
      <c r="A282" s="943" t="s">
        <v>1108</v>
      </c>
      <c r="B282" t="s">
        <v>1109</v>
      </c>
      <c r="C282" s="944">
        <v>0</v>
      </c>
    </row>
    <row r="283" spans="1:5" x14ac:dyDescent="0.35">
      <c r="A283" s="943" t="s">
        <v>1620</v>
      </c>
      <c r="B283" t="s">
        <v>1621</v>
      </c>
      <c r="C283" s="944">
        <v>0</v>
      </c>
    </row>
    <row r="284" spans="1:5" x14ac:dyDescent="0.35">
      <c r="A284" s="943" t="s">
        <v>1622</v>
      </c>
      <c r="B284" t="s">
        <v>1623</v>
      </c>
      <c r="C284" s="944">
        <v>-1027924903.92</v>
      </c>
    </row>
    <row r="285" spans="1:5" x14ac:dyDescent="0.35">
      <c r="A285" s="943" t="s">
        <v>1624</v>
      </c>
      <c r="B285" t="s">
        <v>1625</v>
      </c>
      <c r="C285" s="944">
        <v>-335360941.66000003</v>
      </c>
    </row>
    <row r="286" spans="1:5" x14ac:dyDescent="0.35">
      <c r="A286" s="943" t="s">
        <v>1626</v>
      </c>
      <c r="B286" t="s">
        <v>1627</v>
      </c>
      <c r="C286" s="944">
        <v>-282797053.94999999</v>
      </c>
    </row>
    <row r="287" spans="1:5" x14ac:dyDescent="0.35">
      <c r="A287" s="943" t="s">
        <v>1628</v>
      </c>
      <c r="B287" t="s">
        <v>1629</v>
      </c>
      <c r="C287" s="944">
        <v>-180727089.74000001</v>
      </c>
    </row>
    <row r="288" spans="1:5" x14ac:dyDescent="0.35">
      <c r="A288" s="943" t="s">
        <v>1630</v>
      </c>
      <c r="B288" t="s">
        <v>1631</v>
      </c>
      <c r="C288" s="944">
        <v>0</v>
      </c>
    </row>
    <row r="289" spans="1:3" x14ac:dyDescent="0.35">
      <c r="A289" s="943" t="s">
        <v>1632</v>
      </c>
      <c r="B289" t="s">
        <v>1633</v>
      </c>
      <c r="C289" s="944">
        <v>0</v>
      </c>
    </row>
    <row r="290" spans="1:3" x14ac:dyDescent="0.35">
      <c r="A290" s="943" t="s">
        <v>1634</v>
      </c>
      <c r="B290" t="s">
        <v>1635</v>
      </c>
      <c r="C290" s="944">
        <v>-121353815.64</v>
      </c>
    </row>
    <row r="291" spans="1:3" x14ac:dyDescent="0.35">
      <c r="A291" s="943" t="s">
        <v>1636</v>
      </c>
      <c r="B291" t="s">
        <v>1637</v>
      </c>
      <c r="C291" s="944">
        <v>-29200007.34</v>
      </c>
    </row>
    <row r="292" spans="1:3" x14ac:dyDescent="0.35">
      <c r="A292" s="943" t="s">
        <v>1638</v>
      </c>
      <c r="B292" t="s">
        <v>1639</v>
      </c>
      <c r="C292" s="944">
        <v>0</v>
      </c>
    </row>
    <row r="293" spans="1:3" x14ac:dyDescent="0.35">
      <c r="A293" s="943" t="s">
        <v>1640</v>
      </c>
      <c r="B293" t="s">
        <v>1641</v>
      </c>
      <c r="C293" s="944">
        <v>-30219629.920000002</v>
      </c>
    </row>
    <row r="294" spans="1:3" x14ac:dyDescent="0.35">
      <c r="A294" s="943" t="s">
        <v>1642</v>
      </c>
      <c r="B294" t="s">
        <v>1643</v>
      </c>
      <c r="C294" s="944">
        <v>0</v>
      </c>
    </row>
    <row r="295" spans="1:3" x14ac:dyDescent="0.35">
      <c r="A295" s="943" t="s">
        <v>1644</v>
      </c>
      <c r="B295" t="s">
        <v>1645</v>
      </c>
      <c r="C295" s="944">
        <v>-15883330.310000001</v>
      </c>
    </row>
    <row r="296" spans="1:3" x14ac:dyDescent="0.35">
      <c r="A296" s="943" t="s">
        <v>1646</v>
      </c>
      <c r="B296" t="s">
        <v>1647</v>
      </c>
      <c r="C296" s="944">
        <v>-26069293.899999999</v>
      </c>
    </row>
    <row r="297" spans="1:3" x14ac:dyDescent="0.35">
      <c r="A297" s="943" t="s">
        <v>1648</v>
      </c>
      <c r="B297" t="s">
        <v>1649</v>
      </c>
      <c r="C297" s="944">
        <v>-55187232.600000001</v>
      </c>
    </row>
    <row r="298" spans="1:3" x14ac:dyDescent="0.35">
      <c r="A298" s="943" t="s">
        <v>1650</v>
      </c>
      <c r="B298" t="s">
        <v>1651</v>
      </c>
      <c r="C298" s="944">
        <v>0</v>
      </c>
    </row>
    <row r="299" spans="1:3" x14ac:dyDescent="0.35">
      <c r="A299" s="943" t="s">
        <v>1652</v>
      </c>
      <c r="B299" t="s">
        <v>1653</v>
      </c>
      <c r="C299" s="944">
        <v>-24892316.27</v>
      </c>
    </row>
    <row r="300" spans="1:3" x14ac:dyDescent="0.35">
      <c r="A300" s="943" t="s">
        <v>1654</v>
      </c>
      <c r="B300" t="s">
        <v>1655</v>
      </c>
      <c r="C300" s="944">
        <v>-39233539.119999997</v>
      </c>
    </row>
    <row r="301" spans="1:3" x14ac:dyDescent="0.35">
      <c r="A301" s="943" t="s">
        <v>1656</v>
      </c>
      <c r="B301" t="s">
        <v>1657</v>
      </c>
      <c r="C301" s="944">
        <v>0</v>
      </c>
    </row>
    <row r="302" spans="1:3" x14ac:dyDescent="0.35">
      <c r="A302" s="943" t="s">
        <v>1110</v>
      </c>
      <c r="B302" t="s">
        <v>1111</v>
      </c>
      <c r="C302" s="944">
        <v>0</v>
      </c>
    </row>
    <row r="303" spans="1:3" x14ac:dyDescent="0.35">
      <c r="A303" s="943" t="s">
        <v>1658</v>
      </c>
      <c r="B303" t="s">
        <v>1659</v>
      </c>
      <c r="C303" s="944">
        <v>-317850512.12</v>
      </c>
    </row>
    <row r="304" spans="1:3" x14ac:dyDescent="0.35">
      <c r="A304" s="943" t="s">
        <v>1660</v>
      </c>
      <c r="B304" t="s">
        <v>1661</v>
      </c>
      <c r="C304" s="944">
        <v>-14377520.1</v>
      </c>
    </row>
    <row r="305" spans="1:3" x14ac:dyDescent="0.35">
      <c r="A305" s="943" t="s">
        <v>1662</v>
      </c>
      <c r="B305" t="s">
        <v>1663</v>
      </c>
      <c r="C305" s="944">
        <v>-15445418.1</v>
      </c>
    </row>
    <row r="306" spans="1:3" x14ac:dyDescent="0.35">
      <c r="A306" s="943" t="s">
        <v>1664</v>
      </c>
      <c r="B306" t="s">
        <v>1665</v>
      </c>
      <c r="C306" s="944">
        <v>-101017720.23</v>
      </c>
    </row>
    <row r="307" spans="1:3" x14ac:dyDescent="0.35">
      <c r="A307" s="943" t="s">
        <v>1666</v>
      </c>
      <c r="B307" t="s">
        <v>1667</v>
      </c>
      <c r="C307" s="944">
        <v>0</v>
      </c>
    </row>
    <row r="308" spans="1:3" x14ac:dyDescent="0.35">
      <c r="A308" s="943" t="s">
        <v>1668</v>
      </c>
      <c r="B308" t="s">
        <v>1669</v>
      </c>
      <c r="C308" s="944">
        <v>-36593245.079999998</v>
      </c>
    </row>
    <row r="309" spans="1:3" x14ac:dyDescent="0.35">
      <c r="A309" s="943" t="s">
        <v>1670</v>
      </c>
      <c r="B309" t="s">
        <v>1671</v>
      </c>
      <c r="C309" s="944">
        <v>0</v>
      </c>
    </row>
    <row r="310" spans="1:3" x14ac:dyDescent="0.35">
      <c r="A310" s="943" t="s">
        <v>1672</v>
      </c>
      <c r="B310" t="s">
        <v>1575</v>
      </c>
      <c r="C310" s="944">
        <v>0</v>
      </c>
    </row>
    <row r="311" spans="1:3" x14ac:dyDescent="0.35">
      <c r="A311" s="943" t="s">
        <v>1673</v>
      </c>
      <c r="B311" t="s">
        <v>1674</v>
      </c>
      <c r="C311" s="944">
        <v>0</v>
      </c>
    </row>
    <row r="312" spans="1:3" x14ac:dyDescent="0.35">
      <c r="A312" s="943" t="s">
        <v>1112</v>
      </c>
      <c r="B312" t="s">
        <v>1113</v>
      </c>
      <c r="C312" s="944">
        <v>0</v>
      </c>
    </row>
    <row r="313" spans="1:3" x14ac:dyDescent="0.35">
      <c r="A313" s="943" t="s">
        <v>1675</v>
      </c>
      <c r="B313" t="s">
        <v>1676</v>
      </c>
      <c r="C313" s="944">
        <v>-57909371.530000001</v>
      </c>
    </row>
    <row r="314" spans="1:3" x14ac:dyDescent="0.35">
      <c r="A314" s="943" t="s">
        <v>1677</v>
      </c>
      <c r="B314" t="s">
        <v>1678</v>
      </c>
      <c r="C314" s="944">
        <v>-27607361.02</v>
      </c>
    </row>
    <row r="315" spans="1:3" x14ac:dyDescent="0.35">
      <c r="A315" s="943" t="s">
        <v>1679</v>
      </c>
      <c r="B315" t="s">
        <v>1680</v>
      </c>
      <c r="C315" s="944">
        <v>-570780735.64999998</v>
      </c>
    </row>
    <row r="316" spans="1:3" x14ac:dyDescent="0.35">
      <c r="A316" s="943" t="s">
        <v>1681</v>
      </c>
      <c r="B316" t="s">
        <v>1682</v>
      </c>
      <c r="C316" s="944">
        <v>-156970704.81999999</v>
      </c>
    </row>
    <row r="317" spans="1:3" x14ac:dyDescent="0.35">
      <c r="A317" s="943" t="s">
        <v>1683</v>
      </c>
      <c r="B317" t="s">
        <v>1684</v>
      </c>
      <c r="C317" s="944">
        <v>-74067455.909999996</v>
      </c>
    </row>
    <row r="318" spans="1:3" x14ac:dyDescent="0.35">
      <c r="A318" s="943" t="s">
        <v>1685</v>
      </c>
      <c r="B318" t="s">
        <v>1686</v>
      </c>
      <c r="C318" s="944">
        <v>-15847702.51</v>
      </c>
    </row>
    <row r="319" spans="1:3" x14ac:dyDescent="0.35">
      <c r="A319" s="943" t="s">
        <v>1687</v>
      </c>
      <c r="B319" t="s">
        <v>1688</v>
      </c>
      <c r="C319" s="944">
        <v>-2204902.87</v>
      </c>
    </row>
    <row r="320" spans="1:3" x14ac:dyDescent="0.35">
      <c r="A320" s="943" t="s">
        <v>1689</v>
      </c>
      <c r="B320" t="s">
        <v>1690</v>
      </c>
      <c r="C320" s="944">
        <v>-25717773.789999999</v>
      </c>
    </row>
    <row r="321" spans="1:5" x14ac:dyDescent="0.35">
      <c r="A321" s="943" t="s">
        <v>1691</v>
      </c>
      <c r="B321" t="s">
        <v>1692</v>
      </c>
      <c r="C321" s="944">
        <v>0</v>
      </c>
    </row>
    <row r="322" spans="1:5" x14ac:dyDescent="0.35">
      <c r="A322" s="943" t="s">
        <v>1114</v>
      </c>
      <c r="B322" t="s">
        <v>1115</v>
      </c>
      <c r="C322" s="944">
        <v>0</v>
      </c>
    </row>
    <row r="323" spans="1:5" x14ac:dyDescent="0.35">
      <c r="A323" s="943" t="s">
        <v>1693</v>
      </c>
      <c r="B323" t="s">
        <v>1694</v>
      </c>
      <c r="C323" s="944">
        <v>-92187498.260000005</v>
      </c>
    </row>
    <row r="324" spans="1:5" x14ac:dyDescent="0.35">
      <c r="A324" s="943" t="s">
        <v>1695</v>
      </c>
      <c r="B324" t="s">
        <v>1696</v>
      </c>
      <c r="C324" s="944">
        <v>-7493527.6500000004</v>
      </c>
    </row>
    <row r="325" spans="1:5" x14ac:dyDescent="0.35">
      <c r="A325" s="943" t="s">
        <v>1697</v>
      </c>
      <c r="B325" t="s">
        <v>1698</v>
      </c>
      <c r="C325" s="944">
        <v>0</v>
      </c>
    </row>
    <row r="326" spans="1:5" x14ac:dyDescent="0.35">
      <c r="A326" s="943" t="s">
        <v>1699</v>
      </c>
      <c r="B326" t="s">
        <v>1700</v>
      </c>
      <c r="C326" s="944">
        <v>0</v>
      </c>
    </row>
    <row r="327" spans="1:5" x14ac:dyDescent="0.35">
      <c r="A327" s="943" t="s">
        <v>1701</v>
      </c>
      <c r="B327" t="s">
        <v>1702</v>
      </c>
      <c r="C327" s="944">
        <v>0</v>
      </c>
      <c r="D327" s="944"/>
      <c r="E327" s="944"/>
    </row>
    <row r="328" spans="1:5" x14ac:dyDescent="0.35">
      <c r="A328" s="943" t="s">
        <v>1703</v>
      </c>
      <c r="B328" t="s">
        <v>1704</v>
      </c>
      <c r="C328" s="944">
        <v>0</v>
      </c>
    </row>
    <row r="329" spans="1:5" x14ac:dyDescent="0.35">
      <c r="A329" s="943" t="s">
        <v>1705</v>
      </c>
      <c r="B329" t="s">
        <v>1706</v>
      </c>
      <c r="C329" s="944">
        <v>0</v>
      </c>
    </row>
    <row r="330" spans="1:5" x14ac:dyDescent="0.35">
      <c r="A330" s="943" t="s">
        <v>1707</v>
      </c>
      <c r="B330" t="s">
        <v>1708</v>
      </c>
      <c r="C330" s="944">
        <v>0</v>
      </c>
    </row>
    <row r="331" spans="1:5" x14ac:dyDescent="0.35">
      <c r="A331" s="943" t="s">
        <v>1709</v>
      </c>
      <c r="B331" t="s">
        <v>1710</v>
      </c>
      <c r="C331" s="944">
        <v>0</v>
      </c>
    </row>
    <row r="332" spans="1:5" x14ac:dyDescent="0.35">
      <c r="B332" t="s">
        <v>1116</v>
      </c>
      <c r="C332" s="944">
        <v>-3684920604.0100002</v>
      </c>
      <c r="D332">
        <f>NRC!E30-'12'!E30</f>
        <v>-3684920603.1314759</v>
      </c>
      <c r="E332" s="1682">
        <f>C332-D332</f>
        <v>-0.8785243034362793</v>
      </c>
    </row>
    <row r="333" spans="1:5" x14ac:dyDescent="0.35">
      <c r="A333" s="943" t="s">
        <v>1711</v>
      </c>
      <c r="B333" t="s">
        <v>1712</v>
      </c>
      <c r="C333" s="944"/>
    </row>
    <row r="334" spans="1:5" x14ac:dyDescent="0.35">
      <c r="A334" s="943" t="s">
        <v>1713</v>
      </c>
      <c r="B334" t="s">
        <v>1714</v>
      </c>
      <c r="C334" s="944">
        <v>0</v>
      </c>
    </row>
    <row r="335" spans="1:5" x14ac:dyDescent="0.35">
      <c r="A335" s="943" t="s">
        <v>1715</v>
      </c>
      <c r="B335" t="s">
        <v>1716</v>
      </c>
      <c r="C335" s="944">
        <v>0</v>
      </c>
    </row>
    <row r="336" spans="1:5" x14ac:dyDescent="0.35">
      <c r="B336" t="s">
        <v>1717</v>
      </c>
      <c r="C336" s="944">
        <v>0</v>
      </c>
    </row>
    <row r="337" spans="1:3" x14ac:dyDescent="0.35">
      <c r="A337" s="943" t="s">
        <v>1718</v>
      </c>
      <c r="B337" t="s">
        <v>1719</v>
      </c>
      <c r="C337" s="944"/>
    </row>
    <row r="338" spans="1:3" x14ac:dyDescent="0.35">
      <c r="A338" s="943" t="s">
        <v>1720</v>
      </c>
      <c r="B338" t="s">
        <v>1721</v>
      </c>
      <c r="C338" s="944">
        <v>0</v>
      </c>
    </row>
    <row r="339" spans="1:3" x14ac:dyDescent="0.35">
      <c r="B339" t="s">
        <v>1722</v>
      </c>
      <c r="C339" s="944">
        <v>0</v>
      </c>
    </row>
    <row r="340" spans="1:3" x14ac:dyDescent="0.35">
      <c r="A340" s="943" t="s">
        <v>1723</v>
      </c>
      <c r="B340" t="s">
        <v>1724</v>
      </c>
      <c r="C340" s="944"/>
    </row>
    <row r="341" spans="1:3" x14ac:dyDescent="0.35">
      <c r="A341" s="943" t="s">
        <v>1725</v>
      </c>
      <c r="B341" t="s">
        <v>1726</v>
      </c>
      <c r="C341" s="944">
        <v>10130900</v>
      </c>
    </row>
    <row r="342" spans="1:3" x14ac:dyDescent="0.35">
      <c r="A342" s="943" t="s">
        <v>1727</v>
      </c>
      <c r="B342" t="s">
        <v>1728</v>
      </c>
      <c r="C342" s="944">
        <v>0</v>
      </c>
    </row>
    <row r="343" spans="1:3" x14ac:dyDescent="0.35">
      <c r="A343" s="943" t="s">
        <v>1729</v>
      </c>
      <c r="B343" t="s">
        <v>1730</v>
      </c>
      <c r="C343" s="944">
        <v>0</v>
      </c>
    </row>
    <row r="344" spans="1:3" x14ac:dyDescent="0.35">
      <c r="A344" s="943" t="s">
        <v>1731</v>
      </c>
      <c r="B344" t="s">
        <v>1732</v>
      </c>
      <c r="C344" s="944">
        <v>0</v>
      </c>
    </row>
    <row r="345" spans="1:3" x14ac:dyDescent="0.35">
      <c r="A345" s="943" t="s">
        <v>1733</v>
      </c>
      <c r="B345" t="s">
        <v>1734</v>
      </c>
      <c r="C345" s="944">
        <v>0</v>
      </c>
    </row>
    <row r="346" spans="1:3" x14ac:dyDescent="0.35">
      <c r="A346" s="943" t="s">
        <v>1735</v>
      </c>
      <c r="B346" t="s">
        <v>1736</v>
      </c>
      <c r="C346" s="944">
        <v>0</v>
      </c>
    </row>
    <row r="347" spans="1:3" x14ac:dyDescent="0.35">
      <c r="A347" s="943" t="s">
        <v>1737</v>
      </c>
      <c r="B347" t="s">
        <v>1738</v>
      </c>
      <c r="C347" s="944">
        <v>0</v>
      </c>
    </row>
    <row r="348" spans="1:3" x14ac:dyDescent="0.35">
      <c r="A348" s="943" t="s">
        <v>1739</v>
      </c>
      <c r="B348" t="s">
        <v>1740</v>
      </c>
      <c r="C348" s="944">
        <v>0</v>
      </c>
    </row>
    <row r="349" spans="1:3" x14ac:dyDescent="0.35">
      <c r="B349" t="s">
        <v>1741</v>
      </c>
      <c r="C349" s="944">
        <v>10130900</v>
      </c>
    </row>
    <row r="350" spans="1:3" x14ac:dyDescent="0.35">
      <c r="A350" s="943" t="s">
        <v>1742</v>
      </c>
      <c r="B350" t="s">
        <v>1743</v>
      </c>
      <c r="C350" s="944"/>
    </row>
    <row r="351" spans="1:3" x14ac:dyDescent="0.35">
      <c r="A351" s="943" t="s">
        <v>1744</v>
      </c>
      <c r="B351" t="s">
        <v>1745</v>
      </c>
      <c r="C351" s="944">
        <v>0</v>
      </c>
    </row>
    <row r="352" spans="1:3" x14ac:dyDescent="0.35">
      <c r="A352" s="943" t="s">
        <v>1746</v>
      </c>
      <c r="B352" t="s">
        <v>1747</v>
      </c>
      <c r="C352" s="944">
        <v>0</v>
      </c>
    </row>
    <row r="353" spans="1:5" x14ac:dyDescent="0.35">
      <c r="A353" s="943" t="s">
        <v>1748</v>
      </c>
      <c r="B353" t="s">
        <v>1749</v>
      </c>
      <c r="C353" s="944">
        <v>0</v>
      </c>
    </row>
    <row r="354" spans="1:5" x14ac:dyDescent="0.35">
      <c r="A354" s="943" t="s">
        <v>1750</v>
      </c>
      <c r="B354" t="s">
        <v>1751</v>
      </c>
      <c r="C354" s="944">
        <v>0</v>
      </c>
    </row>
    <row r="355" spans="1:5" x14ac:dyDescent="0.35">
      <c r="A355" s="943" t="s">
        <v>1752</v>
      </c>
      <c r="B355" t="s">
        <v>1753</v>
      </c>
      <c r="C355" s="944">
        <v>0</v>
      </c>
    </row>
    <row r="356" spans="1:5" x14ac:dyDescent="0.35">
      <c r="B356" t="s">
        <v>1754</v>
      </c>
      <c r="C356" s="944">
        <v>0</v>
      </c>
    </row>
    <row r="357" spans="1:5" x14ac:dyDescent="0.35">
      <c r="A357" s="943" t="s">
        <v>1755</v>
      </c>
      <c r="B357" t="s">
        <v>1756</v>
      </c>
      <c r="C357" s="944"/>
    </row>
    <row r="358" spans="1:5" x14ac:dyDescent="0.35">
      <c r="A358" s="943" t="s">
        <v>1757</v>
      </c>
      <c r="B358" t="s">
        <v>771</v>
      </c>
      <c r="C358" s="944">
        <v>0</v>
      </c>
    </row>
    <row r="359" spans="1:5" x14ac:dyDescent="0.35">
      <c r="A359" s="943" t="s">
        <v>1758</v>
      </c>
      <c r="B359" t="s">
        <v>1759</v>
      </c>
      <c r="C359" s="944">
        <v>0</v>
      </c>
    </row>
    <row r="360" spans="1:5" x14ac:dyDescent="0.35">
      <c r="A360" s="943" t="s">
        <v>1760</v>
      </c>
      <c r="B360" t="s">
        <v>1761</v>
      </c>
      <c r="C360" s="944">
        <v>0</v>
      </c>
    </row>
    <row r="361" spans="1:5" x14ac:dyDescent="0.35">
      <c r="B361" t="s">
        <v>1762</v>
      </c>
      <c r="C361" s="944">
        <v>0</v>
      </c>
    </row>
    <row r="362" spans="1:5" x14ac:dyDescent="0.35">
      <c r="B362" t="s">
        <v>1117</v>
      </c>
      <c r="C362" s="944">
        <v>19195478284.990002</v>
      </c>
    </row>
    <row r="363" spans="1:5" x14ac:dyDescent="0.35">
      <c r="B363" t="s">
        <v>224</v>
      </c>
      <c r="C363" s="944">
        <v>23199625536.720001</v>
      </c>
      <c r="D363">
        <f>NRC!E36</f>
        <v>23708775317.250519</v>
      </c>
      <c r="E363" s="944">
        <f>C363-D363</f>
        <v>-509149780.53051758</v>
      </c>
    </row>
    <row r="365" spans="1:5" x14ac:dyDescent="0.35">
      <c r="A365" s="943" t="s">
        <v>1118</v>
      </c>
      <c r="B365" t="s">
        <v>1119</v>
      </c>
    </row>
    <row r="366" spans="1:5" x14ac:dyDescent="0.35">
      <c r="A366" s="943" t="s">
        <v>1120</v>
      </c>
      <c r="B366" t="s">
        <v>1121</v>
      </c>
    </row>
    <row r="367" spans="1:5" x14ac:dyDescent="0.35">
      <c r="A367" s="943" t="s">
        <v>1763</v>
      </c>
      <c r="B367" t="s">
        <v>1764</v>
      </c>
    </row>
    <row r="368" spans="1:5" x14ac:dyDescent="0.35">
      <c r="A368" s="943" t="s">
        <v>1765</v>
      </c>
      <c r="B368" t="s">
        <v>1766</v>
      </c>
      <c r="C368" s="944">
        <v>0</v>
      </c>
    </row>
    <row r="369" spans="1:3" x14ac:dyDescent="0.35">
      <c r="A369" s="943" t="s">
        <v>1767</v>
      </c>
      <c r="B369" t="s">
        <v>1768</v>
      </c>
      <c r="C369" s="944">
        <v>17764342</v>
      </c>
    </row>
    <row r="370" spans="1:3" x14ac:dyDescent="0.35">
      <c r="A370" s="943" t="s">
        <v>1769</v>
      </c>
      <c r="B370" t="s">
        <v>1770</v>
      </c>
      <c r="C370" s="944">
        <v>6055000</v>
      </c>
    </row>
    <row r="371" spans="1:3" x14ac:dyDescent="0.35">
      <c r="A371" s="943" t="s">
        <v>1771</v>
      </c>
      <c r="B371" t="s">
        <v>1772</v>
      </c>
      <c r="C371" s="944">
        <v>0</v>
      </c>
    </row>
    <row r="372" spans="1:3" x14ac:dyDescent="0.35">
      <c r="A372" s="943" t="s">
        <v>1773</v>
      </c>
      <c r="B372" t="s">
        <v>1774</v>
      </c>
      <c r="C372" s="944">
        <v>0</v>
      </c>
    </row>
    <row r="373" spans="1:3" x14ac:dyDescent="0.35">
      <c r="A373" s="943" t="s">
        <v>801</v>
      </c>
      <c r="B373" t="s">
        <v>1775</v>
      </c>
      <c r="C373" s="944">
        <v>0</v>
      </c>
    </row>
    <row r="374" spans="1:3" x14ac:dyDescent="0.35">
      <c r="A374" s="943" t="s">
        <v>1776</v>
      </c>
      <c r="B374" t="s">
        <v>1777</v>
      </c>
      <c r="C374" s="944">
        <v>0</v>
      </c>
    </row>
    <row r="375" spans="1:3" x14ac:dyDescent="0.35">
      <c r="A375" s="943" t="s">
        <v>825</v>
      </c>
      <c r="B375" t="s">
        <v>1778</v>
      </c>
      <c r="C375" s="944">
        <v>104048233</v>
      </c>
    </row>
    <row r="376" spans="1:3" x14ac:dyDescent="0.35">
      <c r="A376" s="943" t="s">
        <v>829</v>
      </c>
      <c r="B376" t="s">
        <v>1779</v>
      </c>
      <c r="C376" s="944">
        <v>0</v>
      </c>
    </row>
    <row r="377" spans="1:3" x14ac:dyDescent="0.35">
      <c r="A377" s="943" t="s">
        <v>833</v>
      </c>
      <c r="B377" t="s">
        <v>1780</v>
      </c>
      <c r="C377" s="944">
        <v>0</v>
      </c>
    </row>
    <row r="378" spans="1:3" x14ac:dyDescent="0.35">
      <c r="A378" s="943" t="s">
        <v>837</v>
      </c>
      <c r="B378" t="s">
        <v>1781</v>
      </c>
      <c r="C378" s="944">
        <v>0</v>
      </c>
    </row>
    <row r="379" spans="1:3" x14ac:dyDescent="0.35">
      <c r="A379" s="943" t="s">
        <v>839</v>
      </c>
      <c r="B379" t="s">
        <v>1782</v>
      </c>
      <c r="C379" s="944">
        <v>0</v>
      </c>
    </row>
    <row r="380" spans="1:3" x14ac:dyDescent="0.35">
      <c r="A380" s="943" t="s">
        <v>840</v>
      </c>
      <c r="B380" t="s">
        <v>1783</v>
      </c>
      <c r="C380" s="944">
        <v>0</v>
      </c>
    </row>
    <row r="381" spans="1:3" x14ac:dyDescent="0.35">
      <c r="A381" s="943" t="s">
        <v>841</v>
      </c>
      <c r="B381" t="s">
        <v>1784</v>
      </c>
      <c r="C381" s="944">
        <v>0</v>
      </c>
    </row>
    <row r="382" spans="1:3" x14ac:dyDescent="0.35">
      <c r="A382" s="943" t="s">
        <v>1785</v>
      </c>
      <c r="B382" t="s">
        <v>1786</v>
      </c>
      <c r="C382" s="944">
        <v>0</v>
      </c>
    </row>
    <row r="383" spans="1:3" x14ac:dyDescent="0.35">
      <c r="A383" s="943" t="s">
        <v>1787</v>
      </c>
      <c r="B383" t="s">
        <v>1788</v>
      </c>
      <c r="C383" s="944">
        <v>0</v>
      </c>
    </row>
    <row r="384" spans="1:3" x14ac:dyDescent="0.35">
      <c r="A384" s="943" t="s">
        <v>1789</v>
      </c>
      <c r="B384" t="s">
        <v>1790</v>
      </c>
      <c r="C384" s="944">
        <v>0</v>
      </c>
    </row>
    <row r="385" spans="1:3" x14ac:dyDescent="0.35">
      <c r="A385" s="943" t="s">
        <v>1791</v>
      </c>
      <c r="B385" t="s">
        <v>1792</v>
      </c>
      <c r="C385" s="944">
        <v>0</v>
      </c>
    </row>
    <row r="386" spans="1:3" x14ac:dyDescent="0.35">
      <c r="A386" s="943" t="s">
        <v>1793</v>
      </c>
      <c r="B386" t="s">
        <v>1794</v>
      </c>
      <c r="C386" s="944">
        <v>0</v>
      </c>
    </row>
    <row r="387" spans="1:3" x14ac:dyDescent="0.35">
      <c r="A387" s="943" t="s">
        <v>1795</v>
      </c>
      <c r="B387" t="s">
        <v>1796</v>
      </c>
      <c r="C387" s="944">
        <v>0</v>
      </c>
    </row>
    <row r="388" spans="1:3" x14ac:dyDescent="0.35">
      <c r="A388" s="943" t="s">
        <v>1797</v>
      </c>
      <c r="B388" t="s">
        <v>1798</v>
      </c>
      <c r="C388" s="944">
        <v>0</v>
      </c>
    </row>
    <row r="389" spans="1:3" x14ac:dyDescent="0.35">
      <c r="A389" s="943" t="s">
        <v>1799</v>
      </c>
      <c r="B389" t="s">
        <v>1800</v>
      </c>
      <c r="C389" s="944">
        <v>0</v>
      </c>
    </row>
    <row r="390" spans="1:3" x14ac:dyDescent="0.35">
      <c r="A390" s="943" t="s">
        <v>1801</v>
      </c>
      <c r="B390" t="s">
        <v>1802</v>
      </c>
      <c r="C390" s="944">
        <v>0</v>
      </c>
    </row>
    <row r="391" spans="1:3" x14ac:dyDescent="0.35">
      <c r="A391" s="943" t="s">
        <v>1803</v>
      </c>
      <c r="B391" t="s">
        <v>1804</v>
      </c>
      <c r="C391" s="944">
        <v>0</v>
      </c>
    </row>
    <row r="392" spans="1:3" x14ac:dyDescent="0.35">
      <c r="A392" s="943" t="s">
        <v>1805</v>
      </c>
      <c r="B392" t="s">
        <v>1806</v>
      </c>
      <c r="C392" s="944">
        <v>0</v>
      </c>
    </row>
    <row r="393" spans="1:3" x14ac:dyDescent="0.35">
      <c r="A393" s="943" t="s">
        <v>1807</v>
      </c>
      <c r="B393" t="s">
        <v>1808</v>
      </c>
      <c r="C393" s="944">
        <v>0</v>
      </c>
    </row>
    <row r="394" spans="1:3" x14ac:dyDescent="0.35">
      <c r="A394" s="943" t="s">
        <v>1809</v>
      </c>
      <c r="B394" t="s">
        <v>1810</v>
      </c>
      <c r="C394" s="944">
        <v>0</v>
      </c>
    </row>
    <row r="395" spans="1:3" x14ac:dyDescent="0.35">
      <c r="A395" s="943" t="s">
        <v>1811</v>
      </c>
      <c r="B395" t="s">
        <v>1812</v>
      </c>
      <c r="C395" s="944">
        <v>0</v>
      </c>
    </row>
    <row r="396" spans="1:3" x14ac:dyDescent="0.35">
      <c r="A396" s="943" t="s">
        <v>1813</v>
      </c>
      <c r="B396" t="s">
        <v>1814</v>
      </c>
      <c r="C396" s="944">
        <v>0</v>
      </c>
    </row>
    <row r="397" spans="1:3" x14ac:dyDescent="0.35">
      <c r="A397" s="943" t="s">
        <v>1815</v>
      </c>
      <c r="B397" t="s">
        <v>1816</v>
      </c>
      <c r="C397" s="944">
        <v>0</v>
      </c>
    </row>
    <row r="398" spans="1:3" x14ac:dyDescent="0.35">
      <c r="A398" s="943" t="s">
        <v>1817</v>
      </c>
      <c r="B398" t="s">
        <v>1818</v>
      </c>
      <c r="C398" s="944">
        <v>0</v>
      </c>
    </row>
    <row r="399" spans="1:3" x14ac:dyDescent="0.35">
      <c r="A399" s="943" t="s">
        <v>1819</v>
      </c>
      <c r="B399" t="s">
        <v>1820</v>
      </c>
      <c r="C399" s="944">
        <v>0</v>
      </c>
    </row>
    <row r="400" spans="1:3" x14ac:dyDescent="0.35">
      <c r="A400" s="943" t="s">
        <v>1821</v>
      </c>
      <c r="B400" t="s">
        <v>1822</v>
      </c>
      <c r="C400" s="944">
        <v>0</v>
      </c>
    </row>
    <row r="401" spans="1:5" x14ac:dyDescent="0.35">
      <c r="A401" s="943" t="s">
        <v>1823</v>
      </c>
      <c r="B401" t="s">
        <v>1824</v>
      </c>
      <c r="C401" s="944">
        <v>0</v>
      </c>
    </row>
    <row r="402" spans="1:5" x14ac:dyDescent="0.35">
      <c r="A402" s="943" t="s">
        <v>1825</v>
      </c>
      <c r="B402" t="s">
        <v>1826</v>
      </c>
      <c r="C402" s="944">
        <v>0</v>
      </c>
    </row>
    <row r="403" spans="1:5" x14ac:dyDescent="0.35">
      <c r="A403" s="943" t="s">
        <v>1827</v>
      </c>
      <c r="B403" t="s">
        <v>1828</v>
      </c>
      <c r="C403" s="944">
        <v>0</v>
      </c>
    </row>
    <row r="404" spans="1:5" x14ac:dyDescent="0.35">
      <c r="A404" s="943" t="s">
        <v>1829</v>
      </c>
      <c r="B404" t="s">
        <v>1830</v>
      </c>
      <c r="C404" s="944">
        <v>0</v>
      </c>
    </row>
    <row r="405" spans="1:5" x14ac:dyDescent="0.35">
      <c r="B405" t="s">
        <v>1831</v>
      </c>
      <c r="C405" s="944">
        <v>127867575</v>
      </c>
    </row>
    <row r="406" spans="1:5" x14ac:dyDescent="0.35">
      <c r="A406" s="943" t="s">
        <v>1122</v>
      </c>
      <c r="B406" t="s">
        <v>1123</v>
      </c>
    </row>
    <row r="407" spans="1:5" x14ac:dyDescent="0.35">
      <c r="A407" s="943" t="s">
        <v>1832</v>
      </c>
      <c r="B407" t="s">
        <v>1833</v>
      </c>
      <c r="C407" s="944">
        <v>0</v>
      </c>
    </row>
    <row r="408" spans="1:5" x14ac:dyDescent="0.35">
      <c r="A408" s="943" t="s">
        <v>1124</v>
      </c>
      <c r="B408" t="s">
        <v>1061</v>
      </c>
      <c r="C408" s="1682">
        <v>85600</v>
      </c>
      <c r="E408" s="1682">
        <f>C408-C18</f>
        <v>0</v>
      </c>
    </row>
    <row r="409" spans="1:5" x14ac:dyDescent="0.35">
      <c r="A409" s="943" t="s">
        <v>1125</v>
      </c>
      <c r="B409" t="s">
        <v>1126</v>
      </c>
      <c r="C409" s="1682">
        <v>106402000</v>
      </c>
      <c r="E409" s="944">
        <f>C409-[29]CP!$CB$491</f>
        <v>-75712000</v>
      </c>
    </row>
    <row r="410" spans="1:5" x14ac:dyDescent="0.35">
      <c r="A410" s="943" t="s">
        <v>1834</v>
      </c>
      <c r="B410" t="s">
        <v>7638</v>
      </c>
      <c r="C410" s="1682">
        <v>191882900</v>
      </c>
      <c r="E410" s="944">
        <f>C410-[30]TABUNGAN!$E$38</f>
        <v>80239400</v>
      </c>
    </row>
    <row r="411" spans="1:5" x14ac:dyDescent="0.35">
      <c r="A411" s="943" t="s">
        <v>1835</v>
      </c>
      <c r="B411" t="s">
        <v>1836</v>
      </c>
      <c r="C411" s="1682">
        <v>0</v>
      </c>
    </row>
    <row r="412" spans="1:5" x14ac:dyDescent="0.35">
      <c r="A412" s="943" t="s">
        <v>1837</v>
      </c>
      <c r="B412" t="s">
        <v>7373</v>
      </c>
      <c r="C412" s="1682">
        <v>0</v>
      </c>
    </row>
    <row r="413" spans="1:5" x14ac:dyDescent="0.35">
      <c r="A413" s="943" t="s">
        <v>1838</v>
      </c>
      <c r="B413" t="s">
        <v>1841</v>
      </c>
      <c r="C413" s="1682">
        <v>0</v>
      </c>
    </row>
    <row r="414" spans="1:5" x14ac:dyDescent="0.35">
      <c r="A414" s="943" t="s">
        <v>1840</v>
      </c>
      <c r="B414" t="s">
        <v>1843</v>
      </c>
      <c r="C414" s="1682">
        <v>0</v>
      </c>
    </row>
    <row r="415" spans="1:5" x14ac:dyDescent="0.35">
      <c r="A415" s="943" t="s">
        <v>1842</v>
      </c>
      <c r="B415" t="s">
        <v>1845</v>
      </c>
      <c r="C415" s="1682">
        <v>0</v>
      </c>
    </row>
    <row r="416" spans="1:5" x14ac:dyDescent="0.35">
      <c r="A416" s="943" t="s">
        <v>1844</v>
      </c>
      <c r="B416" t="s">
        <v>8147</v>
      </c>
      <c r="C416" s="1682">
        <v>72570000</v>
      </c>
    </row>
    <row r="417" spans="1:5" x14ac:dyDescent="0.35">
      <c r="A417" s="943" t="s">
        <v>1846</v>
      </c>
      <c r="B417" t="s">
        <v>1847</v>
      </c>
      <c r="C417" s="1682">
        <v>0</v>
      </c>
    </row>
    <row r="418" spans="1:5" x14ac:dyDescent="0.35">
      <c r="A418" s="943" t="s">
        <v>1848</v>
      </c>
      <c r="B418" t="s">
        <v>1849</v>
      </c>
      <c r="C418" s="1682">
        <v>0</v>
      </c>
    </row>
    <row r="419" spans="1:5" x14ac:dyDescent="0.35">
      <c r="A419" s="943" t="s">
        <v>1850</v>
      </c>
      <c r="B419" t="s">
        <v>1851</v>
      </c>
      <c r="C419" s="1682">
        <v>0</v>
      </c>
    </row>
    <row r="420" spans="1:5" x14ac:dyDescent="0.35">
      <c r="A420" s="943" t="s">
        <v>1852</v>
      </c>
      <c r="B420" t="s">
        <v>1853</v>
      </c>
      <c r="C420" s="1682">
        <v>0</v>
      </c>
    </row>
    <row r="421" spans="1:5" x14ac:dyDescent="0.35">
      <c r="A421" s="943" t="s">
        <v>1854</v>
      </c>
      <c r="B421" t="s">
        <v>1855</v>
      </c>
      <c r="C421" s="1682">
        <v>0</v>
      </c>
    </row>
    <row r="422" spans="1:5" x14ac:dyDescent="0.35">
      <c r="A422" s="943" t="s">
        <v>1856</v>
      </c>
      <c r="B422" t="s">
        <v>1857</v>
      </c>
      <c r="C422" s="944">
        <v>0</v>
      </c>
    </row>
    <row r="423" spans="1:5" x14ac:dyDescent="0.35">
      <c r="A423" s="943" t="s">
        <v>1858</v>
      </c>
      <c r="B423" t="s">
        <v>1859</v>
      </c>
      <c r="C423" s="944">
        <v>760400000</v>
      </c>
      <c r="E423" s="944">
        <f>C423-'[31]Rekap. Pembayaran'!$L$174</f>
        <v>266000000</v>
      </c>
    </row>
    <row r="424" spans="1:5" x14ac:dyDescent="0.35">
      <c r="A424" s="943" t="s">
        <v>1860</v>
      </c>
      <c r="B424" t="s">
        <v>1861</v>
      </c>
      <c r="C424" s="944">
        <v>0</v>
      </c>
    </row>
    <row r="425" spans="1:5" x14ac:dyDescent="0.35">
      <c r="A425" s="943" t="s">
        <v>1862</v>
      </c>
      <c r="B425" t="s">
        <v>1863</v>
      </c>
      <c r="C425" s="944">
        <v>0</v>
      </c>
    </row>
    <row r="426" spans="1:5" x14ac:dyDescent="0.35">
      <c r="A426" s="943" t="s">
        <v>1864</v>
      </c>
      <c r="B426" t="s">
        <v>1865</v>
      </c>
      <c r="C426" s="944">
        <v>0</v>
      </c>
    </row>
    <row r="427" spans="1:5" x14ac:dyDescent="0.35">
      <c r="A427" s="943" t="s">
        <v>1866</v>
      </c>
      <c r="B427" t="s">
        <v>1867</v>
      </c>
      <c r="C427" s="944">
        <v>0</v>
      </c>
    </row>
    <row r="428" spans="1:5" x14ac:dyDescent="0.35">
      <c r="A428" s="943" t="s">
        <v>1868</v>
      </c>
      <c r="B428" t="s">
        <v>1869</v>
      </c>
      <c r="C428" s="944">
        <v>7200000</v>
      </c>
    </row>
    <row r="429" spans="1:5" x14ac:dyDescent="0.35">
      <c r="A429" s="943" t="s">
        <v>1870</v>
      </c>
      <c r="B429" t="s">
        <v>1871</v>
      </c>
      <c r="C429" s="944">
        <v>0</v>
      </c>
    </row>
    <row r="430" spans="1:5" x14ac:dyDescent="0.35">
      <c r="A430" s="943" t="s">
        <v>1872</v>
      </c>
      <c r="B430" t="s">
        <v>1873</v>
      </c>
      <c r="C430" s="944">
        <v>0</v>
      </c>
    </row>
    <row r="431" spans="1:5" x14ac:dyDescent="0.35">
      <c r="A431" s="943" t="s">
        <v>1874</v>
      </c>
      <c r="B431" t="s">
        <v>1875</v>
      </c>
      <c r="C431" s="944">
        <v>0</v>
      </c>
    </row>
    <row r="432" spans="1:5" x14ac:dyDescent="0.35">
      <c r="A432" s="943" t="s">
        <v>1876</v>
      </c>
      <c r="B432" t="s">
        <v>1877</v>
      </c>
      <c r="C432" s="944">
        <v>0</v>
      </c>
    </row>
    <row r="433" spans="1:5" x14ac:dyDescent="0.35">
      <c r="A433" s="943" t="s">
        <v>1878</v>
      </c>
      <c r="B433" t="s">
        <v>1879</v>
      </c>
      <c r="C433" s="944">
        <v>0</v>
      </c>
    </row>
    <row r="434" spans="1:5" x14ac:dyDescent="0.35">
      <c r="A434" s="943" t="s">
        <v>1127</v>
      </c>
      <c r="B434" t="s">
        <v>7186</v>
      </c>
      <c r="C434" s="944">
        <v>0</v>
      </c>
    </row>
    <row r="435" spans="1:5" x14ac:dyDescent="0.35">
      <c r="A435" s="943" t="s">
        <v>1880</v>
      </c>
      <c r="B435" t="s">
        <v>1881</v>
      </c>
      <c r="C435" s="944">
        <v>0</v>
      </c>
    </row>
    <row r="436" spans="1:5" x14ac:dyDescent="0.35">
      <c r="A436" s="943" t="s">
        <v>1882</v>
      </c>
      <c r="B436" t="s">
        <v>1883</v>
      </c>
      <c r="C436" s="944">
        <v>0</v>
      </c>
    </row>
    <row r="437" spans="1:5" x14ac:dyDescent="0.35">
      <c r="A437" s="943" t="s">
        <v>1884</v>
      </c>
      <c r="B437" t="s">
        <v>1885</v>
      </c>
      <c r="C437" s="944">
        <v>0</v>
      </c>
    </row>
    <row r="438" spans="1:5" x14ac:dyDescent="0.35">
      <c r="A438" s="943" t="s">
        <v>1128</v>
      </c>
      <c r="B438" t="s">
        <v>7187</v>
      </c>
      <c r="C438" s="944">
        <v>0</v>
      </c>
    </row>
    <row r="439" spans="1:5" x14ac:dyDescent="0.35">
      <c r="A439" s="943" t="s">
        <v>1129</v>
      </c>
      <c r="B439" t="s">
        <v>1130</v>
      </c>
      <c r="C439" s="944">
        <v>0</v>
      </c>
    </row>
    <row r="440" spans="1:5" x14ac:dyDescent="0.35">
      <c r="A440" s="943" t="s">
        <v>1886</v>
      </c>
      <c r="B440" t="s">
        <v>1887</v>
      </c>
      <c r="C440" s="944">
        <v>0</v>
      </c>
    </row>
    <row r="441" spans="1:5" x14ac:dyDescent="0.35">
      <c r="A441" s="943" t="s">
        <v>1888</v>
      </c>
      <c r="B441" t="s">
        <v>1889</v>
      </c>
      <c r="C441" s="944">
        <v>0</v>
      </c>
    </row>
    <row r="442" spans="1:5" x14ac:dyDescent="0.35">
      <c r="A442" s="943" t="s">
        <v>1131</v>
      </c>
      <c r="B442" t="s">
        <v>1132</v>
      </c>
      <c r="C442" s="1682">
        <v>1300000</v>
      </c>
    </row>
    <row r="443" spans="1:5" x14ac:dyDescent="0.35">
      <c r="A443" s="943" t="s">
        <v>1890</v>
      </c>
      <c r="B443" t="s">
        <v>1891</v>
      </c>
      <c r="C443" s="1682">
        <v>150000</v>
      </c>
    </row>
    <row r="444" spans="1:5" x14ac:dyDescent="0.35">
      <c r="A444" s="943" t="s">
        <v>1892</v>
      </c>
      <c r="B444" t="s">
        <v>1893</v>
      </c>
      <c r="C444" s="944">
        <v>0</v>
      </c>
    </row>
    <row r="445" spans="1:5" x14ac:dyDescent="0.35">
      <c r="A445" s="943" t="s">
        <v>1894</v>
      </c>
      <c r="B445" t="s">
        <v>1895</v>
      </c>
      <c r="C445" s="944">
        <v>0</v>
      </c>
    </row>
    <row r="446" spans="1:5" x14ac:dyDescent="0.35">
      <c r="A446" s="943" t="s">
        <v>1133</v>
      </c>
      <c r="B446" t="s">
        <v>1134</v>
      </c>
      <c r="C446" s="944">
        <v>0</v>
      </c>
    </row>
    <row r="447" spans="1:5" x14ac:dyDescent="0.35">
      <c r="A447" s="943" t="s">
        <v>1896</v>
      </c>
      <c r="B447" t="s">
        <v>7189</v>
      </c>
      <c r="C447" s="944">
        <v>61760328</v>
      </c>
      <c r="E447" s="944">
        <f>C447-C29</f>
        <v>0</v>
      </c>
    </row>
    <row r="448" spans="1:5" x14ac:dyDescent="0.35">
      <c r="A448" s="943" t="s">
        <v>1135</v>
      </c>
      <c r="B448" t="s">
        <v>7190</v>
      </c>
      <c r="C448" s="944">
        <v>0</v>
      </c>
    </row>
    <row r="449" spans="1:3" x14ac:dyDescent="0.35">
      <c r="A449" s="943" t="s">
        <v>1897</v>
      </c>
      <c r="B449" t="s">
        <v>1898</v>
      </c>
      <c r="C449" s="944">
        <v>0</v>
      </c>
    </row>
    <row r="450" spans="1:3" x14ac:dyDescent="0.35">
      <c r="A450" s="943" t="s">
        <v>1899</v>
      </c>
      <c r="B450" t="s">
        <v>1900</v>
      </c>
      <c r="C450" s="944">
        <v>0</v>
      </c>
    </row>
    <row r="451" spans="1:3" x14ac:dyDescent="0.35">
      <c r="A451" s="943" t="s">
        <v>1901</v>
      </c>
      <c r="B451" t="s">
        <v>1902</v>
      </c>
      <c r="C451" s="944">
        <v>0</v>
      </c>
    </row>
    <row r="452" spans="1:3" x14ac:dyDescent="0.35">
      <c r="A452" s="943" t="s">
        <v>1903</v>
      </c>
      <c r="B452" t="s">
        <v>1904</v>
      </c>
      <c r="C452" s="944">
        <v>0</v>
      </c>
    </row>
    <row r="453" spans="1:3" x14ac:dyDescent="0.35">
      <c r="A453" s="943" t="s">
        <v>1905</v>
      </c>
      <c r="B453" t="s">
        <v>1906</v>
      </c>
      <c r="C453" s="944">
        <v>0</v>
      </c>
    </row>
    <row r="454" spans="1:3" x14ac:dyDescent="0.35">
      <c r="B454" t="s">
        <v>1136</v>
      </c>
      <c r="C454" s="944">
        <v>1201750828</v>
      </c>
    </row>
    <row r="455" spans="1:3" x14ac:dyDescent="0.35">
      <c r="A455" s="943" t="s">
        <v>1907</v>
      </c>
      <c r="B455" t="s">
        <v>1908</v>
      </c>
    </row>
    <row r="456" spans="1:3" x14ac:dyDescent="0.35">
      <c r="A456" s="943" t="s">
        <v>1909</v>
      </c>
      <c r="B456" t="s">
        <v>1910</v>
      </c>
      <c r="C456" s="944">
        <v>0</v>
      </c>
    </row>
    <row r="457" spans="1:3" x14ac:dyDescent="0.35">
      <c r="A457" s="943" t="s">
        <v>1911</v>
      </c>
      <c r="B457" t="s">
        <v>1912</v>
      </c>
      <c r="C457" s="944">
        <v>246688431.33000001</v>
      </c>
    </row>
    <row r="458" spans="1:3" x14ac:dyDescent="0.35">
      <c r="A458" s="943" t="s">
        <v>1913</v>
      </c>
      <c r="B458" t="s">
        <v>1914</v>
      </c>
      <c r="C458" s="944">
        <v>0</v>
      </c>
    </row>
    <row r="459" spans="1:3" x14ac:dyDescent="0.35">
      <c r="A459" s="943" t="s">
        <v>1915</v>
      </c>
      <c r="B459" t="s">
        <v>1916</v>
      </c>
      <c r="C459" s="944">
        <v>0</v>
      </c>
    </row>
    <row r="460" spans="1:3" x14ac:dyDescent="0.35">
      <c r="A460" s="943" t="s">
        <v>1917</v>
      </c>
      <c r="B460" t="s">
        <v>1918</v>
      </c>
      <c r="C460" s="944">
        <v>0</v>
      </c>
    </row>
    <row r="461" spans="1:3" x14ac:dyDescent="0.35">
      <c r="A461" s="943" t="s">
        <v>1919</v>
      </c>
      <c r="B461" t="s">
        <v>1920</v>
      </c>
      <c r="C461" s="944">
        <v>0</v>
      </c>
    </row>
    <row r="462" spans="1:3" x14ac:dyDescent="0.35">
      <c r="A462" s="943" t="s">
        <v>1921</v>
      </c>
      <c r="B462" t="s">
        <v>1922</v>
      </c>
      <c r="C462" s="944">
        <v>0</v>
      </c>
    </row>
    <row r="463" spans="1:3" x14ac:dyDescent="0.35">
      <c r="A463" s="943" t="s">
        <v>1923</v>
      </c>
      <c r="B463" t="s">
        <v>1924</v>
      </c>
      <c r="C463" s="944">
        <v>0</v>
      </c>
    </row>
    <row r="464" spans="1:3" x14ac:dyDescent="0.35">
      <c r="A464" s="943" t="s">
        <v>1925</v>
      </c>
      <c r="B464" t="s">
        <v>1926</v>
      </c>
      <c r="C464" s="944">
        <v>0</v>
      </c>
    </row>
    <row r="465" spans="1:3" x14ac:dyDescent="0.35">
      <c r="A465" s="943" t="s">
        <v>1927</v>
      </c>
      <c r="B465" t="s">
        <v>1928</v>
      </c>
      <c r="C465" s="944">
        <v>0</v>
      </c>
    </row>
    <row r="466" spans="1:3" x14ac:dyDescent="0.35">
      <c r="A466" s="943" t="s">
        <v>1929</v>
      </c>
      <c r="B466" t="s">
        <v>1930</v>
      </c>
      <c r="C466" s="944">
        <v>0</v>
      </c>
    </row>
    <row r="467" spans="1:3" x14ac:dyDescent="0.35">
      <c r="A467" s="943" t="s">
        <v>1931</v>
      </c>
      <c r="B467" t="s">
        <v>1932</v>
      </c>
      <c r="C467" s="944">
        <v>0</v>
      </c>
    </row>
    <row r="468" spans="1:3" x14ac:dyDescent="0.35">
      <c r="A468" s="943" t="s">
        <v>1933</v>
      </c>
      <c r="B468" t="s">
        <v>1934</v>
      </c>
      <c r="C468" s="944">
        <v>0</v>
      </c>
    </row>
    <row r="469" spans="1:3" x14ac:dyDescent="0.35">
      <c r="A469" s="943" t="s">
        <v>1935</v>
      </c>
      <c r="B469" t="s">
        <v>1936</v>
      </c>
      <c r="C469" s="944">
        <v>0</v>
      </c>
    </row>
    <row r="470" spans="1:3" x14ac:dyDescent="0.35">
      <c r="A470" s="943" t="s">
        <v>1937</v>
      </c>
      <c r="B470" t="s">
        <v>1938</v>
      </c>
      <c r="C470" s="944">
        <v>0</v>
      </c>
    </row>
    <row r="471" spans="1:3" x14ac:dyDescent="0.35">
      <c r="A471" s="943" t="s">
        <v>1939</v>
      </c>
      <c r="B471" t="s">
        <v>1940</v>
      </c>
      <c r="C471" s="944">
        <v>0</v>
      </c>
    </row>
    <row r="472" spans="1:3" x14ac:dyDescent="0.35">
      <c r="A472" s="943" t="s">
        <v>1941</v>
      </c>
      <c r="B472" t="s">
        <v>1942</v>
      </c>
      <c r="C472" s="944">
        <v>370022227</v>
      </c>
    </row>
    <row r="473" spans="1:3" x14ac:dyDescent="0.35">
      <c r="A473" s="943" t="s">
        <v>1943</v>
      </c>
      <c r="B473" t="s">
        <v>1944</v>
      </c>
      <c r="C473" s="944">
        <v>0</v>
      </c>
    </row>
    <row r="474" spans="1:3" x14ac:dyDescent="0.35">
      <c r="A474" s="943" t="s">
        <v>1945</v>
      </c>
      <c r="B474" t="s">
        <v>1946</v>
      </c>
      <c r="C474" s="944">
        <v>0</v>
      </c>
    </row>
    <row r="475" spans="1:3" x14ac:dyDescent="0.35">
      <c r="A475" s="943" t="s">
        <v>1947</v>
      </c>
      <c r="B475" t="s">
        <v>1948</v>
      </c>
      <c r="C475" s="944">
        <v>0</v>
      </c>
    </row>
    <row r="476" spans="1:3" x14ac:dyDescent="0.35">
      <c r="A476" s="943" t="s">
        <v>1949</v>
      </c>
      <c r="B476" t="s">
        <v>1950</v>
      </c>
      <c r="C476" s="944">
        <v>0</v>
      </c>
    </row>
    <row r="477" spans="1:3" x14ac:dyDescent="0.35">
      <c r="A477" s="943" t="s">
        <v>1951</v>
      </c>
      <c r="B477" t="s">
        <v>1952</v>
      </c>
      <c r="C477" s="944">
        <v>0</v>
      </c>
    </row>
    <row r="478" spans="1:3" x14ac:dyDescent="0.35">
      <c r="B478" t="s">
        <v>1953</v>
      </c>
      <c r="C478" s="944">
        <v>616710658.33000004</v>
      </c>
    </row>
    <row r="479" spans="1:3" x14ac:dyDescent="0.35">
      <c r="A479" s="943" t="s">
        <v>1954</v>
      </c>
      <c r="B479" t="s">
        <v>1955</v>
      </c>
    </row>
    <row r="480" spans="1:3" x14ac:dyDescent="0.35">
      <c r="A480" s="943" t="s">
        <v>1956</v>
      </c>
      <c r="B480" t="s">
        <v>1957</v>
      </c>
      <c r="C480" s="944">
        <v>0</v>
      </c>
    </row>
    <row r="481" spans="1:3" x14ac:dyDescent="0.35">
      <c r="A481" s="943" t="s">
        <v>1958</v>
      </c>
      <c r="B481" t="s">
        <v>1959</v>
      </c>
      <c r="C481" s="944">
        <v>0</v>
      </c>
    </row>
    <row r="482" spans="1:3" x14ac:dyDescent="0.35">
      <c r="A482" s="943" t="s">
        <v>1960</v>
      </c>
      <c r="B482" t="s">
        <v>1961</v>
      </c>
      <c r="C482" s="944">
        <v>0</v>
      </c>
    </row>
    <row r="483" spans="1:3" x14ac:dyDescent="0.35">
      <c r="A483" s="943" t="s">
        <v>1962</v>
      </c>
      <c r="B483" t="s">
        <v>1963</v>
      </c>
      <c r="C483" s="944">
        <v>0</v>
      </c>
    </row>
    <row r="484" spans="1:3" x14ac:dyDescent="0.35">
      <c r="B484" t="s">
        <v>1964</v>
      </c>
      <c r="C484" s="944">
        <v>0</v>
      </c>
    </row>
    <row r="485" spans="1:3" x14ac:dyDescent="0.35">
      <c r="A485" s="943" t="s">
        <v>1965</v>
      </c>
      <c r="B485" t="s">
        <v>1966</v>
      </c>
    </row>
    <row r="486" spans="1:3" x14ac:dyDescent="0.35">
      <c r="A486" s="943" t="s">
        <v>1967</v>
      </c>
      <c r="B486" t="s">
        <v>1968</v>
      </c>
      <c r="C486" s="944">
        <v>0</v>
      </c>
    </row>
    <row r="487" spans="1:3" x14ac:dyDescent="0.35">
      <c r="A487" s="943" t="s">
        <v>1969</v>
      </c>
      <c r="B487" t="s">
        <v>1970</v>
      </c>
      <c r="C487" s="944">
        <v>0</v>
      </c>
    </row>
    <row r="488" spans="1:3" x14ac:dyDescent="0.35">
      <c r="A488" s="943" t="s">
        <v>1971</v>
      </c>
      <c r="B488" t="s">
        <v>1972</v>
      </c>
      <c r="C488" s="944">
        <v>0</v>
      </c>
    </row>
    <row r="489" spans="1:3" x14ac:dyDescent="0.35">
      <c r="A489" s="943" t="s">
        <v>1973</v>
      </c>
      <c r="B489" t="s">
        <v>1974</v>
      </c>
      <c r="C489" s="944">
        <v>0</v>
      </c>
    </row>
    <row r="490" spans="1:3" x14ac:dyDescent="0.35">
      <c r="A490" s="943" t="s">
        <v>1975</v>
      </c>
      <c r="B490" t="s">
        <v>1976</v>
      </c>
      <c r="C490" s="944">
        <v>0</v>
      </c>
    </row>
    <row r="491" spans="1:3" x14ac:dyDescent="0.35">
      <c r="A491" s="943" t="s">
        <v>1977</v>
      </c>
      <c r="B491" t="s">
        <v>1978</v>
      </c>
      <c r="C491" s="944">
        <v>0</v>
      </c>
    </row>
    <row r="492" spans="1:3" x14ac:dyDescent="0.35">
      <c r="A492" s="943" t="s">
        <v>1979</v>
      </c>
      <c r="B492" t="s">
        <v>1980</v>
      </c>
      <c r="C492" s="944">
        <v>0</v>
      </c>
    </row>
    <row r="493" spans="1:3" x14ac:dyDescent="0.35">
      <c r="B493" t="s">
        <v>1981</v>
      </c>
      <c r="C493" s="944">
        <v>0</v>
      </c>
    </row>
    <row r="494" spans="1:3" x14ac:dyDescent="0.35">
      <c r="A494" s="943" t="s">
        <v>1982</v>
      </c>
      <c r="B494" t="s">
        <v>897</v>
      </c>
    </row>
    <row r="495" spans="1:3" x14ac:dyDescent="0.35">
      <c r="A495" s="943" t="s">
        <v>1983</v>
      </c>
      <c r="B495" t="s">
        <v>1984</v>
      </c>
      <c r="C495" s="944">
        <v>0</v>
      </c>
    </row>
    <row r="496" spans="1:3" x14ac:dyDescent="0.35">
      <c r="A496" s="943" t="s">
        <v>1985</v>
      </c>
      <c r="B496" t="s">
        <v>1986</v>
      </c>
      <c r="C496" s="944">
        <v>0</v>
      </c>
    </row>
    <row r="497" spans="1:5" x14ac:dyDescent="0.35">
      <c r="A497" s="943" t="s">
        <v>1987</v>
      </c>
      <c r="B497" t="s">
        <v>1988</v>
      </c>
      <c r="C497" s="944">
        <v>15600000</v>
      </c>
      <c r="E497" s="944">
        <f>C497-'[32]PSB GEL. 1'!$F$145</f>
        <v>3000000</v>
      </c>
    </row>
    <row r="498" spans="1:5" x14ac:dyDescent="0.35">
      <c r="A498" s="943" t="s">
        <v>1989</v>
      </c>
      <c r="B498" t="s">
        <v>1990</v>
      </c>
      <c r="C498" s="944">
        <v>0</v>
      </c>
    </row>
    <row r="499" spans="1:5" x14ac:dyDescent="0.35">
      <c r="A499" s="943" t="s">
        <v>1991</v>
      </c>
      <c r="B499" t="s">
        <v>1992</v>
      </c>
      <c r="C499" s="944">
        <v>0</v>
      </c>
    </row>
    <row r="500" spans="1:5" x14ac:dyDescent="0.35">
      <c r="B500" t="s">
        <v>1993</v>
      </c>
      <c r="C500" s="944">
        <v>15600000</v>
      </c>
    </row>
    <row r="501" spans="1:5" x14ac:dyDescent="0.35">
      <c r="A501" s="943" t="s">
        <v>1994</v>
      </c>
      <c r="B501" t="s">
        <v>1995</v>
      </c>
    </row>
    <row r="502" spans="1:5" x14ac:dyDescent="0.35">
      <c r="A502" s="943" t="s">
        <v>1996</v>
      </c>
      <c r="B502" t="s">
        <v>1997</v>
      </c>
      <c r="C502" s="944">
        <v>0</v>
      </c>
    </row>
    <row r="503" spans="1:5" x14ac:dyDescent="0.35">
      <c r="A503" s="943" t="s">
        <v>1998</v>
      </c>
      <c r="B503" t="s">
        <v>1999</v>
      </c>
      <c r="C503" s="944">
        <v>0</v>
      </c>
    </row>
    <row r="504" spans="1:5" x14ac:dyDescent="0.35">
      <c r="A504" s="943" t="s">
        <v>2000</v>
      </c>
      <c r="B504" t="s">
        <v>2001</v>
      </c>
      <c r="C504" s="944">
        <v>0</v>
      </c>
    </row>
    <row r="505" spans="1:5" x14ac:dyDescent="0.35">
      <c r="A505" s="943" t="s">
        <v>2002</v>
      </c>
      <c r="B505" t="s">
        <v>2003</v>
      </c>
      <c r="C505" s="944">
        <v>0</v>
      </c>
    </row>
    <row r="506" spans="1:5" x14ac:dyDescent="0.35">
      <c r="A506" s="943" t="s">
        <v>2004</v>
      </c>
      <c r="B506" t="s">
        <v>2005</v>
      </c>
      <c r="C506" s="944">
        <v>0</v>
      </c>
    </row>
    <row r="507" spans="1:5" x14ac:dyDescent="0.35">
      <c r="A507" s="943" t="s">
        <v>2006</v>
      </c>
      <c r="B507" t="s">
        <v>2007</v>
      </c>
      <c r="C507" s="944">
        <v>0</v>
      </c>
    </row>
    <row r="508" spans="1:5" x14ac:dyDescent="0.35">
      <c r="A508" s="943" t="s">
        <v>2008</v>
      </c>
      <c r="B508" t="s">
        <v>2009</v>
      </c>
      <c r="C508" s="944">
        <v>0</v>
      </c>
    </row>
    <row r="509" spans="1:5" x14ac:dyDescent="0.35">
      <c r="A509" s="943" t="s">
        <v>2010</v>
      </c>
      <c r="B509" t="s">
        <v>2011</v>
      </c>
      <c r="C509" s="944">
        <v>0</v>
      </c>
    </row>
    <row r="510" spans="1:5" x14ac:dyDescent="0.35">
      <c r="A510" s="943" t="s">
        <v>2012</v>
      </c>
      <c r="B510" t="s">
        <v>2013</v>
      </c>
      <c r="C510" s="944">
        <v>0</v>
      </c>
    </row>
    <row r="511" spans="1:5" x14ac:dyDescent="0.35">
      <c r="B511" t="s">
        <v>2014</v>
      </c>
      <c r="C511" s="944">
        <v>0</v>
      </c>
    </row>
    <row r="512" spans="1:5" x14ac:dyDescent="0.35">
      <c r="A512" s="943" t="s">
        <v>2015</v>
      </c>
      <c r="B512" t="s">
        <v>2016</v>
      </c>
    </row>
    <row r="513" spans="1:5" x14ac:dyDescent="0.35">
      <c r="A513" s="943" t="s">
        <v>2017</v>
      </c>
      <c r="B513" t="s">
        <v>2016</v>
      </c>
      <c r="C513" s="944">
        <v>0</v>
      </c>
    </row>
    <row r="514" spans="1:5" x14ac:dyDescent="0.35">
      <c r="B514" t="s">
        <v>2018</v>
      </c>
      <c r="C514" s="944">
        <v>0</v>
      </c>
    </row>
    <row r="515" spans="1:5" x14ac:dyDescent="0.35">
      <c r="B515" t="s">
        <v>1137</v>
      </c>
      <c r="C515" s="944">
        <v>1961929061.3299999</v>
      </c>
    </row>
    <row r="516" spans="1:5" x14ac:dyDescent="0.35">
      <c r="A516" s="943" t="s">
        <v>2019</v>
      </c>
      <c r="B516" t="s">
        <v>2020</v>
      </c>
    </row>
    <row r="517" spans="1:5" x14ac:dyDescent="0.35">
      <c r="A517" s="943" t="s">
        <v>2021</v>
      </c>
      <c r="B517" t="s">
        <v>2022</v>
      </c>
    </row>
    <row r="518" spans="1:5" x14ac:dyDescent="0.35">
      <c r="A518" s="943" t="s">
        <v>2023</v>
      </c>
      <c r="B518" s="2008" t="s">
        <v>2024</v>
      </c>
      <c r="C518" s="944">
        <v>0</v>
      </c>
    </row>
    <row r="519" spans="1:5" x14ac:dyDescent="0.35">
      <c r="A519" s="943" t="s">
        <v>2025</v>
      </c>
      <c r="B519" t="s">
        <v>2026</v>
      </c>
      <c r="C519" s="944">
        <v>0</v>
      </c>
    </row>
    <row r="520" spans="1:5" x14ac:dyDescent="0.35">
      <c r="A520" s="943" t="s">
        <v>2027</v>
      </c>
      <c r="B520" t="s">
        <v>2028</v>
      </c>
      <c r="C520" s="944">
        <v>0</v>
      </c>
    </row>
    <row r="521" spans="1:5" x14ac:dyDescent="0.35">
      <c r="A521" s="943" t="s">
        <v>2029</v>
      </c>
      <c r="B521" t="s">
        <v>2030</v>
      </c>
      <c r="C521" s="944">
        <v>0</v>
      </c>
    </row>
    <row r="522" spans="1:5" x14ac:dyDescent="0.35">
      <c r="A522" s="943" t="s">
        <v>2031</v>
      </c>
      <c r="B522" t="s">
        <v>2032</v>
      </c>
      <c r="C522" s="944">
        <v>0</v>
      </c>
    </row>
    <row r="523" spans="1:5" x14ac:dyDescent="0.35">
      <c r="A523" s="943" t="s">
        <v>2033</v>
      </c>
      <c r="B523" t="s">
        <v>2034</v>
      </c>
      <c r="C523" s="944">
        <v>0</v>
      </c>
    </row>
    <row r="524" spans="1:5" x14ac:dyDescent="0.35">
      <c r="A524" s="943" t="s">
        <v>2035</v>
      </c>
      <c r="B524" t="s">
        <v>2036</v>
      </c>
      <c r="C524" s="944">
        <v>0</v>
      </c>
    </row>
    <row r="525" spans="1:5" x14ac:dyDescent="0.35">
      <c r="B525" t="s">
        <v>2037</v>
      </c>
      <c r="C525" s="944">
        <v>0</v>
      </c>
    </row>
    <row r="526" spans="1:5" x14ac:dyDescent="0.35">
      <c r="B526" t="s">
        <v>2038</v>
      </c>
      <c r="C526" s="944">
        <v>0</v>
      </c>
    </row>
    <row r="527" spans="1:5" x14ac:dyDescent="0.35">
      <c r="B527" t="s">
        <v>1138</v>
      </c>
      <c r="C527" s="944">
        <v>1961929061.3299999</v>
      </c>
      <c r="D527">
        <f>NRC!E61</f>
        <v>1961929061.3299999</v>
      </c>
      <c r="E527" s="1682">
        <f>C527-D527</f>
        <v>0</v>
      </c>
    </row>
    <row r="529" spans="1:4" x14ac:dyDescent="0.35">
      <c r="B529" t="s">
        <v>268</v>
      </c>
      <c r="C529" s="944">
        <v>21237696475.389999</v>
      </c>
    </row>
    <row r="531" spans="1:4" x14ac:dyDescent="0.35">
      <c r="A531" s="943" t="s">
        <v>1139</v>
      </c>
      <c r="B531" t="s">
        <v>1140</v>
      </c>
    </row>
    <row r="532" spans="1:4" x14ac:dyDescent="0.35">
      <c r="A532" s="943" t="s">
        <v>1141</v>
      </c>
      <c r="B532" t="s">
        <v>1142</v>
      </c>
    </row>
    <row r="533" spans="1:4" x14ac:dyDescent="0.35">
      <c r="A533" s="943" t="s">
        <v>1143</v>
      </c>
      <c r="B533" t="s">
        <v>1144</v>
      </c>
    </row>
    <row r="534" spans="1:4" x14ac:dyDescent="0.35">
      <c r="A534" s="943" t="s">
        <v>2039</v>
      </c>
      <c r="B534" t="s">
        <v>2040</v>
      </c>
      <c r="C534" s="944">
        <v>0</v>
      </c>
    </row>
    <row r="535" spans="1:4" x14ac:dyDescent="0.35">
      <c r="A535" s="943" t="s">
        <v>2041</v>
      </c>
      <c r="B535" t="s">
        <v>2042</v>
      </c>
      <c r="C535" s="944">
        <v>1274465697.6300001</v>
      </c>
    </row>
    <row r="536" spans="1:4" x14ac:dyDescent="0.35">
      <c r="A536" s="943" t="s">
        <v>2043</v>
      </c>
      <c r="B536" t="s">
        <v>2044</v>
      </c>
      <c r="C536" s="944">
        <v>1274465698</v>
      </c>
    </row>
    <row r="537" spans="1:4" x14ac:dyDescent="0.35">
      <c r="A537" s="943" t="s">
        <v>2045</v>
      </c>
      <c r="B537" t="s">
        <v>2046</v>
      </c>
      <c r="C537" s="944">
        <v>1274465697</v>
      </c>
      <c r="D537" s="944">
        <f>D538-E538</f>
        <v>0</v>
      </c>
    </row>
    <row r="538" spans="1:4" x14ac:dyDescent="0.35">
      <c r="A538" s="943" t="s">
        <v>1145</v>
      </c>
      <c r="B538" t="s">
        <v>1146</v>
      </c>
      <c r="C538" s="944">
        <v>1438749776</v>
      </c>
      <c r="D538" s="944"/>
    </row>
    <row r="539" spans="1:4" x14ac:dyDescent="0.35">
      <c r="A539" s="943" t="s">
        <v>2047</v>
      </c>
      <c r="B539" t="s">
        <v>2048</v>
      </c>
      <c r="C539" s="944">
        <v>1993901012</v>
      </c>
    </row>
    <row r="540" spans="1:4" x14ac:dyDescent="0.35">
      <c r="A540" s="943" t="s">
        <v>2049</v>
      </c>
      <c r="B540" t="s">
        <v>2050</v>
      </c>
      <c r="C540" s="944">
        <v>4585634153.1099997</v>
      </c>
    </row>
    <row r="541" spans="1:4" x14ac:dyDescent="0.35">
      <c r="A541" s="943" t="s">
        <v>2051</v>
      </c>
      <c r="B541" t="s">
        <v>2052</v>
      </c>
      <c r="C541" s="944">
        <v>0</v>
      </c>
    </row>
    <row r="542" spans="1:4" x14ac:dyDescent="0.35">
      <c r="A542" s="943" t="s">
        <v>2053</v>
      </c>
      <c r="B542" t="s">
        <v>2054</v>
      </c>
      <c r="C542" s="944">
        <v>0</v>
      </c>
    </row>
    <row r="543" spans="1:4" x14ac:dyDescent="0.35">
      <c r="A543" s="943" t="s">
        <v>2055</v>
      </c>
      <c r="B543" t="s">
        <v>2056</v>
      </c>
      <c r="C543" s="944">
        <v>0</v>
      </c>
    </row>
    <row r="544" spans="1:4" x14ac:dyDescent="0.35">
      <c r="A544" s="943" t="s">
        <v>2057</v>
      </c>
      <c r="B544" t="s">
        <v>2058</v>
      </c>
      <c r="C544" s="944">
        <v>0</v>
      </c>
    </row>
    <row r="545" spans="1:6" x14ac:dyDescent="0.35">
      <c r="A545" s="943" t="s">
        <v>2059</v>
      </c>
      <c r="B545" t="s">
        <v>2060</v>
      </c>
      <c r="C545" s="944">
        <v>0</v>
      </c>
    </row>
    <row r="546" spans="1:6" x14ac:dyDescent="0.35">
      <c r="A546" s="943" t="s">
        <v>2061</v>
      </c>
      <c r="B546" t="s">
        <v>2062</v>
      </c>
      <c r="C546" s="944">
        <v>0</v>
      </c>
    </row>
    <row r="547" spans="1:6" x14ac:dyDescent="0.35">
      <c r="A547" s="943" t="s">
        <v>2063</v>
      </c>
      <c r="B547" t="s">
        <v>2064</v>
      </c>
      <c r="C547" s="944">
        <v>0</v>
      </c>
    </row>
    <row r="548" spans="1:6" x14ac:dyDescent="0.35">
      <c r="A548" s="943" t="s">
        <v>2065</v>
      </c>
      <c r="B548" t="s">
        <v>2066</v>
      </c>
      <c r="C548" s="944">
        <v>0</v>
      </c>
    </row>
    <row r="549" spans="1:6" x14ac:dyDescent="0.35">
      <c r="A549" s="943" t="s">
        <v>2067</v>
      </c>
      <c r="B549" t="s">
        <v>2068</v>
      </c>
      <c r="C549" s="944">
        <v>0</v>
      </c>
    </row>
    <row r="550" spans="1:6" x14ac:dyDescent="0.35">
      <c r="A550" s="943" t="s">
        <v>2069</v>
      </c>
      <c r="B550" t="s">
        <v>2070</v>
      </c>
      <c r="C550" s="944">
        <v>0</v>
      </c>
      <c r="F550" s="2898"/>
    </row>
    <row r="551" spans="1:6" x14ac:dyDescent="0.35">
      <c r="A551" s="943" t="s">
        <v>2071</v>
      </c>
      <c r="B551" t="s">
        <v>2072</v>
      </c>
      <c r="C551" s="944">
        <v>0</v>
      </c>
    </row>
    <row r="552" spans="1:6" x14ac:dyDescent="0.35">
      <c r="A552" s="943" t="s">
        <v>2073</v>
      </c>
      <c r="B552" t="s">
        <v>2074</v>
      </c>
      <c r="C552" s="944">
        <v>0</v>
      </c>
    </row>
    <row r="553" spans="1:6" x14ac:dyDescent="0.35">
      <c r="A553" s="943" t="s">
        <v>1147</v>
      </c>
      <c r="B553" t="s">
        <v>1148</v>
      </c>
      <c r="C553" s="944">
        <v>2620307654.6500001</v>
      </c>
    </row>
    <row r="554" spans="1:6" x14ac:dyDescent="0.35">
      <c r="A554" s="943" t="s">
        <v>2075</v>
      </c>
      <c r="B554" t="s">
        <v>2076</v>
      </c>
      <c r="C554" s="944">
        <v>0</v>
      </c>
      <c r="F554" s="944">
        <f>F555+F550</f>
        <v>799.91000974178314</v>
      </c>
    </row>
    <row r="555" spans="1:6" x14ac:dyDescent="0.35">
      <c r="B555" t="s">
        <v>1149</v>
      </c>
      <c r="C555" s="944">
        <v>14461989688.389999</v>
      </c>
      <c r="D555">
        <f>NRC!E68</f>
        <v>14971138668.15999</v>
      </c>
      <c r="E555" s="944">
        <f>C555-D555</f>
        <v>-509148979.76999092</v>
      </c>
      <c r="F555" s="1682">
        <f>E555+NRC!E65</f>
        <v>799.91000974178314</v>
      </c>
    </row>
    <row r="556" spans="1:6" x14ac:dyDescent="0.35">
      <c r="B556" t="s">
        <v>1150</v>
      </c>
      <c r="C556" s="944">
        <v>14461989688.389999</v>
      </c>
    </row>
    <row r="557" spans="1:6" x14ac:dyDescent="0.35">
      <c r="A557" s="943" t="s">
        <v>1151</v>
      </c>
      <c r="B557" t="s">
        <v>1152</v>
      </c>
    </row>
    <row r="558" spans="1:6" x14ac:dyDescent="0.35">
      <c r="A558" s="943" t="s">
        <v>1153</v>
      </c>
      <c r="B558" t="s">
        <v>1154</v>
      </c>
    </row>
    <row r="559" spans="1:6" x14ac:dyDescent="0.35">
      <c r="A559" s="943" t="s">
        <v>2077</v>
      </c>
      <c r="B559" t="s">
        <v>374</v>
      </c>
      <c r="C559" s="944">
        <v>0</v>
      </c>
    </row>
    <row r="560" spans="1:6" x14ac:dyDescent="0.35">
      <c r="A560" s="943" t="s">
        <v>2078</v>
      </c>
      <c r="B560" t="s">
        <v>2079</v>
      </c>
      <c r="C560" s="944">
        <v>0</v>
      </c>
    </row>
    <row r="561" spans="1:3" x14ac:dyDescent="0.35">
      <c r="A561" s="943" t="s">
        <v>2080</v>
      </c>
      <c r="B561" t="s">
        <v>2081</v>
      </c>
      <c r="C561" s="944">
        <v>48981600</v>
      </c>
    </row>
    <row r="562" spans="1:3" x14ac:dyDescent="0.35">
      <c r="A562" s="943" t="s">
        <v>2082</v>
      </c>
      <c r="B562" t="s">
        <v>2083</v>
      </c>
      <c r="C562" s="944">
        <v>23167300</v>
      </c>
    </row>
    <row r="563" spans="1:3" x14ac:dyDescent="0.35">
      <c r="A563" s="943" t="s">
        <v>2084</v>
      </c>
      <c r="B563" t="s">
        <v>2085</v>
      </c>
      <c r="C563" s="944">
        <v>0</v>
      </c>
    </row>
    <row r="564" spans="1:3" x14ac:dyDescent="0.35">
      <c r="A564" s="943" t="s">
        <v>2086</v>
      </c>
      <c r="B564" t="s">
        <v>2087</v>
      </c>
      <c r="C564" s="944">
        <v>0</v>
      </c>
    </row>
    <row r="565" spans="1:3" x14ac:dyDescent="0.35">
      <c r="A565" s="943" t="s">
        <v>2088</v>
      </c>
      <c r="B565" t="s">
        <v>2089</v>
      </c>
      <c r="C565" s="944">
        <v>0</v>
      </c>
    </row>
    <row r="566" spans="1:3" x14ac:dyDescent="0.35">
      <c r="A566" s="943" t="s">
        <v>2090</v>
      </c>
      <c r="B566" t="s">
        <v>2091</v>
      </c>
      <c r="C566" s="944">
        <v>0</v>
      </c>
    </row>
    <row r="567" spans="1:3" x14ac:dyDescent="0.35">
      <c r="A567" s="943" t="s">
        <v>2092</v>
      </c>
      <c r="B567" t="s">
        <v>2093</v>
      </c>
      <c r="C567" s="944">
        <v>0</v>
      </c>
    </row>
    <row r="568" spans="1:3" x14ac:dyDescent="0.35">
      <c r="A568" s="943" t="s">
        <v>1155</v>
      </c>
      <c r="B568" t="s">
        <v>1156</v>
      </c>
      <c r="C568" s="944">
        <v>0</v>
      </c>
    </row>
    <row r="569" spans="1:3" x14ac:dyDescent="0.35">
      <c r="A569" s="943" t="s">
        <v>2094</v>
      </c>
      <c r="B569" t="s">
        <v>2095</v>
      </c>
      <c r="C569" s="944">
        <v>0</v>
      </c>
    </row>
    <row r="570" spans="1:3" x14ac:dyDescent="0.35">
      <c r="A570" s="943" t="s">
        <v>2096</v>
      </c>
      <c r="B570" t="s">
        <v>2097</v>
      </c>
      <c r="C570" s="944">
        <v>0</v>
      </c>
    </row>
    <row r="571" spans="1:3" x14ac:dyDescent="0.35">
      <c r="A571" s="943" t="s">
        <v>2098</v>
      </c>
      <c r="B571" t="s">
        <v>2099</v>
      </c>
      <c r="C571" s="944">
        <v>0</v>
      </c>
    </row>
    <row r="572" spans="1:3" x14ac:dyDescent="0.35">
      <c r="A572" s="943" t="s">
        <v>2100</v>
      </c>
      <c r="B572" t="s">
        <v>2101</v>
      </c>
      <c r="C572" s="944">
        <v>0</v>
      </c>
    </row>
    <row r="573" spans="1:3" x14ac:dyDescent="0.35">
      <c r="A573" s="943" t="s">
        <v>1157</v>
      </c>
      <c r="B573" t="s">
        <v>1158</v>
      </c>
      <c r="C573" s="944">
        <v>0</v>
      </c>
    </row>
    <row r="574" spans="1:3" x14ac:dyDescent="0.35">
      <c r="A574" s="943" t="s">
        <v>2102</v>
      </c>
      <c r="B574" t="s">
        <v>2101</v>
      </c>
      <c r="C574" s="944">
        <v>0</v>
      </c>
    </row>
    <row r="575" spans="1:3" x14ac:dyDescent="0.35">
      <c r="A575" s="943" t="s">
        <v>2103</v>
      </c>
      <c r="B575" t="s">
        <v>2104</v>
      </c>
      <c r="C575" s="944">
        <v>0</v>
      </c>
    </row>
    <row r="576" spans="1:3" x14ac:dyDescent="0.35">
      <c r="A576" s="943" t="s">
        <v>2105</v>
      </c>
      <c r="B576" t="s">
        <v>2106</v>
      </c>
      <c r="C576" s="944">
        <v>0</v>
      </c>
    </row>
    <row r="577" spans="1:3" x14ac:dyDescent="0.35">
      <c r="A577" s="943" t="s">
        <v>2107</v>
      </c>
      <c r="B577" t="s">
        <v>2108</v>
      </c>
      <c r="C577" s="944">
        <v>0</v>
      </c>
    </row>
    <row r="578" spans="1:3" x14ac:dyDescent="0.35">
      <c r="A578" s="943" t="s">
        <v>2109</v>
      </c>
      <c r="B578" t="s">
        <v>2110</v>
      </c>
      <c r="C578" s="944">
        <v>0</v>
      </c>
    </row>
    <row r="579" spans="1:3" x14ac:dyDescent="0.35">
      <c r="A579" s="943" t="s">
        <v>2111</v>
      </c>
      <c r="B579" t="s">
        <v>2112</v>
      </c>
      <c r="C579" s="944">
        <v>0</v>
      </c>
    </row>
    <row r="580" spans="1:3" x14ac:dyDescent="0.35">
      <c r="A580" s="943" t="s">
        <v>2113</v>
      </c>
      <c r="B580" t="s">
        <v>350</v>
      </c>
      <c r="C580" s="944">
        <v>0</v>
      </c>
    </row>
    <row r="581" spans="1:3" x14ac:dyDescent="0.35">
      <c r="A581" s="943" t="s">
        <v>2114</v>
      </c>
      <c r="B581" t="s">
        <v>350</v>
      </c>
      <c r="C581" s="944">
        <v>0</v>
      </c>
    </row>
    <row r="582" spans="1:3" x14ac:dyDescent="0.35">
      <c r="B582" t="s">
        <v>1159</v>
      </c>
      <c r="C582" s="944">
        <v>72148900</v>
      </c>
    </row>
    <row r="583" spans="1:3" x14ac:dyDescent="0.35">
      <c r="A583" s="943" t="s">
        <v>2115</v>
      </c>
      <c r="B583" t="s">
        <v>2116</v>
      </c>
    </row>
    <row r="584" spans="1:3" x14ac:dyDescent="0.35">
      <c r="A584" s="943" t="s">
        <v>2117</v>
      </c>
      <c r="B584" t="s">
        <v>374</v>
      </c>
      <c r="C584" s="944">
        <v>0</v>
      </c>
    </row>
    <row r="585" spans="1:3" x14ac:dyDescent="0.35">
      <c r="A585" s="943" t="s">
        <v>2118</v>
      </c>
      <c r="B585" t="s">
        <v>2119</v>
      </c>
      <c r="C585" s="944">
        <v>0</v>
      </c>
    </row>
    <row r="586" spans="1:3" x14ac:dyDescent="0.35">
      <c r="A586" s="943" t="s">
        <v>2120</v>
      </c>
      <c r="B586" t="s">
        <v>2121</v>
      </c>
      <c r="C586" s="944">
        <v>232080000</v>
      </c>
    </row>
    <row r="587" spans="1:3" x14ac:dyDescent="0.35">
      <c r="A587" s="943" t="s">
        <v>2122</v>
      </c>
      <c r="B587" t="s">
        <v>2123</v>
      </c>
      <c r="C587" s="944">
        <v>296996100</v>
      </c>
    </row>
    <row r="588" spans="1:3" x14ac:dyDescent="0.35">
      <c r="A588" s="943" t="s">
        <v>2124</v>
      </c>
      <c r="B588" t="s">
        <v>2125</v>
      </c>
      <c r="C588" s="944">
        <v>0</v>
      </c>
    </row>
    <row r="589" spans="1:3" x14ac:dyDescent="0.35">
      <c r="A589" s="943" t="s">
        <v>2126</v>
      </c>
      <c r="B589" t="s">
        <v>2127</v>
      </c>
      <c r="C589" s="944">
        <v>0</v>
      </c>
    </row>
    <row r="590" spans="1:3" x14ac:dyDescent="0.35">
      <c r="A590" s="943" t="s">
        <v>2128</v>
      </c>
      <c r="B590" t="s">
        <v>2089</v>
      </c>
      <c r="C590" s="944">
        <v>0</v>
      </c>
    </row>
    <row r="591" spans="1:3" x14ac:dyDescent="0.35">
      <c r="A591" s="943" t="s">
        <v>2129</v>
      </c>
      <c r="B591" t="s">
        <v>2130</v>
      </c>
      <c r="C591" s="944">
        <v>70000000</v>
      </c>
    </row>
    <row r="592" spans="1:3" x14ac:dyDescent="0.35">
      <c r="A592" s="943" t="s">
        <v>2131</v>
      </c>
      <c r="B592" t="s">
        <v>2132</v>
      </c>
      <c r="C592" s="944">
        <v>5000000</v>
      </c>
    </row>
    <row r="593" spans="1:3" x14ac:dyDescent="0.35">
      <c r="A593" s="943" t="s">
        <v>2133</v>
      </c>
      <c r="B593" t="s">
        <v>2134</v>
      </c>
      <c r="C593" s="944">
        <v>22200000</v>
      </c>
    </row>
    <row r="594" spans="1:3" x14ac:dyDescent="0.35">
      <c r="A594" s="943" t="s">
        <v>2135</v>
      </c>
      <c r="B594" t="s">
        <v>2136</v>
      </c>
      <c r="C594" s="944">
        <v>0</v>
      </c>
    </row>
    <row r="595" spans="1:3" x14ac:dyDescent="0.35">
      <c r="A595" s="943" t="s">
        <v>2137</v>
      </c>
      <c r="B595" t="s">
        <v>2138</v>
      </c>
      <c r="C595" s="944">
        <v>0</v>
      </c>
    </row>
    <row r="596" spans="1:3" x14ac:dyDescent="0.35">
      <c r="A596" s="943" t="s">
        <v>2139</v>
      </c>
      <c r="B596" t="s">
        <v>2140</v>
      </c>
      <c r="C596" s="944">
        <v>0</v>
      </c>
    </row>
    <row r="597" spans="1:3" x14ac:dyDescent="0.35">
      <c r="A597" s="943" t="s">
        <v>2141</v>
      </c>
      <c r="B597" t="s">
        <v>2127</v>
      </c>
      <c r="C597" s="944">
        <v>0</v>
      </c>
    </row>
    <row r="598" spans="1:3" x14ac:dyDescent="0.35">
      <c r="A598" s="943" t="s">
        <v>2142</v>
      </c>
      <c r="B598" t="s">
        <v>1158</v>
      </c>
      <c r="C598" s="944">
        <v>0</v>
      </c>
    </row>
    <row r="599" spans="1:3" x14ac:dyDescent="0.35">
      <c r="A599" s="943" t="s">
        <v>2143</v>
      </c>
      <c r="B599" t="s">
        <v>2127</v>
      </c>
      <c r="C599" s="944">
        <v>0</v>
      </c>
    </row>
    <row r="600" spans="1:3" x14ac:dyDescent="0.35">
      <c r="A600" s="943" t="s">
        <v>2144</v>
      </c>
      <c r="B600" t="s">
        <v>2104</v>
      </c>
      <c r="C600" s="944">
        <v>0</v>
      </c>
    </row>
    <row r="601" spans="1:3" x14ac:dyDescent="0.35">
      <c r="A601" s="943" t="s">
        <v>2145</v>
      </c>
      <c r="B601" t="s">
        <v>2146</v>
      </c>
      <c r="C601" s="944">
        <v>0</v>
      </c>
    </row>
    <row r="602" spans="1:3" x14ac:dyDescent="0.35">
      <c r="A602" s="943" t="s">
        <v>2147</v>
      </c>
      <c r="B602" t="s">
        <v>2148</v>
      </c>
      <c r="C602" s="944">
        <v>0</v>
      </c>
    </row>
    <row r="603" spans="1:3" x14ac:dyDescent="0.35">
      <c r="A603" s="943" t="s">
        <v>2149</v>
      </c>
      <c r="B603" t="s">
        <v>2150</v>
      </c>
      <c r="C603" s="944">
        <v>0</v>
      </c>
    </row>
    <row r="604" spans="1:3" x14ac:dyDescent="0.35">
      <c r="A604" s="943" t="s">
        <v>2151</v>
      </c>
      <c r="B604" t="s">
        <v>2152</v>
      </c>
      <c r="C604" s="944">
        <v>0</v>
      </c>
    </row>
    <row r="605" spans="1:3" x14ac:dyDescent="0.35">
      <c r="A605" s="943" t="s">
        <v>2153</v>
      </c>
      <c r="B605" t="s">
        <v>350</v>
      </c>
      <c r="C605" s="944">
        <v>0</v>
      </c>
    </row>
    <row r="606" spans="1:3" x14ac:dyDescent="0.35">
      <c r="A606" s="943" t="s">
        <v>2154</v>
      </c>
      <c r="B606" t="s">
        <v>2155</v>
      </c>
      <c r="C606" s="944">
        <v>0</v>
      </c>
    </row>
    <row r="607" spans="1:3" x14ac:dyDescent="0.35">
      <c r="B607" t="s">
        <v>2156</v>
      </c>
      <c r="C607" s="944">
        <v>626276100</v>
      </c>
    </row>
    <row r="608" spans="1:3" x14ac:dyDescent="0.35">
      <c r="A608" s="943" t="s">
        <v>2157</v>
      </c>
      <c r="B608" t="s">
        <v>1169</v>
      </c>
    </row>
    <row r="609" spans="1:3" x14ac:dyDescent="0.35">
      <c r="A609" s="943" t="s">
        <v>2158</v>
      </c>
      <c r="B609" t="s">
        <v>374</v>
      </c>
      <c r="C609" s="944">
        <v>0</v>
      </c>
    </row>
    <row r="610" spans="1:3" x14ac:dyDescent="0.35">
      <c r="A610" s="943" t="s">
        <v>2159</v>
      </c>
      <c r="B610" t="s">
        <v>2160</v>
      </c>
      <c r="C610" s="944">
        <v>0</v>
      </c>
    </row>
    <row r="611" spans="1:3" x14ac:dyDescent="0.35">
      <c r="A611" s="943" t="s">
        <v>2161</v>
      </c>
      <c r="B611" t="s">
        <v>2162</v>
      </c>
      <c r="C611" s="944">
        <v>0</v>
      </c>
    </row>
    <row r="612" spans="1:3" x14ac:dyDescent="0.35">
      <c r="A612" s="943" t="s">
        <v>2163</v>
      </c>
      <c r="B612" t="s">
        <v>2164</v>
      </c>
      <c r="C612" s="944">
        <v>0</v>
      </c>
    </row>
    <row r="613" spans="1:3" x14ac:dyDescent="0.35">
      <c r="A613" s="943" t="s">
        <v>2165</v>
      </c>
      <c r="B613" t="s">
        <v>2166</v>
      </c>
      <c r="C613" s="944">
        <v>0</v>
      </c>
    </row>
    <row r="614" spans="1:3" x14ac:dyDescent="0.35">
      <c r="A614" s="943" t="s">
        <v>2167</v>
      </c>
      <c r="B614" t="s">
        <v>2168</v>
      </c>
      <c r="C614" s="944">
        <v>0</v>
      </c>
    </row>
    <row r="615" spans="1:3" x14ac:dyDescent="0.35">
      <c r="A615" s="943" t="s">
        <v>2169</v>
      </c>
      <c r="B615" t="s">
        <v>2089</v>
      </c>
      <c r="C615" s="944">
        <v>0</v>
      </c>
    </row>
    <row r="616" spans="1:3" x14ac:dyDescent="0.35">
      <c r="A616" s="943" t="s">
        <v>2170</v>
      </c>
      <c r="B616" t="s">
        <v>2171</v>
      </c>
      <c r="C616" s="944">
        <v>0</v>
      </c>
    </row>
    <row r="617" spans="1:3" x14ac:dyDescent="0.35">
      <c r="A617" s="943" t="s">
        <v>2172</v>
      </c>
      <c r="B617" t="s">
        <v>2173</v>
      </c>
      <c r="C617" s="944">
        <v>0</v>
      </c>
    </row>
    <row r="618" spans="1:3" x14ac:dyDescent="0.35">
      <c r="A618" s="943" t="s">
        <v>2174</v>
      </c>
      <c r="B618" t="s">
        <v>2175</v>
      </c>
      <c r="C618" s="944">
        <v>0</v>
      </c>
    </row>
    <row r="619" spans="1:3" x14ac:dyDescent="0.35">
      <c r="A619" s="943" t="s">
        <v>2176</v>
      </c>
      <c r="B619" t="s">
        <v>2177</v>
      </c>
      <c r="C619" s="944">
        <v>11963300</v>
      </c>
    </row>
    <row r="620" spans="1:3" x14ac:dyDescent="0.35">
      <c r="A620" s="943" t="s">
        <v>2178</v>
      </c>
      <c r="B620" t="s">
        <v>2179</v>
      </c>
      <c r="C620" s="944">
        <v>0</v>
      </c>
    </row>
    <row r="621" spans="1:3" x14ac:dyDescent="0.35">
      <c r="A621" s="943" t="s">
        <v>2180</v>
      </c>
      <c r="B621" t="s">
        <v>2181</v>
      </c>
      <c r="C621" s="944">
        <v>0</v>
      </c>
    </row>
    <row r="622" spans="1:3" x14ac:dyDescent="0.35">
      <c r="A622" s="943" t="s">
        <v>2182</v>
      </c>
      <c r="B622" t="s">
        <v>2168</v>
      </c>
      <c r="C622" s="944">
        <v>0</v>
      </c>
    </row>
    <row r="623" spans="1:3" x14ac:dyDescent="0.35">
      <c r="A623" s="943" t="s">
        <v>2183</v>
      </c>
      <c r="B623" t="s">
        <v>1158</v>
      </c>
      <c r="C623" s="944">
        <v>0</v>
      </c>
    </row>
    <row r="624" spans="1:3" x14ac:dyDescent="0.35">
      <c r="A624" s="943" t="s">
        <v>2184</v>
      </c>
      <c r="B624" t="s">
        <v>2168</v>
      </c>
      <c r="C624" s="944">
        <v>0</v>
      </c>
    </row>
    <row r="625" spans="1:3" x14ac:dyDescent="0.35">
      <c r="A625" s="943" t="s">
        <v>2185</v>
      </c>
      <c r="B625" t="s">
        <v>2104</v>
      </c>
      <c r="C625" s="944">
        <v>0</v>
      </c>
    </row>
    <row r="626" spans="1:3" x14ac:dyDescent="0.35">
      <c r="A626" s="943" t="s">
        <v>2186</v>
      </c>
      <c r="B626" t="s">
        <v>2187</v>
      </c>
      <c r="C626" s="944">
        <v>0</v>
      </c>
    </row>
    <row r="627" spans="1:3" x14ac:dyDescent="0.35">
      <c r="A627" s="943" t="s">
        <v>2188</v>
      </c>
      <c r="B627" t="s">
        <v>2148</v>
      </c>
      <c r="C627" s="944">
        <v>0</v>
      </c>
    </row>
    <row r="628" spans="1:3" x14ac:dyDescent="0.35">
      <c r="A628" s="943" t="s">
        <v>2189</v>
      </c>
      <c r="B628" t="s">
        <v>2150</v>
      </c>
      <c r="C628" s="944">
        <v>0</v>
      </c>
    </row>
    <row r="629" spans="1:3" x14ac:dyDescent="0.35">
      <c r="A629" s="943" t="s">
        <v>2190</v>
      </c>
      <c r="B629" t="s">
        <v>2191</v>
      </c>
      <c r="C629" s="944">
        <v>0</v>
      </c>
    </row>
    <row r="630" spans="1:3" x14ac:dyDescent="0.35">
      <c r="A630" s="943" t="s">
        <v>2192</v>
      </c>
      <c r="B630" t="s">
        <v>350</v>
      </c>
      <c r="C630" s="944">
        <v>0</v>
      </c>
    </row>
    <row r="631" spans="1:3" x14ac:dyDescent="0.35">
      <c r="A631" s="943" t="s">
        <v>2193</v>
      </c>
      <c r="B631" t="s">
        <v>2194</v>
      </c>
      <c r="C631" s="944">
        <v>0</v>
      </c>
    </row>
    <row r="632" spans="1:3" x14ac:dyDescent="0.35">
      <c r="B632" t="s">
        <v>1172</v>
      </c>
      <c r="C632" s="944">
        <v>11963300</v>
      </c>
    </row>
    <row r="633" spans="1:3" x14ac:dyDescent="0.35">
      <c r="A633" s="943" t="s">
        <v>2195</v>
      </c>
      <c r="B633" t="s">
        <v>2196</v>
      </c>
      <c r="C633" s="944"/>
    </row>
    <row r="634" spans="1:3" x14ac:dyDescent="0.35">
      <c r="A634" s="943" t="s">
        <v>2197</v>
      </c>
      <c r="B634" t="s">
        <v>374</v>
      </c>
      <c r="C634" s="944">
        <v>0</v>
      </c>
    </row>
    <row r="635" spans="1:3" x14ac:dyDescent="0.35">
      <c r="A635" s="943" t="s">
        <v>2198</v>
      </c>
      <c r="B635" t="s">
        <v>2199</v>
      </c>
      <c r="C635" s="944">
        <v>0</v>
      </c>
    </row>
    <row r="636" spans="1:3" x14ac:dyDescent="0.35">
      <c r="A636" s="943" t="s">
        <v>2200</v>
      </c>
      <c r="B636" t="s">
        <v>2201</v>
      </c>
      <c r="C636" s="944">
        <v>0</v>
      </c>
    </row>
    <row r="637" spans="1:3" x14ac:dyDescent="0.35">
      <c r="A637" s="943" t="s">
        <v>2202</v>
      </c>
      <c r="B637" t="s">
        <v>2203</v>
      </c>
      <c r="C637" s="944">
        <v>0</v>
      </c>
    </row>
    <row r="638" spans="1:3" x14ac:dyDescent="0.35">
      <c r="A638" s="943" t="s">
        <v>2204</v>
      </c>
      <c r="B638" t="s">
        <v>2205</v>
      </c>
      <c r="C638" s="944">
        <v>0</v>
      </c>
    </row>
    <row r="639" spans="1:3" x14ac:dyDescent="0.35">
      <c r="A639" s="943" t="s">
        <v>2206</v>
      </c>
      <c r="B639" t="s">
        <v>2207</v>
      </c>
      <c r="C639" s="944">
        <v>0</v>
      </c>
    </row>
    <row r="640" spans="1:3" x14ac:dyDescent="0.35">
      <c r="A640" s="943" t="s">
        <v>2208</v>
      </c>
      <c r="B640" t="s">
        <v>2089</v>
      </c>
      <c r="C640" s="944">
        <v>0</v>
      </c>
    </row>
    <row r="641" spans="1:3" x14ac:dyDescent="0.35">
      <c r="A641" s="943" t="s">
        <v>2209</v>
      </c>
      <c r="B641" t="s">
        <v>2210</v>
      </c>
      <c r="C641" s="944">
        <v>0</v>
      </c>
    </row>
    <row r="642" spans="1:3" x14ac:dyDescent="0.35">
      <c r="A642" s="943" t="s">
        <v>2211</v>
      </c>
      <c r="B642" t="s">
        <v>2212</v>
      </c>
      <c r="C642" s="944">
        <v>0</v>
      </c>
    </row>
    <row r="643" spans="1:3" x14ac:dyDescent="0.35">
      <c r="A643" s="943" t="s">
        <v>2213</v>
      </c>
      <c r="B643" t="s">
        <v>2214</v>
      </c>
      <c r="C643" s="944">
        <v>0</v>
      </c>
    </row>
    <row r="644" spans="1:3" x14ac:dyDescent="0.35">
      <c r="A644" s="943" t="s">
        <v>2215</v>
      </c>
      <c r="B644" t="s">
        <v>2216</v>
      </c>
      <c r="C644" s="944">
        <v>0</v>
      </c>
    </row>
    <row r="645" spans="1:3" x14ac:dyDescent="0.35">
      <c r="A645" s="943" t="s">
        <v>2217</v>
      </c>
      <c r="B645" t="s">
        <v>2218</v>
      </c>
      <c r="C645" s="944">
        <v>0</v>
      </c>
    </row>
    <row r="646" spans="1:3" x14ac:dyDescent="0.35">
      <c r="A646" s="943" t="s">
        <v>2219</v>
      </c>
      <c r="B646" t="s">
        <v>2220</v>
      </c>
      <c r="C646" s="944">
        <v>0</v>
      </c>
    </row>
    <row r="647" spans="1:3" x14ac:dyDescent="0.35">
      <c r="A647" s="943" t="s">
        <v>2221</v>
      </c>
      <c r="B647" t="s">
        <v>2207</v>
      </c>
      <c r="C647" s="944">
        <v>0</v>
      </c>
    </row>
    <row r="648" spans="1:3" x14ac:dyDescent="0.35">
      <c r="A648" s="943" t="s">
        <v>2222</v>
      </c>
      <c r="B648" t="s">
        <v>1158</v>
      </c>
      <c r="C648" s="944">
        <v>0</v>
      </c>
    </row>
    <row r="649" spans="1:3" x14ac:dyDescent="0.35">
      <c r="A649" s="943" t="s">
        <v>2223</v>
      </c>
      <c r="B649" t="s">
        <v>2207</v>
      </c>
      <c r="C649" s="944">
        <v>0</v>
      </c>
    </row>
    <row r="650" spans="1:3" x14ac:dyDescent="0.35">
      <c r="A650" s="943" t="s">
        <v>2224</v>
      </c>
      <c r="B650" t="s">
        <v>2104</v>
      </c>
      <c r="C650" s="944">
        <v>0</v>
      </c>
    </row>
    <row r="651" spans="1:3" x14ac:dyDescent="0.35">
      <c r="A651" s="943" t="s">
        <v>2225</v>
      </c>
      <c r="B651" t="s">
        <v>2226</v>
      </c>
      <c r="C651" s="944">
        <v>0</v>
      </c>
    </row>
    <row r="652" spans="1:3" x14ac:dyDescent="0.35">
      <c r="A652" s="943" t="s">
        <v>2227</v>
      </c>
      <c r="B652" t="s">
        <v>2228</v>
      </c>
      <c r="C652" s="944">
        <v>0</v>
      </c>
    </row>
    <row r="653" spans="1:3" x14ac:dyDescent="0.35">
      <c r="A653" s="943" t="s">
        <v>2229</v>
      </c>
      <c r="B653" t="s">
        <v>2230</v>
      </c>
      <c r="C653" s="944">
        <v>0</v>
      </c>
    </row>
    <row r="654" spans="1:3" x14ac:dyDescent="0.35">
      <c r="A654" s="943" t="s">
        <v>2231</v>
      </c>
      <c r="B654" t="s">
        <v>2232</v>
      </c>
      <c r="C654" s="944">
        <v>0</v>
      </c>
    </row>
    <row r="655" spans="1:3" x14ac:dyDescent="0.35">
      <c r="A655" s="943" t="s">
        <v>2233</v>
      </c>
      <c r="B655" t="s">
        <v>350</v>
      </c>
      <c r="C655" s="944">
        <v>0</v>
      </c>
    </row>
    <row r="656" spans="1:3" x14ac:dyDescent="0.35">
      <c r="A656" s="943" t="s">
        <v>2234</v>
      </c>
      <c r="B656" t="s">
        <v>2232</v>
      </c>
      <c r="C656" s="944">
        <v>0</v>
      </c>
    </row>
    <row r="657" spans="1:3" x14ac:dyDescent="0.35">
      <c r="B657" t="s">
        <v>2235</v>
      </c>
      <c r="C657" s="944">
        <v>0</v>
      </c>
    </row>
    <row r="658" spans="1:3" x14ac:dyDescent="0.35">
      <c r="A658" s="943" t="s">
        <v>2236</v>
      </c>
      <c r="B658" t="s">
        <v>2237</v>
      </c>
      <c r="C658" s="944"/>
    </row>
    <row r="659" spans="1:3" x14ac:dyDescent="0.35">
      <c r="A659" s="943" t="s">
        <v>2238</v>
      </c>
      <c r="B659" t="s">
        <v>374</v>
      </c>
      <c r="C659" s="944">
        <v>0</v>
      </c>
    </row>
    <row r="660" spans="1:3" x14ac:dyDescent="0.35">
      <c r="A660" s="943" t="s">
        <v>2239</v>
      </c>
      <c r="B660" t="s">
        <v>2240</v>
      </c>
      <c r="C660" s="944">
        <v>0</v>
      </c>
    </row>
    <row r="661" spans="1:3" x14ac:dyDescent="0.35">
      <c r="A661" s="943" t="s">
        <v>2241</v>
      </c>
      <c r="B661" t="s">
        <v>2242</v>
      </c>
      <c r="C661" s="944">
        <v>-105406800</v>
      </c>
    </row>
    <row r="662" spans="1:3" x14ac:dyDescent="0.35">
      <c r="A662" s="943" t="s">
        <v>2243</v>
      </c>
      <c r="B662" t="s">
        <v>2244</v>
      </c>
      <c r="C662" s="944">
        <v>-158174500</v>
      </c>
    </row>
    <row r="663" spans="1:3" x14ac:dyDescent="0.35">
      <c r="A663" s="943" t="s">
        <v>2245</v>
      </c>
      <c r="B663" t="s">
        <v>2246</v>
      </c>
      <c r="C663" s="944">
        <v>0</v>
      </c>
    </row>
    <row r="664" spans="1:3" x14ac:dyDescent="0.35">
      <c r="A664" s="943" t="s">
        <v>2247</v>
      </c>
      <c r="B664" t="s">
        <v>2248</v>
      </c>
      <c r="C664" s="944">
        <v>0</v>
      </c>
    </row>
    <row r="665" spans="1:3" x14ac:dyDescent="0.35">
      <c r="A665" s="943" t="s">
        <v>2249</v>
      </c>
      <c r="B665" t="s">
        <v>2089</v>
      </c>
      <c r="C665" s="944">
        <v>0</v>
      </c>
    </row>
    <row r="666" spans="1:3" x14ac:dyDescent="0.35">
      <c r="A666" s="943" t="s">
        <v>2250</v>
      </c>
      <c r="B666" t="s">
        <v>2251</v>
      </c>
      <c r="C666" s="944">
        <v>-70000000</v>
      </c>
    </row>
    <row r="667" spans="1:3" x14ac:dyDescent="0.35">
      <c r="A667" s="943" t="s">
        <v>2252</v>
      </c>
      <c r="B667" t="s">
        <v>2253</v>
      </c>
      <c r="C667" s="944">
        <v>-5000000</v>
      </c>
    </row>
    <row r="668" spans="1:3" x14ac:dyDescent="0.35">
      <c r="A668" s="943" t="s">
        <v>2254</v>
      </c>
      <c r="B668" t="s">
        <v>2255</v>
      </c>
      <c r="C668" s="944">
        <v>-22200000</v>
      </c>
    </row>
    <row r="669" spans="1:3" x14ac:dyDescent="0.35">
      <c r="A669" s="943" t="s">
        <v>2256</v>
      </c>
      <c r="B669" t="s">
        <v>2257</v>
      </c>
      <c r="C669" s="944">
        <v>-11963300</v>
      </c>
    </row>
    <row r="670" spans="1:3" x14ac:dyDescent="0.35">
      <c r="A670" s="943" t="s">
        <v>2258</v>
      </c>
      <c r="B670" t="s">
        <v>2259</v>
      </c>
      <c r="C670" s="944">
        <v>0</v>
      </c>
    </row>
    <row r="671" spans="1:3" x14ac:dyDescent="0.35">
      <c r="A671" s="943" t="s">
        <v>2260</v>
      </c>
      <c r="B671" t="s">
        <v>2261</v>
      </c>
      <c r="C671" s="944">
        <v>0</v>
      </c>
    </row>
    <row r="672" spans="1:3" x14ac:dyDescent="0.35">
      <c r="A672" s="943" t="s">
        <v>2262</v>
      </c>
      <c r="B672" t="s">
        <v>2248</v>
      </c>
      <c r="C672" s="944">
        <v>0</v>
      </c>
    </row>
    <row r="673" spans="1:3" x14ac:dyDescent="0.35">
      <c r="A673" s="943" t="s">
        <v>2263</v>
      </c>
      <c r="B673" t="s">
        <v>1158</v>
      </c>
      <c r="C673" s="944">
        <v>0</v>
      </c>
    </row>
    <row r="674" spans="1:3" x14ac:dyDescent="0.35">
      <c r="A674" s="943" t="s">
        <v>2264</v>
      </c>
      <c r="B674" t="s">
        <v>2207</v>
      </c>
      <c r="C674" s="944">
        <v>0</v>
      </c>
    </row>
    <row r="675" spans="1:3" x14ac:dyDescent="0.35">
      <c r="A675" s="943" t="s">
        <v>2265</v>
      </c>
      <c r="B675" t="s">
        <v>2104</v>
      </c>
      <c r="C675" s="944">
        <v>0</v>
      </c>
    </row>
    <row r="676" spans="1:3" x14ac:dyDescent="0.35">
      <c r="A676" s="943" t="s">
        <v>2266</v>
      </c>
      <c r="B676" t="s">
        <v>2267</v>
      </c>
      <c r="C676" s="944">
        <v>0</v>
      </c>
    </row>
    <row r="677" spans="1:3" x14ac:dyDescent="0.35">
      <c r="A677" s="943" t="s">
        <v>2268</v>
      </c>
      <c r="B677" t="s">
        <v>2228</v>
      </c>
      <c r="C677" s="944">
        <v>0</v>
      </c>
    </row>
    <row r="678" spans="1:3" x14ac:dyDescent="0.35">
      <c r="A678" s="943" t="s">
        <v>2269</v>
      </c>
      <c r="B678" t="s">
        <v>2230</v>
      </c>
      <c r="C678" s="944">
        <v>0</v>
      </c>
    </row>
    <row r="679" spans="1:3" x14ac:dyDescent="0.35">
      <c r="A679" s="943" t="s">
        <v>2270</v>
      </c>
      <c r="B679" t="s">
        <v>2271</v>
      </c>
      <c r="C679" s="944">
        <v>0</v>
      </c>
    </row>
    <row r="680" spans="1:3" x14ac:dyDescent="0.35">
      <c r="A680" s="943" t="s">
        <v>2272</v>
      </c>
      <c r="B680" t="s">
        <v>350</v>
      </c>
      <c r="C680" s="944">
        <v>0</v>
      </c>
    </row>
    <row r="681" spans="1:3" x14ac:dyDescent="0.35">
      <c r="A681" s="943" t="s">
        <v>2273</v>
      </c>
      <c r="B681" t="s">
        <v>2232</v>
      </c>
      <c r="C681" s="944">
        <v>0</v>
      </c>
    </row>
    <row r="682" spans="1:3" x14ac:dyDescent="0.35">
      <c r="B682" t="s">
        <v>2274</v>
      </c>
      <c r="C682" s="944">
        <v>-372744600</v>
      </c>
    </row>
    <row r="683" spans="1:3" x14ac:dyDescent="0.35">
      <c r="B683" t="s">
        <v>1160</v>
      </c>
      <c r="C683" s="944">
        <v>337643700</v>
      </c>
    </row>
    <row r="684" spans="1:3" x14ac:dyDescent="0.35">
      <c r="A684" s="943" t="s">
        <v>1161</v>
      </c>
      <c r="B684" t="s">
        <v>1162</v>
      </c>
      <c r="C684" s="944"/>
    </row>
    <row r="685" spans="1:3" x14ac:dyDescent="0.35">
      <c r="A685" s="943" t="s">
        <v>1163</v>
      </c>
      <c r="B685" t="s">
        <v>1154</v>
      </c>
      <c r="C685" s="944"/>
    </row>
    <row r="686" spans="1:3" x14ac:dyDescent="0.35">
      <c r="A686" s="943" t="s">
        <v>2275</v>
      </c>
      <c r="B686" t="s">
        <v>2276</v>
      </c>
      <c r="C686" s="944">
        <v>0</v>
      </c>
    </row>
    <row r="687" spans="1:3" x14ac:dyDescent="0.35">
      <c r="A687" s="943" t="s">
        <v>1164</v>
      </c>
      <c r="B687" t="s">
        <v>7196</v>
      </c>
      <c r="C687" s="944">
        <v>0</v>
      </c>
    </row>
    <row r="688" spans="1:3" x14ac:dyDescent="0.35">
      <c r="A688" s="943" t="s">
        <v>1165</v>
      </c>
      <c r="B688" t="s">
        <v>7197</v>
      </c>
      <c r="C688" s="944">
        <v>0</v>
      </c>
    </row>
    <row r="689" spans="1:3" x14ac:dyDescent="0.35">
      <c r="A689" s="943" t="s">
        <v>1166</v>
      </c>
      <c r="B689" t="s">
        <v>7198</v>
      </c>
      <c r="C689" s="944">
        <v>0</v>
      </c>
    </row>
    <row r="690" spans="1:3" x14ac:dyDescent="0.35">
      <c r="A690" s="943" t="s">
        <v>2277</v>
      </c>
      <c r="B690" t="s">
        <v>2278</v>
      </c>
      <c r="C690" s="944">
        <v>0</v>
      </c>
    </row>
    <row r="691" spans="1:3" x14ac:dyDescent="0.35">
      <c r="A691" s="943" t="s">
        <v>1167</v>
      </c>
      <c r="B691" t="s">
        <v>7199</v>
      </c>
      <c r="C691" s="944">
        <v>0</v>
      </c>
    </row>
    <row r="692" spans="1:3" x14ac:dyDescent="0.35">
      <c r="A692" s="943" t="s">
        <v>2279</v>
      </c>
      <c r="B692" t="s">
        <v>2280</v>
      </c>
      <c r="C692" s="944">
        <v>0</v>
      </c>
    </row>
    <row r="693" spans="1:3" x14ac:dyDescent="0.35">
      <c r="A693" s="943" t="s">
        <v>2281</v>
      </c>
      <c r="B693" t="s">
        <v>2282</v>
      </c>
      <c r="C693" s="944">
        <v>0</v>
      </c>
    </row>
    <row r="694" spans="1:3" x14ac:dyDescent="0.35">
      <c r="A694" s="943" t="s">
        <v>2283</v>
      </c>
      <c r="B694" t="s">
        <v>2284</v>
      </c>
      <c r="C694" s="944">
        <v>0</v>
      </c>
    </row>
    <row r="695" spans="1:3" x14ac:dyDescent="0.35">
      <c r="A695" s="943" t="s">
        <v>2285</v>
      </c>
      <c r="B695" t="s">
        <v>2286</v>
      </c>
      <c r="C695" s="944">
        <v>0</v>
      </c>
    </row>
    <row r="696" spans="1:3" x14ac:dyDescent="0.35">
      <c r="A696" s="943" t="s">
        <v>2287</v>
      </c>
      <c r="B696" t="s">
        <v>2288</v>
      </c>
      <c r="C696" s="944">
        <v>0</v>
      </c>
    </row>
    <row r="697" spans="1:3" x14ac:dyDescent="0.35">
      <c r="A697" s="943" t="s">
        <v>2289</v>
      </c>
      <c r="B697" t="s">
        <v>2290</v>
      </c>
      <c r="C697" s="944">
        <v>0</v>
      </c>
    </row>
    <row r="698" spans="1:3" x14ac:dyDescent="0.35">
      <c r="A698" s="943" t="s">
        <v>2291</v>
      </c>
      <c r="B698" t="s">
        <v>2292</v>
      </c>
      <c r="C698" s="944">
        <v>0</v>
      </c>
    </row>
    <row r="699" spans="1:3" x14ac:dyDescent="0.35">
      <c r="A699" s="943" t="s">
        <v>2293</v>
      </c>
      <c r="B699" t="s">
        <v>2294</v>
      </c>
      <c r="C699" s="944">
        <v>0</v>
      </c>
    </row>
    <row r="700" spans="1:3" x14ac:dyDescent="0.35">
      <c r="B700" t="s">
        <v>1159</v>
      </c>
      <c r="C700" s="944">
        <v>0</v>
      </c>
    </row>
    <row r="701" spans="1:3" x14ac:dyDescent="0.35">
      <c r="A701" s="943" t="s">
        <v>2295</v>
      </c>
      <c r="B701" t="s">
        <v>2116</v>
      </c>
    </row>
    <row r="702" spans="1:3" x14ac:dyDescent="0.35">
      <c r="A702" s="943" t="s">
        <v>2296</v>
      </c>
      <c r="B702" t="s">
        <v>2276</v>
      </c>
      <c r="C702" s="944">
        <v>0</v>
      </c>
    </row>
    <row r="703" spans="1:3" x14ac:dyDescent="0.35">
      <c r="A703" s="943" t="s">
        <v>2297</v>
      </c>
      <c r="B703" t="s">
        <v>2298</v>
      </c>
      <c r="C703" s="944">
        <v>0</v>
      </c>
    </row>
    <row r="704" spans="1:3" x14ac:dyDescent="0.35">
      <c r="A704" s="943" t="s">
        <v>2299</v>
      </c>
      <c r="B704" t="s">
        <v>2300</v>
      </c>
      <c r="C704" s="944">
        <v>0</v>
      </c>
    </row>
    <row r="705" spans="1:3" x14ac:dyDescent="0.35">
      <c r="A705" s="943" t="s">
        <v>2301</v>
      </c>
      <c r="B705" t="s">
        <v>2302</v>
      </c>
      <c r="C705" s="944">
        <v>0</v>
      </c>
    </row>
    <row r="706" spans="1:3" x14ac:dyDescent="0.35">
      <c r="A706" s="943" t="s">
        <v>2303</v>
      </c>
      <c r="B706" t="s">
        <v>2304</v>
      </c>
      <c r="C706" s="944">
        <v>0</v>
      </c>
    </row>
    <row r="707" spans="1:3" x14ac:dyDescent="0.35">
      <c r="A707" s="943" t="s">
        <v>2305</v>
      </c>
      <c r="B707" t="s">
        <v>2306</v>
      </c>
      <c r="C707" s="944">
        <v>0</v>
      </c>
    </row>
    <row r="708" spans="1:3" x14ac:dyDescent="0.35">
      <c r="A708" s="943" t="s">
        <v>2307</v>
      </c>
      <c r="B708" t="s">
        <v>2308</v>
      </c>
      <c r="C708" s="944">
        <v>0</v>
      </c>
    </row>
    <row r="709" spans="1:3" x14ac:dyDescent="0.35">
      <c r="A709" s="943" t="s">
        <v>2309</v>
      </c>
      <c r="B709" t="s">
        <v>2310</v>
      </c>
      <c r="C709" s="944">
        <v>0</v>
      </c>
    </row>
    <row r="710" spans="1:3" x14ac:dyDescent="0.35">
      <c r="A710" s="943" t="s">
        <v>2311</v>
      </c>
      <c r="B710" t="s">
        <v>2312</v>
      </c>
      <c r="C710" s="944">
        <v>0</v>
      </c>
    </row>
    <row r="711" spans="1:3" x14ac:dyDescent="0.35">
      <c r="A711" s="943" t="s">
        <v>2313</v>
      </c>
      <c r="B711" t="s">
        <v>2314</v>
      </c>
      <c r="C711" s="944">
        <v>0</v>
      </c>
    </row>
    <row r="712" spans="1:3" x14ac:dyDescent="0.35">
      <c r="A712" s="943" t="s">
        <v>2315</v>
      </c>
      <c r="B712" t="s">
        <v>2288</v>
      </c>
      <c r="C712" s="944">
        <v>0</v>
      </c>
    </row>
    <row r="713" spans="1:3" x14ac:dyDescent="0.35">
      <c r="A713" s="943" t="s">
        <v>2316</v>
      </c>
      <c r="B713" t="s">
        <v>2317</v>
      </c>
      <c r="C713" s="944">
        <v>0</v>
      </c>
    </row>
    <row r="714" spans="1:3" x14ac:dyDescent="0.35">
      <c r="A714" s="943" t="s">
        <v>2318</v>
      </c>
      <c r="B714" t="s">
        <v>2292</v>
      </c>
      <c r="C714" s="944">
        <v>0</v>
      </c>
    </row>
    <row r="715" spans="1:3" x14ac:dyDescent="0.35">
      <c r="A715" s="943" t="s">
        <v>2319</v>
      </c>
      <c r="B715" t="s">
        <v>2320</v>
      </c>
      <c r="C715" s="944">
        <v>0</v>
      </c>
    </row>
    <row r="716" spans="1:3" x14ac:dyDescent="0.35">
      <c r="B716" t="s">
        <v>2156</v>
      </c>
      <c r="C716" s="944">
        <v>0</v>
      </c>
    </row>
    <row r="717" spans="1:3" x14ac:dyDescent="0.35">
      <c r="A717" s="943" t="s">
        <v>1168</v>
      </c>
      <c r="B717" t="s">
        <v>1169</v>
      </c>
    </row>
    <row r="718" spans="1:3" x14ac:dyDescent="0.35">
      <c r="A718" s="943" t="s">
        <v>2321</v>
      </c>
      <c r="B718" t="s">
        <v>2276</v>
      </c>
      <c r="C718" s="944">
        <v>0</v>
      </c>
    </row>
    <row r="719" spans="1:3" x14ac:dyDescent="0.35">
      <c r="A719" s="943" t="s">
        <v>2322</v>
      </c>
      <c r="B719" t="s">
        <v>2323</v>
      </c>
      <c r="C719" s="944">
        <v>0</v>
      </c>
    </row>
    <row r="720" spans="1:3" x14ac:dyDescent="0.35">
      <c r="A720" s="943" t="s">
        <v>2324</v>
      </c>
      <c r="B720" t="s">
        <v>2325</v>
      </c>
      <c r="C720" s="944">
        <v>524000000</v>
      </c>
    </row>
    <row r="721" spans="1:3" x14ac:dyDescent="0.35">
      <c r="A721" s="943" t="s">
        <v>2326</v>
      </c>
      <c r="B721" t="s">
        <v>2327</v>
      </c>
      <c r="C721" s="944">
        <v>0</v>
      </c>
    </row>
    <row r="722" spans="1:3" x14ac:dyDescent="0.35">
      <c r="A722" s="943" t="s">
        <v>2328</v>
      </c>
      <c r="B722" t="s">
        <v>2329</v>
      </c>
      <c r="C722" s="944">
        <v>1872200000</v>
      </c>
    </row>
    <row r="723" spans="1:3" x14ac:dyDescent="0.35">
      <c r="A723" s="943" t="s">
        <v>2330</v>
      </c>
      <c r="B723" t="s">
        <v>2331</v>
      </c>
      <c r="C723" s="944">
        <v>0</v>
      </c>
    </row>
    <row r="724" spans="1:3" x14ac:dyDescent="0.35">
      <c r="A724" s="943" t="s">
        <v>2332</v>
      </c>
      <c r="B724" t="s">
        <v>2333</v>
      </c>
      <c r="C724" s="944">
        <v>215150000</v>
      </c>
    </row>
    <row r="725" spans="1:3" x14ac:dyDescent="0.35">
      <c r="A725" s="943" t="s">
        <v>2334</v>
      </c>
      <c r="B725" t="s">
        <v>2335</v>
      </c>
      <c r="C725" s="944">
        <v>0</v>
      </c>
    </row>
    <row r="726" spans="1:3" x14ac:dyDescent="0.35">
      <c r="A726" s="943" t="s">
        <v>2336</v>
      </c>
      <c r="B726" t="s">
        <v>2337</v>
      </c>
      <c r="C726" s="944">
        <v>0</v>
      </c>
    </row>
    <row r="727" spans="1:3" x14ac:dyDescent="0.35">
      <c r="A727" s="943" t="s">
        <v>1170</v>
      </c>
      <c r="B727" t="s">
        <v>1171</v>
      </c>
      <c r="C727" s="944">
        <v>28736544</v>
      </c>
    </row>
    <row r="728" spans="1:3" x14ac:dyDescent="0.35">
      <c r="A728" s="943" t="s">
        <v>2338</v>
      </c>
      <c r="B728" t="s">
        <v>2288</v>
      </c>
      <c r="C728" s="944">
        <v>0</v>
      </c>
    </row>
    <row r="729" spans="1:3" x14ac:dyDescent="0.35">
      <c r="A729" s="943" t="s">
        <v>2339</v>
      </c>
      <c r="B729" t="s">
        <v>2340</v>
      </c>
      <c r="C729" s="944">
        <v>0</v>
      </c>
    </row>
    <row r="730" spans="1:3" x14ac:dyDescent="0.35">
      <c r="A730" s="943" t="s">
        <v>2341</v>
      </c>
      <c r="B730" t="s">
        <v>2292</v>
      </c>
      <c r="C730" s="944">
        <v>0</v>
      </c>
    </row>
    <row r="731" spans="1:3" x14ac:dyDescent="0.35">
      <c r="A731" s="943" t="s">
        <v>2342</v>
      </c>
      <c r="B731" t="s">
        <v>2343</v>
      </c>
      <c r="C731" s="944">
        <v>0</v>
      </c>
    </row>
    <row r="732" spans="1:3" x14ac:dyDescent="0.35">
      <c r="B732" t="s">
        <v>1172</v>
      </c>
      <c r="C732" s="944">
        <v>2640086544</v>
      </c>
    </row>
    <row r="733" spans="1:3" x14ac:dyDescent="0.35">
      <c r="A733" s="943" t="s">
        <v>2344</v>
      </c>
      <c r="B733" t="s">
        <v>2196</v>
      </c>
    </row>
    <row r="734" spans="1:3" x14ac:dyDescent="0.35">
      <c r="A734" s="943" t="s">
        <v>2345</v>
      </c>
      <c r="B734" t="s">
        <v>2276</v>
      </c>
      <c r="C734" s="944">
        <v>0</v>
      </c>
    </row>
    <row r="735" spans="1:3" x14ac:dyDescent="0.35">
      <c r="A735" s="943" t="s">
        <v>2346</v>
      </c>
      <c r="B735" t="s">
        <v>2347</v>
      </c>
      <c r="C735" s="944">
        <v>0</v>
      </c>
    </row>
    <row r="736" spans="1:3" x14ac:dyDescent="0.35">
      <c r="A736" s="943" t="s">
        <v>2348</v>
      </c>
      <c r="B736" t="s">
        <v>2349</v>
      </c>
      <c r="C736" s="944">
        <v>0</v>
      </c>
    </row>
    <row r="737" spans="1:3" x14ac:dyDescent="0.35">
      <c r="A737" s="943" t="s">
        <v>2350</v>
      </c>
      <c r="B737" t="s">
        <v>2351</v>
      </c>
      <c r="C737" s="944">
        <v>0</v>
      </c>
    </row>
    <row r="738" spans="1:3" x14ac:dyDescent="0.35">
      <c r="A738" s="943" t="s">
        <v>2352</v>
      </c>
      <c r="B738" t="s">
        <v>2353</v>
      </c>
      <c r="C738" s="944">
        <v>0</v>
      </c>
    </row>
    <row r="739" spans="1:3" x14ac:dyDescent="0.35">
      <c r="A739" s="943" t="s">
        <v>2354</v>
      </c>
      <c r="B739" t="s">
        <v>2355</v>
      </c>
      <c r="C739" s="944">
        <v>0</v>
      </c>
    </row>
    <row r="740" spans="1:3" x14ac:dyDescent="0.35">
      <c r="A740" s="943" t="s">
        <v>2356</v>
      </c>
      <c r="B740" t="s">
        <v>2357</v>
      </c>
      <c r="C740" s="944">
        <v>0</v>
      </c>
    </row>
    <row r="741" spans="1:3" x14ac:dyDescent="0.35">
      <c r="A741" s="943" t="s">
        <v>2358</v>
      </c>
      <c r="B741" t="s">
        <v>2359</v>
      </c>
      <c r="C741" s="944">
        <v>0</v>
      </c>
    </row>
    <row r="742" spans="1:3" x14ac:dyDescent="0.35">
      <c r="A742" s="943" t="s">
        <v>2360</v>
      </c>
      <c r="B742" t="s">
        <v>2361</v>
      </c>
      <c r="C742" s="944">
        <v>0</v>
      </c>
    </row>
    <row r="743" spans="1:3" x14ac:dyDescent="0.35">
      <c r="A743" s="943" t="s">
        <v>2362</v>
      </c>
      <c r="B743" t="s">
        <v>2363</v>
      </c>
      <c r="C743" s="944">
        <v>0</v>
      </c>
    </row>
    <row r="744" spans="1:3" x14ac:dyDescent="0.35">
      <c r="A744" s="943" t="s">
        <v>2364</v>
      </c>
      <c r="B744" t="s">
        <v>2288</v>
      </c>
      <c r="C744" s="944">
        <v>0</v>
      </c>
    </row>
    <row r="745" spans="1:3" x14ac:dyDescent="0.35">
      <c r="A745" s="943" t="s">
        <v>2365</v>
      </c>
      <c r="B745" t="s">
        <v>2366</v>
      </c>
      <c r="C745" s="944">
        <v>0</v>
      </c>
    </row>
    <row r="746" spans="1:3" x14ac:dyDescent="0.35">
      <c r="A746" s="943" t="s">
        <v>2367</v>
      </c>
      <c r="B746" t="s">
        <v>2292</v>
      </c>
      <c r="C746" s="944">
        <v>0</v>
      </c>
    </row>
    <row r="747" spans="1:3" x14ac:dyDescent="0.35">
      <c r="A747" s="943" t="s">
        <v>2368</v>
      </c>
      <c r="B747" t="s">
        <v>2320</v>
      </c>
      <c r="C747" s="944">
        <v>0</v>
      </c>
    </row>
    <row r="748" spans="1:3" x14ac:dyDescent="0.35">
      <c r="B748" t="s">
        <v>2235</v>
      </c>
      <c r="C748" s="944">
        <v>0</v>
      </c>
    </row>
    <row r="749" spans="1:3" x14ac:dyDescent="0.35">
      <c r="A749" s="943" t="s">
        <v>2369</v>
      </c>
      <c r="B749" t="s">
        <v>2237</v>
      </c>
    </row>
    <row r="750" spans="1:3" x14ac:dyDescent="0.35">
      <c r="A750" s="943" t="s">
        <v>2370</v>
      </c>
      <c r="B750" t="s">
        <v>2276</v>
      </c>
      <c r="C750" s="944">
        <v>0</v>
      </c>
    </row>
    <row r="751" spans="1:3" x14ac:dyDescent="0.35">
      <c r="A751" s="943" t="s">
        <v>2371</v>
      </c>
      <c r="B751" t="s">
        <v>2372</v>
      </c>
      <c r="C751" s="944">
        <v>0</v>
      </c>
    </row>
    <row r="752" spans="1:3" x14ac:dyDescent="0.35">
      <c r="A752" s="943" t="s">
        <v>2373</v>
      </c>
      <c r="B752" t="s">
        <v>2374</v>
      </c>
      <c r="C752" s="944">
        <v>-524000000</v>
      </c>
    </row>
    <row r="753" spans="1:5" x14ac:dyDescent="0.35">
      <c r="A753" s="943" t="s">
        <v>2375</v>
      </c>
      <c r="B753" t="s">
        <v>2376</v>
      </c>
      <c r="C753" s="944">
        <v>0</v>
      </c>
    </row>
    <row r="754" spans="1:5" x14ac:dyDescent="0.35">
      <c r="A754" s="943" t="s">
        <v>2377</v>
      </c>
      <c r="B754" t="s">
        <v>2378</v>
      </c>
      <c r="C754" s="944">
        <v>-1872200000</v>
      </c>
    </row>
    <row r="755" spans="1:5" x14ac:dyDescent="0.35">
      <c r="A755" s="943" t="s">
        <v>2379</v>
      </c>
      <c r="B755" t="s">
        <v>2380</v>
      </c>
      <c r="C755" s="944">
        <v>0</v>
      </c>
    </row>
    <row r="756" spans="1:5" x14ac:dyDescent="0.35">
      <c r="A756" s="943" t="s">
        <v>2381</v>
      </c>
      <c r="B756" t="s">
        <v>2382</v>
      </c>
      <c r="C756" s="944">
        <v>-215150000</v>
      </c>
    </row>
    <row r="757" spans="1:5" x14ac:dyDescent="0.35">
      <c r="A757" s="943" t="s">
        <v>2383</v>
      </c>
      <c r="B757" t="s">
        <v>2384</v>
      </c>
      <c r="C757" s="944">
        <v>0</v>
      </c>
    </row>
    <row r="758" spans="1:5" x14ac:dyDescent="0.35">
      <c r="A758" s="943" t="s">
        <v>2385</v>
      </c>
      <c r="B758" t="s">
        <v>2386</v>
      </c>
      <c r="C758" s="944">
        <v>0</v>
      </c>
    </row>
    <row r="759" spans="1:5" x14ac:dyDescent="0.35">
      <c r="A759" s="943" t="s">
        <v>2387</v>
      </c>
      <c r="B759" t="s">
        <v>2388</v>
      </c>
      <c r="C759" s="944">
        <v>-28736544</v>
      </c>
    </row>
    <row r="760" spans="1:5" x14ac:dyDescent="0.35">
      <c r="A760" s="943" t="s">
        <v>2389</v>
      </c>
      <c r="B760" t="s">
        <v>2288</v>
      </c>
      <c r="C760" s="944">
        <v>0</v>
      </c>
    </row>
    <row r="761" spans="1:5" x14ac:dyDescent="0.35">
      <c r="A761" s="943" t="s">
        <v>2390</v>
      </c>
      <c r="B761" t="s">
        <v>2391</v>
      </c>
      <c r="C761" s="944">
        <v>0</v>
      </c>
    </row>
    <row r="762" spans="1:5" x14ac:dyDescent="0.35">
      <c r="A762" s="943" t="s">
        <v>2392</v>
      </c>
      <c r="B762" t="s">
        <v>2292</v>
      </c>
      <c r="C762" s="944">
        <v>0</v>
      </c>
    </row>
    <row r="763" spans="1:5" x14ac:dyDescent="0.35">
      <c r="A763" s="943" t="s">
        <v>2393</v>
      </c>
      <c r="B763" t="s">
        <v>2320</v>
      </c>
      <c r="C763" s="944">
        <v>0</v>
      </c>
    </row>
    <row r="764" spans="1:5" x14ac:dyDescent="0.35">
      <c r="B764" t="s">
        <v>2274</v>
      </c>
      <c r="C764" s="944">
        <v>-2640086544</v>
      </c>
    </row>
    <row r="765" spans="1:5" x14ac:dyDescent="0.35">
      <c r="B765" t="s">
        <v>1173</v>
      </c>
      <c r="C765" s="944">
        <v>0</v>
      </c>
      <c r="D765">
        <f>NRC!E70</f>
        <v>337644500</v>
      </c>
      <c r="E765" s="944">
        <f>C765-D765+C683</f>
        <v>-800</v>
      </c>
    </row>
    <row r="766" spans="1:5" x14ac:dyDescent="0.35">
      <c r="A766" s="943" t="s">
        <v>2394</v>
      </c>
      <c r="B766" t="s">
        <v>2395</v>
      </c>
    </row>
    <row r="767" spans="1:5" x14ac:dyDescent="0.35">
      <c r="A767" s="943" t="s">
        <v>2396</v>
      </c>
      <c r="B767" t="s">
        <v>1154</v>
      </c>
    </row>
    <row r="768" spans="1:5" x14ac:dyDescent="0.35">
      <c r="A768" s="943" t="s">
        <v>2397</v>
      </c>
      <c r="B768" t="s">
        <v>7200</v>
      </c>
      <c r="C768" s="944">
        <v>0</v>
      </c>
    </row>
    <row r="769" spans="1:5" x14ac:dyDescent="0.35">
      <c r="A769" s="943" t="s">
        <v>2399</v>
      </c>
      <c r="B769" t="s">
        <v>743</v>
      </c>
      <c r="C769" s="944">
        <v>3359970000</v>
      </c>
    </row>
    <row r="770" spans="1:5" x14ac:dyDescent="0.35">
      <c r="B770" t="s">
        <v>7202</v>
      </c>
      <c r="C770" s="944">
        <v>3078093087</v>
      </c>
    </row>
    <row r="771" spans="1:5" x14ac:dyDescent="0.35">
      <c r="A771" s="943" t="s">
        <v>2400</v>
      </c>
      <c r="B771" t="s">
        <v>1159</v>
      </c>
      <c r="C771">
        <v>6438063087</v>
      </c>
      <c r="D771">
        <f>NRC!E71</f>
        <v>6438063087</v>
      </c>
      <c r="E771">
        <f>C771-D771</f>
        <v>0</v>
      </c>
    </row>
    <row r="772" spans="1:5" x14ac:dyDescent="0.35">
      <c r="A772" s="943" t="s">
        <v>2401</v>
      </c>
      <c r="B772" t="s">
        <v>2116</v>
      </c>
      <c r="C772" s="944"/>
    </row>
    <row r="773" spans="1:5" x14ac:dyDescent="0.35">
      <c r="A773" s="943" t="s">
        <v>2402</v>
      </c>
      <c r="B773" t="s">
        <v>2398</v>
      </c>
      <c r="C773" s="944">
        <v>0</v>
      </c>
    </row>
    <row r="774" spans="1:5" x14ac:dyDescent="0.35">
      <c r="B774" t="s">
        <v>2156</v>
      </c>
      <c r="C774" s="944">
        <v>0</v>
      </c>
    </row>
    <row r="775" spans="1:5" x14ac:dyDescent="0.35">
      <c r="A775" s="943" t="s">
        <v>2403</v>
      </c>
      <c r="B775" t="s">
        <v>1169</v>
      </c>
    </row>
    <row r="776" spans="1:5" x14ac:dyDescent="0.35">
      <c r="A776" s="943" t="s">
        <v>2404</v>
      </c>
      <c r="B776" t="s">
        <v>2398</v>
      </c>
      <c r="C776" s="944">
        <v>0</v>
      </c>
    </row>
    <row r="777" spans="1:5" x14ac:dyDescent="0.35">
      <c r="A777" s="943" t="s">
        <v>2405</v>
      </c>
      <c r="B777" t="s">
        <v>2406</v>
      </c>
      <c r="C777" s="944">
        <v>0</v>
      </c>
    </row>
    <row r="778" spans="1:5" x14ac:dyDescent="0.35">
      <c r="B778" t="s">
        <v>1172</v>
      </c>
      <c r="C778" s="944">
        <v>0</v>
      </c>
    </row>
    <row r="779" spans="1:5" x14ac:dyDescent="0.35">
      <c r="A779" s="943" t="s">
        <v>2407</v>
      </c>
      <c r="B779" t="s">
        <v>2196</v>
      </c>
    </row>
    <row r="780" spans="1:5" x14ac:dyDescent="0.35">
      <c r="A780" s="943" t="s">
        <v>2408</v>
      </c>
      <c r="B780" t="s">
        <v>2398</v>
      </c>
      <c r="C780" s="944">
        <v>0</v>
      </c>
    </row>
    <row r="781" spans="1:5" x14ac:dyDescent="0.35">
      <c r="A781" s="943" t="s">
        <v>2409</v>
      </c>
      <c r="B781" t="s">
        <v>2410</v>
      </c>
      <c r="C781" s="944">
        <v>0</v>
      </c>
    </row>
    <row r="782" spans="1:5" x14ac:dyDescent="0.35">
      <c r="B782" t="s">
        <v>2235</v>
      </c>
      <c r="C782" s="944">
        <v>0</v>
      </c>
    </row>
    <row r="783" spans="1:5" x14ac:dyDescent="0.35">
      <c r="A783" s="943" t="s">
        <v>2411</v>
      </c>
      <c r="B783" t="s">
        <v>2412</v>
      </c>
    </row>
    <row r="784" spans="1:5" x14ac:dyDescent="0.35">
      <c r="A784" s="943" t="s">
        <v>2413</v>
      </c>
      <c r="B784" t="s">
        <v>2398</v>
      </c>
      <c r="C784" s="944">
        <v>0</v>
      </c>
    </row>
    <row r="785" spans="1:3" x14ac:dyDescent="0.35">
      <c r="A785" s="943" t="s">
        <v>2414</v>
      </c>
      <c r="B785" t="s">
        <v>2410</v>
      </c>
      <c r="C785" s="944">
        <v>0</v>
      </c>
    </row>
    <row r="786" spans="1:3" x14ac:dyDescent="0.35">
      <c r="B786" t="s">
        <v>2415</v>
      </c>
      <c r="C786" s="944">
        <v>0</v>
      </c>
    </row>
    <row r="787" spans="1:3" x14ac:dyDescent="0.35">
      <c r="B787" t="s">
        <v>2416</v>
      </c>
      <c r="C787" s="944">
        <v>6438063087</v>
      </c>
    </row>
    <row r="788" spans="1:3" x14ac:dyDescent="0.35">
      <c r="B788" t="s">
        <v>1174</v>
      </c>
      <c r="C788" s="944">
        <v>21237696475.389999</v>
      </c>
    </row>
  </sheetData>
  <pageMargins left="0.7" right="0.7" top="0.75" bottom="0.75" header="0.3" footer="0.3"/>
  <pageSetup paperSize="9" orientation="portrait" horizontalDpi="0" verticalDpi="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2583"/>
  <sheetViews>
    <sheetView topLeftCell="A10" workbookViewId="0">
      <selection activeCell="C16" sqref="C16:C2578"/>
    </sheetView>
  </sheetViews>
  <sheetFormatPr defaultRowHeight="14.5" x14ac:dyDescent="0.35"/>
  <cols>
    <col min="1" max="1" width="15.26953125" style="943" customWidth="1"/>
    <col min="2" max="2" width="40" bestFit="1" customWidth="1"/>
    <col min="3" max="3" width="25.1796875" customWidth="1"/>
    <col min="4" max="4" width="21.26953125" customWidth="1"/>
    <col min="5" max="5" width="25.1796875" customWidth="1"/>
  </cols>
  <sheetData>
    <row r="2" spans="1:3" x14ac:dyDescent="0.35">
      <c r="A2" s="943" t="s">
        <v>7326</v>
      </c>
    </row>
    <row r="3" spans="1:3" x14ac:dyDescent="0.35">
      <c r="A3" s="943" t="s">
        <v>7327</v>
      </c>
    </row>
    <row r="4" spans="1:3" x14ac:dyDescent="0.35">
      <c r="A4" s="943" t="s">
        <v>7328</v>
      </c>
    </row>
    <row r="6" spans="1:3" x14ac:dyDescent="0.35">
      <c r="A6" s="943" t="s">
        <v>3330</v>
      </c>
    </row>
    <row r="8" spans="1:3" x14ac:dyDescent="0.35">
      <c r="A8" s="943" t="s">
        <v>8513</v>
      </c>
    </row>
    <row r="9" spans="1:3" x14ac:dyDescent="0.35">
      <c r="A9" s="943" t="s">
        <v>8511</v>
      </c>
    </row>
    <row r="10" spans="1:3" x14ac:dyDescent="0.35">
      <c r="A10" s="943" t="s">
        <v>8514</v>
      </c>
    </row>
    <row r="12" spans="1:3" x14ac:dyDescent="0.35">
      <c r="A12" s="3054"/>
    </row>
    <row r="13" spans="1:3" x14ac:dyDescent="0.35">
      <c r="A13" s="943" t="s">
        <v>7820</v>
      </c>
      <c r="B13" t="s">
        <v>3331</v>
      </c>
    </row>
    <row r="14" spans="1:3" x14ac:dyDescent="0.35">
      <c r="A14" s="943" t="s">
        <v>7821</v>
      </c>
      <c r="B14" t="s">
        <v>3332</v>
      </c>
    </row>
    <row r="15" spans="1:3" x14ac:dyDescent="0.35">
      <c r="A15" s="943" t="s">
        <v>7822</v>
      </c>
      <c r="B15" t="s">
        <v>3333</v>
      </c>
    </row>
    <row r="16" spans="1:3" x14ac:dyDescent="0.35">
      <c r="A16" s="943" t="s">
        <v>3334</v>
      </c>
      <c r="B16" t="s">
        <v>3335</v>
      </c>
      <c r="C16" s="944">
        <v>0</v>
      </c>
    </row>
    <row r="17" spans="1:3" x14ac:dyDescent="0.35">
      <c r="A17" s="943" t="s">
        <v>3336</v>
      </c>
      <c r="B17" t="s">
        <v>3337</v>
      </c>
      <c r="C17" s="944">
        <v>0</v>
      </c>
    </row>
    <row r="18" spans="1:3" x14ac:dyDescent="0.35">
      <c r="A18" s="943" t="s">
        <v>3338</v>
      </c>
      <c r="B18" t="s">
        <v>3339</v>
      </c>
      <c r="C18" s="944">
        <v>0</v>
      </c>
    </row>
    <row r="19" spans="1:3" x14ac:dyDescent="0.35">
      <c r="A19" s="943" t="s">
        <v>3340</v>
      </c>
      <c r="B19" t="s">
        <v>3341</v>
      </c>
      <c r="C19" s="944">
        <v>0</v>
      </c>
    </row>
    <row r="20" spans="1:3" x14ac:dyDescent="0.35">
      <c r="A20" s="943" t="s">
        <v>3342</v>
      </c>
      <c r="B20" t="s">
        <v>3343</v>
      </c>
      <c r="C20" s="944">
        <v>0</v>
      </c>
    </row>
    <row r="21" spans="1:3" x14ac:dyDescent="0.35">
      <c r="A21" s="943" t="s">
        <v>3344</v>
      </c>
      <c r="B21" t="s">
        <v>3345</v>
      </c>
      <c r="C21" s="944">
        <v>0</v>
      </c>
    </row>
    <row r="22" spans="1:3" x14ac:dyDescent="0.35">
      <c r="A22" s="943" t="s">
        <v>3346</v>
      </c>
      <c r="B22" t="s">
        <v>3347</v>
      </c>
      <c r="C22" s="944">
        <v>0</v>
      </c>
    </row>
    <row r="23" spans="1:3" x14ac:dyDescent="0.35">
      <c r="A23" s="943" t="s">
        <v>3348</v>
      </c>
      <c r="B23" t="s">
        <v>3349</v>
      </c>
      <c r="C23" s="944">
        <v>0</v>
      </c>
    </row>
    <row r="24" spans="1:3" x14ac:dyDescent="0.35">
      <c r="A24" s="943" t="s">
        <v>3350</v>
      </c>
      <c r="B24" t="s">
        <v>3351</v>
      </c>
      <c r="C24" s="944">
        <v>0</v>
      </c>
    </row>
    <row r="25" spans="1:3" x14ac:dyDescent="0.35">
      <c r="A25" s="943" t="s">
        <v>3352</v>
      </c>
      <c r="B25" t="s">
        <v>3353</v>
      </c>
      <c r="C25" s="944">
        <v>0</v>
      </c>
    </row>
    <row r="26" spans="1:3" x14ac:dyDescent="0.35">
      <c r="A26" s="943" t="s">
        <v>3354</v>
      </c>
      <c r="B26" t="s">
        <v>3355</v>
      </c>
      <c r="C26" s="944">
        <v>0</v>
      </c>
    </row>
    <row r="27" spans="1:3" x14ac:dyDescent="0.35">
      <c r="A27" s="943" t="s">
        <v>3356</v>
      </c>
      <c r="B27" t="s">
        <v>3357</v>
      </c>
      <c r="C27" s="944">
        <v>0</v>
      </c>
    </row>
    <row r="28" spans="1:3" x14ac:dyDescent="0.35">
      <c r="A28" s="943" t="s">
        <v>3358</v>
      </c>
      <c r="B28" t="s">
        <v>3359</v>
      </c>
      <c r="C28" s="944">
        <v>0</v>
      </c>
    </row>
    <row r="29" spans="1:3" x14ac:dyDescent="0.35">
      <c r="A29" s="943" t="s">
        <v>3360</v>
      </c>
      <c r="B29" t="s">
        <v>3361</v>
      </c>
      <c r="C29" s="944">
        <v>0</v>
      </c>
    </row>
    <row r="30" spans="1:3" x14ac:dyDescent="0.35">
      <c r="A30" s="943" t="s">
        <v>3362</v>
      </c>
      <c r="B30" t="s">
        <v>3363</v>
      </c>
      <c r="C30" s="944">
        <v>0</v>
      </c>
    </row>
    <row r="31" spans="1:3" x14ac:dyDescent="0.35">
      <c r="A31" s="943" t="s">
        <v>3364</v>
      </c>
      <c r="B31" t="s">
        <v>3365</v>
      </c>
      <c r="C31" s="944">
        <v>0</v>
      </c>
    </row>
    <row r="32" spans="1:3" x14ac:dyDescent="0.35">
      <c r="A32" s="943" t="s">
        <v>3366</v>
      </c>
      <c r="B32" t="s">
        <v>3367</v>
      </c>
      <c r="C32" s="944">
        <v>0</v>
      </c>
    </row>
    <row r="33" spans="1:3" x14ac:dyDescent="0.35">
      <c r="A33" s="943" t="s">
        <v>3368</v>
      </c>
      <c r="B33" t="s">
        <v>3369</v>
      </c>
      <c r="C33" s="944">
        <v>0</v>
      </c>
    </row>
    <row r="34" spans="1:3" x14ac:dyDescent="0.35">
      <c r="A34" s="943" t="s">
        <v>3370</v>
      </c>
      <c r="B34" t="s">
        <v>350</v>
      </c>
      <c r="C34" s="944">
        <v>0</v>
      </c>
    </row>
    <row r="35" spans="1:3" x14ac:dyDescent="0.35">
      <c r="B35" t="s">
        <v>3371</v>
      </c>
      <c r="C35" s="944">
        <v>0</v>
      </c>
    </row>
    <row r="36" spans="1:3" x14ac:dyDescent="0.35">
      <c r="A36" s="943" t="s">
        <v>7823</v>
      </c>
      <c r="B36" t="s">
        <v>3372</v>
      </c>
      <c r="C36" s="944"/>
    </row>
    <row r="37" spans="1:3" x14ac:dyDescent="0.35">
      <c r="A37" s="943" t="s">
        <v>3373</v>
      </c>
      <c r="B37" t="s">
        <v>3374</v>
      </c>
      <c r="C37" s="944">
        <v>0</v>
      </c>
    </row>
    <row r="38" spans="1:3" x14ac:dyDescent="0.35">
      <c r="A38" s="943" t="s">
        <v>3375</v>
      </c>
      <c r="B38" t="s">
        <v>3376</v>
      </c>
      <c r="C38" s="944">
        <v>256700000</v>
      </c>
    </row>
    <row r="39" spans="1:3" x14ac:dyDescent="0.35">
      <c r="A39" s="943" t="s">
        <v>3377</v>
      </c>
      <c r="B39" t="s">
        <v>3378</v>
      </c>
      <c r="C39" s="944">
        <v>0</v>
      </c>
    </row>
    <row r="40" spans="1:3" x14ac:dyDescent="0.35">
      <c r="A40" s="943" t="s">
        <v>3379</v>
      </c>
      <c r="B40" t="s">
        <v>3380</v>
      </c>
      <c r="C40" s="944">
        <v>0</v>
      </c>
    </row>
    <row r="41" spans="1:3" x14ac:dyDescent="0.35">
      <c r="A41" s="943" t="s">
        <v>3381</v>
      </c>
      <c r="B41" t="s">
        <v>3382</v>
      </c>
      <c r="C41" s="944">
        <v>0</v>
      </c>
    </row>
    <row r="42" spans="1:3" x14ac:dyDescent="0.35">
      <c r="A42" s="943" t="s">
        <v>3383</v>
      </c>
      <c r="B42" t="s">
        <v>7920</v>
      </c>
      <c r="C42" s="944">
        <v>0</v>
      </c>
    </row>
    <row r="43" spans="1:3" x14ac:dyDescent="0.35">
      <c r="A43" s="943" t="s">
        <v>3384</v>
      </c>
      <c r="B43" t="s">
        <v>3385</v>
      </c>
      <c r="C43" s="944">
        <v>0</v>
      </c>
    </row>
    <row r="44" spans="1:3" x14ac:dyDescent="0.35">
      <c r="A44" s="943" t="s">
        <v>3386</v>
      </c>
      <c r="B44" t="s">
        <v>3387</v>
      </c>
      <c r="C44" s="944">
        <v>0</v>
      </c>
    </row>
    <row r="45" spans="1:3" x14ac:dyDescent="0.35">
      <c r="A45" s="943" t="s">
        <v>3388</v>
      </c>
      <c r="B45" t="s">
        <v>3389</v>
      </c>
      <c r="C45" s="944">
        <v>0</v>
      </c>
    </row>
    <row r="46" spans="1:3" x14ac:dyDescent="0.35">
      <c r="A46" s="943" t="s">
        <v>3390</v>
      </c>
      <c r="B46" t="s">
        <v>3391</v>
      </c>
      <c r="C46" s="944">
        <v>0</v>
      </c>
    </row>
    <row r="47" spans="1:3" x14ac:dyDescent="0.35">
      <c r="A47" s="943" t="s">
        <v>3392</v>
      </c>
      <c r="B47" t="s">
        <v>3393</v>
      </c>
      <c r="C47" s="944">
        <v>0</v>
      </c>
    </row>
    <row r="48" spans="1:3" x14ac:dyDescent="0.35">
      <c r="A48" s="943" t="s">
        <v>3394</v>
      </c>
      <c r="B48" t="s">
        <v>3395</v>
      </c>
      <c r="C48" s="944">
        <v>0</v>
      </c>
    </row>
    <row r="49" spans="1:3" x14ac:dyDescent="0.35">
      <c r="A49" s="943" t="s">
        <v>3396</v>
      </c>
      <c r="B49" t="s">
        <v>3359</v>
      </c>
      <c r="C49" s="944">
        <v>0</v>
      </c>
    </row>
    <row r="50" spans="1:3" x14ac:dyDescent="0.35">
      <c r="A50" s="943" t="s">
        <v>3397</v>
      </c>
      <c r="B50" t="s">
        <v>3398</v>
      </c>
      <c r="C50" s="944">
        <v>0</v>
      </c>
    </row>
    <row r="51" spans="1:3" x14ac:dyDescent="0.35">
      <c r="A51" s="943" t="s">
        <v>3399</v>
      </c>
      <c r="B51" t="s">
        <v>3400</v>
      </c>
      <c r="C51" s="944">
        <v>0</v>
      </c>
    </row>
    <row r="52" spans="1:3" x14ac:dyDescent="0.35">
      <c r="A52" s="943" t="s">
        <v>3401</v>
      </c>
      <c r="B52" t="s">
        <v>3402</v>
      </c>
      <c r="C52" s="944">
        <v>0</v>
      </c>
    </row>
    <row r="53" spans="1:3" x14ac:dyDescent="0.35">
      <c r="A53" s="943" t="s">
        <v>3403</v>
      </c>
      <c r="B53" t="s">
        <v>3404</v>
      </c>
      <c r="C53" s="944">
        <v>0</v>
      </c>
    </row>
    <row r="54" spans="1:3" x14ac:dyDescent="0.35">
      <c r="A54" s="943" t="s">
        <v>3405</v>
      </c>
      <c r="B54" t="s">
        <v>3406</v>
      </c>
      <c r="C54" s="944">
        <v>0</v>
      </c>
    </row>
    <row r="55" spans="1:3" x14ac:dyDescent="0.35">
      <c r="A55" s="943" t="s">
        <v>3407</v>
      </c>
      <c r="B55" t="s">
        <v>350</v>
      </c>
      <c r="C55" s="944">
        <v>0</v>
      </c>
    </row>
    <row r="56" spans="1:3" x14ac:dyDescent="0.35">
      <c r="B56" t="s">
        <v>3408</v>
      </c>
      <c r="C56" s="944">
        <v>256700000</v>
      </c>
    </row>
    <row r="57" spans="1:3" x14ac:dyDescent="0.35">
      <c r="A57" s="943" t="s">
        <v>7824</v>
      </c>
      <c r="B57" t="s">
        <v>3409</v>
      </c>
      <c r="C57" s="944"/>
    </row>
    <row r="58" spans="1:3" x14ac:dyDescent="0.35">
      <c r="A58" s="943" t="s">
        <v>3410</v>
      </c>
      <c r="B58" t="s">
        <v>3411</v>
      </c>
      <c r="C58" s="944">
        <v>0</v>
      </c>
    </row>
    <row r="59" spans="1:3" x14ac:dyDescent="0.35">
      <c r="A59" s="943" t="s">
        <v>3412</v>
      </c>
      <c r="B59" t="s">
        <v>3413</v>
      </c>
      <c r="C59" s="944">
        <v>290700000</v>
      </c>
    </row>
    <row r="60" spans="1:3" x14ac:dyDescent="0.35">
      <c r="A60" s="943" t="s">
        <v>3414</v>
      </c>
      <c r="B60" t="s">
        <v>3415</v>
      </c>
      <c r="C60" s="944">
        <v>0</v>
      </c>
    </row>
    <row r="61" spans="1:3" x14ac:dyDescent="0.35">
      <c r="A61" s="943" t="s">
        <v>3416</v>
      </c>
      <c r="B61" t="s">
        <v>3417</v>
      </c>
      <c r="C61" s="944">
        <v>0</v>
      </c>
    </row>
    <row r="62" spans="1:3" x14ac:dyDescent="0.35">
      <c r="A62" s="943" t="s">
        <v>3418</v>
      </c>
      <c r="B62" t="s">
        <v>3419</v>
      </c>
      <c r="C62" s="944">
        <v>0</v>
      </c>
    </row>
    <row r="63" spans="1:3" x14ac:dyDescent="0.35">
      <c r="A63" s="943" t="s">
        <v>3420</v>
      </c>
      <c r="B63" t="s">
        <v>7921</v>
      </c>
      <c r="C63" s="944">
        <v>0</v>
      </c>
    </row>
    <row r="64" spans="1:3" x14ac:dyDescent="0.35">
      <c r="A64" s="943" t="s">
        <v>3421</v>
      </c>
      <c r="B64" t="s">
        <v>3422</v>
      </c>
      <c r="C64" s="944">
        <v>0</v>
      </c>
    </row>
    <row r="65" spans="1:3" x14ac:dyDescent="0.35">
      <c r="A65" s="943" t="s">
        <v>3423</v>
      </c>
      <c r="B65" t="s">
        <v>3424</v>
      </c>
      <c r="C65" s="944">
        <v>0</v>
      </c>
    </row>
    <row r="66" spans="1:3" x14ac:dyDescent="0.35">
      <c r="A66" s="943" t="s">
        <v>3425</v>
      </c>
      <c r="B66" t="s">
        <v>3426</v>
      </c>
      <c r="C66" s="944">
        <v>0</v>
      </c>
    </row>
    <row r="67" spans="1:3" x14ac:dyDescent="0.35">
      <c r="A67" s="943" t="s">
        <v>3427</v>
      </c>
      <c r="B67" t="s">
        <v>3428</v>
      </c>
      <c r="C67" s="944">
        <v>0</v>
      </c>
    </row>
    <row r="68" spans="1:3" x14ac:dyDescent="0.35">
      <c r="A68" s="943" t="s">
        <v>3429</v>
      </c>
      <c r="B68" t="s">
        <v>3430</v>
      </c>
      <c r="C68" s="944">
        <v>0</v>
      </c>
    </row>
    <row r="69" spans="1:3" x14ac:dyDescent="0.35">
      <c r="A69" s="943" t="s">
        <v>3431</v>
      </c>
      <c r="B69" t="s">
        <v>3432</v>
      </c>
      <c r="C69" s="944">
        <v>0</v>
      </c>
    </row>
    <row r="70" spans="1:3" x14ac:dyDescent="0.35">
      <c r="A70" s="943" t="s">
        <v>3433</v>
      </c>
      <c r="B70" t="s">
        <v>3359</v>
      </c>
      <c r="C70" s="944">
        <v>0</v>
      </c>
    </row>
    <row r="71" spans="1:3" x14ac:dyDescent="0.35">
      <c r="A71" s="943" t="s">
        <v>3434</v>
      </c>
      <c r="B71" t="s">
        <v>3398</v>
      </c>
      <c r="C71" s="944">
        <v>0</v>
      </c>
    </row>
    <row r="72" spans="1:3" x14ac:dyDescent="0.35">
      <c r="A72" s="943" t="s">
        <v>3435</v>
      </c>
      <c r="B72" t="s">
        <v>3436</v>
      </c>
      <c r="C72" s="944">
        <v>0</v>
      </c>
    </row>
    <row r="73" spans="1:3" x14ac:dyDescent="0.35">
      <c r="A73" s="943" t="s">
        <v>3437</v>
      </c>
      <c r="B73" t="s">
        <v>3438</v>
      </c>
      <c r="C73" s="944">
        <v>0</v>
      </c>
    </row>
    <row r="74" spans="1:3" x14ac:dyDescent="0.35">
      <c r="A74" s="943" t="s">
        <v>3439</v>
      </c>
      <c r="B74" t="s">
        <v>3440</v>
      </c>
      <c r="C74" s="944">
        <v>0</v>
      </c>
    </row>
    <row r="75" spans="1:3" x14ac:dyDescent="0.35">
      <c r="A75" s="943" t="s">
        <v>3441</v>
      </c>
      <c r="B75" t="s">
        <v>3442</v>
      </c>
      <c r="C75" s="944">
        <v>0</v>
      </c>
    </row>
    <row r="76" spans="1:3" x14ac:dyDescent="0.35">
      <c r="A76" s="943" t="s">
        <v>3443</v>
      </c>
      <c r="B76" t="s">
        <v>350</v>
      </c>
      <c r="C76" s="944">
        <v>0</v>
      </c>
    </row>
    <row r="77" spans="1:3" x14ac:dyDescent="0.35">
      <c r="B77" t="s">
        <v>3444</v>
      </c>
      <c r="C77" s="944">
        <v>290700000</v>
      </c>
    </row>
    <row r="78" spans="1:3" x14ac:dyDescent="0.35">
      <c r="B78" t="s">
        <v>3445</v>
      </c>
      <c r="C78" s="944">
        <v>547400000</v>
      </c>
    </row>
    <row r="79" spans="1:3" x14ac:dyDescent="0.35">
      <c r="A79" s="943" t="s">
        <v>7840</v>
      </c>
      <c r="B79" t="s">
        <v>3446</v>
      </c>
    </row>
    <row r="80" spans="1:3" x14ac:dyDescent="0.35">
      <c r="A80" s="943" t="s">
        <v>7841</v>
      </c>
      <c r="B80" t="s">
        <v>3447</v>
      </c>
    </row>
    <row r="81" spans="1:3" x14ac:dyDescent="0.35">
      <c r="A81" s="943" t="s">
        <v>4449</v>
      </c>
      <c r="B81" t="s">
        <v>3448</v>
      </c>
      <c r="C81" s="944">
        <v>0</v>
      </c>
    </row>
    <row r="82" spans="1:3" x14ac:dyDescent="0.35">
      <c r="A82" s="943" t="s">
        <v>4450</v>
      </c>
      <c r="B82" t="s">
        <v>3449</v>
      </c>
      <c r="C82" s="944">
        <v>0</v>
      </c>
    </row>
    <row r="83" spans="1:3" x14ac:dyDescent="0.35">
      <c r="A83" s="943" t="s">
        <v>4451</v>
      </c>
      <c r="B83" t="s">
        <v>3450</v>
      </c>
      <c r="C83" s="944">
        <v>0</v>
      </c>
    </row>
    <row r="84" spans="1:3" x14ac:dyDescent="0.35">
      <c r="A84" s="943" t="s">
        <v>4452</v>
      </c>
      <c r="B84" t="s">
        <v>3451</v>
      </c>
      <c r="C84" s="944">
        <v>0</v>
      </c>
    </row>
    <row r="85" spans="1:3" x14ac:dyDescent="0.35">
      <c r="A85" s="943" t="s">
        <v>4453</v>
      </c>
      <c r="B85" t="s">
        <v>3452</v>
      </c>
      <c r="C85" s="944">
        <v>0</v>
      </c>
    </row>
    <row r="86" spans="1:3" x14ac:dyDescent="0.35">
      <c r="A86" s="943" t="s">
        <v>4454</v>
      </c>
      <c r="B86" t="s">
        <v>3453</v>
      </c>
      <c r="C86" s="944">
        <v>0</v>
      </c>
    </row>
    <row r="87" spans="1:3" x14ac:dyDescent="0.35">
      <c r="A87" s="943" t="s">
        <v>4455</v>
      </c>
      <c r="B87" t="s">
        <v>3454</v>
      </c>
      <c r="C87" s="944">
        <v>0</v>
      </c>
    </row>
    <row r="88" spans="1:3" x14ac:dyDescent="0.35">
      <c r="A88" s="943" t="s">
        <v>4456</v>
      </c>
      <c r="B88" t="s">
        <v>3455</v>
      </c>
      <c r="C88" s="944">
        <v>1000000</v>
      </c>
    </row>
    <row r="89" spans="1:3" x14ac:dyDescent="0.35">
      <c r="A89" s="943" t="s">
        <v>4457</v>
      </c>
      <c r="B89" t="s">
        <v>3456</v>
      </c>
      <c r="C89" s="944">
        <v>100</v>
      </c>
    </row>
    <row r="90" spans="1:3" x14ac:dyDescent="0.35">
      <c r="B90" t="s">
        <v>3457</v>
      </c>
      <c r="C90" s="944">
        <v>1000100</v>
      </c>
    </row>
    <row r="91" spans="1:3" x14ac:dyDescent="0.35">
      <c r="A91" s="943" t="s">
        <v>7842</v>
      </c>
      <c r="B91" t="s">
        <v>3458</v>
      </c>
    </row>
    <row r="92" spans="1:3" x14ac:dyDescent="0.35">
      <c r="A92" s="943" t="s">
        <v>4458</v>
      </c>
      <c r="B92" t="s">
        <v>3459</v>
      </c>
      <c r="C92" s="944">
        <v>0</v>
      </c>
    </row>
    <row r="93" spans="1:3" x14ac:dyDescent="0.35">
      <c r="A93" s="943" t="s">
        <v>4459</v>
      </c>
      <c r="B93" t="s">
        <v>3460</v>
      </c>
      <c r="C93" s="944">
        <v>0</v>
      </c>
    </row>
    <row r="94" spans="1:3" x14ac:dyDescent="0.35">
      <c r="A94" s="943" t="s">
        <v>4460</v>
      </c>
      <c r="B94" t="s">
        <v>3461</v>
      </c>
      <c r="C94" s="944">
        <v>0</v>
      </c>
    </row>
    <row r="95" spans="1:3" x14ac:dyDescent="0.35">
      <c r="A95" s="943" t="s">
        <v>4461</v>
      </c>
      <c r="B95" t="s">
        <v>3462</v>
      </c>
      <c r="C95" s="944">
        <v>0</v>
      </c>
    </row>
    <row r="96" spans="1:3" x14ac:dyDescent="0.35">
      <c r="A96" s="943" t="s">
        <v>4462</v>
      </c>
      <c r="B96" t="s">
        <v>3463</v>
      </c>
      <c r="C96" s="944">
        <v>0</v>
      </c>
    </row>
    <row r="97" spans="1:3" x14ac:dyDescent="0.35">
      <c r="A97" s="943" t="s">
        <v>4463</v>
      </c>
      <c r="B97" t="s">
        <v>3464</v>
      </c>
      <c r="C97" s="944">
        <v>0</v>
      </c>
    </row>
    <row r="98" spans="1:3" x14ac:dyDescent="0.35">
      <c r="A98" s="943" t="s">
        <v>4464</v>
      </c>
      <c r="B98" t="s">
        <v>3465</v>
      </c>
      <c r="C98" s="944">
        <v>0</v>
      </c>
    </row>
    <row r="99" spans="1:3" x14ac:dyDescent="0.35">
      <c r="A99" s="943" t="s">
        <v>4465</v>
      </c>
      <c r="B99" t="s">
        <v>3466</v>
      </c>
      <c r="C99" s="944">
        <v>0</v>
      </c>
    </row>
    <row r="100" spans="1:3" x14ac:dyDescent="0.35">
      <c r="A100" s="943" t="s">
        <v>4466</v>
      </c>
      <c r="B100" t="s">
        <v>3467</v>
      </c>
      <c r="C100" s="944">
        <v>0</v>
      </c>
    </row>
    <row r="101" spans="1:3" x14ac:dyDescent="0.35">
      <c r="B101" t="s">
        <v>3468</v>
      </c>
      <c r="C101" s="944">
        <v>0</v>
      </c>
    </row>
    <row r="102" spans="1:3" x14ac:dyDescent="0.35">
      <c r="A102" s="943" t="s">
        <v>7843</v>
      </c>
      <c r="B102" t="s">
        <v>3469</v>
      </c>
    </row>
    <row r="103" spans="1:3" x14ac:dyDescent="0.35">
      <c r="A103" s="943" t="s">
        <v>4467</v>
      </c>
      <c r="B103" t="s">
        <v>3470</v>
      </c>
      <c r="C103" s="944">
        <v>0</v>
      </c>
    </row>
    <row r="104" spans="1:3" x14ac:dyDescent="0.35">
      <c r="A104" s="943" t="s">
        <v>4468</v>
      </c>
      <c r="B104" t="s">
        <v>3471</v>
      </c>
      <c r="C104" s="944">
        <v>0</v>
      </c>
    </row>
    <row r="105" spans="1:3" x14ac:dyDescent="0.35">
      <c r="A105" s="943" t="s">
        <v>4469</v>
      </c>
      <c r="B105" t="s">
        <v>3472</v>
      </c>
      <c r="C105" s="944">
        <v>0</v>
      </c>
    </row>
    <row r="106" spans="1:3" x14ac:dyDescent="0.35">
      <c r="A106" s="943" t="s">
        <v>4470</v>
      </c>
      <c r="B106" t="s">
        <v>3473</v>
      </c>
      <c r="C106" s="944">
        <v>0</v>
      </c>
    </row>
    <row r="107" spans="1:3" x14ac:dyDescent="0.35">
      <c r="A107" s="943" t="s">
        <v>4471</v>
      </c>
      <c r="B107" t="s">
        <v>3474</v>
      </c>
      <c r="C107" s="944">
        <v>0</v>
      </c>
    </row>
    <row r="108" spans="1:3" x14ac:dyDescent="0.35">
      <c r="A108" s="943" t="s">
        <v>4472</v>
      </c>
      <c r="B108" t="s">
        <v>3475</v>
      </c>
      <c r="C108" s="944">
        <v>0</v>
      </c>
    </row>
    <row r="109" spans="1:3" x14ac:dyDescent="0.35">
      <c r="A109" s="943" t="s">
        <v>4473</v>
      </c>
      <c r="B109" t="s">
        <v>3476</v>
      </c>
      <c r="C109" s="944">
        <v>0</v>
      </c>
    </row>
    <row r="110" spans="1:3" x14ac:dyDescent="0.35">
      <c r="A110" s="943" t="s">
        <v>4474</v>
      </c>
      <c r="B110" t="s">
        <v>3477</v>
      </c>
      <c r="C110" s="944">
        <v>0</v>
      </c>
    </row>
    <row r="111" spans="1:3" x14ac:dyDescent="0.35">
      <c r="A111" s="943" t="s">
        <v>4475</v>
      </c>
      <c r="B111" t="s">
        <v>3478</v>
      </c>
      <c r="C111" s="944">
        <v>0</v>
      </c>
    </row>
    <row r="112" spans="1:3" x14ac:dyDescent="0.35">
      <c r="B112" t="s">
        <v>3479</v>
      </c>
      <c r="C112" s="944">
        <v>0</v>
      </c>
    </row>
    <row r="113" spans="1:3" x14ac:dyDescent="0.35">
      <c r="A113" s="943" t="s">
        <v>7844</v>
      </c>
      <c r="B113" t="s">
        <v>3480</v>
      </c>
    </row>
    <row r="114" spans="1:3" x14ac:dyDescent="0.35">
      <c r="A114" s="943" t="s">
        <v>4476</v>
      </c>
      <c r="B114" t="s">
        <v>3481</v>
      </c>
      <c r="C114" s="944">
        <v>0</v>
      </c>
    </row>
    <row r="115" spans="1:3" x14ac:dyDescent="0.35">
      <c r="A115" s="943" t="s">
        <v>4477</v>
      </c>
      <c r="B115" t="s">
        <v>3482</v>
      </c>
      <c r="C115" s="944">
        <v>0</v>
      </c>
    </row>
    <row r="116" spans="1:3" x14ac:dyDescent="0.35">
      <c r="A116" s="943" t="s">
        <v>4478</v>
      </c>
      <c r="B116" t="s">
        <v>3483</v>
      </c>
      <c r="C116" s="944">
        <v>0</v>
      </c>
    </row>
    <row r="117" spans="1:3" x14ac:dyDescent="0.35">
      <c r="A117" s="943" t="s">
        <v>4479</v>
      </c>
      <c r="B117" t="s">
        <v>3484</v>
      </c>
      <c r="C117" s="944">
        <v>0</v>
      </c>
    </row>
    <row r="118" spans="1:3" x14ac:dyDescent="0.35">
      <c r="A118" s="943" t="s">
        <v>4480</v>
      </c>
      <c r="B118" t="s">
        <v>3485</v>
      </c>
      <c r="C118" s="944">
        <v>0</v>
      </c>
    </row>
    <row r="119" spans="1:3" x14ac:dyDescent="0.35">
      <c r="A119" s="943" t="s">
        <v>4481</v>
      </c>
      <c r="B119" t="s">
        <v>3486</v>
      </c>
      <c r="C119" s="944">
        <v>0</v>
      </c>
    </row>
    <row r="120" spans="1:3" x14ac:dyDescent="0.35">
      <c r="A120" s="943" t="s">
        <v>4482</v>
      </c>
      <c r="B120" t="s">
        <v>3487</v>
      </c>
      <c r="C120" s="944">
        <v>0</v>
      </c>
    </row>
    <row r="121" spans="1:3" x14ac:dyDescent="0.35">
      <c r="A121" s="943" t="s">
        <v>4483</v>
      </c>
      <c r="B121" t="s">
        <v>3488</v>
      </c>
      <c r="C121" s="944">
        <v>0</v>
      </c>
    </row>
    <row r="122" spans="1:3" x14ac:dyDescent="0.35">
      <c r="A122" s="943" t="s">
        <v>4484</v>
      </c>
      <c r="B122" t="s">
        <v>3489</v>
      </c>
      <c r="C122" s="944">
        <v>0</v>
      </c>
    </row>
    <row r="123" spans="1:3" x14ac:dyDescent="0.35">
      <c r="B123" t="s">
        <v>3490</v>
      </c>
      <c r="C123" s="944">
        <v>0</v>
      </c>
    </row>
    <row r="124" spans="1:3" x14ac:dyDescent="0.35">
      <c r="A124" s="943" t="s">
        <v>7845</v>
      </c>
      <c r="B124" t="s">
        <v>3491</v>
      </c>
    </row>
    <row r="125" spans="1:3" x14ac:dyDescent="0.35">
      <c r="A125" s="943" t="s">
        <v>4485</v>
      </c>
      <c r="B125" t="s">
        <v>3492</v>
      </c>
      <c r="C125" s="944">
        <v>0</v>
      </c>
    </row>
    <row r="126" spans="1:3" x14ac:dyDescent="0.35">
      <c r="A126" s="943" t="s">
        <v>4486</v>
      </c>
      <c r="B126" t="s">
        <v>3493</v>
      </c>
      <c r="C126" s="944">
        <v>0</v>
      </c>
    </row>
    <row r="127" spans="1:3" x14ac:dyDescent="0.35">
      <c r="A127" s="943" t="s">
        <v>4487</v>
      </c>
      <c r="B127" t="s">
        <v>3494</v>
      </c>
      <c r="C127" s="944">
        <v>0</v>
      </c>
    </row>
    <row r="128" spans="1:3" x14ac:dyDescent="0.35">
      <c r="A128" s="943" t="s">
        <v>4488</v>
      </c>
      <c r="B128" t="s">
        <v>3495</v>
      </c>
      <c r="C128" s="944">
        <v>0</v>
      </c>
    </row>
    <row r="129" spans="1:3" x14ac:dyDescent="0.35">
      <c r="A129" s="943" t="s">
        <v>4489</v>
      </c>
      <c r="B129" t="s">
        <v>3496</v>
      </c>
      <c r="C129" s="944">
        <v>0</v>
      </c>
    </row>
    <row r="130" spans="1:3" x14ac:dyDescent="0.35">
      <c r="A130" s="943" t="s">
        <v>4490</v>
      </c>
      <c r="B130" t="s">
        <v>3497</v>
      </c>
      <c r="C130" s="944">
        <v>0</v>
      </c>
    </row>
    <row r="131" spans="1:3" x14ac:dyDescent="0.35">
      <c r="A131" s="943" t="s">
        <v>4491</v>
      </c>
      <c r="B131" t="s">
        <v>3498</v>
      </c>
      <c r="C131" s="944">
        <v>0</v>
      </c>
    </row>
    <row r="132" spans="1:3" x14ac:dyDescent="0.35">
      <c r="A132" s="943" t="s">
        <v>4492</v>
      </c>
      <c r="B132" t="s">
        <v>3499</v>
      </c>
      <c r="C132" s="944">
        <v>0</v>
      </c>
    </row>
    <row r="133" spans="1:3" x14ac:dyDescent="0.35">
      <c r="A133" s="943" t="s">
        <v>4493</v>
      </c>
      <c r="B133" t="s">
        <v>3500</v>
      </c>
      <c r="C133" s="944">
        <v>0</v>
      </c>
    </row>
    <row r="134" spans="1:3" x14ac:dyDescent="0.35">
      <c r="B134" t="s">
        <v>3501</v>
      </c>
      <c r="C134" s="944">
        <v>0</v>
      </c>
    </row>
    <row r="135" spans="1:3" x14ac:dyDescent="0.35">
      <c r="A135" s="943" t="s">
        <v>7846</v>
      </c>
      <c r="B135" t="s">
        <v>3502</v>
      </c>
      <c r="C135" s="944"/>
    </row>
    <row r="136" spans="1:3" x14ac:dyDescent="0.35">
      <c r="B136" t="s">
        <v>3503</v>
      </c>
      <c r="C136" s="944">
        <v>1000100</v>
      </c>
    </row>
    <row r="137" spans="1:3" x14ac:dyDescent="0.35">
      <c r="A137" s="943" t="s">
        <v>7847</v>
      </c>
      <c r="B137" t="s">
        <v>3504</v>
      </c>
    </row>
    <row r="138" spans="1:3" x14ac:dyDescent="0.35">
      <c r="A138" s="943" t="s">
        <v>7848</v>
      </c>
      <c r="B138" t="s">
        <v>3505</v>
      </c>
    </row>
    <row r="139" spans="1:3" x14ac:dyDescent="0.35">
      <c r="A139" s="943" t="s">
        <v>4494</v>
      </c>
      <c r="B139" t="s">
        <v>3506</v>
      </c>
      <c r="C139" s="944">
        <v>0</v>
      </c>
    </row>
    <row r="140" spans="1:3" x14ac:dyDescent="0.35">
      <c r="A140" s="943" t="s">
        <v>4495</v>
      </c>
      <c r="B140" t="s">
        <v>3507</v>
      </c>
      <c r="C140" s="944">
        <v>0</v>
      </c>
    </row>
    <row r="141" spans="1:3" x14ac:dyDescent="0.35">
      <c r="A141" s="943" t="s">
        <v>4496</v>
      </c>
      <c r="B141" t="s">
        <v>3508</v>
      </c>
      <c r="C141" s="944">
        <v>0</v>
      </c>
    </row>
    <row r="142" spans="1:3" x14ac:dyDescent="0.35">
      <c r="A142" s="943" t="s">
        <v>4497</v>
      </c>
      <c r="B142" t="s">
        <v>3509</v>
      </c>
      <c r="C142" s="944">
        <v>0</v>
      </c>
    </row>
    <row r="143" spans="1:3" x14ac:dyDescent="0.35">
      <c r="A143" s="943" t="s">
        <v>4498</v>
      </c>
      <c r="B143" t="s">
        <v>3510</v>
      </c>
      <c r="C143" s="944">
        <v>0</v>
      </c>
    </row>
    <row r="144" spans="1:3" x14ac:dyDescent="0.35">
      <c r="A144" s="943" t="s">
        <v>4499</v>
      </c>
      <c r="B144" t="s">
        <v>3511</v>
      </c>
      <c r="C144" s="944">
        <v>50000</v>
      </c>
    </row>
    <row r="145" spans="1:3" x14ac:dyDescent="0.35">
      <c r="A145" s="943" t="s">
        <v>4500</v>
      </c>
      <c r="B145" t="s">
        <v>3512</v>
      </c>
      <c r="C145" s="944">
        <v>0</v>
      </c>
    </row>
    <row r="146" spans="1:3" x14ac:dyDescent="0.35">
      <c r="A146" s="943" t="s">
        <v>4501</v>
      </c>
      <c r="B146" t="s">
        <v>3513</v>
      </c>
      <c r="C146" s="944">
        <v>0</v>
      </c>
    </row>
    <row r="147" spans="1:3" x14ac:dyDescent="0.35">
      <c r="A147" s="943" t="s">
        <v>4502</v>
      </c>
      <c r="B147" t="s">
        <v>3514</v>
      </c>
      <c r="C147" s="944">
        <v>0</v>
      </c>
    </row>
    <row r="148" spans="1:3" x14ac:dyDescent="0.35">
      <c r="B148" t="s">
        <v>3515</v>
      </c>
      <c r="C148" s="944">
        <v>50000</v>
      </c>
    </row>
    <row r="149" spans="1:3" x14ac:dyDescent="0.35">
      <c r="A149" s="943" t="s">
        <v>7849</v>
      </c>
      <c r="B149" t="s">
        <v>3516</v>
      </c>
    </row>
    <row r="150" spans="1:3" x14ac:dyDescent="0.35">
      <c r="A150" s="943" t="s">
        <v>4503</v>
      </c>
      <c r="B150" t="s">
        <v>3517</v>
      </c>
      <c r="C150" s="944">
        <v>0</v>
      </c>
    </row>
    <row r="151" spans="1:3" x14ac:dyDescent="0.35">
      <c r="A151" s="943" t="s">
        <v>4504</v>
      </c>
      <c r="B151" t="s">
        <v>3518</v>
      </c>
      <c r="C151" s="944">
        <v>0</v>
      </c>
    </row>
    <row r="152" spans="1:3" x14ac:dyDescent="0.35">
      <c r="A152" s="943" t="s">
        <v>4505</v>
      </c>
      <c r="B152" t="s">
        <v>3519</v>
      </c>
      <c r="C152" s="944">
        <v>0</v>
      </c>
    </row>
    <row r="153" spans="1:3" x14ac:dyDescent="0.35">
      <c r="B153" t="s">
        <v>3520</v>
      </c>
      <c r="C153" s="944">
        <v>0</v>
      </c>
    </row>
    <row r="154" spans="1:3" x14ac:dyDescent="0.35">
      <c r="A154" s="943" t="s">
        <v>7850</v>
      </c>
      <c r="B154" t="s">
        <v>3521</v>
      </c>
    </row>
    <row r="155" spans="1:3" x14ac:dyDescent="0.35">
      <c r="A155" s="943" t="s">
        <v>4506</v>
      </c>
      <c r="B155" t="s">
        <v>3522</v>
      </c>
      <c r="C155" s="944">
        <v>0</v>
      </c>
    </row>
    <row r="156" spans="1:3" x14ac:dyDescent="0.35">
      <c r="A156" s="943" t="s">
        <v>4507</v>
      </c>
      <c r="B156" t="s">
        <v>3523</v>
      </c>
      <c r="C156" s="944">
        <v>0</v>
      </c>
    </row>
    <row r="157" spans="1:3" x14ac:dyDescent="0.35">
      <c r="A157" s="943" t="s">
        <v>4508</v>
      </c>
      <c r="B157" t="s">
        <v>3524</v>
      </c>
      <c r="C157" s="944">
        <v>0</v>
      </c>
    </row>
    <row r="158" spans="1:3" x14ac:dyDescent="0.35">
      <c r="A158" s="943" t="s">
        <v>4509</v>
      </c>
      <c r="B158" t="s">
        <v>3525</v>
      </c>
      <c r="C158" s="944">
        <v>0</v>
      </c>
    </row>
    <row r="159" spans="1:3" x14ac:dyDescent="0.35">
      <c r="A159" s="943" t="s">
        <v>4510</v>
      </c>
      <c r="B159" t="s">
        <v>3526</v>
      </c>
      <c r="C159" s="944">
        <v>0</v>
      </c>
    </row>
    <row r="160" spans="1:3" x14ac:dyDescent="0.35">
      <c r="A160" s="943" t="s">
        <v>4511</v>
      </c>
      <c r="B160" t="s">
        <v>3527</v>
      </c>
      <c r="C160" s="944">
        <v>0</v>
      </c>
    </row>
    <row r="161" spans="1:3" x14ac:dyDescent="0.35">
      <c r="A161" s="943" t="s">
        <v>4512</v>
      </c>
      <c r="B161" t="s">
        <v>3528</v>
      </c>
      <c r="C161" s="944">
        <v>0</v>
      </c>
    </row>
    <row r="162" spans="1:3" x14ac:dyDescent="0.35">
      <c r="A162" s="943" t="s">
        <v>4513</v>
      </c>
      <c r="B162" t="s">
        <v>3529</v>
      </c>
      <c r="C162" s="944">
        <v>0</v>
      </c>
    </row>
    <row r="163" spans="1:3" x14ac:dyDescent="0.35">
      <c r="B163" t="s">
        <v>3530</v>
      </c>
      <c r="C163" s="944">
        <v>0</v>
      </c>
    </row>
    <row r="164" spans="1:3" x14ac:dyDescent="0.35">
      <c r="B164" t="s">
        <v>3531</v>
      </c>
      <c r="C164" s="944">
        <v>50000</v>
      </c>
    </row>
    <row r="165" spans="1:3" x14ac:dyDescent="0.35">
      <c r="A165" s="943" t="s">
        <v>7851</v>
      </c>
      <c r="B165" t="s">
        <v>3532</v>
      </c>
    </row>
    <row r="166" spans="1:3" x14ac:dyDescent="0.35">
      <c r="A166" s="943" t="s">
        <v>7852</v>
      </c>
      <c r="B166" t="s">
        <v>3533</v>
      </c>
    </row>
    <row r="167" spans="1:3" x14ac:dyDescent="0.35">
      <c r="A167" s="943" t="s">
        <v>4514</v>
      </c>
      <c r="B167" t="s">
        <v>3534</v>
      </c>
      <c r="C167" s="944">
        <v>0</v>
      </c>
    </row>
    <row r="168" spans="1:3" x14ac:dyDescent="0.35">
      <c r="A168" s="943" t="s">
        <v>4515</v>
      </c>
      <c r="B168" t="s">
        <v>3535</v>
      </c>
      <c r="C168" s="944">
        <v>0</v>
      </c>
    </row>
    <row r="169" spans="1:3" x14ac:dyDescent="0.35">
      <c r="B169" t="s">
        <v>3536</v>
      </c>
      <c r="C169" s="944">
        <v>0</v>
      </c>
    </row>
    <row r="170" spans="1:3" x14ac:dyDescent="0.35">
      <c r="A170" s="943" t="s">
        <v>7853</v>
      </c>
      <c r="B170" t="s">
        <v>3537</v>
      </c>
    </row>
    <row r="171" spans="1:3" x14ac:dyDescent="0.35">
      <c r="A171" s="943" t="s">
        <v>4516</v>
      </c>
      <c r="B171" t="s">
        <v>3538</v>
      </c>
      <c r="C171" s="944">
        <v>0</v>
      </c>
    </row>
    <row r="172" spans="1:3" x14ac:dyDescent="0.35">
      <c r="B172" t="s">
        <v>3539</v>
      </c>
      <c r="C172" s="944">
        <v>0</v>
      </c>
    </row>
    <row r="173" spans="1:3" x14ac:dyDescent="0.35">
      <c r="A173" s="943" t="s">
        <v>7854</v>
      </c>
      <c r="B173" t="s">
        <v>3540</v>
      </c>
    </row>
    <row r="174" spans="1:3" x14ac:dyDescent="0.35">
      <c r="A174" s="943" t="s">
        <v>4517</v>
      </c>
      <c r="B174" t="s">
        <v>3541</v>
      </c>
      <c r="C174" s="944">
        <v>0</v>
      </c>
    </row>
    <row r="175" spans="1:3" x14ac:dyDescent="0.35">
      <c r="B175" t="s">
        <v>3542</v>
      </c>
      <c r="C175" s="944">
        <v>0</v>
      </c>
    </row>
    <row r="176" spans="1:3" x14ac:dyDescent="0.35">
      <c r="A176" s="943" t="s">
        <v>7855</v>
      </c>
      <c r="B176" t="s">
        <v>3543</v>
      </c>
    </row>
    <row r="177" spans="1:3" x14ac:dyDescent="0.35">
      <c r="A177" s="943" t="s">
        <v>4518</v>
      </c>
      <c r="B177" t="s">
        <v>3544</v>
      </c>
      <c r="C177" s="944">
        <v>0</v>
      </c>
    </row>
    <row r="178" spans="1:3" x14ac:dyDescent="0.35">
      <c r="A178" s="943" t="s">
        <v>4519</v>
      </c>
      <c r="B178" t="s">
        <v>3545</v>
      </c>
      <c r="C178" s="944">
        <v>0</v>
      </c>
    </row>
    <row r="179" spans="1:3" x14ac:dyDescent="0.35">
      <c r="A179" s="943" t="s">
        <v>4520</v>
      </c>
      <c r="B179" t="s">
        <v>3546</v>
      </c>
      <c r="C179" s="944">
        <v>0</v>
      </c>
    </row>
    <row r="180" spans="1:3" x14ac:dyDescent="0.35">
      <c r="B180" t="s">
        <v>3547</v>
      </c>
      <c r="C180" s="944">
        <v>0</v>
      </c>
    </row>
    <row r="181" spans="1:3" x14ac:dyDescent="0.35">
      <c r="A181" s="943" t="s">
        <v>7856</v>
      </c>
      <c r="B181" t="s">
        <v>3548</v>
      </c>
    </row>
    <row r="182" spans="1:3" x14ac:dyDescent="0.35">
      <c r="A182" s="943" t="s">
        <v>4521</v>
      </c>
      <c r="B182" t="s">
        <v>3549</v>
      </c>
      <c r="C182" s="944">
        <v>0</v>
      </c>
    </row>
    <row r="183" spans="1:3" x14ac:dyDescent="0.35">
      <c r="B183" t="s">
        <v>3550</v>
      </c>
      <c r="C183" s="944">
        <v>0</v>
      </c>
    </row>
    <row r="184" spans="1:3" x14ac:dyDescent="0.35">
      <c r="A184" s="943" t="s">
        <v>7857</v>
      </c>
      <c r="B184" t="s">
        <v>3551</v>
      </c>
    </row>
    <row r="185" spans="1:3" x14ac:dyDescent="0.35">
      <c r="A185" s="943" t="s">
        <v>4522</v>
      </c>
      <c r="B185" t="s">
        <v>3552</v>
      </c>
      <c r="C185" s="944">
        <v>0</v>
      </c>
    </row>
    <row r="186" spans="1:3" x14ac:dyDescent="0.35">
      <c r="A186" s="943" t="s">
        <v>4523</v>
      </c>
      <c r="B186" t="s">
        <v>3553</v>
      </c>
      <c r="C186" s="944">
        <v>0</v>
      </c>
    </row>
    <row r="187" spans="1:3" x14ac:dyDescent="0.35">
      <c r="A187" s="943" t="s">
        <v>4524</v>
      </c>
      <c r="B187" t="s">
        <v>3554</v>
      </c>
      <c r="C187" s="944">
        <v>0</v>
      </c>
    </row>
    <row r="188" spans="1:3" x14ac:dyDescent="0.35">
      <c r="A188" s="943" t="s">
        <v>4525</v>
      </c>
      <c r="B188" t="s">
        <v>3555</v>
      </c>
      <c r="C188" s="944">
        <v>0</v>
      </c>
    </row>
    <row r="189" spans="1:3" x14ac:dyDescent="0.35">
      <c r="A189" s="943" t="s">
        <v>4526</v>
      </c>
      <c r="B189" t="s">
        <v>3556</v>
      </c>
      <c r="C189" s="944">
        <v>0</v>
      </c>
    </row>
    <row r="190" spans="1:3" x14ac:dyDescent="0.35">
      <c r="A190" s="943" t="s">
        <v>4527</v>
      </c>
      <c r="B190" t="s">
        <v>350</v>
      </c>
      <c r="C190" s="944">
        <v>0</v>
      </c>
    </row>
    <row r="191" spans="1:3" x14ac:dyDescent="0.35">
      <c r="A191" s="943" t="s">
        <v>4528</v>
      </c>
      <c r="B191" t="s">
        <v>3557</v>
      </c>
      <c r="C191" s="944">
        <v>0</v>
      </c>
    </row>
    <row r="192" spans="1:3" x14ac:dyDescent="0.35">
      <c r="A192" s="943" t="s">
        <v>4529</v>
      </c>
      <c r="B192" t="s">
        <v>3558</v>
      </c>
      <c r="C192" s="944">
        <v>0</v>
      </c>
    </row>
    <row r="193" spans="1:3" x14ac:dyDescent="0.35">
      <c r="B193" t="s">
        <v>3559</v>
      </c>
      <c r="C193" s="944">
        <v>0</v>
      </c>
    </row>
    <row r="194" spans="1:3" x14ac:dyDescent="0.35">
      <c r="B194" t="s">
        <v>3560</v>
      </c>
      <c r="C194" s="944">
        <v>0</v>
      </c>
    </row>
    <row r="195" spans="1:3" x14ac:dyDescent="0.35">
      <c r="A195" s="943" t="s">
        <v>7858</v>
      </c>
      <c r="B195" t="s">
        <v>3561</v>
      </c>
    </row>
    <row r="196" spans="1:3" x14ac:dyDescent="0.35">
      <c r="A196" s="943" t="s">
        <v>7859</v>
      </c>
      <c r="B196" t="s">
        <v>3562</v>
      </c>
    </row>
    <row r="197" spans="1:3" x14ac:dyDescent="0.35">
      <c r="A197" s="943" t="s">
        <v>4530</v>
      </c>
      <c r="B197" t="s">
        <v>3563</v>
      </c>
      <c r="C197" s="944">
        <v>0</v>
      </c>
    </row>
    <row r="198" spans="1:3" x14ac:dyDescent="0.35">
      <c r="A198" s="943" t="s">
        <v>4531</v>
      </c>
      <c r="B198" t="s">
        <v>3564</v>
      </c>
      <c r="C198" s="944">
        <v>7361800</v>
      </c>
    </row>
    <row r="199" spans="1:3" x14ac:dyDescent="0.35">
      <c r="A199" s="943" t="s">
        <v>4532</v>
      </c>
      <c r="B199" t="s">
        <v>3564</v>
      </c>
      <c r="C199" s="944">
        <v>6216400</v>
      </c>
    </row>
    <row r="200" spans="1:3" x14ac:dyDescent="0.35">
      <c r="A200" s="943" t="s">
        <v>4533</v>
      </c>
      <c r="B200" t="s">
        <v>3565</v>
      </c>
      <c r="C200" s="944">
        <v>500000</v>
      </c>
    </row>
    <row r="201" spans="1:3" x14ac:dyDescent="0.35">
      <c r="A201" s="943" t="s">
        <v>4534</v>
      </c>
      <c r="B201" t="s">
        <v>3566</v>
      </c>
      <c r="C201" s="944">
        <v>0</v>
      </c>
    </row>
    <row r="202" spans="1:3" x14ac:dyDescent="0.35">
      <c r="A202" s="943" t="s">
        <v>4535</v>
      </c>
      <c r="B202" t="s">
        <v>3567</v>
      </c>
      <c r="C202" s="944">
        <v>0</v>
      </c>
    </row>
    <row r="203" spans="1:3" x14ac:dyDescent="0.35">
      <c r="A203" s="943" t="s">
        <v>4536</v>
      </c>
      <c r="B203" t="s">
        <v>3568</v>
      </c>
      <c r="C203" s="944">
        <v>0</v>
      </c>
    </row>
    <row r="204" spans="1:3" x14ac:dyDescent="0.35">
      <c r="A204" s="943" t="s">
        <v>4537</v>
      </c>
      <c r="B204" t="s">
        <v>3569</v>
      </c>
      <c r="C204" s="944">
        <v>0</v>
      </c>
    </row>
    <row r="205" spans="1:3" x14ac:dyDescent="0.35">
      <c r="A205" s="943" t="s">
        <v>4538</v>
      </c>
      <c r="B205" t="s">
        <v>3570</v>
      </c>
      <c r="C205" s="944">
        <v>0</v>
      </c>
    </row>
    <row r="206" spans="1:3" x14ac:dyDescent="0.35">
      <c r="B206" t="s">
        <v>3571</v>
      </c>
      <c r="C206" s="944">
        <v>14078200</v>
      </c>
    </row>
    <row r="207" spans="1:3" x14ac:dyDescent="0.35">
      <c r="A207" s="943" t="s">
        <v>7860</v>
      </c>
      <c r="B207" t="s">
        <v>3572</v>
      </c>
    </row>
    <row r="208" spans="1:3" x14ac:dyDescent="0.35">
      <c r="A208" s="943" t="s">
        <v>4539</v>
      </c>
      <c r="B208" t="s">
        <v>3573</v>
      </c>
      <c r="C208" s="944">
        <v>0</v>
      </c>
    </row>
    <row r="209" spans="1:3" x14ac:dyDescent="0.35">
      <c r="A209" s="943" t="s">
        <v>4540</v>
      </c>
      <c r="B209" t="s">
        <v>3574</v>
      </c>
      <c r="C209" s="944">
        <v>0</v>
      </c>
    </row>
    <row r="210" spans="1:3" x14ac:dyDescent="0.35">
      <c r="B210" t="s">
        <v>3575</v>
      </c>
      <c r="C210" s="944">
        <v>0</v>
      </c>
    </row>
    <row r="211" spans="1:3" x14ac:dyDescent="0.35">
      <c r="A211" s="943" t="s">
        <v>7861</v>
      </c>
      <c r="B211" t="s">
        <v>3576</v>
      </c>
    </row>
    <row r="212" spans="1:3" x14ac:dyDescent="0.35">
      <c r="A212" s="943" t="s">
        <v>4541</v>
      </c>
      <c r="B212" t="s">
        <v>3577</v>
      </c>
      <c r="C212" s="944">
        <v>0</v>
      </c>
    </row>
    <row r="213" spans="1:3" x14ac:dyDescent="0.35">
      <c r="B213" t="s">
        <v>3578</v>
      </c>
      <c r="C213" s="944">
        <v>0</v>
      </c>
    </row>
    <row r="214" spans="1:3" x14ac:dyDescent="0.35">
      <c r="B214" t="s">
        <v>3579</v>
      </c>
      <c r="C214" s="944">
        <v>14078200</v>
      </c>
    </row>
    <row r="215" spans="1:3" x14ac:dyDescent="0.35">
      <c r="A215" s="943" t="s">
        <v>7862</v>
      </c>
      <c r="B215" t="s">
        <v>3580</v>
      </c>
    </row>
    <row r="216" spans="1:3" x14ac:dyDescent="0.35">
      <c r="A216" s="943" t="s">
        <v>7863</v>
      </c>
      <c r="B216" t="s">
        <v>3581</v>
      </c>
    </row>
    <row r="217" spans="1:3" x14ac:dyDescent="0.35">
      <c r="A217" s="943" t="s">
        <v>4542</v>
      </c>
      <c r="B217" t="s">
        <v>3582</v>
      </c>
      <c r="C217" s="944">
        <v>0</v>
      </c>
    </row>
    <row r="218" spans="1:3" x14ac:dyDescent="0.35">
      <c r="A218" s="943" t="s">
        <v>4543</v>
      </c>
      <c r="B218" t="s">
        <v>3583</v>
      </c>
      <c r="C218" s="944">
        <v>-3400000</v>
      </c>
    </row>
    <row r="219" spans="1:3" x14ac:dyDescent="0.35">
      <c r="A219" s="943" t="s">
        <v>4544</v>
      </c>
      <c r="B219" t="s">
        <v>3584</v>
      </c>
      <c r="C219" s="944">
        <v>-550000</v>
      </c>
    </row>
    <row r="220" spans="1:3" x14ac:dyDescent="0.35">
      <c r="A220" s="943" t="s">
        <v>4545</v>
      </c>
      <c r="B220" t="s">
        <v>3585</v>
      </c>
      <c r="C220" s="944">
        <v>0</v>
      </c>
    </row>
    <row r="221" spans="1:3" x14ac:dyDescent="0.35">
      <c r="B221" t="s">
        <v>3586</v>
      </c>
      <c r="C221" s="944">
        <v>-3950000</v>
      </c>
    </row>
    <row r="222" spans="1:3" x14ac:dyDescent="0.35">
      <c r="A222" s="943" t="s">
        <v>7864</v>
      </c>
      <c r="B222" t="s">
        <v>3587</v>
      </c>
    </row>
    <row r="223" spans="1:3" x14ac:dyDescent="0.35">
      <c r="A223" s="943" t="s">
        <v>4546</v>
      </c>
      <c r="B223" t="s">
        <v>3588</v>
      </c>
      <c r="C223" s="944">
        <v>0</v>
      </c>
    </row>
    <row r="224" spans="1:3" x14ac:dyDescent="0.35">
      <c r="A224" s="943" t="s">
        <v>4547</v>
      </c>
      <c r="B224" t="s">
        <v>3589</v>
      </c>
      <c r="C224" s="944">
        <v>0</v>
      </c>
    </row>
    <row r="225" spans="1:5" x14ac:dyDescent="0.35">
      <c r="A225" s="943" t="s">
        <v>4548</v>
      </c>
      <c r="B225" t="s">
        <v>3590</v>
      </c>
      <c r="C225" s="944">
        <v>0</v>
      </c>
    </row>
    <row r="226" spans="1:5" x14ac:dyDescent="0.35">
      <c r="A226" s="943" t="s">
        <v>4549</v>
      </c>
      <c r="B226" t="s">
        <v>3591</v>
      </c>
      <c r="C226" s="944">
        <v>0</v>
      </c>
    </row>
    <row r="227" spans="1:5" x14ac:dyDescent="0.35">
      <c r="B227" t="s">
        <v>3592</v>
      </c>
      <c r="C227" s="944">
        <v>0</v>
      </c>
    </row>
    <row r="228" spans="1:5" x14ac:dyDescent="0.35">
      <c r="B228" t="s">
        <v>3593</v>
      </c>
      <c r="C228" s="944">
        <v>-3950000</v>
      </c>
      <c r="D228" s="944">
        <f>C228-C213</f>
        <v>-3950000</v>
      </c>
      <c r="E228" s="944">
        <f>D228-'9'!D68</f>
        <v>-631022350</v>
      </c>
    </row>
    <row r="229" spans="1:5" x14ac:dyDescent="0.35">
      <c r="B229" t="s">
        <v>3594</v>
      </c>
      <c r="C229" s="944">
        <v>558578300</v>
      </c>
      <c r="D229" s="944">
        <f>LR!E58</f>
        <v>641150550</v>
      </c>
      <c r="E229" s="944">
        <f>C229-D229</f>
        <v>-82572250</v>
      </c>
    </row>
    <row r="231" spans="1:5" x14ac:dyDescent="0.35">
      <c r="A231" s="943" t="s">
        <v>7825</v>
      </c>
      <c r="B231" t="s">
        <v>3595</v>
      </c>
    </row>
    <row r="232" spans="1:5" x14ac:dyDescent="0.35">
      <c r="A232" s="943" t="s">
        <v>7826</v>
      </c>
      <c r="B232" t="s">
        <v>3596</v>
      </c>
    </row>
    <row r="233" spans="1:5" x14ac:dyDescent="0.35">
      <c r="A233" s="943" t="s">
        <v>7827</v>
      </c>
      <c r="B233" t="s">
        <v>3597</v>
      </c>
    </row>
    <row r="234" spans="1:5" x14ac:dyDescent="0.35">
      <c r="A234" s="943" t="s">
        <v>3598</v>
      </c>
      <c r="B234" t="s">
        <v>3599</v>
      </c>
      <c r="C234" s="944">
        <v>0</v>
      </c>
    </row>
    <row r="235" spans="1:5" x14ac:dyDescent="0.35">
      <c r="A235" s="943" t="s">
        <v>3600</v>
      </c>
      <c r="B235" t="s">
        <v>3601</v>
      </c>
      <c r="C235" s="944">
        <v>0</v>
      </c>
    </row>
    <row r="236" spans="1:5" x14ac:dyDescent="0.35">
      <c r="A236" s="943" t="s">
        <v>3602</v>
      </c>
      <c r="B236" t="s">
        <v>3603</v>
      </c>
      <c r="C236" s="944">
        <v>0</v>
      </c>
    </row>
    <row r="237" spans="1:5" x14ac:dyDescent="0.35">
      <c r="A237" s="943" t="s">
        <v>3604</v>
      </c>
      <c r="B237" t="s">
        <v>3605</v>
      </c>
      <c r="C237" s="944">
        <v>0</v>
      </c>
    </row>
    <row r="238" spans="1:5" x14ac:dyDescent="0.35">
      <c r="A238" s="943" t="s">
        <v>3606</v>
      </c>
      <c r="B238" t="s">
        <v>3607</v>
      </c>
      <c r="C238" s="944">
        <v>0</v>
      </c>
    </row>
    <row r="239" spans="1:5" x14ac:dyDescent="0.35">
      <c r="A239" s="943" t="s">
        <v>3608</v>
      </c>
      <c r="B239" t="s">
        <v>3609</v>
      </c>
      <c r="C239" s="944">
        <v>0</v>
      </c>
    </row>
    <row r="240" spans="1:5" x14ac:dyDescent="0.35">
      <c r="A240" s="943" t="s">
        <v>3610</v>
      </c>
      <c r="B240" t="s">
        <v>3611</v>
      </c>
      <c r="C240" s="944">
        <v>0</v>
      </c>
    </row>
    <row r="241" spans="1:3" x14ac:dyDescent="0.35">
      <c r="A241" s="943" t="s">
        <v>3612</v>
      </c>
      <c r="B241" t="s">
        <v>3613</v>
      </c>
      <c r="C241" s="944">
        <v>0</v>
      </c>
    </row>
    <row r="242" spans="1:3" x14ac:dyDescent="0.35">
      <c r="A242" s="943" t="s">
        <v>3614</v>
      </c>
      <c r="B242" t="s">
        <v>3615</v>
      </c>
      <c r="C242" s="944">
        <v>0</v>
      </c>
    </row>
    <row r="243" spans="1:3" x14ac:dyDescent="0.35">
      <c r="A243" s="943" t="s">
        <v>3616</v>
      </c>
      <c r="B243" t="s">
        <v>3617</v>
      </c>
      <c r="C243" s="944">
        <v>0</v>
      </c>
    </row>
    <row r="244" spans="1:3" x14ac:dyDescent="0.35">
      <c r="A244" s="943" t="s">
        <v>3618</v>
      </c>
      <c r="B244" t="s">
        <v>3619</v>
      </c>
      <c r="C244" s="944">
        <v>0</v>
      </c>
    </row>
    <row r="245" spans="1:3" x14ac:dyDescent="0.35">
      <c r="A245" s="943" t="s">
        <v>3620</v>
      </c>
      <c r="B245" t="s">
        <v>3621</v>
      </c>
      <c r="C245" s="944">
        <v>0</v>
      </c>
    </row>
    <row r="246" spans="1:3" x14ac:dyDescent="0.35">
      <c r="A246" s="943" t="s">
        <v>3622</v>
      </c>
      <c r="B246" t="s">
        <v>3623</v>
      </c>
      <c r="C246" s="944">
        <v>0</v>
      </c>
    </row>
    <row r="247" spans="1:3" x14ac:dyDescent="0.35">
      <c r="A247" s="943" t="s">
        <v>3624</v>
      </c>
      <c r="B247" t="s">
        <v>3625</v>
      </c>
      <c r="C247" s="944">
        <v>0</v>
      </c>
    </row>
    <row r="248" spans="1:3" x14ac:dyDescent="0.35">
      <c r="A248" s="943" t="s">
        <v>3626</v>
      </c>
      <c r="B248" t="s">
        <v>3627</v>
      </c>
      <c r="C248" s="944">
        <v>0</v>
      </c>
    </row>
    <row r="249" spans="1:3" x14ac:dyDescent="0.35">
      <c r="A249" s="943" t="s">
        <v>3628</v>
      </c>
      <c r="B249" t="s">
        <v>3629</v>
      </c>
      <c r="C249" s="944">
        <v>0</v>
      </c>
    </row>
    <row r="250" spans="1:3" x14ac:dyDescent="0.35">
      <c r="A250" s="943" t="s">
        <v>3630</v>
      </c>
      <c r="B250" t="s">
        <v>3631</v>
      </c>
      <c r="C250" s="944">
        <v>0</v>
      </c>
    </row>
    <row r="251" spans="1:3" x14ac:dyDescent="0.35">
      <c r="A251" s="943" t="s">
        <v>3632</v>
      </c>
      <c r="B251" t="s">
        <v>3633</v>
      </c>
      <c r="C251" s="944">
        <v>0</v>
      </c>
    </row>
    <row r="252" spans="1:3" x14ac:dyDescent="0.35">
      <c r="A252" s="943" t="s">
        <v>3634</v>
      </c>
      <c r="B252" t="s">
        <v>3635</v>
      </c>
      <c r="C252" s="944">
        <v>0</v>
      </c>
    </row>
    <row r="253" spans="1:3" x14ac:dyDescent="0.35">
      <c r="A253" s="943" t="s">
        <v>3636</v>
      </c>
      <c r="B253" t="s">
        <v>3637</v>
      </c>
      <c r="C253" s="944">
        <v>0</v>
      </c>
    </row>
    <row r="254" spans="1:3" x14ac:dyDescent="0.35">
      <c r="A254" s="943" t="s">
        <v>3638</v>
      </c>
      <c r="B254" t="s">
        <v>334</v>
      </c>
      <c r="C254" s="944">
        <v>0</v>
      </c>
    </row>
    <row r="255" spans="1:3" x14ac:dyDescent="0.35">
      <c r="A255" s="943" t="s">
        <v>3639</v>
      </c>
      <c r="B255" t="s">
        <v>3640</v>
      </c>
      <c r="C255" s="944">
        <v>0</v>
      </c>
    </row>
    <row r="256" spans="1:3" x14ac:dyDescent="0.35">
      <c r="A256" s="943" t="s">
        <v>3641</v>
      </c>
      <c r="B256" t="s">
        <v>3642</v>
      </c>
      <c r="C256" s="944">
        <v>0</v>
      </c>
    </row>
    <row r="257" spans="1:3" x14ac:dyDescent="0.35">
      <c r="A257" s="943" t="s">
        <v>3643</v>
      </c>
      <c r="B257" t="s">
        <v>3644</v>
      </c>
      <c r="C257" s="944">
        <v>0</v>
      </c>
    </row>
    <row r="258" spans="1:3" x14ac:dyDescent="0.35">
      <c r="A258" s="943" t="s">
        <v>3645</v>
      </c>
      <c r="B258" t="s">
        <v>3646</v>
      </c>
      <c r="C258" s="944">
        <v>0</v>
      </c>
    </row>
    <row r="259" spans="1:3" x14ac:dyDescent="0.35">
      <c r="A259" s="943" t="s">
        <v>3647</v>
      </c>
      <c r="B259" t="s">
        <v>3648</v>
      </c>
      <c r="C259" s="944">
        <v>0</v>
      </c>
    </row>
    <row r="260" spans="1:3" x14ac:dyDescent="0.35">
      <c r="A260" s="943" t="s">
        <v>3649</v>
      </c>
      <c r="B260" t="s">
        <v>3650</v>
      </c>
      <c r="C260" s="944">
        <v>0</v>
      </c>
    </row>
    <row r="261" spans="1:3" x14ac:dyDescent="0.35">
      <c r="A261" s="943" t="s">
        <v>3651</v>
      </c>
      <c r="B261" t="s">
        <v>3652</v>
      </c>
      <c r="C261" s="944">
        <v>0</v>
      </c>
    </row>
    <row r="262" spans="1:3" x14ac:dyDescent="0.35">
      <c r="A262" s="943" t="s">
        <v>3653</v>
      </c>
      <c r="B262" t="s">
        <v>3654</v>
      </c>
      <c r="C262" s="944">
        <v>0</v>
      </c>
    </row>
    <row r="263" spans="1:3" x14ac:dyDescent="0.35">
      <c r="A263" s="943" t="s">
        <v>3655</v>
      </c>
      <c r="B263" t="s">
        <v>3656</v>
      </c>
      <c r="C263" s="944">
        <v>0</v>
      </c>
    </row>
    <row r="264" spans="1:3" x14ac:dyDescent="0.35">
      <c r="A264" s="943" t="s">
        <v>3657</v>
      </c>
      <c r="B264" t="s">
        <v>3658</v>
      </c>
      <c r="C264" s="944">
        <v>0</v>
      </c>
    </row>
    <row r="265" spans="1:3" x14ac:dyDescent="0.35">
      <c r="A265" s="943" t="s">
        <v>3659</v>
      </c>
      <c r="B265" t="s">
        <v>3660</v>
      </c>
      <c r="C265" s="944">
        <v>0</v>
      </c>
    </row>
    <row r="266" spans="1:3" x14ac:dyDescent="0.35">
      <c r="A266" s="943" t="s">
        <v>3661</v>
      </c>
      <c r="B266" t="s">
        <v>3662</v>
      </c>
      <c r="C266" s="944">
        <v>0</v>
      </c>
    </row>
    <row r="267" spans="1:3" x14ac:dyDescent="0.35">
      <c r="A267" s="943" t="s">
        <v>3663</v>
      </c>
      <c r="B267" t="s">
        <v>3664</v>
      </c>
      <c r="C267" s="944">
        <v>0</v>
      </c>
    </row>
    <row r="268" spans="1:3" x14ac:dyDescent="0.35">
      <c r="A268" s="943" t="s">
        <v>3665</v>
      </c>
      <c r="B268" t="s">
        <v>3666</v>
      </c>
      <c r="C268" s="944">
        <v>0</v>
      </c>
    </row>
    <row r="269" spans="1:3" x14ac:dyDescent="0.35">
      <c r="A269" s="943" t="s">
        <v>3667</v>
      </c>
      <c r="B269" t="s">
        <v>3668</v>
      </c>
      <c r="C269" s="944">
        <v>0</v>
      </c>
    </row>
    <row r="270" spans="1:3" x14ac:dyDescent="0.35">
      <c r="A270" s="943" t="s">
        <v>3669</v>
      </c>
      <c r="B270" t="s">
        <v>350</v>
      </c>
      <c r="C270" s="944">
        <v>0</v>
      </c>
    </row>
    <row r="271" spans="1:3" x14ac:dyDescent="0.35">
      <c r="A271" s="943" t="s">
        <v>3670</v>
      </c>
      <c r="B271" t="s">
        <v>3671</v>
      </c>
      <c r="C271" s="944">
        <v>0</v>
      </c>
    </row>
    <row r="272" spans="1:3" x14ac:dyDescent="0.35">
      <c r="A272" s="943" t="s">
        <v>3672</v>
      </c>
      <c r="B272" t="s">
        <v>3673</v>
      </c>
      <c r="C272" s="944">
        <v>0</v>
      </c>
    </row>
    <row r="273" spans="1:3" x14ac:dyDescent="0.35">
      <c r="A273" s="943" t="s">
        <v>3674</v>
      </c>
      <c r="B273" t="s">
        <v>3675</v>
      </c>
      <c r="C273" s="944">
        <v>0</v>
      </c>
    </row>
    <row r="274" spans="1:3" x14ac:dyDescent="0.35">
      <c r="A274" s="943" t="s">
        <v>3676</v>
      </c>
      <c r="B274" t="s">
        <v>3677</v>
      </c>
      <c r="C274" s="944">
        <v>0</v>
      </c>
    </row>
    <row r="275" spans="1:3" x14ac:dyDescent="0.35">
      <c r="A275" s="943" t="s">
        <v>3678</v>
      </c>
      <c r="B275" t="s">
        <v>3679</v>
      </c>
      <c r="C275" s="944">
        <v>0</v>
      </c>
    </row>
    <row r="276" spans="1:3" x14ac:dyDescent="0.35">
      <c r="A276" s="943" t="s">
        <v>3680</v>
      </c>
      <c r="B276" t="s">
        <v>3681</v>
      </c>
      <c r="C276" s="944">
        <v>0</v>
      </c>
    </row>
    <row r="277" spans="1:3" x14ac:dyDescent="0.35">
      <c r="A277" s="943" t="s">
        <v>3682</v>
      </c>
      <c r="B277" t="s">
        <v>3683</v>
      </c>
      <c r="C277" s="944">
        <v>0</v>
      </c>
    </row>
    <row r="278" spans="1:3" x14ac:dyDescent="0.35">
      <c r="A278" s="943" t="s">
        <v>3684</v>
      </c>
      <c r="B278" t="s">
        <v>3685</v>
      </c>
      <c r="C278" s="944">
        <v>0</v>
      </c>
    </row>
    <row r="279" spans="1:3" x14ac:dyDescent="0.35">
      <c r="A279" s="943" t="s">
        <v>3686</v>
      </c>
      <c r="B279" t="s">
        <v>3687</v>
      </c>
      <c r="C279" s="944">
        <v>0</v>
      </c>
    </row>
    <row r="280" spans="1:3" x14ac:dyDescent="0.35">
      <c r="A280" s="943" t="s">
        <v>3688</v>
      </c>
      <c r="B280" t="s">
        <v>3689</v>
      </c>
      <c r="C280" s="944">
        <v>0</v>
      </c>
    </row>
    <row r="281" spans="1:3" x14ac:dyDescent="0.35">
      <c r="A281" s="943" t="s">
        <v>3690</v>
      </c>
      <c r="B281" t="s">
        <v>3691</v>
      </c>
      <c r="C281" s="944">
        <v>0</v>
      </c>
    </row>
    <row r="282" spans="1:3" x14ac:dyDescent="0.35">
      <c r="A282" s="943" t="s">
        <v>3692</v>
      </c>
      <c r="B282" t="s">
        <v>3693</v>
      </c>
      <c r="C282" s="944">
        <v>0</v>
      </c>
    </row>
    <row r="283" spans="1:3" x14ac:dyDescent="0.35">
      <c r="A283" s="943" t="s">
        <v>3694</v>
      </c>
      <c r="B283" t="s">
        <v>3695</v>
      </c>
      <c r="C283" s="944">
        <v>0</v>
      </c>
    </row>
    <row r="284" spans="1:3" x14ac:dyDescent="0.35">
      <c r="A284" s="943" t="s">
        <v>3696</v>
      </c>
      <c r="B284" t="s">
        <v>3697</v>
      </c>
      <c r="C284" s="944">
        <v>0</v>
      </c>
    </row>
    <row r="285" spans="1:3" x14ac:dyDescent="0.35">
      <c r="A285" s="943" t="s">
        <v>3698</v>
      </c>
      <c r="B285" t="s">
        <v>3699</v>
      </c>
      <c r="C285" s="944">
        <v>0</v>
      </c>
    </row>
    <row r="286" spans="1:3" x14ac:dyDescent="0.35">
      <c r="A286" s="943" t="s">
        <v>3700</v>
      </c>
      <c r="B286" t="s">
        <v>3701</v>
      </c>
      <c r="C286" s="944">
        <v>0</v>
      </c>
    </row>
    <row r="287" spans="1:3" x14ac:dyDescent="0.35">
      <c r="A287" s="943" t="s">
        <v>3702</v>
      </c>
      <c r="B287" t="s">
        <v>3703</v>
      </c>
      <c r="C287" s="944">
        <v>0</v>
      </c>
    </row>
    <row r="288" spans="1:3" x14ac:dyDescent="0.35">
      <c r="A288" s="943" t="s">
        <v>3704</v>
      </c>
      <c r="B288" t="s">
        <v>3705</v>
      </c>
      <c r="C288" s="944">
        <v>0</v>
      </c>
    </row>
    <row r="289" spans="1:3" x14ac:dyDescent="0.35">
      <c r="A289" s="943" t="s">
        <v>3706</v>
      </c>
      <c r="B289" t="s">
        <v>3707</v>
      </c>
      <c r="C289" s="944">
        <v>0</v>
      </c>
    </row>
    <row r="290" spans="1:3" x14ac:dyDescent="0.35">
      <c r="A290" s="943" t="s">
        <v>3708</v>
      </c>
      <c r="B290" t="s">
        <v>350</v>
      </c>
      <c r="C290" s="944">
        <v>0</v>
      </c>
    </row>
    <row r="291" spans="1:3" x14ac:dyDescent="0.35">
      <c r="A291" s="943" t="s">
        <v>3709</v>
      </c>
      <c r="B291" t="s">
        <v>3710</v>
      </c>
      <c r="C291" s="944">
        <v>0</v>
      </c>
    </row>
    <row r="292" spans="1:3" x14ac:dyDescent="0.35">
      <c r="A292" s="943" t="s">
        <v>3711</v>
      </c>
      <c r="B292" t="s">
        <v>3712</v>
      </c>
      <c r="C292" s="944">
        <v>0</v>
      </c>
    </row>
    <row r="293" spans="1:3" x14ac:dyDescent="0.35">
      <c r="A293" s="943" t="s">
        <v>3713</v>
      </c>
      <c r="B293" t="s">
        <v>3714</v>
      </c>
      <c r="C293" s="944">
        <v>0</v>
      </c>
    </row>
    <row r="294" spans="1:3" x14ac:dyDescent="0.35">
      <c r="A294" s="943" t="s">
        <v>3715</v>
      </c>
      <c r="B294" t="s">
        <v>3716</v>
      </c>
      <c r="C294" s="944">
        <v>0</v>
      </c>
    </row>
    <row r="295" spans="1:3" x14ac:dyDescent="0.35">
      <c r="A295" s="943" t="s">
        <v>3717</v>
      </c>
      <c r="B295" t="s">
        <v>3718</v>
      </c>
      <c r="C295" s="944">
        <v>0</v>
      </c>
    </row>
    <row r="296" spans="1:3" x14ac:dyDescent="0.35">
      <c r="A296" s="943" t="s">
        <v>3719</v>
      </c>
      <c r="B296" t="s">
        <v>3720</v>
      </c>
      <c r="C296" s="944">
        <v>0</v>
      </c>
    </row>
    <row r="297" spans="1:3" x14ac:dyDescent="0.35">
      <c r="A297" s="943" t="s">
        <v>3721</v>
      </c>
      <c r="B297" t="s">
        <v>675</v>
      </c>
      <c r="C297" s="944">
        <v>0</v>
      </c>
    </row>
    <row r="298" spans="1:3" x14ac:dyDescent="0.35">
      <c r="A298" s="943" t="s">
        <v>3722</v>
      </c>
      <c r="B298" t="s">
        <v>3723</v>
      </c>
      <c r="C298" s="944">
        <v>0</v>
      </c>
    </row>
    <row r="299" spans="1:3" x14ac:dyDescent="0.35">
      <c r="A299" s="943" t="s">
        <v>3724</v>
      </c>
      <c r="B299" t="s">
        <v>3249</v>
      </c>
      <c r="C299" s="944">
        <v>0</v>
      </c>
    </row>
    <row r="300" spans="1:3" x14ac:dyDescent="0.35">
      <c r="A300" s="943" t="s">
        <v>3725</v>
      </c>
      <c r="B300" t="s">
        <v>350</v>
      </c>
      <c r="C300" s="944">
        <v>0</v>
      </c>
    </row>
    <row r="301" spans="1:3" x14ac:dyDescent="0.35">
      <c r="A301" s="943" t="s">
        <v>3726</v>
      </c>
      <c r="B301" t="s">
        <v>3727</v>
      </c>
      <c r="C301" s="944">
        <v>0</v>
      </c>
    </row>
    <row r="302" spans="1:3" x14ac:dyDescent="0.35">
      <c r="A302" s="943" t="s">
        <v>3728</v>
      </c>
      <c r="B302" t="s">
        <v>3729</v>
      </c>
      <c r="C302" s="944">
        <v>0</v>
      </c>
    </row>
    <row r="303" spans="1:3" x14ac:dyDescent="0.35">
      <c r="A303" s="943" t="s">
        <v>3730</v>
      </c>
      <c r="B303" t="s">
        <v>3731</v>
      </c>
      <c r="C303" s="944">
        <v>0</v>
      </c>
    </row>
    <row r="304" spans="1:3" x14ac:dyDescent="0.35">
      <c r="A304" s="943" t="s">
        <v>3732</v>
      </c>
      <c r="B304" t="s">
        <v>3733</v>
      </c>
      <c r="C304" s="944">
        <v>0</v>
      </c>
    </row>
    <row r="305" spans="1:3" x14ac:dyDescent="0.35">
      <c r="A305" s="943" t="s">
        <v>3734</v>
      </c>
      <c r="B305" t="s">
        <v>3735</v>
      </c>
      <c r="C305" s="944">
        <v>0</v>
      </c>
    </row>
    <row r="306" spans="1:3" x14ac:dyDescent="0.35">
      <c r="A306" s="943" t="s">
        <v>3736</v>
      </c>
      <c r="B306" t="s">
        <v>3737</v>
      </c>
      <c r="C306" s="944">
        <v>0</v>
      </c>
    </row>
    <row r="307" spans="1:3" x14ac:dyDescent="0.35">
      <c r="A307" s="943" t="s">
        <v>3738</v>
      </c>
      <c r="B307" t="s">
        <v>3739</v>
      </c>
      <c r="C307" s="944">
        <v>0</v>
      </c>
    </row>
    <row r="308" spans="1:3" x14ac:dyDescent="0.35">
      <c r="A308" s="943" t="s">
        <v>3740</v>
      </c>
      <c r="B308" t="s">
        <v>3741</v>
      </c>
      <c r="C308" s="944">
        <v>0</v>
      </c>
    </row>
    <row r="309" spans="1:3" x14ac:dyDescent="0.35">
      <c r="A309" s="943" t="s">
        <v>3742</v>
      </c>
      <c r="B309" t="s">
        <v>350</v>
      </c>
      <c r="C309" s="944">
        <v>0</v>
      </c>
    </row>
    <row r="310" spans="1:3" x14ac:dyDescent="0.35">
      <c r="A310" s="943" t="s">
        <v>3743</v>
      </c>
      <c r="B310" t="s">
        <v>3744</v>
      </c>
      <c r="C310" s="944">
        <v>0</v>
      </c>
    </row>
    <row r="311" spans="1:3" x14ac:dyDescent="0.35">
      <c r="A311" s="943" t="s">
        <v>3745</v>
      </c>
      <c r="B311" t="s">
        <v>3746</v>
      </c>
      <c r="C311" s="944">
        <v>0</v>
      </c>
    </row>
    <row r="312" spans="1:3" x14ac:dyDescent="0.35">
      <c r="A312" s="943" t="s">
        <v>3747</v>
      </c>
      <c r="B312" t="s">
        <v>3748</v>
      </c>
      <c r="C312" s="944">
        <v>0</v>
      </c>
    </row>
    <row r="313" spans="1:3" x14ac:dyDescent="0.35">
      <c r="A313" s="943" t="s">
        <v>3749</v>
      </c>
      <c r="B313" t="s">
        <v>3750</v>
      </c>
      <c r="C313" s="944">
        <v>0</v>
      </c>
    </row>
    <row r="314" spans="1:3" x14ac:dyDescent="0.35">
      <c r="A314" s="943" t="s">
        <v>3751</v>
      </c>
      <c r="B314" t="s">
        <v>3752</v>
      </c>
      <c r="C314" s="944">
        <v>0</v>
      </c>
    </row>
    <row r="315" spans="1:3" x14ac:dyDescent="0.35">
      <c r="A315" s="943" t="s">
        <v>3753</v>
      </c>
      <c r="B315" t="s">
        <v>3754</v>
      </c>
      <c r="C315" s="944">
        <v>0</v>
      </c>
    </row>
    <row r="316" spans="1:3" x14ac:dyDescent="0.35">
      <c r="A316" s="943" t="s">
        <v>3755</v>
      </c>
      <c r="B316" t="s">
        <v>350</v>
      </c>
      <c r="C316" s="944">
        <v>0</v>
      </c>
    </row>
    <row r="317" spans="1:3" x14ac:dyDescent="0.35">
      <c r="B317" t="s">
        <v>3756</v>
      </c>
      <c r="C317" s="944">
        <v>0</v>
      </c>
    </row>
    <row r="318" spans="1:3" x14ac:dyDescent="0.35">
      <c r="A318" s="943" t="s">
        <v>7828</v>
      </c>
      <c r="B318" t="s">
        <v>3757</v>
      </c>
      <c r="C318" s="944"/>
    </row>
    <row r="319" spans="1:3" x14ac:dyDescent="0.35">
      <c r="A319" s="943" t="s">
        <v>3758</v>
      </c>
      <c r="B319" t="s">
        <v>3599</v>
      </c>
      <c r="C319" s="944">
        <v>0</v>
      </c>
    </row>
    <row r="320" spans="1:3" x14ac:dyDescent="0.35">
      <c r="A320" s="943" t="s">
        <v>3759</v>
      </c>
      <c r="B320" t="s">
        <v>3601</v>
      </c>
      <c r="C320" s="944">
        <v>0</v>
      </c>
    </row>
    <row r="321" spans="1:3" x14ac:dyDescent="0.35">
      <c r="A321" s="943" t="s">
        <v>3760</v>
      </c>
      <c r="B321" t="s">
        <v>3603</v>
      </c>
      <c r="C321" s="944">
        <v>0</v>
      </c>
    </row>
    <row r="322" spans="1:3" x14ac:dyDescent="0.35">
      <c r="A322" s="943" t="s">
        <v>3761</v>
      </c>
      <c r="B322" t="s">
        <v>3605</v>
      </c>
      <c r="C322" s="944">
        <v>0</v>
      </c>
    </row>
    <row r="323" spans="1:3" x14ac:dyDescent="0.35">
      <c r="A323" s="943" t="s">
        <v>3762</v>
      </c>
      <c r="B323" t="s">
        <v>3607</v>
      </c>
      <c r="C323" s="944">
        <v>0</v>
      </c>
    </row>
    <row r="324" spans="1:3" x14ac:dyDescent="0.35">
      <c r="A324" s="943" t="s">
        <v>3763</v>
      </c>
      <c r="B324" t="s">
        <v>3609</v>
      </c>
      <c r="C324" s="944">
        <v>0</v>
      </c>
    </row>
    <row r="325" spans="1:3" x14ac:dyDescent="0.35">
      <c r="A325" s="943" t="s">
        <v>3764</v>
      </c>
      <c r="B325" t="s">
        <v>3611</v>
      </c>
      <c r="C325" s="944">
        <v>0</v>
      </c>
    </row>
    <row r="326" spans="1:3" x14ac:dyDescent="0.35">
      <c r="A326" s="943" t="s">
        <v>3765</v>
      </c>
      <c r="B326" t="s">
        <v>3613</v>
      </c>
      <c r="C326" s="944">
        <v>0</v>
      </c>
    </row>
    <row r="327" spans="1:3" x14ac:dyDescent="0.35">
      <c r="A327" s="943" t="s">
        <v>3766</v>
      </c>
      <c r="B327" t="s">
        <v>3615</v>
      </c>
      <c r="C327" s="944">
        <v>0</v>
      </c>
    </row>
    <row r="328" spans="1:3" x14ac:dyDescent="0.35">
      <c r="A328" s="943" t="s">
        <v>3767</v>
      </c>
      <c r="B328" t="s">
        <v>3617</v>
      </c>
      <c r="C328" s="944">
        <v>0</v>
      </c>
    </row>
    <row r="329" spans="1:3" x14ac:dyDescent="0.35">
      <c r="A329" s="943" t="s">
        <v>3768</v>
      </c>
      <c r="B329" t="s">
        <v>3619</v>
      </c>
      <c r="C329" s="944">
        <v>0</v>
      </c>
    </row>
    <row r="330" spans="1:3" x14ac:dyDescent="0.35">
      <c r="A330" s="943" t="s">
        <v>3769</v>
      </c>
      <c r="B330" t="s">
        <v>3621</v>
      </c>
      <c r="C330" s="944">
        <v>0</v>
      </c>
    </row>
    <row r="331" spans="1:3" x14ac:dyDescent="0.35">
      <c r="A331" s="943" t="s">
        <v>3770</v>
      </c>
      <c r="B331" t="s">
        <v>3623</v>
      </c>
      <c r="C331" s="944">
        <v>0</v>
      </c>
    </row>
    <row r="332" spans="1:3" x14ac:dyDescent="0.35">
      <c r="A332" s="943" t="s">
        <v>3771</v>
      </c>
      <c r="B332" t="s">
        <v>3625</v>
      </c>
      <c r="C332" s="944">
        <v>0</v>
      </c>
    </row>
    <row r="333" spans="1:3" x14ac:dyDescent="0.35">
      <c r="A333" s="943" t="s">
        <v>3772</v>
      </c>
      <c r="B333" t="s">
        <v>3627</v>
      </c>
      <c r="C333" s="944">
        <v>0</v>
      </c>
    </row>
    <row r="334" spans="1:3" x14ac:dyDescent="0.35">
      <c r="A334" s="943" t="s">
        <v>3773</v>
      </c>
      <c r="B334" t="s">
        <v>3629</v>
      </c>
      <c r="C334" s="944">
        <v>0</v>
      </c>
    </row>
    <row r="335" spans="1:3" x14ac:dyDescent="0.35">
      <c r="A335" s="943" t="s">
        <v>3774</v>
      </c>
      <c r="B335" t="s">
        <v>3631</v>
      </c>
      <c r="C335" s="944">
        <v>0</v>
      </c>
    </row>
    <row r="336" spans="1:3" x14ac:dyDescent="0.35">
      <c r="A336" s="943" t="s">
        <v>3775</v>
      </c>
      <c r="B336" t="s">
        <v>3633</v>
      </c>
      <c r="C336" s="944">
        <v>0</v>
      </c>
    </row>
    <row r="337" spans="1:3" x14ac:dyDescent="0.35">
      <c r="A337" s="943" t="s">
        <v>3776</v>
      </c>
      <c r="B337" t="s">
        <v>3635</v>
      </c>
      <c r="C337" s="944">
        <v>0</v>
      </c>
    </row>
    <row r="338" spans="1:3" x14ac:dyDescent="0.35">
      <c r="A338" s="943" t="s">
        <v>3777</v>
      </c>
      <c r="B338" t="s">
        <v>3637</v>
      </c>
      <c r="C338" s="944">
        <v>0</v>
      </c>
    </row>
    <row r="339" spans="1:3" x14ac:dyDescent="0.35">
      <c r="A339" s="943" t="s">
        <v>3778</v>
      </c>
      <c r="B339" t="s">
        <v>334</v>
      </c>
      <c r="C339" s="944">
        <v>0</v>
      </c>
    </row>
    <row r="340" spans="1:3" x14ac:dyDescent="0.35">
      <c r="A340" s="943" t="s">
        <v>3779</v>
      </c>
      <c r="B340" t="s">
        <v>3640</v>
      </c>
      <c r="C340" s="944">
        <v>0</v>
      </c>
    </row>
    <row r="341" spans="1:3" x14ac:dyDescent="0.35">
      <c r="A341" s="943" t="s">
        <v>3780</v>
      </c>
      <c r="B341" t="s">
        <v>3642</v>
      </c>
      <c r="C341" s="944">
        <v>0</v>
      </c>
    </row>
    <row r="342" spans="1:3" x14ac:dyDescent="0.35">
      <c r="A342" s="943" t="s">
        <v>3781</v>
      </c>
      <c r="B342" t="s">
        <v>3644</v>
      </c>
      <c r="C342" s="944">
        <v>0</v>
      </c>
    </row>
    <row r="343" spans="1:3" x14ac:dyDescent="0.35">
      <c r="A343" s="943" t="s">
        <v>3782</v>
      </c>
      <c r="B343" t="s">
        <v>3646</v>
      </c>
      <c r="C343" s="944">
        <v>0</v>
      </c>
    </row>
    <row r="344" spans="1:3" x14ac:dyDescent="0.35">
      <c r="A344" s="943" t="s">
        <v>3783</v>
      </c>
      <c r="B344" t="s">
        <v>3648</v>
      </c>
      <c r="C344" s="944">
        <v>459500</v>
      </c>
    </row>
    <row r="345" spans="1:3" x14ac:dyDescent="0.35">
      <c r="A345" s="943" t="s">
        <v>3784</v>
      </c>
      <c r="B345" t="s">
        <v>3650</v>
      </c>
      <c r="C345" s="944">
        <v>240000</v>
      </c>
    </row>
    <row r="346" spans="1:3" x14ac:dyDescent="0.35">
      <c r="A346" s="943" t="s">
        <v>3785</v>
      </c>
      <c r="B346" t="s">
        <v>3652</v>
      </c>
      <c r="C346" s="944">
        <v>0</v>
      </c>
    </row>
    <row r="347" spans="1:3" x14ac:dyDescent="0.35">
      <c r="A347" s="943" t="s">
        <v>3786</v>
      </c>
      <c r="B347" t="s">
        <v>3654</v>
      </c>
      <c r="C347" s="944">
        <v>0</v>
      </c>
    </row>
    <row r="348" spans="1:3" x14ac:dyDescent="0.35">
      <c r="A348" s="943" t="s">
        <v>3787</v>
      </c>
      <c r="B348" t="s">
        <v>3656</v>
      </c>
      <c r="C348" s="944">
        <v>0</v>
      </c>
    </row>
    <row r="349" spans="1:3" x14ac:dyDescent="0.35">
      <c r="A349" s="943" t="s">
        <v>3788</v>
      </c>
      <c r="B349" t="s">
        <v>3658</v>
      </c>
      <c r="C349" s="944">
        <v>0</v>
      </c>
    </row>
    <row r="350" spans="1:3" x14ac:dyDescent="0.35">
      <c r="A350" s="943" t="s">
        <v>3789</v>
      </c>
      <c r="B350" t="s">
        <v>3660</v>
      </c>
      <c r="C350" s="944">
        <v>674600</v>
      </c>
    </row>
    <row r="351" spans="1:3" x14ac:dyDescent="0.35">
      <c r="A351" s="943" t="s">
        <v>3790</v>
      </c>
      <c r="B351" t="s">
        <v>3662</v>
      </c>
      <c r="C351" s="944">
        <v>0</v>
      </c>
    </row>
    <row r="352" spans="1:3" x14ac:dyDescent="0.35">
      <c r="A352" s="943" t="s">
        <v>3791</v>
      </c>
      <c r="B352" t="s">
        <v>3664</v>
      </c>
      <c r="C352" s="944">
        <v>500000</v>
      </c>
    </row>
    <row r="353" spans="1:3" x14ac:dyDescent="0.35">
      <c r="A353" s="943" t="s">
        <v>3792</v>
      </c>
      <c r="B353" t="s">
        <v>3666</v>
      </c>
      <c r="C353" s="944">
        <v>0</v>
      </c>
    </row>
    <row r="354" spans="1:3" x14ac:dyDescent="0.35">
      <c r="A354" s="943" t="s">
        <v>3793</v>
      </c>
      <c r="B354" t="s">
        <v>3668</v>
      </c>
      <c r="C354" s="944">
        <v>0</v>
      </c>
    </row>
    <row r="355" spans="1:3" x14ac:dyDescent="0.35">
      <c r="A355" s="943" t="s">
        <v>3794</v>
      </c>
      <c r="B355" t="s">
        <v>350</v>
      </c>
      <c r="C355" s="944">
        <v>0</v>
      </c>
    </row>
    <row r="356" spans="1:3" x14ac:dyDescent="0.35">
      <c r="A356" s="943" t="s">
        <v>3795</v>
      </c>
      <c r="B356" t="s">
        <v>3671</v>
      </c>
      <c r="C356" s="944">
        <v>0</v>
      </c>
    </row>
    <row r="357" spans="1:3" x14ac:dyDescent="0.35">
      <c r="A357" s="943" t="s">
        <v>3796</v>
      </c>
      <c r="B357" t="s">
        <v>3673</v>
      </c>
      <c r="C357" s="944">
        <v>2500000</v>
      </c>
    </row>
    <row r="358" spans="1:3" x14ac:dyDescent="0.35">
      <c r="A358" s="943" t="s">
        <v>3797</v>
      </c>
      <c r="B358" t="s">
        <v>3675</v>
      </c>
      <c r="C358" s="944">
        <v>37500</v>
      </c>
    </row>
    <row r="359" spans="1:3" x14ac:dyDescent="0.35">
      <c r="A359" s="943" t="s">
        <v>3798</v>
      </c>
      <c r="B359" t="s">
        <v>3677</v>
      </c>
      <c r="C359" s="944">
        <v>0</v>
      </c>
    </row>
    <row r="360" spans="1:3" x14ac:dyDescent="0.35">
      <c r="A360" s="943" t="s">
        <v>3799</v>
      </c>
      <c r="B360" t="s">
        <v>3679</v>
      </c>
      <c r="C360" s="944">
        <v>0</v>
      </c>
    </row>
    <row r="361" spans="1:3" x14ac:dyDescent="0.35">
      <c r="A361" s="943" t="s">
        <v>3800</v>
      </c>
      <c r="B361" t="s">
        <v>3681</v>
      </c>
      <c r="C361" s="944">
        <v>0</v>
      </c>
    </row>
    <row r="362" spans="1:3" x14ac:dyDescent="0.35">
      <c r="A362" s="943" t="s">
        <v>3801</v>
      </c>
      <c r="B362" t="s">
        <v>3683</v>
      </c>
      <c r="C362" s="944">
        <v>0</v>
      </c>
    </row>
    <row r="363" spans="1:3" x14ac:dyDescent="0.35">
      <c r="A363" s="943" t="s">
        <v>3802</v>
      </c>
      <c r="B363" t="s">
        <v>3685</v>
      </c>
      <c r="C363" s="944">
        <v>0</v>
      </c>
    </row>
    <row r="364" spans="1:3" x14ac:dyDescent="0.35">
      <c r="A364" s="943" t="s">
        <v>3803</v>
      </c>
      <c r="B364" t="s">
        <v>3687</v>
      </c>
      <c r="C364" s="944">
        <v>0</v>
      </c>
    </row>
    <row r="365" spans="1:3" x14ac:dyDescent="0.35">
      <c r="A365" s="943" t="s">
        <v>3804</v>
      </c>
      <c r="B365" t="s">
        <v>3689</v>
      </c>
      <c r="C365" s="944">
        <v>0</v>
      </c>
    </row>
    <row r="366" spans="1:3" x14ac:dyDescent="0.35">
      <c r="A366" s="943" t="s">
        <v>3805</v>
      </c>
      <c r="B366" t="s">
        <v>3691</v>
      </c>
      <c r="C366" s="944">
        <v>0</v>
      </c>
    </row>
    <row r="367" spans="1:3" x14ac:dyDescent="0.35">
      <c r="A367" s="943" t="s">
        <v>3806</v>
      </c>
      <c r="B367" t="s">
        <v>3693</v>
      </c>
      <c r="C367" s="944">
        <v>0</v>
      </c>
    </row>
    <row r="368" spans="1:3" x14ac:dyDescent="0.35">
      <c r="A368" s="943" t="s">
        <v>3807</v>
      </c>
      <c r="B368" t="s">
        <v>3695</v>
      </c>
      <c r="C368" s="944">
        <v>0</v>
      </c>
    </row>
    <row r="369" spans="1:3" x14ac:dyDescent="0.35">
      <c r="A369" s="943" t="s">
        <v>3808</v>
      </c>
      <c r="B369" t="s">
        <v>3697</v>
      </c>
      <c r="C369" s="944">
        <v>0</v>
      </c>
    </row>
    <row r="370" spans="1:3" x14ac:dyDescent="0.35">
      <c r="A370" s="943" t="s">
        <v>3809</v>
      </c>
      <c r="B370" t="s">
        <v>3699</v>
      </c>
      <c r="C370" s="944">
        <v>0</v>
      </c>
    </row>
    <row r="371" spans="1:3" x14ac:dyDescent="0.35">
      <c r="A371" s="943" t="s">
        <v>3810</v>
      </c>
      <c r="B371" t="s">
        <v>3701</v>
      </c>
      <c r="C371" s="944">
        <v>0</v>
      </c>
    </row>
    <row r="372" spans="1:3" x14ac:dyDescent="0.35">
      <c r="A372" s="943" t="s">
        <v>3811</v>
      </c>
      <c r="B372" t="s">
        <v>3703</v>
      </c>
      <c r="C372" s="944">
        <v>0</v>
      </c>
    </row>
    <row r="373" spans="1:3" x14ac:dyDescent="0.35">
      <c r="A373" s="943" t="s">
        <v>3812</v>
      </c>
      <c r="B373" t="s">
        <v>3705</v>
      </c>
      <c r="C373" s="944">
        <v>0</v>
      </c>
    </row>
    <row r="374" spans="1:3" x14ac:dyDescent="0.35">
      <c r="A374" s="943" t="s">
        <v>3813</v>
      </c>
      <c r="B374" t="s">
        <v>3707</v>
      </c>
      <c r="C374" s="944">
        <v>0</v>
      </c>
    </row>
    <row r="375" spans="1:3" x14ac:dyDescent="0.35">
      <c r="A375" s="943" t="s">
        <v>3814</v>
      </c>
      <c r="B375" t="s">
        <v>350</v>
      </c>
      <c r="C375" s="944">
        <v>0</v>
      </c>
    </row>
    <row r="376" spans="1:3" x14ac:dyDescent="0.35">
      <c r="A376" s="943" t="s">
        <v>3815</v>
      </c>
      <c r="B376" t="s">
        <v>3710</v>
      </c>
      <c r="C376" s="944">
        <v>0</v>
      </c>
    </row>
    <row r="377" spans="1:3" x14ac:dyDescent="0.35">
      <c r="A377" s="943" t="s">
        <v>3816</v>
      </c>
      <c r="B377" t="s">
        <v>3712</v>
      </c>
      <c r="C377" s="944">
        <v>1790900</v>
      </c>
    </row>
    <row r="378" spans="1:3" x14ac:dyDescent="0.35">
      <c r="A378" s="943" t="s">
        <v>3817</v>
      </c>
      <c r="B378" t="s">
        <v>3714</v>
      </c>
      <c r="C378" s="944">
        <v>0</v>
      </c>
    </row>
    <row r="379" spans="1:3" x14ac:dyDescent="0.35">
      <c r="A379" s="943" t="s">
        <v>3818</v>
      </c>
      <c r="B379" t="s">
        <v>3716</v>
      </c>
      <c r="C379" s="944">
        <v>0</v>
      </c>
    </row>
    <row r="380" spans="1:3" x14ac:dyDescent="0.35">
      <c r="A380" s="943" t="s">
        <v>3819</v>
      </c>
      <c r="B380" t="s">
        <v>3718</v>
      </c>
      <c r="C380" s="944">
        <v>0</v>
      </c>
    </row>
    <row r="381" spans="1:3" x14ac:dyDescent="0.35">
      <c r="A381" s="943" t="s">
        <v>3820</v>
      </c>
      <c r="B381" t="s">
        <v>3720</v>
      </c>
      <c r="C381" s="944">
        <v>0</v>
      </c>
    </row>
    <row r="382" spans="1:3" x14ac:dyDescent="0.35">
      <c r="A382" s="943" t="s">
        <v>3821</v>
      </c>
      <c r="B382" t="s">
        <v>675</v>
      </c>
      <c r="C382" s="944">
        <v>0</v>
      </c>
    </row>
    <row r="383" spans="1:3" x14ac:dyDescent="0.35">
      <c r="A383" s="943" t="s">
        <v>3822</v>
      </c>
      <c r="B383" t="s">
        <v>3723</v>
      </c>
      <c r="C383" s="944">
        <v>0</v>
      </c>
    </row>
    <row r="384" spans="1:3" x14ac:dyDescent="0.35">
      <c r="A384" s="943" t="s">
        <v>3823</v>
      </c>
      <c r="B384" t="s">
        <v>3249</v>
      </c>
      <c r="C384" s="944">
        <v>0</v>
      </c>
    </row>
    <row r="385" spans="1:3" x14ac:dyDescent="0.35">
      <c r="A385" s="943" t="s">
        <v>3824</v>
      </c>
      <c r="B385" t="s">
        <v>350</v>
      </c>
      <c r="C385" s="944">
        <v>0</v>
      </c>
    </row>
    <row r="386" spans="1:3" x14ac:dyDescent="0.35">
      <c r="A386" s="943" t="s">
        <v>3825</v>
      </c>
      <c r="B386" t="s">
        <v>3727</v>
      </c>
      <c r="C386" s="944">
        <v>0</v>
      </c>
    </row>
    <row r="387" spans="1:3" x14ac:dyDescent="0.35">
      <c r="A387" s="943" t="s">
        <v>3826</v>
      </c>
      <c r="B387" t="s">
        <v>3729</v>
      </c>
      <c r="C387" s="944">
        <v>0</v>
      </c>
    </row>
    <row r="388" spans="1:3" x14ac:dyDescent="0.35">
      <c r="A388" s="943" t="s">
        <v>3827</v>
      </c>
      <c r="B388" t="s">
        <v>3731</v>
      </c>
      <c r="C388" s="944">
        <v>0</v>
      </c>
    </row>
    <row r="389" spans="1:3" x14ac:dyDescent="0.35">
      <c r="A389" s="943" t="s">
        <v>3828</v>
      </c>
      <c r="B389" t="s">
        <v>3733</v>
      </c>
      <c r="C389" s="944">
        <v>0</v>
      </c>
    </row>
    <row r="390" spans="1:3" x14ac:dyDescent="0.35">
      <c r="A390" s="943" t="s">
        <v>3829</v>
      </c>
      <c r="B390" t="s">
        <v>3735</v>
      </c>
      <c r="C390" s="944">
        <v>0</v>
      </c>
    </row>
    <row r="391" spans="1:3" x14ac:dyDescent="0.35">
      <c r="A391" s="943" t="s">
        <v>3830</v>
      </c>
      <c r="B391" t="s">
        <v>3737</v>
      </c>
      <c r="C391" s="944">
        <v>0</v>
      </c>
    </row>
    <row r="392" spans="1:3" x14ac:dyDescent="0.35">
      <c r="A392" s="943" t="s">
        <v>3831</v>
      </c>
      <c r="B392" t="s">
        <v>3739</v>
      </c>
      <c r="C392" s="944">
        <v>0</v>
      </c>
    </row>
    <row r="393" spans="1:3" x14ac:dyDescent="0.35">
      <c r="A393" s="943" t="s">
        <v>3832</v>
      </c>
      <c r="B393" t="s">
        <v>3741</v>
      </c>
      <c r="C393" s="944">
        <v>0</v>
      </c>
    </row>
    <row r="394" spans="1:3" x14ac:dyDescent="0.35">
      <c r="A394" s="943" t="s">
        <v>3833</v>
      </c>
      <c r="B394" t="s">
        <v>350</v>
      </c>
      <c r="C394" s="944">
        <v>0</v>
      </c>
    </row>
    <row r="395" spans="1:3" x14ac:dyDescent="0.35">
      <c r="A395" s="943" t="s">
        <v>3834</v>
      </c>
      <c r="B395" t="s">
        <v>3744</v>
      </c>
      <c r="C395" s="944">
        <v>0</v>
      </c>
    </row>
    <row r="396" spans="1:3" x14ac:dyDescent="0.35">
      <c r="A396" s="943" t="s">
        <v>3835</v>
      </c>
      <c r="B396" t="s">
        <v>3746</v>
      </c>
      <c r="C396" s="944">
        <v>0</v>
      </c>
    </row>
    <row r="397" spans="1:3" x14ac:dyDescent="0.35">
      <c r="A397" s="943" t="s">
        <v>3836</v>
      </c>
      <c r="B397" t="s">
        <v>3748</v>
      </c>
      <c r="C397" s="944">
        <v>0</v>
      </c>
    </row>
    <row r="398" spans="1:3" x14ac:dyDescent="0.35">
      <c r="A398" s="943" t="s">
        <v>3837</v>
      </c>
      <c r="B398" t="s">
        <v>3750</v>
      </c>
      <c r="C398" s="944">
        <v>0</v>
      </c>
    </row>
    <row r="399" spans="1:3" x14ac:dyDescent="0.35">
      <c r="A399" s="943" t="s">
        <v>3838</v>
      </c>
      <c r="B399" t="s">
        <v>3752</v>
      </c>
      <c r="C399" s="944">
        <v>1159300</v>
      </c>
    </row>
    <row r="400" spans="1:3" x14ac:dyDescent="0.35">
      <c r="A400" s="943" t="s">
        <v>3839</v>
      </c>
      <c r="B400" t="s">
        <v>3754</v>
      </c>
      <c r="C400" s="944">
        <v>0</v>
      </c>
    </row>
    <row r="401" spans="1:3" x14ac:dyDescent="0.35">
      <c r="A401" s="943" t="s">
        <v>3840</v>
      </c>
      <c r="B401" t="s">
        <v>350</v>
      </c>
      <c r="C401" s="944">
        <v>0</v>
      </c>
    </row>
    <row r="402" spans="1:3" x14ac:dyDescent="0.35">
      <c r="B402" t="s">
        <v>3841</v>
      </c>
      <c r="C402" s="944">
        <v>7361800</v>
      </c>
    </row>
    <row r="403" spans="1:3" x14ac:dyDescent="0.35">
      <c r="A403" s="943" t="s">
        <v>7829</v>
      </c>
      <c r="B403" t="s">
        <v>3842</v>
      </c>
      <c r="C403" s="944"/>
    </row>
    <row r="404" spans="1:3" x14ac:dyDescent="0.35">
      <c r="A404" s="943" t="s">
        <v>3843</v>
      </c>
      <c r="B404" t="s">
        <v>3599</v>
      </c>
      <c r="C404" s="944">
        <v>0</v>
      </c>
    </row>
    <row r="405" spans="1:3" x14ac:dyDescent="0.35">
      <c r="A405" s="943" t="s">
        <v>3844</v>
      </c>
      <c r="B405" t="s">
        <v>3601</v>
      </c>
      <c r="C405" s="944">
        <v>0</v>
      </c>
    </row>
    <row r="406" spans="1:3" x14ac:dyDescent="0.35">
      <c r="A406" s="943" t="s">
        <v>3845</v>
      </c>
      <c r="B406" t="s">
        <v>3603</v>
      </c>
      <c r="C406" s="944">
        <v>0</v>
      </c>
    </row>
    <row r="407" spans="1:3" x14ac:dyDescent="0.35">
      <c r="A407" s="943" t="s">
        <v>3846</v>
      </c>
      <c r="B407" t="s">
        <v>3605</v>
      </c>
      <c r="C407" s="944">
        <v>0</v>
      </c>
    </row>
    <row r="408" spans="1:3" x14ac:dyDescent="0.35">
      <c r="A408" s="943" t="s">
        <v>3847</v>
      </c>
      <c r="B408" t="s">
        <v>3607</v>
      </c>
      <c r="C408" s="944">
        <v>0</v>
      </c>
    </row>
    <row r="409" spans="1:3" x14ac:dyDescent="0.35">
      <c r="A409" s="943" t="s">
        <v>3848</v>
      </c>
      <c r="B409" t="s">
        <v>3609</v>
      </c>
      <c r="C409" s="944">
        <v>0</v>
      </c>
    </row>
    <row r="410" spans="1:3" x14ac:dyDescent="0.35">
      <c r="A410" s="943" t="s">
        <v>3849</v>
      </c>
      <c r="B410" t="s">
        <v>3611</v>
      </c>
      <c r="C410" s="944">
        <v>0</v>
      </c>
    </row>
    <row r="411" spans="1:3" x14ac:dyDescent="0.35">
      <c r="A411" s="943" t="s">
        <v>3850</v>
      </c>
      <c r="B411" t="s">
        <v>3613</v>
      </c>
      <c r="C411" s="944">
        <v>0</v>
      </c>
    </row>
    <row r="412" spans="1:3" x14ac:dyDescent="0.35">
      <c r="A412" s="943" t="s">
        <v>3851</v>
      </c>
      <c r="B412" t="s">
        <v>3615</v>
      </c>
      <c r="C412" s="944">
        <v>0</v>
      </c>
    </row>
    <row r="413" spans="1:3" x14ac:dyDescent="0.35">
      <c r="A413" s="943" t="s">
        <v>3852</v>
      </c>
      <c r="B413" t="s">
        <v>3617</v>
      </c>
      <c r="C413" s="944">
        <v>0</v>
      </c>
    </row>
    <row r="414" spans="1:3" x14ac:dyDescent="0.35">
      <c r="A414" s="943" t="s">
        <v>3853</v>
      </c>
      <c r="B414" t="s">
        <v>3619</v>
      </c>
      <c r="C414" s="944">
        <v>0</v>
      </c>
    </row>
    <row r="415" spans="1:3" x14ac:dyDescent="0.35">
      <c r="A415" s="943" t="s">
        <v>3854</v>
      </c>
      <c r="B415" t="s">
        <v>3621</v>
      </c>
      <c r="C415" s="944">
        <v>0</v>
      </c>
    </row>
    <row r="416" spans="1:3" x14ac:dyDescent="0.35">
      <c r="A416" s="943" t="s">
        <v>3855</v>
      </c>
      <c r="B416" t="s">
        <v>3623</v>
      </c>
      <c r="C416" s="944">
        <v>0</v>
      </c>
    </row>
    <row r="417" spans="1:3" x14ac:dyDescent="0.35">
      <c r="A417" s="943" t="s">
        <v>3856</v>
      </c>
      <c r="B417" t="s">
        <v>3625</v>
      </c>
      <c r="C417" s="944">
        <v>0</v>
      </c>
    </row>
    <row r="418" spans="1:3" x14ac:dyDescent="0.35">
      <c r="A418" s="943" t="s">
        <v>3857</v>
      </c>
      <c r="B418" t="s">
        <v>3627</v>
      </c>
      <c r="C418" s="944">
        <v>0</v>
      </c>
    </row>
    <row r="419" spans="1:3" x14ac:dyDescent="0.35">
      <c r="A419" s="943" t="s">
        <v>3858</v>
      </c>
      <c r="B419" t="s">
        <v>3629</v>
      </c>
      <c r="C419" s="944">
        <v>0</v>
      </c>
    </row>
    <row r="420" spans="1:3" x14ac:dyDescent="0.35">
      <c r="A420" s="943" t="s">
        <v>3859</v>
      </c>
      <c r="B420" t="s">
        <v>3631</v>
      </c>
      <c r="C420" s="944">
        <v>0</v>
      </c>
    </row>
    <row r="421" spans="1:3" x14ac:dyDescent="0.35">
      <c r="A421" s="943" t="s">
        <v>3860</v>
      </c>
      <c r="B421" t="s">
        <v>3633</v>
      </c>
      <c r="C421" s="944">
        <v>0</v>
      </c>
    </row>
    <row r="422" spans="1:3" x14ac:dyDescent="0.35">
      <c r="A422" s="943" t="s">
        <v>3861</v>
      </c>
      <c r="B422" t="s">
        <v>3635</v>
      </c>
      <c r="C422" s="944">
        <v>0</v>
      </c>
    </row>
    <row r="423" spans="1:3" x14ac:dyDescent="0.35">
      <c r="A423" s="943" t="s">
        <v>3862</v>
      </c>
      <c r="B423" t="s">
        <v>3637</v>
      </c>
      <c r="C423" s="944">
        <v>0</v>
      </c>
    </row>
    <row r="424" spans="1:3" x14ac:dyDescent="0.35">
      <c r="A424" s="943" t="s">
        <v>3863</v>
      </c>
      <c r="B424" t="s">
        <v>334</v>
      </c>
      <c r="C424" s="944">
        <v>0</v>
      </c>
    </row>
    <row r="425" spans="1:3" x14ac:dyDescent="0.35">
      <c r="A425" s="943" t="s">
        <v>3864</v>
      </c>
      <c r="B425" t="s">
        <v>3640</v>
      </c>
      <c r="C425" s="944">
        <v>0</v>
      </c>
    </row>
    <row r="426" spans="1:3" x14ac:dyDescent="0.35">
      <c r="A426" s="943" t="s">
        <v>3865</v>
      </c>
      <c r="B426" t="s">
        <v>3642</v>
      </c>
      <c r="C426" s="944">
        <v>0</v>
      </c>
    </row>
    <row r="427" spans="1:3" x14ac:dyDescent="0.35">
      <c r="A427" s="943" t="s">
        <v>3866</v>
      </c>
      <c r="B427" t="s">
        <v>3644</v>
      </c>
      <c r="C427" s="944">
        <v>37500</v>
      </c>
    </row>
    <row r="428" spans="1:3" x14ac:dyDescent="0.35">
      <c r="A428" s="943" t="s">
        <v>3867</v>
      </c>
      <c r="B428" t="s">
        <v>3646</v>
      </c>
      <c r="C428" s="944">
        <v>0</v>
      </c>
    </row>
    <row r="429" spans="1:3" x14ac:dyDescent="0.35">
      <c r="A429" s="943" t="s">
        <v>3868</v>
      </c>
      <c r="B429" t="s">
        <v>3648</v>
      </c>
      <c r="C429" s="944">
        <v>370000</v>
      </c>
    </row>
    <row r="430" spans="1:3" x14ac:dyDescent="0.35">
      <c r="A430" s="943" t="s">
        <v>3869</v>
      </c>
      <c r="B430" t="s">
        <v>3650</v>
      </c>
      <c r="C430" s="944">
        <v>240000</v>
      </c>
    </row>
    <row r="431" spans="1:3" x14ac:dyDescent="0.35">
      <c r="A431" s="943" t="s">
        <v>3870</v>
      </c>
      <c r="B431" t="s">
        <v>3652</v>
      </c>
      <c r="C431" s="944">
        <v>0</v>
      </c>
    </row>
    <row r="432" spans="1:3" x14ac:dyDescent="0.35">
      <c r="A432" s="943" t="s">
        <v>3871</v>
      </c>
      <c r="B432" t="s">
        <v>3654</v>
      </c>
      <c r="C432" s="944">
        <v>0</v>
      </c>
    </row>
    <row r="433" spans="1:3" x14ac:dyDescent="0.35">
      <c r="A433" s="943" t="s">
        <v>3872</v>
      </c>
      <c r="B433" t="s">
        <v>3656</v>
      </c>
      <c r="C433" s="944">
        <v>0</v>
      </c>
    </row>
    <row r="434" spans="1:3" x14ac:dyDescent="0.35">
      <c r="A434" s="943" t="s">
        <v>3873</v>
      </c>
      <c r="B434" t="s">
        <v>3658</v>
      </c>
      <c r="C434" s="944">
        <v>0</v>
      </c>
    </row>
    <row r="435" spans="1:3" x14ac:dyDescent="0.35">
      <c r="A435" s="943" t="s">
        <v>3874</v>
      </c>
      <c r="B435" t="s">
        <v>3660</v>
      </c>
      <c r="C435" s="944">
        <v>674600</v>
      </c>
    </row>
    <row r="436" spans="1:3" x14ac:dyDescent="0.35">
      <c r="A436" s="943" t="s">
        <v>3875</v>
      </c>
      <c r="B436" t="s">
        <v>3662</v>
      </c>
      <c r="C436" s="944">
        <v>0</v>
      </c>
    </row>
    <row r="437" spans="1:3" x14ac:dyDescent="0.35">
      <c r="A437" s="943" t="s">
        <v>3876</v>
      </c>
      <c r="B437" t="s">
        <v>3664</v>
      </c>
      <c r="C437" s="944">
        <v>60000</v>
      </c>
    </row>
    <row r="438" spans="1:3" x14ac:dyDescent="0.35">
      <c r="A438" s="943" t="s">
        <v>3877</v>
      </c>
      <c r="B438" t="s">
        <v>3666</v>
      </c>
      <c r="C438" s="944">
        <v>0</v>
      </c>
    </row>
    <row r="439" spans="1:3" x14ac:dyDescent="0.35">
      <c r="A439" s="943" t="s">
        <v>3878</v>
      </c>
      <c r="B439" t="s">
        <v>3668</v>
      </c>
      <c r="C439" s="944">
        <v>0</v>
      </c>
    </row>
    <row r="440" spans="1:3" x14ac:dyDescent="0.35">
      <c r="A440" s="943" t="s">
        <v>3879</v>
      </c>
      <c r="B440" t="s">
        <v>350</v>
      </c>
      <c r="C440" s="944">
        <v>0</v>
      </c>
    </row>
    <row r="441" spans="1:3" x14ac:dyDescent="0.35">
      <c r="A441" s="943" t="s">
        <v>3880</v>
      </c>
      <c r="B441" t="s">
        <v>3671</v>
      </c>
      <c r="C441" s="944">
        <v>0</v>
      </c>
    </row>
    <row r="442" spans="1:3" x14ac:dyDescent="0.35">
      <c r="A442" s="943" t="s">
        <v>3881</v>
      </c>
      <c r="B442" t="s">
        <v>3673</v>
      </c>
      <c r="C442" s="944">
        <v>2500000</v>
      </c>
    </row>
    <row r="443" spans="1:3" x14ac:dyDescent="0.35">
      <c r="A443" s="943" t="s">
        <v>3882</v>
      </c>
      <c r="B443" t="s">
        <v>3675</v>
      </c>
      <c r="C443" s="944">
        <v>0</v>
      </c>
    </row>
    <row r="444" spans="1:3" x14ac:dyDescent="0.35">
      <c r="A444" s="943" t="s">
        <v>3883</v>
      </c>
      <c r="B444" t="s">
        <v>3677</v>
      </c>
      <c r="C444" s="944">
        <v>0</v>
      </c>
    </row>
    <row r="445" spans="1:3" x14ac:dyDescent="0.35">
      <c r="A445" s="943" t="s">
        <v>3884</v>
      </c>
      <c r="B445" t="s">
        <v>3679</v>
      </c>
      <c r="C445" s="944">
        <v>0</v>
      </c>
    </row>
    <row r="446" spans="1:3" x14ac:dyDescent="0.35">
      <c r="A446" s="943" t="s">
        <v>3885</v>
      </c>
      <c r="B446" t="s">
        <v>3681</v>
      </c>
      <c r="C446" s="944">
        <v>0</v>
      </c>
    </row>
    <row r="447" spans="1:3" x14ac:dyDescent="0.35">
      <c r="A447" s="943" t="s">
        <v>3886</v>
      </c>
      <c r="B447" t="s">
        <v>3683</v>
      </c>
      <c r="C447" s="944">
        <v>0</v>
      </c>
    </row>
    <row r="448" spans="1:3" x14ac:dyDescent="0.35">
      <c r="A448" s="943" t="s">
        <v>3887</v>
      </c>
      <c r="B448" t="s">
        <v>3685</v>
      </c>
      <c r="C448" s="944">
        <v>0</v>
      </c>
    </row>
    <row r="449" spans="1:3" x14ac:dyDescent="0.35">
      <c r="A449" s="943" t="s">
        <v>3888</v>
      </c>
      <c r="B449" t="s">
        <v>3687</v>
      </c>
      <c r="C449" s="944">
        <v>0</v>
      </c>
    </row>
    <row r="450" spans="1:3" x14ac:dyDescent="0.35">
      <c r="A450" s="943" t="s">
        <v>3889</v>
      </c>
      <c r="B450" t="s">
        <v>3689</v>
      </c>
      <c r="C450" s="944">
        <v>0</v>
      </c>
    </row>
    <row r="451" spans="1:3" x14ac:dyDescent="0.35">
      <c r="A451" s="943" t="s">
        <v>3890</v>
      </c>
      <c r="B451" t="s">
        <v>3691</v>
      </c>
      <c r="C451" s="944">
        <v>0</v>
      </c>
    </row>
    <row r="452" spans="1:3" x14ac:dyDescent="0.35">
      <c r="A452" s="943" t="s">
        <v>3891</v>
      </c>
      <c r="B452" t="s">
        <v>3693</v>
      </c>
      <c r="C452" s="944">
        <v>0</v>
      </c>
    </row>
    <row r="453" spans="1:3" x14ac:dyDescent="0.35">
      <c r="A453" s="943" t="s">
        <v>3892</v>
      </c>
      <c r="B453" t="s">
        <v>3695</v>
      </c>
      <c r="C453" s="944">
        <v>0</v>
      </c>
    </row>
    <row r="454" spans="1:3" x14ac:dyDescent="0.35">
      <c r="A454" s="943" t="s">
        <v>3893</v>
      </c>
      <c r="B454" t="s">
        <v>3697</v>
      </c>
      <c r="C454" s="944">
        <v>0</v>
      </c>
    </row>
    <row r="455" spans="1:3" x14ac:dyDescent="0.35">
      <c r="A455" s="943" t="s">
        <v>3894</v>
      </c>
      <c r="B455" t="s">
        <v>3699</v>
      </c>
      <c r="C455" s="944">
        <v>0</v>
      </c>
    </row>
    <row r="456" spans="1:3" x14ac:dyDescent="0.35">
      <c r="A456" s="943" t="s">
        <v>3895</v>
      </c>
      <c r="B456" t="s">
        <v>3701</v>
      </c>
      <c r="C456" s="944">
        <v>0</v>
      </c>
    </row>
    <row r="457" spans="1:3" x14ac:dyDescent="0.35">
      <c r="A457" s="943" t="s">
        <v>3896</v>
      </c>
      <c r="B457" t="s">
        <v>3703</v>
      </c>
      <c r="C457" s="944">
        <v>0</v>
      </c>
    </row>
    <row r="458" spans="1:3" x14ac:dyDescent="0.35">
      <c r="A458" s="943" t="s">
        <v>3897</v>
      </c>
      <c r="B458" t="s">
        <v>3705</v>
      </c>
      <c r="C458" s="944">
        <v>0</v>
      </c>
    </row>
    <row r="459" spans="1:3" x14ac:dyDescent="0.35">
      <c r="A459" s="943" t="s">
        <v>3898</v>
      </c>
      <c r="B459" t="s">
        <v>3707</v>
      </c>
      <c r="C459" s="944">
        <v>0</v>
      </c>
    </row>
    <row r="460" spans="1:3" x14ac:dyDescent="0.35">
      <c r="A460" s="943" t="s">
        <v>3899</v>
      </c>
      <c r="B460" t="s">
        <v>350</v>
      </c>
      <c r="C460" s="944">
        <v>0</v>
      </c>
    </row>
    <row r="461" spans="1:3" x14ac:dyDescent="0.35">
      <c r="A461" s="943" t="s">
        <v>3900</v>
      </c>
      <c r="B461" t="s">
        <v>3710</v>
      </c>
      <c r="C461" s="944">
        <v>0</v>
      </c>
    </row>
    <row r="462" spans="1:3" x14ac:dyDescent="0.35">
      <c r="A462" s="943" t="s">
        <v>3901</v>
      </c>
      <c r="B462" t="s">
        <v>3712</v>
      </c>
      <c r="C462" s="944">
        <v>2314300</v>
      </c>
    </row>
    <row r="463" spans="1:3" x14ac:dyDescent="0.35">
      <c r="A463" s="943" t="s">
        <v>3902</v>
      </c>
      <c r="B463" t="s">
        <v>3714</v>
      </c>
      <c r="C463" s="944">
        <v>0</v>
      </c>
    </row>
    <row r="464" spans="1:3" x14ac:dyDescent="0.35">
      <c r="A464" s="943" t="s">
        <v>3903</v>
      </c>
      <c r="B464" t="s">
        <v>3716</v>
      </c>
      <c r="C464" s="944">
        <v>0</v>
      </c>
    </row>
    <row r="465" spans="1:3" x14ac:dyDescent="0.35">
      <c r="A465" s="943" t="s">
        <v>3904</v>
      </c>
      <c r="B465" t="s">
        <v>3718</v>
      </c>
      <c r="C465" s="944">
        <v>0</v>
      </c>
    </row>
    <row r="466" spans="1:3" x14ac:dyDescent="0.35">
      <c r="A466" s="943" t="s">
        <v>3905</v>
      </c>
      <c r="B466" t="s">
        <v>3720</v>
      </c>
      <c r="C466" s="944">
        <v>0</v>
      </c>
    </row>
    <row r="467" spans="1:3" x14ac:dyDescent="0.35">
      <c r="A467" s="943" t="s">
        <v>3906</v>
      </c>
      <c r="B467" t="s">
        <v>675</v>
      </c>
      <c r="C467" s="944">
        <v>0</v>
      </c>
    </row>
    <row r="468" spans="1:3" x14ac:dyDescent="0.35">
      <c r="A468" s="943" t="s">
        <v>3907</v>
      </c>
      <c r="B468" t="s">
        <v>3723</v>
      </c>
      <c r="C468" s="944">
        <v>0</v>
      </c>
    </row>
    <row r="469" spans="1:3" x14ac:dyDescent="0.35">
      <c r="A469" s="943" t="s">
        <v>3908</v>
      </c>
      <c r="B469" t="s">
        <v>3249</v>
      </c>
      <c r="C469" s="944">
        <v>0</v>
      </c>
    </row>
    <row r="470" spans="1:3" x14ac:dyDescent="0.35">
      <c r="A470" s="943" t="s">
        <v>3909</v>
      </c>
      <c r="B470" t="s">
        <v>350</v>
      </c>
      <c r="C470" s="944">
        <v>0</v>
      </c>
    </row>
    <row r="471" spans="1:3" x14ac:dyDescent="0.35">
      <c r="A471" s="943" t="s">
        <v>3910</v>
      </c>
      <c r="B471" t="s">
        <v>3727</v>
      </c>
      <c r="C471" s="944">
        <v>0</v>
      </c>
    </row>
    <row r="472" spans="1:3" x14ac:dyDescent="0.35">
      <c r="A472" s="943" t="s">
        <v>3911</v>
      </c>
      <c r="B472" t="s">
        <v>3729</v>
      </c>
      <c r="C472" s="944">
        <v>0</v>
      </c>
    </row>
    <row r="473" spans="1:3" x14ac:dyDescent="0.35">
      <c r="A473" s="943" t="s">
        <v>3912</v>
      </c>
      <c r="B473" t="s">
        <v>3731</v>
      </c>
      <c r="C473" s="944">
        <v>0</v>
      </c>
    </row>
    <row r="474" spans="1:3" x14ac:dyDescent="0.35">
      <c r="A474" s="943" t="s">
        <v>3913</v>
      </c>
      <c r="B474" t="s">
        <v>3733</v>
      </c>
      <c r="C474" s="944">
        <v>0</v>
      </c>
    </row>
    <row r="475" spans="1:3" x14ac:dyDescent="0.35">
      <c r="A475" s="943" t="s">
        <v>3914</v>
      </c>
      <c r="B475" t="s">
        <v>3735</v>
      </c>
      <c r="C475" s="944">
        <v>0</v>
      </c>
    </row>
    <row r="476" spans="1:3" x14ac:dyDescent="0.35">
      <c r="A476" s="943" t="s">
        <v>3915</v>
      </c>
      <c r="B476" t="s">
        <v>3737</v>
      </c>
      <c r="C476" s="944">
        <v>0</v>
      </c>
    </row>
    <row r="477" spans="1:3" x14ac:dyDescent="0.35">
      <c r="A477" s="943" t="s">
        <v>3916</v>
      </c>
      <c r="B477" t="s">
        <v>3739</v>
      </c>
      <c r="C477" s="944">
        <v>0</v>
      </c>
    </row>
    <row r="478" spans="1:3" x14ac:dyDescent="0.35">
      <c r="A478" s="943" t="s">
        <v>3917</v>
      </c>
      <c r="B478" t="s">
        <v>3741</v>
      </c>
      <c r="C478" s="944">
        <v>0</v>
      </c>
    </row>
    <row r="479" spans="1:3" x14ac:dyDescent="0.35">
      <c r="A479" s="943" t="s">
        <v>3918</v>
      </c>
      <c r="B479" t="s">
        <v>350</v>
      </c>
      <c r="C479" s="944">
        <v>0</v>
      </c>
    </row>
    <row r="480" spans="1:3" x14ac:dyDescent="0.35">
      <c r="A480" s="943" t="s">
        <v>3919</v>
      </c>
      <c r="B480" t="s">
        <v>3744</v>
      </c>
      <c r="C480" s="944">
        <v>0</v>
      </c>
    </row>
    <row r="481" spans="1:3" x14ac:dyDescent="0.35">
      <c r="A481" s="943" t="s">
        <v>3920</v>
      </c>
      <c r="B481" t="s">
        <v>3746</v>
      </c>
      <c r="C481" s="944">
        <v>0</v>
      </c>
    </row>
    <row r="482" spans="1:3" x14ac:dyDescent="0.35">
      <c r="A482" s="943" t="s">
        <v>3921</v>
      </c>
      <c r="B482" t="s">
        <v>3748</v>
      </c>
      <c r="C482" s="944">
        <v>0</v>
      </c>
    </row>
    <row r="483" spans="1:3" x14ac:dyDescent="0.35">
      <c r="A483" s="943" t="s">
        <v>3922</v>
      </c>
      <c r="B483" t="s">
        <v>3750</v>
      </c>
      <c r="C483" s="944">
        <v>20000</v>
      </c>
    </row>
    <row r="484" spans="1:3" x14ac:dyDescent="0.35">
      <c r="A484" s="943" t="s">
        <v>3923</v>
      </c>
      <c r="B484" t="s">
        <v>3752</v>
      </c>
      <c r="C484" s="944">
        <v>0</v>
      </c>
    </row>
    <row r="485" spans="1:3" x14ac:dyDescent="0.35">
      <c r="A485" s="943" t="s">
        <v>3924</v>
      </c>
      <c r="B485" t="s">
        <v>3754</v>
      </c>
      <c r="C485" s="944">
        <v>0</v>
      </c>
    </row>
    <row r="486" spans="1:3" x14ac:dyDescent="0.35">
      <c r="A486" s="943" t="s">
        <v>3925</v>
      </c>
      <c r="B486" t="s">
        <v>350</v>
      </c>
      <c r="C486" s="944">
        <v>0</v>
      </c>
    </row>
    <row r="487" spans="1:3" x14ac:dyDescent="0.35">
      <c r="B487" t="s">
        <v>3926</v>
      </c>
      <c r="C487" s="944">
        <v>6216400</v>
      </c>
    </row>
    <row r="488" spans="1:3" x14ac:dyDescent="0.35">
      <c r="B488" t="s">
        <v>3927</v>
      </c>
      <c r="C488" s="944">
        <v>13578200</v>
      </c>
    </row>
    <row r="489" spans="1:3" x14ac:dyDescent="0.35">
      <c r="A489" s="943" t="s">
        <v>7865</v>
      </c>
      <c r="B489" t="s">
        <v>3928</v>
      </c>
      <c r="C489" s="944"/>
    </row>
    <row r="490" spans="1:3" x14ac:dyDescent="0.35">
      <c r="A490" s="943" t="s">
        <v>7866</v>
      </c>
      <c r="B490" t="s">
        <v>3929</v>
      </c>
      <c r="C490" s="944"/>
    </row>
    <row r="491" spans="1:3" x14ac:dyDescent="0.35">
      <c r="A491" s="943" t="s">
        <v>4550</v>
      </c>
      <c r="B491" t="s">
        <v>3599</v>
      </c>
      <c r="C491" s="944">
        <v>0</v>
      </c>
    </row>
    <row r="492" spans="1:3" x14ac:dyDescent="0.35">
      <c r="A492" s="943" t="s">
        <v>4551</v>
      </c>
      <c r="B492" t="s">
        <v>3601</v>
      </c>
      <c r="C492" s="944">
        <v>0</v>
      </c>
    </row>
    <row r="493" spans="1:3" x14ac:dyDescent="0.35">
      <c r="A493" s="943" t="s">
        <v>4552</v>
      </c>
      <c r="B493" t="s">
        <v>3603</v>
      </c>
      <c r="C493" s="944">
        <v>0</v>
      </c>
    </row>
    <row r="494" spans="1:3" x14ac:dyDescent="0.35">
      <c r="A494" s="943" t="s">
        <v>4553</v>
      </c>
      <c r="B494" t="s">
        <v>3605</v>
      </c>
      <c r="C494" s="944">
        <v>0</v>
      </c>
    </row>
    <row r="495" spans="1:3" x14ac:dyDescent="0.35">
      <c r="A495" s="943" t="s">
        <v>4554</v>
      </c>
      <c r="B495" t="s">
        <v>3607</v>
      </c>
      <c r="C495" s="944">
        <v>0</v>
      </c>
    </row>
    <row r="496" spans="1:3" x14ac:dyDescent="0.35">
      <c r="A496" s="943" t="s">
        <v>4555</v>
      </c>
      <c r="B496" t="s">
        <v>3609</v>
      </c>
      <c r="C496" s="944">
        <v>0</v>
      </c>
    </row>
    <row r="497" spans="1:3" x14ac:dyDescent="0.35">
      <c r="A497" s="943" t="s">
        <v>4556</v>
      </c>
      <c r="B497" t="s">
        <v>3611</v>
      </c>
      <c r="C497" s="944">
        <v>0</v>
      </c>
    </row>
    <row r="498" spans="1:3" x14ac:dyDescent="0.35">
      <c r="A498" s="943" t="s">
        <v>4557</v>
      </c>
      <c r="B498" t="s">
        <v>3613</v>
      </c>
      <c r="C498" s="944">
        <v>0</v>
      </c>
    </row>
    <row r="499" spans="1:3" x14ac:dyDescent="0.35">
      <c r="A499" s="943" t="s">
        <v>4558</v>
      </c>
      <c r="B499" t="s">
        <v>3615</v>
      </c>
      <c r="C499" s="944">
        <v>0</v>
      </c>
    </row>
    <row r="500" spans="1:3" x14ac:dyDescent="0.35">
      <c r="A500" s="943" t="s">
        <v>4559</v>
      </c>
      <c r="B500" t="s">
        <v>3617</v>
      </c>
      <c r="C500" s="944">
        <v>0</v>
      </c>
    </row>
    <row r="501" spans="1:3" x14ac:dyDescent="0.35">
      <c r="A501" s="943" t="s">
        <v>4560</v>
      </c>
      <c r="B501" t="s">
        <v>3619</v>
      </c>
      <c r="C501" s="944">
        <v>0</v>
      </c>
    </row>
    <row r="502" spans="1:3" x14ac:dyDescent="0.35">
      <c r="A502" s="943" t="s">
        <v>4561</v>
      </c>
      <c r="B502" t="s">
        <v>3621</v>
      </c>
      <c r="C502" s="944">
        <v>0</v>
      </c>
    </row>
    <row r="503" spans="1:3" x14ac:dyDescent="0.35">
      <c r="A503" s="943" t="s">
        <v>4562</v>
      </c>
      <c r="B503" t="s">
        <v>3623</v>
      </c>
      <c r="C503" s="944">
        <v>0</v>
      </c>
    </row>
    <row r="504" spans="1:3" x14ac:dyDescent="0.35">
      <c r="A504" s="943" t="s">
        <v>4563</v>
      </c>
      <c r="B504" t="s">
        <v>3625</v>
      </c>
      <c r="C504" s="944">
        <v>0</v>
      </c>
    </row>
    <row r="505" spans="1:3" x14ac:dyDescent="0.35">
      <c r="A505" s="943" t="s">
        <v>4564</v>
      </c>
      <c r="B505" t="s">
        <v>3627</v>
      </c>
      <c r="C505" s="944">
        <v>0</v>
      </c>
    </row>
    <row r="506" spans="1:3" x14ac:dyDescent="0.35">
      <c r="A506" s="943" t="s">
        <v>4565</v>
      </c>
      <c r="B506" t="s">
        <v>3629</v>
      </c>
      <c r="C506" s="944">
        <v>0</v>
      </c>
    </row>
    <row r="507" spans="1:3" x14ac:dyDescent="0.35">
      <c r="A507" s="943" t="s">
        <v>4566</v>
      </c>
      <c r="B507" t="s">
        <v>3631</v>
      </c>
      <c r="C507" s="944">
        <v>0</v>
      </c>
    </row>
    <row r="508" spans="1:3" x14ac:dyDescent="0.35">
      <c r="A508" s="943" t="s">
        <v>4567</v>
      </c>
      <c r="B508" t="s">
        <v>3633</v>
      </c>
      <c r="C508" s="944">
        <v>0</v>
      </c>
    </row>
    <row r="509" spans="1:3" x14ac:dyDescent="0.35">
      <c r="A509" s="943" t="s">
        <v>4568</v>
      </c>
      <c r="B509" t="s">
        <v>3635</v>
      </c>
      <c r="C509" s="944">
        <v>0</v>
      </c>
    </row>
    <row r="510" spans="1:3" x14ac:dyDescent="0.35">
      <c r="A510" s="943" t="s">
        <v>4569</v>
      </c>
      <c r="B510" t="s">
        <v>3637</v>
      </c>
      <c r="C510" s="944">
        <v>0</v>
      </c>
    </row>
    <row r="511" spans="1:3" x14ac:dyDescent="0.35">
      <c r="A511" s="943" t="s">
        <v>4570</v>
      </c>
      <c r="B511" t="s">
        <v>334</v>
      </c>
      <c r="C511" s="944">
        <v>0</v>
      </c>
    </row>
    <row r="512" spans="1:3" x14ac:dyDescent="0.35">
      <c r="A512" s="943" t="s">
        <v>4571</v>
      </c>
      <c r="B512" t="s">
        <v>3640</v>
      </c>
      <c r="C512" s="944">
        <v>0</v>
      </c>
    </row>
    <row r="513" spans="1:3" x14ac:dyDescent="0.35">
      <c r="A513" s="943" t="s">
        <v>4572</v>
      </c>
      <c r="B513" t="s">
        <v>3642</v>
      </c>
      <c r="C513" s="944">
        <v>0</v>
      </c>
    </row>
    <row r="514" spans="1:3" x14ac:dyDescent="0.35">
      <c r="A514" s="943" t="s">
        <v>4573</v>
      </c>
      <c r="B514" t="s">
        <v>3644</v>
      </c>
      <c r="C514" s="944">
        <v>0</v>
      </c>
    </row>
    <row r="515" spans="1:3" x14ac:dyDescent="0.35">
      <c r="A515" s="943" t="s">
        <v>4574</v>
      </c>
      <c r="B515" t="s">
        <v>3646</v>
      </c>
      <c r="C515" s="944">
        <v>0</v>
      </c>
    </row>
    <row r="516" spans="1:3" x14ac:dyDescent="0.35">
      <c r="A516" s="943" t="s">
        <v>4575</v>
      </c>
      <c r="B516" t="s">
        <v>3648</v>
      </c>
      <c r="C516" s="944">
        <v>0</v>
      </c>
    </row>
    <row r="517" spans="1:3" x14ac:dyDescent="0.35">
      <c r="A517" s="943" t="s">
        <v>4576</v>
      </c>
      <c r="B517" t="s">
        <v>3650</v>
      </c>
      <c r="C517" s="944">
        <v>0</v>
      </c>
    </row>
    <row r="518" spans="1:3" x14ac:dyDescent="0.35">
      <c r="A518" s="943" t="s">
        <v>4577</v>
      </c>
      <c r="B518" t="s">
        <v>3652</v>
      </c>
      <c r="C518" s="944">
        <v>0</v>
      </c>
    </row>
    <row r="519" spans="1:3" x14ac:dyDescent="0.35">
      <c r="A519" s="943" t="s">
        <v>4578</v>
      </c>
      <c r="B519" t="s">
        <v>3654</v>
      </c>
      <c r="C519" s="944">
        <v>0</v>
      </c>
    </row>
    <row r="520" spans="1:3" x14ac:dyDescent="0.35">
      <c r="A520" s="943" t="s">
        <v>4579</v>
      </c>
      <c r="B520" t="s">
        <v>3656</v>
      </c>
      <c r="C520" s="944">
        <v>0</v>
      </c>
    </row>
    <row r="521" spans="1:3" x14ac:dyDescent="0.35">
      <c r="A521" s="943" t="s">
        <v>4580</v>
      </c>
      <c r="B521" t="s">
        <v>3658</v>
      </c>
      <c r="C521" s="944">
        <v>0</v>
      </c>
    </row>
    <row r="522" spans="1:3" x14ac:dyDescent="0.35">
      <c r="A522" s="943" t="s">
        <v>4581</v>
      </c>
      <c r="B522" t="s">
        <v>3660</v>
      </c>
      <c r="C522" s="944">
        <v>0</v>
      </c>
    </row>
    <row r="523" spans="1:3" x14ac:dyDescent="0.35">
      <c r="A523" s="943" t="s">
        <v>4582</v>
      </c>
      <c r="B523" t="s">
        <v>3662</v>
      </c>
      <c r="C523" s="944">
        <v>0</v>
      </c>
    </row>
    <row r="524" spans="1:3" x14ac:dyDescent="0.35">
      <c r="A524" s="943" t="s">
        <v>4583</v>
      </c>
      <c r="B524" t="s">
        <v>3664</v>
      </c>
      <c r="C524" s="944">
        <v>0</v>
      </c>
    </row>
    <row r="525" spans="1:3" x14ac:dyDescent="0.35">
      <c r="A525" s="943" t="s">
        <v>4584</v>
      </c>
      <c r="B525" t="s">
        <v>3666</v>
      </c>
      <c r="C525" s="944">
        <v>0</v>
      </c>
    </row>
    <row r="526" spans="1:3" x14ac:dyDescent="0.35">
      <c r="A526" s="943" t="s">
        <v>4585</v>
      </c>
      <c r="B526" t="s">
        <v>3668</v>
      </c>
      <c r="C526" s="944">
        <v>0</v>
      </c>
    </row>
    <row r="527" spans="1:3" x14ac:dyDescent="0.35">
      <c r="A527" s="943" t="s">
        <v>4586</v>
      </c>
      <c r="B527" t="s">
        <v>350</v>
      </c>
      <c r="C527" s="944">
        <v>0</v>
      </c>
    </row>
    <row r="528" spans="1:3" x14ac:dyDescent="0.35">
      <c r="A528" s="943" t="s">
        <v>4587</v>
      </c>
      <c r="B528" t="s">
        <v>3671</v>
      </c>
      <c r="C528" s="944">
        <v>0</v>
      </c>
    </row>
    <row r="529" spans="1:3" x14ac:dyDescent="0.35">
      <c r="A529" s="943" t="s">
        <v>4588</v>
      </c>
      <c r="B529" t="s">
        <v>3930</v>
      </c>
      <c r="C529" s="944">
        <v>0</v>
      </c>
    </row>
    <row r="530" spans="1:3" x14ac:dyDescent="0.35">
      <c r="A530" s="943" t="s">
        <v>4589</v>
      </c>
      <c r="B530" t="s">
        <v>3675</v>
      </c>
      <c r="C530" s="944">
        <v>0</v>
      </c>
    </row>
    <row r="531" spans="1:3" x14ac:dyDescent="0.35">
      <c r="A531" s="943" t="s">
        <v>4590</v>
      </c>
      <c r="B531" t="s">
        <v>3677</v>
      </c>
      <c r="C531" s="944">
        <v>0</v>
      </c>
    </row>
    <row r="532" spans="1:3" x14ac:dyDescent="0.35">
      <c r="A532" s="943" t="s">
        <v>4591</v>
      </c>
      <c r="B532" t="s">
        <v>3679</v>
      </c>
      <c r="C532" s="944">
        <v>0</v>
      </c>
    </row>
    <row r="533" spans="1:3" x14ac:dyDescent="0.35">
      <c r="A533" s="943" t="s">
        <v>4592</v>
      </c>
      <c r="B533" t="s">
        <v>3681</v>
      </c>
      <c r="C533" s="944">
        <v>0</v>
      </c>
    </row>
    <row r="534" spans="1:3" x14ac:dyDescent="0.35">
      <c r="A534" s="943" t="s">
        <v>4593</v>
      </c>
      <c r="B534" t="s">
        <v>3683</v>
      </c>
      <c r="C534" s="944">
        <v>0</v>
      </c>
    </row>
    <row r="535" spans="1:3" x14ac:dyDescent="0.35">
      <c r="A535" s="943" t="s">
        <v>4594</v>
      </c>
      <c r="B535" t="s">
        <v>3685</v>
      </c>
      <c r="C535" s="944">
        <v>0</v>
      </c>
    </row>
    <row r="536" spans="1:3" x14ac:dyDescent="0.35">
      <c r="A536" s="943" t="s">
        <v>4595</v>
      </c>
      <c r="B536" t="s">
        <v>3687</v>
      </c>
      <c r="C536" s="944">
        <v>0</v>
      </c>
    </row>
    <row r="537" spans="1:3" x14ac:dyDescent="0.35">
      <c r="A537" s="943" t="s">
        <v>4596</v>
      </c>
      <c r="B537" t="s">
        <v>3689</v>
      </c>
      <c r="C537" s="944">
        <v>0</v>
      </c>
    </row>
    <row r="538" spans="1:3" x14ac:dyDescent="0.35">
      <c r="A538" s="943" t="s">
        <v>4597</v>
      </c>
      <c r="B538" t="s">
        <v>3931</v>
      </c>
      <c r="C538" s="944">
        <v>0</v>
      </c>
    </row>
    <row r="539" spans="1:3" x14ac:dyDescent="0.35">
      <c r="A539" s="943" t="s">
        <v>4598</v>
      </c>
      <c r="B539" t="s">
        <v>3720</v>
      </c>
      <c r="C539" s="944">
        <v>0</v>
      </c>
    </row>
    <row r="540" spans="1:3" x14ac:dyDescent="0.35">
      <c r="A540" s="943" t="s">
        <v>4599</v>
      </c>
      <c r="B540" t="s">
        <v>3932</v>
      </c>
      <c r="C540" s="944">
        <v>0</v>
      </c>
    </row>
    <row r="541" spans="1:3" x14ac:dyDescent="0.35">
      <c r="A541" s="943" t="s">
        <v>4600</v>
      </c>
      <c r="B541" t="s">
        <v>3648</v>
      </c>
      <c r="C541" s="944">
        <v>0</v>
      </c>
    </row>
    <row r="542" spans="1:3" x14ac:dyDescent="0.35">
      <c r="A542" s="943" t="s">
        <v>4601</v>
      </c>
      <c r="B542" t="s">
        <v>3933</v>
      </c>
      <c r="C542" s="944">
        <v>0</v>
      </c>
    </row>
    <row r="543" spans="1:3" x14ac:dyDescent="0.35">
      <c r="A543" s="943" t="s">
        <v>4602</v>
      </c>
      <c r="B543" t="s">
        <v>3934</v>
      </c>
      <c r="C543" s="944">
        <v>0</v>
      </c>
    </row>
    <row r="544" spans="1:3" x14ac:dyDescent="0.35">
      <c r="A544" s="943" t="s">
        <v>4603</v>
      </c>
      <c r="B544" t="s">
        <v>3935</v>
      </c>
      <c r="C544" s="944">
        <v>0</v>
      </c>
    </row>
    <row r="545" spans="1:3" x14ac:dyDescent="0.35">
      <c r="A545" s="943" t="s">
        <v>4604</v>
      </c>
      <c r="B545" t="s">
        <v>3249</v>
      </c>
      <c r="C545" s="944">
        <v>0</v>
      </c>
    </row>
    <row r="546" spans="1:3" x14ac:dyDescent="0.35">
      <c r="A546" s="943" t="s">
        <v>4605</v>
      </c>
      <c r="B546" t="s">
        <v>3936</v>
      </c>
      <c r="C546" s="944">
        <v>0</v>
      </c>
    </row>
    <row r="547" spans="1:3" x14ac:dyDescent="0.35">
      <c r="A547" s="943" t="s">
        <v>4606</v>
      </c>
      <c r="B547" t="s">
        <v>350</v>
      </c>
      <c r="C547" s="944">
        <v>0</v>
      </c>
    </row>
    <row r="548" spans="1:3" x14ac:dyDescent="0.35">
      <c r="A548" s="943" t="s">
        <v>4607</v>
      </c>
      <c r="B548" t="s">
        <v>3937</v>
      </c>
      <c r="C548" s="944">
        <v>0</v>
      </c>
    </row>
    <row r="549" spans="1:3" x14ac:dyDescent="0.35">
      <c r="A549" s="943" t="s">
        <v>4608</v>
      </c>
      <c r="B549" t="s">
        <v>3938</v>
      </c>
      <c r="C549" s="944">
        <v>0</v>
      </c>
    </row>
    <row r="550" spans="1:3" x14ac:dyDescent="0.35">
      <c r="A550" s="943" t="s">
        <v>4609</v>
      </c>
      <c r="B550" t="s">
        <v>3939</v>
      </c>
      <c r="C550" s="944">
        <v>0</v>
      </c>
    </row>
    <row r="551" spans="1:3" x14ac:dyDescent="0.35">
      <c r="B551" t="s">
        <v>3940</v>
      </c>
      <c r="C551" s="944">
        <v>0</v>
      </c>
    </row>
    <row r="552" spans="1:3" x14ac:dyDescent="0.35">
      <c r="A552" s="943" t="s">
        <v>7867</v>
      </c>
      <c r="B552" t="s">
        <v>3941</v>
      </c>
      <c r="C552" s="944"/>
    </row>
    <row r="553" spans="1:3" x14ac:dyDescent="0.35">
      <c r="A553" s="943" t="s">
        <v>4610</v>
      </c>
      <c r="B553" t="s">
        <v>3599</v>
      </c>
      <c r="C553" s="944">
        <v>0</v>
      </c>
    </row>
    <row r="554" spans="1:3" x14ac:dyDescent="0.35">
      <c r="A554" s="943" t="s">
        <v>4611</v>
      </c>
      <c r="B554" t="s">
        <v>3601</v>
      </c>
      <c r="C554" s="944">
        <v>0</v>
      </c>
    </row>
    <row r="555" spans="1:3" x14ac:dyDescent="0.35">
      <c r="A555" s="943" t="s">
        <v>4612</v>
      </c>
      <c r="B555" t="s">
        <v>3603</v>
      </c>
      <c r="C555" s="944">
        <v>0</v>
      </c>
    </row>
    <row r="556" spans="1:3" x14ac:dyDescent="0.35">
      <c r="A556" s="943" t="s">
        <v>4613</v>
      </c>
      <c r="B556" t="s">
        <v>3605</v>
      </c>
      <c r="C556" s="944">
        <v>0</v>
      </c>
    </row>
    <row r="557" spans="1:3" x14ac:dyDescent="0.35">
      <c r="A557" s="943" t="s">
        <v>4614</v>
      </c>
      <c r="B557" t="s">
        <v>3607</v>
      </c>
      <c r="C557" s="944">
        <v>0</v>
      </c>
    </row>
    <row r="558" spans="1:3" x14ac:dyDescent="0.35">
      <c r="A558" s="943" t="s">
        <v>4615</v>
      </c>
      <c r="B558" t="s">
        <v>3609</v>
      </c>
      <c r="C558" s="944">
        <v>0</v>
      </c>
    </row>
    <row r="559" spans="1:3" x14ac:dyDescent="0.35">
      <c r="A559" s="943" t="s">
        <v>4616</v>
      </c>
      <c r="B559" t="s">
        <v>3611</v>
      </c>
      <c r="C559" s="944">
        <v>0</v>
      </c>
    </row>
    <row r="560" spans="1:3" x14ac:dyDescent="0.35">
      <c r="A560" s="943" t="s">
        <v>4617</v>
      </c>
      <c r="B560" t="s">
        <v>3613</v>
      </c>
      <c r="C560" s="944">
        <v>0</v>
      </c>
    </row>
    <row r="561" spans="1:3" x14ac:dyDescent="0.35">
      <c r="A561" s="943" t="s">
        <v>4618</v>
      </c>
      <c r="B561" t="s">
        <v>3615</v>
      </c>
      <c r="C561" s="944">
        <v>0</v>
      </c>
    </row>
    <row r="562" spans="1:3" x14ac:dyDescent="0.35">
      <c r="A562" s="943" t="s">
        <v>4619</v>
      </c>
      <c r="B562" t="s">
        <v>3617</v>
      </c>
      <c r="C562" s="944">
        <v>0</v>
      </c>
    </row>
    <row r="563" spans="1:3" x14ac:dyDescent="0.35">
      <c r="A563" s="943" t="s">
        <v>4620</v>
      </c>
      <c r="B563" t="s">
        <v>3619</v>
      </c>
      <c r="C563" s="944">
        <v>0</v>
      </c>
    </row>
    <row r="564" spans="1:3" x14ac:dyDescent="0.35">
      <c r="A564" s="943" t="s">
        <v>4621</v>
      </c>
      <c r="B564" t="s">
        <v>3621</v>
      </c>
      <c r="C564" s="944">
        <v>0</v>
      </c>
    </row>
    <row r="565" spans="1:3" x14ac:dyDescent="0.35">
      <c r="A565" s="943" t="s">
        <v>4622</v>
      </c>
      <c r="B565" t="s">
        <v>3623</v>
      </c>
      <c r="C565" s="944">
        <v>0</v>
      </c>
    </row>
    <row r="566" spans="1:3" x14ac:dyDescent="0.35">
      <c r="A566" s="943" t="s">
        <v>4623</v>
      </c>
      <c r="B566" t="s">
        <v>3625</v>
      </c>
      <c r="C566" s="944">
        <v>0</v>
      </c>
    </row>
    <row r="567" spans="1:3" x14ac:dyDescent="0.35">
      <c r="A567" s="943" t="s">
        <v>4624</v>
      </c>
      <c r="B567" t="s">
        <v>3627</v>
      </c>
      <c r="C567" s="944">
        <v>0</v>
      </c>
    </row>
    <row r="568" spans="1:3" x14ac:dyDescent="0.35">
      <c r="A568" s="943" t="s">
        <v>4625</v>
      </c>
      <c r="B568" t="s">
        <v>3629</v>
      </c>
      <c r="C568" s="944">
        <v>0</v>
      </c>
    </row>
    <row r="569" spans="1:3" x14ac:dyDescent="0.35">
      <c r="A569" s="943" t="s">
        <v>4626</v>
      </c>
      <c r="B569" t="s">
        <v>3631</v>
      </c>
      <c r="C569" s="944">
        <v>0</v>
      </c>
    </row>
    <row r="570" spans="1:3" x14ac:dyDescent="0.35">
      <c r="A570" s="943" t="s">
        <v>4627</v>
      </c>
      <c r="B570" t="s">
        <v>3633</v>
      </c>
      <c r="C570" s="944">
        <v>0</v>
      </c>
    </row>
    <row r="571" spans="1:3" x14ac:dyDescent="0.35">
      <c r="A571" s="943" t="s">
        <v>4628</v>
      </c>
      <c r="B571" t="s">
        <v>3635</v>
      </c>
      <c r="C571" s="944">
        <v>0</v>
      </c>
    </row>
    <row r="572" spans="1:3" x14ac:dyDescent="0.35">
      <c r="A572" s="943" t="s">
        <v>4629</v>
      </c>
      <c r="B572" t="s">
        <v>3637</v>
      </c>
      <c r="C572" s="944">
        <v>0</v>
      </c>
    </row>
    <row r="573" spans="1:3" x14ac:dyDescent="0.35">
      <c r="A573" s="943" t="s">
        <v>4630</v>
      </c>
      <c r="B573" t="s">
        <v>334</v>
      </c>
      <c r="C573" s="944">
        <v>0</v>
      </c>
    </row>
    <row r="574" spans="1:3" x14ac:dyDescent="0.35">
      <c r="A574" s="943" t="s">
        <v>4631</v>
      </c>
      <c r="B574" t="s">
        <v>3640</v>
      </c>
      <c r="C574" s="944">
        <v>0</v>
      </c>
    </row>
    <row r="575" spans="1:3" x14ac:dyDescent="0.35">
      <c r="A575" s="943" t="s">
        <v>4632</v>
      </c>
      <c r="B575" t="s">
        <v>3642</v>
      </c>
      <c r="C575" s="944">
        <v>0</v>
      </c>
    </row>
    <row r="576" spans="1:3" x14ac:dyDescent="0.35">
      <c r="A576" s="943" t="s">
        <v>4633</v>
      </c>
      <c r="B576" t="s">
        <v>3644</v>
      </c>
      <c r="C576" s="944">
        <v>0</v>
      </c>
    </row>
    <row r="577" spans="1:3" x14ac:dyDescent="0.35">
      <c r="A577" s="943" t="s">
        <v>4634</v>
      </c>
      <c r="B577" t="s">
        <v>3646</v>
      </c>
      <c r="C577" s="944">
        <v>0</v>
      </c>
    </row>
    <row r="578" spans="1:3" x14ac:dyDescent="0.35">
      <c r="A578" s="943" t="s">
        <v>4635</v>
      </c>
      <c r="B578" t="s">
        <v>3648</v>
      </c>
      <c r="C578" s="944">
        <v>0</v>
      </c>
    </row>
    <row r="579" spans="1:3" x14ac:dyDescent="0.35">
      <c r="A579" s="943" t="s">
        <v>4636</v>
      </c>
      <c r="B579" t="s">
        <v>3650</v>
      </c>
      <c r="C579" s="944">
        <v>0</v>
      </c>
    </row>
    <row r="580" spans="1:3" x14ac:dyDescent="0.35">
      <c r="A580" s="943" t="s">
        <v>4637</v>
      </c>
      <c r="B580" t="s">
        <v>3652</v>
      </c>
      <c r="C580" s="944">
        <v>0</v>
      </c>
    </row>
    <row r="581" spans="1:3" x14ac:dyDescent="0.35">
      <c r="A581" s="943" t="s">
        <v>4638</v>
      </c>
      <c r="B581" t="s">
        <v>3654</v>
      </c>
      <c r="C581" s="944">
        <v>0</v>
      </c>
    </row>
    <row r="582" spans="1:3" x14ac:dyDescent="0.35">
      <c r="A582" s="943" t="s">
        <v>4639</v>
      </c>
      <c r="B582" t="s">
        <v>3656</v>
      </c>
      <c r="C582" s="944">
        <v>0</v>
      </c>
    </row>
    <row r="583" spans="1:3" x14ac:dyDescent="0.35">
      <c r="A583" s="943" t="s">
        <v>4640</v>
      </c>
      <c r="B583" t="s">
        <v>3658</v>
      </c>
      <c r="C583" s="944">
        <v>0</v>
      </c>
    </row>
    <row r="584" spans="1:3" x14ac:dyDescent="0.35">
      <c r="A584" s="943" t="s">
        <v>4641</v>
      </c>
      <c r="B584" t="s">
        <v>3660</v>
      </c>
      <c r="C584" s="944">
        <v>0</v>
      </c>
    </row>
    <row r="585" spans="1:3" x14ac:dyDescent="0.35">
      <c r="A585" s="943" t="s">
        <v>4642</v>
      </c>
      <c r="B585" t="s">
        <v>3662</v>
      </c>
      <c r="C585" s="944">
        <v>0</v>
      </c>
    </row>
    <row r="586" spans="1:3" x14ac:dyDescent="0.35">
      <c r="A586" s="943" t="s">
        <v>4643</v>
      </c>
      <c r="B586" t="s">
        <v>3664</v>
      </c>
      <c r="C586" s="944">
        <v>0</v>
      </c>
    </row>
    <row r="587" spans="1:3" x14ac:dyDescent="0.35">
      <c r="A587" s="943" t="s">
        <v>4644</v>
      </c>
      <c r="B587" t="s">
        <v>3666</v>
      </c>
      <c r="C587" s="944">
        <v>0</v>
      </c>
    </row>
    <row r="588" spans="1:3" x14ac:dyDescent="0.35">
      <c r="A588" s="943" t="s">
        <v>4645</v>
      </c>
      <c r="B588" t="s">
        <v>3668</v>
      </c>
      <c r="C588" s="944">
        <v>0</v>
      </c>
    </row>
    <row r="589" spans="1:3" x14ac:dyDescent="0.35">
      <c r="A589" s="943" t="s">
        <v>4646</v>
      </c>
      <c r="B589" t="s">
        <v>350</v>
      </c>
      <c r="C589" s="944">
        <v>0</v>
      </c>
    </row>
    <row r="590" spans="1:3" x14ac:dyDescent="0.35">
      <c r="A590" s="943" t="s">
        <v>4647</v>
      </c>
      <c r="B590" t="s">
        <v>3671</v>
      </c>
      <c r="C590" s="944">
        <v>0</v>
      </c>
    </row>
    <row r="591" spans="1:3" x14ac:dyDescent="0.35">
      <c r="A591" s="943" t="s">
        <v>4648</v>
      </c>
      <c r="B591" t="s">
        <v>3930</v>
      </c>
      <c r="C591" s="944">
        <v>0</v>
      </c>
    </row>
    <row r="592" spans="1:3" x14ac:dyDescent="0.35">
      <c r="A592" s="943" t="s">
        <v>4649</v>
      </c>
      <c r="B592" t="s">
        <v>3675</v>
      </c>
      <c r="C592" s="944">
        <v>0</v>
      </c>
    </row>
    <row r="593" spans="1:3" x14ac:dyDescent="0.35">
      <c r="A593" s="943" t="s">
        <v>4650</v>
      </c>
      <c r="B593" t="s">
        <v>3677</v>
      </c>
      <c r="C593" s="944">
        <v>0</v>
      </c>
    </row>
    <row r="594" spans="1:3" x14ac:dyDescent="0.35">
      <c r="A594" s="943" t="s">
        <v>4651</v>
      </c>
      <c r="B594" t="s">
        <v>3679</v>
      </c>
      <c r="C594" s="944">
        <v>0</v>
      </c>
    </row>
    <row r="595" spans="1:3" x14ac:dyDescent="0.35">
      <c r="A595" s="943" t="s">
        <v>4652</v>
      </c>
      <c r="B595" t="s">
        <v>3681</v>
      </c>
      <c r="C595" s="944">
        <v>0</v>
      </c>
    </row>
    <row r="596" spans="1:3" x14ac:dyDescent="0.35">
      <c r="A596" s="943" t="s">
        <v>4653</v>
      </c>
      <c r="B596" t="s">
        <v>3683</v>
      </c>
      <c r="C596" s="944">
        <v>0</v>
      </c>
    </row>
    <row r="597" spans="1:3" x14ac:dyDescent="0.35">
      <c r="A597" s="943" t="s">
        <v>4654</v>
      </c>
      <c r="B597" t="s">
        <v>3685</v>
      </c>
      <c r="C597" s="944">
        <v>0</v>
      </c>
    </row>
    <row r="598" spans="1:3" x14ac:dyDescent="0.35">
      <c r="A598" s="943" t="s">
        <v>4655</v>
      </c>
      <c r="B598" t="s">
        <v>3687</v>
      </c>
      <c r="C598" s="944">
        <v>0</v>
      </c>
    </row>
    <row r="599" spans="1:3" x14ac:dyDescent="0.35">
      <c r="A599" s="943" t="s">
        <v>4656</v>
      </c>
      <c r="B599" t="s">
        <v>3689</v>
      </c>
      <c r="C599" s="944">
        <v>0</v>
      </c>
    </row>
    <row r="600" spans="1:3" x14ac:dyDescent="0.35">
      <c r="A600" s="943" t="s">
        <v>4657</v>
      </c>
      <c r="B600" t="s">
        <v>3942</v>
      </c>
      <c r="C600" s="944">
        <v>0</v>
      </c>
    </row>
    <row r="601" spans="1:3" x14ac:dyDescent="0.35">
      <c r="A601" s="943" t="s">
        <v>4658</v>
      </c>
      <c r="B601" t="s">
        <v>3943</v>
      </c>
      <c r="C601" s="944">
        <v>0</v>
      </c>
    </row>
    <row r="602" spans="1:3" x14ac:dyDescent="0.35">
      <c r="A602" s="943" t="s">
        <v>4659</v>
      </c>
      <c r="B602" t="s">
        <v>3720</v>
      </c>
      <c r="C602" s="944">
        <v>0</v>
      </c>
    </row>
    <row r="603" spans="1:3" x14ac:dyDescent="0.35">
      <c r="A603" s="943" t="s">
        <v>4660</v>
      </c>
      <c r="B603" t="s">
        <v>3932</v>
      </c>
      <c r="C603" s="944">
        <v>0</v>
      </c>
    </row>
    <row r="604" spans="1:3" x14ac:dyDescent="0.35">
      <c r="A604" s="943" t="s">
        <v>4661</v>
      </c>
      <c r="B604" t="s">
        <v>3648</v>
      </c>
      <c r="C604" s="944">
        <v>0</v>
      </c>
    </row>
    <row r="605" spans="1:3" x14ac:dyDescent="0.35">
      <c r="A605" s="943" t="s">
        <v>4662</v>
      </c>
      <c r="B605" t="s">
        <v>3934</v>
      </c>
      <c r="C605" s="944">
        <v>0</v>
      </c>
    </row>
    <row r="606" spans="1:3" x14ac:dyDescent="0.35">
      <c r="A606" s="943" t="s">
        <v>4663</v>
      </c>
      <c r="B606" t="s">
        <v>3935</v>
      </c>
      <c r="C606" s="944">
        <v>0</v>
      </c>
    </row>
    <row r="607" spans="1:3" x14ac:dyDescent="0.35">
      <c r="A607" s="943" t="s">
        <v>4664</v>
      </c>
      <c r="B607" t="s">
        <v>3249</v>
      </c>
      <c r="C607" s="944">
        <v>0</v>
      </c>
    </row>
    <row r="608" spans="1:3" x14ac:dyDescent="0.35">
      <c r="A608" s="943" t="s">
        <v>4665</v>
      </c>
      <c r="B608" t="s">
        <v>350</v>
      </c>
      <c r="C608" s="944">
        <v>0</v>
      </c>
    </row>
    <row r="609" spans="1:3" x14ac:dyDescent="0.35">
      <c r="A609" s="943" t="s">
        <v>4666</v>
      </c>
      <c r="B609" t="s">
        <v>3944</v>
      </c>
      <c r="C609" s="944">
        <v>0</v>
      </c>
    </row>
    <row r="610" spans="1:3" x14ac:dyDescent="0.35">
      <c r="A610" s="943" t="s">
        <v>4667</v>
      </c>
      <c r="B610" t="s">
        <v>3945</v>
      </c>
      <c r="C610" s="944">
        <v>0</v>
      </c>
    </row>
    <row r="611" spans="1:3" x14ac:dyDescent="0.35">
      <c r="A611" s="943" t="s">
        <v>4668</v>
      </c>
      <c r="B611" t="s">
        <v>3946</v>
      </c>
      <c r="C611" s="944">
        <v>0</v>
      </c>
    </row>
    <row r="612" spans="1:3" x14ac:dyDescent="0.35">
      <c r="A612" s="943" t="s">
        <v>4669</v>
      </c>
      <c r="B612" t="s">
        <v>3720</v>
      </c>
      <c r="C612" s="944">
        <v>40000</v>
      </c>
    </row>
    <row r="613" spans="1:3" x14ac:dyDescent="0.35">
      <c r="A613" s="943" t="s">
        <v>4670</v>
      </c>
      <c r="B613" t="s">
        <v>3932</v>
      </c>
      <c r="C613" s="944">
        <v>0</v>
      </c>
    </row>
    <row r="614" spans="1:3" x14ac:dyDescent="0.35">
      <c r="A614" s="943" t="s">
        <v>4671</v>
      </c>
      <c r="B614" t="s">
        <v>3718</v>
      </c>
      <c r="C614" s="944">
        <v>100000</v>
      </c>
    </row>
    <row r="615" spans="1:3" x14ac:dyDescent="0.35">
      <c r="A615" s="943" t="s">
        <v>4672</v>
      </c>
      <c r="B615" t="s">
        <v>3947</v>
      </c>
      <c r="C615" s="944">
        <v>0</v>
      </c>
    </row>
    <row r="616" spans="1:3" x14ac:dyDescent="0.35">
      <c r="A616" s="943" t="s">
        <v>4673</v>
      </c>
      <c r="B616" t="s">
        <v>3935</v>
      </c>
      <c r="C616" s="944">
        <v>0</v>
      </c>
    </row>
    <row r="617" spans="1:3" x14ac:dyDescent="0.35">
      <c r="A617" s="943" t="s">
        <v>4674</v>
      </c>
      <c r="B617" t="s">
        <v>3249</v>
      </c>
      <c r="C617" s="944">
        <v>0</v>
      </c>
    </row>
    <row r="618" spans="1:3" x14ac:dyDescent="0.35">
      <c r="A618" s="943" t="s">
        <v>4675</v>
      </c>
      <c r="B618" t="s">
        <v>350</v>
      </c>
      <c r="C618" s="944">
        <v>0</v>
      </c>
    </row>
    <row r="619" spans="1:3" x14ac:dyDescent="0.35">
      <c r="A619" s="943" t="s">
        <v>4676</v>
      </c>
      <c r="B619" t="s">
        <v>320</v>
      </c>
      <c r="C619" s="944">
        <v>0</v>
      </c>
    </row>
    <row r="620" spans="1:3" x14ac:dyDescent="0.35">
      <c r="A620" s="943" t="s">
        <v>4677</v>
      </c>
      <c r="B620" t="s">
        <v>3948</v>
      </c>
      <c r="C620" s="944">
        <v>0</v>
      </c>
    </row>
    <row r="621" spans="1:3" x14ac:dyDescent="0.35">
      <c r="A621" s="943" t="s">
        <v>4678</v>
      </c>
      <c r="B621" t="s">
        <v>3949</v>
      </c>
      <c r="C621" s="944">
        <v>0</v>
      </c>
    </row>
    <row r="622" spans="1:3" x14ac:dyDescent="0.35">
      <c r="A622" s="943" t="s">
        <v>4679</v>
      </c>
      <c r="B622" t="s">
        <v>3950</v>
      </c>
      <c r="C622" s="944">
        <v>0</v>
      </c>
    </row>
    <row r="623" spans="1:3" x14ac:dyDescent="0.35">
      <c r="A623" s="943" t="s">
        <v>4680</v>
      </c>
      <c r="B623" t="s">
        <v>3951</v>
      </c>
      <c r="C623" s="944">
        <v>0</v>
      </c>
    </row>
    <row r="624" spans="1:3" x14ac:dyDescent="0.35">
      <c r="A624" s="943" t="s">
        <v>4681</v>
      </c>
      <c r="B624" t="s">
        <v>3952</v>
      </c>
      <c r="C624" s="944">
        <v>0</v>
      </c>
    </row>
    <row r="625" spans="1:3" x14ac:dyDescent="0.35">
      <c r="A625" s="943" t="s">
        <v>4682</v>
      </c>
      <c r="B625" t="s">
        <v>3953</v>
      </c>
      <c r="C625" s="944">
        <v>0</v>
      </c>
    </row>
    <row r="626" spans="1:3" x14ac:dyDescent="0.35">
      <c r="A626" s="943" t="s">
        <v>4683</v>
      </c>
      <c r="B626" t="s">
        <v>3954</v>
      </c>
      <c r="C626" s="944">
        <v>0</v>
      </c>
    </row>
    <row r="627" spans="1:3" x14ac:dyDescent="0.35">
      <c r="A627" s="943" t="s">
        <v>8110</v>
      </c>
      <c r="B627" t="s">
        <v>8111</v>
      </c>
      <c r="C627" s="944">
        <v>0</v>
      </c>
    </row>
    <row r="628" spans="1:3" x14ac:dyDescent="0.35">
      <c r="A628" s="943" t="s">
        <v>4684</v>
      </c>
      <c r="B628" t="s">
        <v>350</v>
      </c>
      <c r="C628" s="944">
        <v>0</v>
      </c>
    </row>
    <row r="629" spans="1:3" x14ac:dyDescent="0.35">
      <c r="B629" t="s">
        <v>3955</v>
      </c>
      <c r="C629" s="944">
        <v>140000</v>
      </c>
    </row>
    <row r="630" spans="1:3" x14ac:dyDescent="0.35">
      <c r="A630" s="943" t="s">
        <v>7868</v>
      </c>
      <c r="B630" t="s">
        <v>3956</v>
      </c>
      <c r="C630" s="944"/>
    </row>
    <row r="631" spans="1:3" x14ac:dyDescent="0.35">
      <c r="A631" s="943" t="s">
        <v>4685</v>
      </c>
      <c r="B631" t="s">
        <v>3599</v>
      </c>
      <c r="C631" s="944">
        <v>0</v>
      </c>
    </row>
    <row r="632" spans="1:3" x14ac:dyDescent="0.35">
      <c r="A632" s="943" t="s">
        <v>4686</v>
      </c>
      <c r="B632" t="s">
        <v>3601</v>
      </c>
      <c r="C632" s="944">
        <v>0</v>
      </c>
    </row>
    <row r="633" spans="1:3" x14ac:dyDescent="0.35">
      <c r="A633" s="943" t="s">
        <v>4687</v>
      </c>
      <c r="B633" t="s">
        <v>3603</v>
      </c>
      <c r="C633" s="944">
        <v>0</v>
      </c>
    </row>
    <row r="634" spans="1:3" x14ac:dyDescent="0.35">
      <c r="A634" s="943" t="s">
        <v>4688</v>
      </c>
      <c r="B634" t="s">
        <v>3605</v>
      </c>
      <c r="C634" s="944">
        <v>0</v>
      </c>
    </row>
    <row r="635" spans="1:3" x14ac:dyDescent="0.35">
      <c r="A635" s="943" t="s">
        <v>4689</v>
      </c>
      <c r="B635" t="s">
        <v>3607</v>
      </c>
      <c r="C635" s="944">
        <v>0</v>
      </c>
    </row>
    <row r="636" spans="1:3" x14ac:dyDescent="0.35">
      <c r="A636" s="943" t="s">
        <v>4690</v>
      </c>
      <c r="B636" t="s">
        <v>3609</v>
      </c>
      <c r="C636" s="944">
        <v>0</v>
      </c>
    </row>
    <row r="637" spans="1:3" x14ac:dyDescent="0.35">
      <c r="A637" s="943" t="s">
        <v>4691</v>
      </c>
      <c r="B637" t="s">
        <v>3611</v>
      </c>
      <c r="C637" s="944">
        <v>0</v>
      </c>
    </row>
    <row r="638" spans="1:3" x14ac:dyDescent="0.35">
      <c r="A638" s="943" t="s">
        <v>4692</v>
      </c>
      <c r="B638" t="s">
        <v>3613</v>
      </c>
      <c r="C638" s="944">
        <v>0</v>
      </c>
    </row>
    <row r="639" spans="1:3" x14ac:dyDescent="0.35">
      <c r="A639" s="943" t="s">
        <v>4693</v>
      </c>
      <c r="B639" t="s">
        <v>3615</v>
      </c>
      <c r="C639" s="944">
        <v>0</v>
      </c>
    </row>
    <row r="640" spans="1:3" x14ac:dyDescent="0.35">
      <c r="A640" s="943" t="s">
        <v>4694</v>
      </c>
      <c r="B640" t="s">
        <v>3617</v>
      </c>
      <c r="C640" s="944">
        <v>0</v>
      </c>
    </row>
    <row r="641" spans="1:3" x14ac:dyDescent="0.35">
      <c r="A641" s="943" t="s">
        <v>4695</v>
      </c>
      <c r="B641" t="s">
        <v>3619</v>
      </c>
      <c r="C641" s="944">
        <v>0</v>
      </c>
    </row>
    <row r="642" spans="1:3" x14ac:dyDescent="0.35">
      <c r="A642" s="943" t="s">
        <v>4696</v>
      </c>
      <c r="B642" t="s">
        <v>3621</v>
      </c>
      <c r="C642" s="944">
        <v>0</v>
      </c>
    </row>
    <row r="643" spans="1:3" x14ac:dyDescent="0.35">
      <c r="A643" s="943" t="s">
        <v>4697</v>
      </c>
      <c r="B643" t="s">
        <v>3623</v>
      </c>
      <c r="C643" s="944">
        <v>0</v>
      </c>
    </row>
    <row r="644" spans="1:3" x14ac:dyDescent="0.35">
      <c r="A644" s="943" t="s">
        <v>4698</v>
      </c>
      <c r="B644" t="s">
        <v>3625</v>
      </c>
      <c r="C644" s="944">
        <v>0</v>
      </c>
    </row>
    <row r="645" spans="1:3" x14ac:dyDescent="0.35">
      <c r="A645" s="943" t="s">
        <v>4699</v>
      </c>
      <c r="B645" t="s">
        <v>3627</v>
      </c>
      <c r="C645" s="944">
        <v>0</v>
      </c>
    </row>
    <row r="646" spans="1:3" x14ac:dyDescent="0.35">
      <c r="A646" s="943" t="s">
        <v>4700</v>
      </c>
      <c r="B646" t="s">
        <v>3629</v>
      </c>
      <c r="C646" s="944">
        <v>0</v>
      </c>
    </row>
    <row r="647" spans="1:3" x14ac:dyDescent="0.35">
      <c r="A647" s="943" t="s">
        <v>4701</v>
      </c>
      <c r="B647" t="s">
        <v>3631</v>
      </c>
      <c r="C647" s="944">
        <v>0</v>
      </c>
    </row>
    <row r="648" spans="1:3" x14ac:dyDescent="0.35">
      <c r="A648" s="943" t="s">
        <v>4702</v>
      </c>
      <c r="B648" t="s">
        <v>3633</v>
      </c>
      <c r="C648" s="944">
        <v>0</v>
      </c>
    </row>
    <row r="649" spans="1:3" x14ac:dyDescent="0.35">
      <c r="A649" s="943" t="s">
        <v>4703</v>
      </c>
      <c r="B649" t="s">
        <v>3635</v>
      </c>
      <c r="C649" s="944">
        <v>0</v>
      </c>
    </row>
    <row r="650" spans="1:3" x14ac:dyDescent="0.35">
      <c r="A650" s="943" t="s">
        <v>4704</v>
      </c>
      <c r="B650" t="s">
        <v>3637</v>
      </c>
      <c r="C650" s="944">
        <v>0</v>
      </c>
    </row>
    <row r="651" spans="1:3" x14ac:dyDescent="0.35">
      <c r="A651" s="943" t="s">
        <v>4705</v>
      </c>
      <c r="B651" t="s">
        <v>334</v>
      </c>
      <c r="C651" s="944">
        <v>0</v>
      </c>
    </row>
    <row r="652" spans="1:3" x14ac:dyDescent="0.35">
      <c r="A652" s="943" t="s">
        <v>4706</v>
      </c>
      <c r="B652" t="s">
        <v>3640</v>
      </c>
      <c r="C652" s="944">
        <v>0</v>
      </c>
    </row>
    <row r="653" spans="1:3" x14ac:dyDescent="0.35">
      <c r="A653" s="943" t="s">
        <v>4707</v>
      </c>
      <c r="B653" t="s">
        <v>3642</v>
      </c>
      <c r="C653" s="944">
        <v>0</v>
      </c>
    </row>
    <row r="654" spans="1:3" x14ac:dyDescent="0.35">
      <c r="A654" s="943" t="s">
        <v>4708</v>
      </c>
      <c r="B654" t="s">
        <v>3644</v>
      </c>
      <c r="C654" s="944">
        <v>0</v>
      </c>
    </row>
    <row r="655" spans="1:3" x14ac:dyDescent="0.35">
      <c r="A655" s="943" t="s">
        <v>4709</v>
      </c>
      <c r="B655" t="s">
        <v>3646</v>
      </c>
      <c r="C655" s="944">
        <v>0</v>
      </c>
    </row>
    <row r="656" spans="1:3" x14ac:dyDescent="0.35">
      <c r="A656" s="943" t="s">
        <v>4710</v>
      </c>
      <c r="B656" t="s">
        <v>3648</v>
      </c>
      <c r="C656" s="944">
        <v>0</v>
      </c>
    </row>
    <row r="657" spans="1:3" x14ac:dyDescent="0.35">
      <c r="A657" s="943" t="s">
        <v>4711</v>
      </c>
      <c r="B657" t="s">
        <v>3650</v>
      </c>
      <c r="C657" s="944">
        <v>0</v>
      </c>
    </row>
    <row r="658" spans="1:3" x14ac:dyDescent="0.35">
      <c r="A658" s="943" t="s">
        <v>4712</v>
      </c>
      <c r="B658" t="s">
        <v>3652</v>
      </c>
      <c r="C658" s="944">
        <v>0</v>
      </c>
    </row>
    <row r="659" spans="1:3" x14ac:dyDescent="0.35">
      <c r="A659" s="943" t="s">
        <v>4713</v>
      </c>
      <c r="B659" t="s">
        <v>3654</v>
      </c>
      <c r="C659" s="944">
        <v>0</v>
      </c>
    </row>
    <row r="660" spans="1:3" x14ac:dyDescent="0.35">
      <c r="A660" s="943" t="s">
        <v>4714</v>
      </c>
      <c r="B660" t="s">
        <v>3656</v>
      </c>
      <c r="C660" s="944">
        <v>0</v>
      </c>
    </row>
    <row r="661" spans="1:3" x14ac:dyDescent="0.35">
      <c r="A661" s="943" t="s">
        <v>4715</v>
      </c>
      <c r="B661" t="s">
        <v>3658</v>
      </c>
      <c r="C661" s="944">
        <v>0</v>
      </c>
    </row>
    <row r="662" spans="1:3" x14ac:dyDescent="0.35">
      <c r="A662" s="943" t="s">
        <v>4716</v>
      </c>
      <c r="B662" t="s">
        <v>3660</v>
      </c>
      <c r="C662" s="944">
        <v>0</v>
      </c>
    </row>
    <row r="663" spans="1:3" x14ac:dyDescent="0.35">
      <c r="A663" s="943" t="s">
        <v>4717</v>
      </c>
      <c r="B663" t="s">
        <v>3662</v>
      </c>
      <c r="C663" s="944">
        <v>0</v>
      </c>
    </row>
    <row r="664" spans="1:3" x14ac:dyDescent="0.35">
      <c r="A664" s="943" t="s">
        <v>4718</v>
      </c>
      <c r="B664" t="s">
        <v>3664</v>
      </c>
      <c r="C664" s="944">
        <v>0</v>
      </c>
    </row>
    <row r="665" spans="1:3" x14ac:dyDescent="0.35">
      <c r="A665" s="943" t="s">
        <v>4719</v>
      </c>
      <c r="B665" t="s">
        <v>3666</v>
      </c>
      <c r="C665" s="944">
        <v>0</v>
      </c>
    </row>
    <row r="666" spans="1:3" x14ac:dyDescent="0.35">
      <c r="A666" s="943" t="s">
        <v>4720</v>
      </c>
      <c r="B666" t="s">
        <v>3668</v>
      </c>
      <c r="C666" s="944">
        <v>0</v>
      </c>
    </row>
    <row r="667" spans="1:3" x14ac:dyDescent="0.35">
      <c r="A667" s="943" t="s">
        <v>4721</v>
      </c>
      <c r="B667" t="s">
        <v>350</v>
      </c>
      <c r="C667" s="944">
        <v>0</v>
      </c>
    </row>
    <row r="668" spans="1:3" x14ac:dyDescent="0.35">
      <c r="A668" s="943" t="s">
        <v>4722</v>
      </c>
      <c r="B668" t="s">
        <v>3671</v>
      </c>
      <c r="C668" s="944">
        <v>0</v>
      </c>
    </row>
    <row r="669" spans="1:3" x14ac:dyDescent="0.35">
      <c r="A669" s="943" t="s">
        <v>4723</v>
      </c>
      <c r="B669" t="s">
        <v>3930</v>
      </c>
      <c r="C669" s="944">
        <v>0</v>
      </c>
    </row>
    <row r="670" spans="1:3" x14ac:dyDescent="0.35">
      <c r="A670" s="943" t="s">
        <v>4724</v>
      </c>
      <c r="B670" t="s">
        <v>3675</v>
      </c>
      <c r="C670" s="944">
        <v>0</v>
      </c>
    </row>
    <row r="671" spans="1:3" x14ac:dyDescent="0.35">
      <c r="A671" s="943" t="s">
        <v>4725</v>
      </c>
      <c r="B671" t="s">
        <v>3677</v>
      </c>
      <c r="C671" s="944">
        <v>0</v>
      </c>
    </row>
    <row r="672" spans="1:3" x14ac:dyDescent="0.35">
      <c r="A672" s="943" t="s">
        <v>4726</v>
      </c>
      <c r="B672" t="s">
        <v>3679</v>
      </c>
      <c r="C672" s="944">
        <v>0</v>
      </c>
    </row>
    <row r="673" spans="1:3" x14ac:dyDescent="0.35">
      <c r="A673" s="943" t="s">
        <v>4727</v>
      </c>
      <c r="B673" t="s">
        <v>3681</v>
      </c>
      <c r="C673" s="944">
        <v>0</v>
      </c>
    </row>
    <row r="674" spans="1:3" x14ac:dyDescent="0.35">
      <c r="A674" s="943" t="s">
        <v>4728</v>
      </c>
      <c r="B674" t="s">
        <v>3683</v>
      </c>
      <c r="C674" s="944">
        <v>0</v>
      </c>
    </row>
    <row r="675" spans="1:3" x14ac:dyDescent="0.35">
      <c r="A675" s="943" t="s">
        <v>4729</v>
      </c>
      <c r="B675" t="s">
        <v>3685</v>
      </c>
      <c r="C675" s="944">
        <v>0</v>
      </c>
    </row>
    <row r="676" spans="1:3" x14ac:dyDescent="0.35">
      <c r="A676" s="943" t="s">
        <v>4730</v>
      </c>
      <c r="B676" t="s">
        <v>3687</v>
      </c>
      <c r="C676" s="944">
        <v>0</v>
      </c>
    </row>
    <row r="677" spans="1:3" x14ac:dyDescent="0.35">
      <c r="A677" s="943" t="s">
        <v>4731</v>
      </c>
      <c r="B677" t="s">
        <v>3689</v>
      </c>
      <c r="C677" s="944">
        <v>0</v>
      </c>
    </row>
    <row r="678" spans="1:3" x14ac:dyDescent="0.35">
      <c r="A678" s="943" t="s">
        <v>4732</v>
      </c>
      <c r="B678" t="s">
        <v>3957</v>
      </c>
      <c r="C678" s="944">
        <v>0</v>
      </c>
    </row>
    <row r="679" spans="1:3" x14ac:dyDescent="0.35">
      <c r="A679" s="943" t="s">
        <v>4733</v>
      </c>
      <c r="B679" t="s">
        <v>3720</v>
      </c>
      <c r="C679" s="944">
        <v>0</v>
      </c>
    </row>
    <row r="680" spans="1:3" x14ac:dyDescent="0.35">
      <c r="A680" s="943" t="s">
        <v>4734</v>
      </c>
      <c r="B680" t="s">
        <v>3958</v>
      </c>
      <c r="C680" s="944">
        <v>0</v>
      </c>
    </row>
    <row r="681" spans="1:3" x14ac:dyDescent="0.35">
      <c r="A681" s="943" t="s">
        <v>4735</v>
      </c>
      <c r="B681" t="s">
        <v>3959</v>
      </c>
      <c r="C681" s="944">
        <v>0</v>
      </c>
    </row>
    <row r="682" spans="1:3" x14ac:dyDescent="0.35">
      <c r="A682" s="943" t="s">
        <v>4736</v>
      </c>
      <c r="B682" t="s">
        <v>3960</v>
      </c>
      <c r="C682" s="944">
        <v>0</v>
      </c>
    </row>
    <row r="683" spans="1:3" x14ac:dyDescent="0.35">
      <c r="A683" s="943" t="s">
        <v>4737</v>
      </c>
      <c r="B683" t="s">
        <v>3961</v>
      </c>
      <c r="C683" s="944">
        <v>0</v>
      </c>
    </row>
    <row r="684" spans="1:3" x14ac:dyDescent="0.35">
      <c r="A684" s="943" t="s">
        <v>4738</v>
      </c>
      <c r="B684" t="s">
        <v>350</v>
      </c>
      <c r="C684" s="944">
        <v>0</v>
      </c>
    </row>
    <row r="685" spans="1:3" x14ac:dyDescent="0.35">
      <c r="A685" s="943" t="s">
        <v>4739</v>
      </c>
      <c r="B685" t="s">
        <v>3962</v>
      </c>
      <c r="C685" s="944">
        <v>0</v>
      </c>
    </row>
    <row r="686" spans="1:3" x14ac:dyDescent="0.35">
      <c r="A686" s="943" t="s">
        <v>4740</v>
      </c>
      <c r="B686" t="s">
        <v>3963</v>
      </c>
      <c r="C686" s="944">
        <v>0</v>
      </c>
    </row>
    <row r="687" spans="1:3" x14ac:dyDescent="0.35">
      <c r="A687" s="943" t="s">
        <v>4741</v>
      </c>
      <c r="B687" t="s">
        <v>3754</v>
      </c>
      <c r="C687" s="944">
        <v>0</v>
      </c>
    </row>
    <row r="688" spans="1:3" x14ac:dyDescent="0.35">
      <c r="B688" t="s">
        <v>3964</v>
      </c>
      <c r="C688" s="944">
        <v>0</v>
      </c>
    </row>
    <row r="689" spans="1:3" x14ac:dyDescent="0.35">
      <c r="A689" s="943" t="s">
        <v>7869</v>
      </c>
      <c r="B689" t="s">
        <v>3965</v>
      </c>
      <c r="C689" s="944"/>
    </row>
    <row r="690" spans="1:3" x14ac:dyDescent="0.35">
      <c r="A690" s="943" t="s">
        <v>4742</v>
      </c>
      <c r="B690" t="s">
        <v>3599</v>
      </c>
      <c r="C690" s="944">
        <v>0</v>
      </c>
    </row>
    <row r="691" spans="1:3" x14ac:dyDescent="0.35">
      <c r="A691" s="943" t="s">
        <v>4743</v>
      </c>
      <c r="B691" t="s">
        <v>3601</v>
      </c>
      <c r="C691" s="944">
        <v>0</v>
      </c>
    </row>
    <row r="692" spans="1:3" x14ac:dyDescent="0.35">
      <c r="A692" s="943" t="s">
        <v>4744</v>
      </c>
      <c r="B692" t="s">
        <v>3603</v>
      </c>
      <c r="C692" s="944">
        <v>0</v>
      </c>
    </row>
    <row r="693" spans="1:3" x14ac:dyDescent="0.35">
      <c r="A693" s="943" t="s">
        <v>4745</v>
      </c>
      <c r="B693" t="s">
        <v>3605</v>
      </c>
      <c r="C693" s="944">
        <v>0</v>
      </c>
    </row>
    <row r="694" spans="1:3" x14ac:dyDescent="0.35">
      <c r="A694" s="943" t="s">
        <v>4746</v>
      </c>
      <c r="B694" t="s">
        <v>3607</v>
      </c>
      <c r="C694" s="944">
        <v>0</v>
      </c>
    </row>
    <row r="695" spans="1:3" x14ac:dyDescent="0.35">
      <c r="A695" s="943" t="s">
        <v>4747</v>
      </c>
      <c r="B695" t="s">
        <v>3609</v>
      </c>
      <c r="C695" s="944">
        <v>0</v>
      </c>
    </row>
    <row r="696" spans="1:3" x14ac:dyDescent="0.35">
      <c r="A696" s="943" t="s">
        <v>4748</v>
      </c>
      <c r="B696" t="s">
        <v>3611</v>
      </c>
      <c r="C696" s="944">
        <v>0</v>
      </c>
    </row>
    <row r="697" spans="1:3" x14ac:dyDescent="0.35">
      <c r="A697" s="943" t="s">
        <v>4749</v>
      </c>
      <c r="B697" t="s">
        <v>3613</v>
      </c>
      <c r="C697" s="944">
        <v>0</v>
      </c>
    </row>
    <row r="698" spans="1:3" x14ac:dyDescent="0.35">
      <c r="A698" s="943" t="s">
        <v>4750</v>
      </c>
      <c r="B698" t="s">
        <v>3615</v>
      </c>
      <c r="C698" s="944">
        <v>0</v>
      </c>
    </row>
    <row r="699" spans="1:3" x14ac:dyDescent="0.35">
      <c r="A699" s="943" t="s">
        <v>4751</v>
      </c>
      <c r="B699" t="s">
        <v>3617</v>
      </c>
      <c r="C699" s="944">
        <v>0</v>
      </c>
    </row>
    <row r="700" spans="1:3" x14ac:dyDescent="0.35">
      <c r="A700" s="943" t="s">
        <v>4752</v>
      </c>
      <c r="B700" t="s">
        <v>3619</v>
      </c>
      <c r="C700" s="944">
        <v>0</v>
      </c>
    </row>
    <row r="701" spans="1:3" x14ac:dyDescent="0.35">
      <c r="A701" s="943" t="s">
        <v>4753</v>
      </c>
      <c r="B701" t="s">
        <v>3621</v>
      </c>
      <c r="C701" s="944">
        <v>0</v>
      </c>
    </row>
    <row r="702" spans="1:3" x14ac:dyDescent="0.35">
      <c r="A702" s="943" t="s">
        <v>4754</v>
      </c>
      <c r="B702" t="s">
        <v>3623</v>
      </c>
      <c r="C702" s="944">
        <v>0</v>
      </c>
    </row>
    <row r="703" spans="1:3" x14ac:dyDescent="0.35">
      <c r="A703" s="943" t="s">
        <v>4755</v>
      </c>
      <c r="B703" t="s">
        <v>3625</v>
      </c>
      <c r="C703" s="944">
        <v>0</v>
      </c>
    </row>
    <row r="704" spans="1:3" x14ac:dyDescent="0.35">
      <c r="A704" s="943" t="s">
        <v>4756</v>
      </c>
      <c r="B704" t="s">
        <v>3627</v>
      </c>
      <c r="C704" s="944">
        <v>0</v>
      </c>
    </row>
    <row r="705" spans="1:3" x14ac:dyDescent="0.35">
      <c r="A705" s="943" t="s">
        <v>4757</v>
      </c>
      <c r="B705" t="s">
        <v>3629</v>
      </c>
      <c r="C705" s="944">
        <v>0</v>
      </c>
    </row>
    <row r="706" spans="1:3" x14ac:dyDescent="0.35">
      <c r="A706" s="943" t="s">
        <v>4758</v>
      </c>
      <c r="B706" t="s">
        <v>3631</v>
      </c>
      <c r="C706" s="944">
        <v>0</v>
      </c>
    </row>
    <row r="707" spans="1:3" x14ac:dyDescent="0.35">
      <c r="A707" s="943" t="s">
        <v>4759</v>
      </c>
      <c r="B707" t="s">
        <v>3633</v>
      </c>
      <c r="C707" s="944">
        <v>0</v>
      </c>
    </row>
    <row r="708" spans="1:3" x14ac:dyDescent="0.35">
      <c r="A708" s="943" t="s">
        <v>4760</v>
      </c>
      <c r="B708" t="s">
        <v>3635</v>
      </c>
      <c r="C708" s="944">
        <v>0</v>
      </c>
    </row>
    <row r="709" spans="1:3" x14ac:dyDescent="0.35">
      <c r="A709" s="943" t="s">
        <v>4761</v>
      </c>
      <c r="B709" t="s">
        <v>3637</v>
      </c>
      <c r="C709" s="944">
        <v>0</v>
      </c>
    </row>
    <row r="710" spans="1:3" x14ac:dyDescent="0.35">
      <c r="A710" s="943" t="s">
        <v>4762</v>
      </c>
      <c r="B710" t="s">
        <v>334</v>
      </c>
      <c r="C710" s="944">
        <v>0</v>
      </c>
    </row>
    <row r="711" spans="1:3" x14ac:dyDescent="0.35">
      <c r="A711" s="943" t="s">
        <v>4763</v>
      </c>
      <c r="B711" t="s">
        <v>3640</v>
      </c>
      <c r="C711" s="944">
        <v>0</v>
      </c>
    </row>
    <row r="712" spans="1:3" x14ac:dyDescent="0.35">
      <c r="A712" s="943" t="s">
        <v>4764</v>
      </c>
      <c r="B712" t="s">
        <v>3642</v>
      </c>
      <c r="C712" s="944">
        <v>0</v>
      </c>
    </row>
    <row r="713" spans="1:3" x14ac:dyDescent="0.35">
      <c r="A713" s="943" t="s">
        <v>4765</v>
      </c>
      <c r="B713" t="s">
        <v>3644</v>
      </c>
      <c r="C713" s="944">
        <v>0</v>
      </c>
    </row>
    <row r="714" spans="1:3" x14ac:dyDescent="0.35">
      <c r="A714" s="943" t="s">
        <v>4766</v>
      </c>
      <c r="B714" t="s">
        <v>3646</v>
      </c>
      <c r="C714" s="944">
        <v>0</v>
      </c>
    </row>
    <row r="715" spans="1:3" x14ac:dyDescent="0.35">
      <c r="A715" s="943" t="s">
        <v>4767</v>
      </c>
      <c r="B715" t="s">
        <v>3648</v>
      </c>
      <c r="C715" s="944">
        <v>0</v>
      </c>
    </row>
    <row r="716" spans="1:3" x14ac:dyDescent="0.35">
      <c r="A716" s="943" t="s">
        <v>4768</v>
      </c>
      <c r="B716" t="s">
        <v>3650</v>
      </c>
      <c r="C716" s="944">
        <v>0</v>
      </c>
    </row>
    <row r="717" spans="1:3" x14ac:dyDescent="0.35">
      <c r="A717" s="943" t="s">
        <v>4769</v>
      </c>
      <c r="B717" t="s">
        <v>3652</v>
      </c>
      <c r="C717" s="944">
        <v>0</v>
      </c>
    </row>
    <row r="718" spans="1:3" x14ac:dyDescent="0.35">
      <c r="A718" s="943" t="s">
        <v>4770</v>
      </c>
      <c r="B718" t="s">
        <v>3654</v>
      </c>
      <c r="C718" s="944">
        <v>0</v>
      </c>
    </row>
    <row r="719" spans="1:3" x14ac:dyDescent="0.35">
      <c r="A719" s="943" t="s">
        <v>4771</v>
      </c>
      <c r="B719" t="s">
        <v>3656</v>
      </c>
      <c r="C719" s="944">
        <v>0</v>
      </c>
    </row>
    <row r="720" spans="1:3" x14ac:dyDescent="0.35">
      <c r="A720" s="943" t="s">
        <v>4772</v>
      </c>
      <c r="B720" t="s">
        <v>3658</v>
      </c>
      <c r="C720" s="944">
        <v>0</v>
      </c>
    </row>
    <row r="721" spans="1:3" x14ac:dyDescent="0.35">
      <c r="A721" s="943" t="s">
        <v>4773</v>
      </c>
      <c r="B721" t="s">
        <v>3660</v>
      </c>
      <c r="C721" s="944">
        <v>0</v>
      </c>
    </row>
    <row r="722" spans="1:3" x14ac:dyDescent="0.35">
      <c r="A722" s="943" t="s">
        <v>4774</v>
      </c>
      <c r="B722" t="s">
        <v>3662</v>
      </c>
      <c r="C722" s="944">
        <v>0</v>
      </c>
    </row>
    <row r="723" spans="1:3" x14ac:dyDescent="0.35">
      <c r="A723" s="943" t="s">
        <v>4775</v>
      </c>
      <c r="B723" t="s">
        <v>3664</v>
      </c>
      <c r="C723" s="944">
        <v>0</v>
      </c>
    </row>
    <row r="724" spans="1:3" x14ac:dyDescent="0.35">
      <c r="A724" s="943" t="s">
        <v>4776</v>
      </c>
      <c r="B724" t="s">
        <v>3666</v>
      </c>
      <c r="C724" s="944">
        <v>0</v>
      </c>
    </row>
    <row r="725" spans="1:3" x14ac:dyDescent="0.35">
      <c r="A725" s="943" t="s">
        <v>4777</v>
      </c>
      <c r="B725" t="s">
        <v>3668</v>
      </c>
      <c r="C725" s="944">
        <v>0</v>
      </c>
    </row>
    <row r="726" spans="1:3" x14ac:dyDescent="0.35">
      <c r="A726" s="943" t="s">
        <v>4778</v>
      </c>
      <c r="B726" t="s">
        <v>350</v>
      </c>
      <c r="C726" s="944">
        <v>0</v>
      </c>
    </row>
    <row r="727" spans="1:3" x14ac:dyDescent="0.35">
      <c r="A727" s="943" t="s">
        <v>4779</v>
      </c>
      <c r="B727" t="s">
        <v>3671</v>
      </c>
      <c r="C727" s="944">
        <v>0</v>
      </c>
    </row>
    <row r="728" spans="1:3" x14ac:dyDescent="0.35">
      <c r="A728" s="943" t="s">
        <v>4780</v>
      </c>
      <c r="B728" t="s">
        <v>3930</v>
      </c>
      <c r="C728" s="944">
        <v>0</v>
      </c>
    </row>
    <row r="729" spans="1:3" x14ac:dyDescent="0.35">
      <c r="A729" s="943" t="s">
        <v>4781</v>
      </c>
      <c r="B729" t="s">
        <v>3675</v>
      </c>
      <c r="C729" s="944">
        <v>0</v>
      </c>
    </row>
    <row r="730" spans="1:3" x14ac:dyDescent="0.35">
      <c r="A730" s="943" t="s">
        <v>4782</v>
      </c>
      <c r="B730" t="s">
        <v>3677</v>
      </c>
      <c r="C730" s="944">
        <v>0</v>
      </c>
    </row>
    <row r="731" spans="1:3" x14ac:dyDescent="0.35">
      <c r="A731" s="943" t="s">
        <v>4783</v>
      </c>
      <c r="B731" t="s">
        <v>3679</v>
      </c>
      <c r="C731" s="944">
        <v>0</v>
      </c>
    </row>
    <row r="732" spans="1:3" x14ac:dyDescent="0.35">
      <c r="A732" s="943" t="s">
        <v>4784</v>
      </c>
      <c r="B732" t="s">
        <v>3681</v>
      </c>
      <c r="C732" s="944">
        <v>0</v>
      </c>
    </row>
    <row r="733" spans="1:3" x14ac:dyDescent="0.35">
      <c r="A733" s="943" t="s">
        <v>4785</v>
      </c>
      <c r="B733" t="s">
        <v>3683</v>
      </c>
      <c r="C733" s="944">
        <v>0</v>
      </c>
    </row>
    <row r="734" spans="1:3" x14ac:dyDescent="0.35">
      <c r="A734" s="943" t="s">
        <v>4786</v>
      </c>
      <c r="B734" t="s">
        <v>3685</v>
      </c>
      <c r="C734" s="944">
        <v>0</v>
      </c>
    </row>
    <row r="735" spans="1:3" x14ac:dyDescent="0.35">
      <c r="A735" s="943" t="s">
        <v>4787</v>
      </c>
      <c r="B735" t="s">
        <v>3687</v>
      </c>
      <c r="C735" s="944">
        <v>0</v>
      </c>
    </row>
    <row r="736" spans="1:3" x14ac:dyDescent="0.35">
      <c r="A736" s="943" t="s">
        <v>4788</v>
      </c>
      <c r="B736" t="s">
        <v>3689</v>
      </c>
      <c r="C736" s="944">
        <v>0</v>
      </c>
    </row>
    <row r="737" spans="1:3" x14ac:dyDescent="0.35">
      <c r="A737" s="943" t="s">
        <v>4789</v>
      </c>
      <c r="B737" t="s">
        <v>7922</v>
      </c>
      <c r="C737" s="944">
        <v>0</v>
      </c>
    </row>
    <row r="738" spans="1:3" x14ac:dyDescent="0.35">
      <c r="A738" s="943" t="s">
        <v>4790</v>
      </c>
      <c r="B738" t="s">
        <v>3720</v>
      </c>
      <c r="C738" s="944">
        <v>0</v>
      </c>
    </row>
    <row r="739" spans="1:3" x14ac:dyDescent="0.35">
      <c r="A739" s="943" t="s">
        <v>4791</v>
      </c>
      <c r="B739" t="s">
        <v>3648</v>
      </c>
      <c r="C739" s="944">
        <v>0</v>
      </c>
    </row>
    <row r="740" spans="1:3" x14ac:dyDescent="0.35">
      <c r="A740" s="943" t="s">
        <v>4792</v>
      </c>
      <c r="B740" t="s">
        <v>3932</v>
      </c>
      <c r="C740" s="944">
        <v>0</v>
      </c>
    </row>
    <row r="741" spans="1:3" x14ac:dyDescent="0.35">
      <c r="A741" s="943" t="s">
        <v>4793</v>
      </c>
      <c r="B741" t="s">
        <v>3966</v>
      </c>
      <c r="C741" s="944">
        <v>0</v>
      </c>
    </row>
    <row r="742" spans="1:3" x14ac:dyDescent="0.35">
      <c r="A742" s="943" t="s">
        <v>4794</v>
      </c>
      <c r="B742" t="s">
        <v>3935</v>
      </c>
      <c r="C742" s="944">
        <v>0</v>
      </c>
    </row>
    <row r="743" spans="1:3" x14ac:dyDescent="0.35">
      <c r="A743" s="943" t="s">
        <v>4795</v>
      </c>
      <c r="B743" t="s">
        <v>3967</v>
      </c>
      <c r="C743" s="944">
        <v>0</v>
      </c>
    </row>
    <row r="744" spans="1:3" x14ac:dyDescent="0.35">
      <c r="A744" s="943" t="s">
        <v>4796</v>
      </c>
      <c r="B744" t="s">
        <v>3968</v>
      </c>
      <c r="C744" s="944">
        <v>0</v>
      </c>
    </row>
    <row r="745" spans="1:3" x14ac:dyDescent="0.35">
      <c r="A745" s="943" t="s">
        <v>4797</v>
      </c>
      <c r="B745" t="s">
        <v>350</v>
      </c>
      <c r="C745" s="944">
        <v>0</v>
      </c>
    </row>
    <row r="746" spans="1:3" x14ac:dyDescent="0.35">
      <c r="A746" s="943" t="s">
        <v>4798</v>
      </c>
      <c r="B746" t="s">
        <v>3969</v>
      </c>
      <c r="C746" s="944">
        <v>0</v>
      </c>
    </row>
    <row r="747" spans="1:3" x14ac:dyDescent="0.35">
      <c r="A747" s="943" t="s">
        <v>4799</v>
      </c>
      <c r="B747" t="s">
        <v>3970</v>
      </c>
      <c r="C747" s="944">
        <v>1250000</v>
      </c>
    </row>
    <row r="748" spans="1:3" x14ac:dyDescent="0.35">
      <c r="A748" s="943" t="s">
        <v>4800</v>
      </c>
      <c r="B748" t="s">
        <v>3971</v>
      </c>
      <c r="C748" s="944">
        <v>0</v>
      </c>
    </row>
    <row r="749" spans="1:3" x14ac:dyDescent="0.35">
      <c r="A749" s="943" t="s">
        <v>4801</v>
      </c>
      <c r="B749" t="s">
        <v>3972</v>
      </c>
      <c r="C749" s="944">
        <v>0</v>
      </c>
    </row>
    <row r="750" spans="1:3" x14ac:dyDescent="0.35">
      <c r="A750" s="943" t="s">
        <v>4802</v>
      </c>
      <c r="B750" t="s">
        <v>350</v>
      </c>
      <c r="C750" s="944">
        <v>0</v>
      </c>
    </row>
    <row r="751" spans="1:3" x14ac:dyDescent="0.35">
      <c r="A751" s="943" t="s">
        <v>4803</v>
      </c>
      <c r="B751" t="s">
        <v>3973</v>
      </c>
      <c r="C751" s="944">
        <v>0</v>
      </c>
    </row>
    <row r="752" spans="1:3" x14ac:dyDescent="0.35">
      <c r="A752" s="943" t="s">
        <v>4804</v>
      </c>
      <c r="B752" t="s">
        <v>3720</v>
      </c>
      <c r="C752" s="944">
        <v>0</v>
      </c>
    </row>
    <row r="753" spans="1:3" x14ac:dyDescent="0.35">
      <c r="A753" s="943" t="s">
        <v>4805</v>
      </c>
      <c r="B753" t="s">
        <v>3648</v>
      </c>
      <c r="C753" s="944">
        <v>0</v>
      </c>
    </row>
    <row r="754" spans="1:3" x14ac:dyDescent="0.35">
      <c r="A754" s="943" t="s">
        <v>4806</v>
      </c>
      <c r="B754" t="s">
        <v>3932</v>
      </c>
      <c r="C754" s="944">
        <v>0</v>
      </c>
    </row>
    <row r="755" spans="1:3" x14ac:dyDescent="0.35">
      <c r="A755" s="943" t="s">
        <v>4807</v>
      </c>
      <c r="B755" t="s">
        <v>3966</v>
      </c>
      <c r="C755" s="944">
        <v>0</v>
      </c>
    </row>
    <row r="756" spans="1:3" x14ac:dyDescent="0.35">
      <c r="A756" s="943" t="s">
        <v>4808</v>
      </c>
      <c r="B756" t="s">
        <v>3935</v>
      </c>
      <c r="C756" s="944">
        <v>0</v>
      </c>
    </row>
    <row r="757" spans="1:3" x14ac:dyDescent="0.35">
      <c r="A757" s="943" t="s">
        <v>4809</v>
      </c>
      <c r="B757" t="s">
        <v>3967</v>
      </c>
      <c r="C757" s="944">
        <v>0</v>
      </c>
    </row>
    <row r="758" spans="1:3" x14ac:dyDescent="0.35">
      <c r="A758" s="943" t="s">
        <v>4810</v>
      </c>
      <c r="B758" t="s">
        <v>3968</v>
      </c>
      <c r="C758" s="944">
        <v>0</v>
      </c>
    </row>
    <row r="759" spans="1:3" x14ac:dyDescent="0.35">
      <c r="A759" s="943" t="s">
        <v>4811</v>
      </c>
      <c r="B759" t="s">
        <v>350</v>
      </c>
      <c r="C759" s="944">
        <v>0</v>
      </c>
    </row>
    <row r="760" spans="1:3" x14ac:dyDescent="0.35">
      <c r="A760" s="943" t="s">
        <v>4812</v>
      </c>
      <c r="B760" t="s">
        <v>3974</v>
      </c>
      <c r="C760" s="944">
        <v>0</v>
      </c>
    </row>
    <row r="761" spans="1:3" x14ac:dyDescent="0.35">
      <c r="A761" s="943" t="s">
        <v>4813</v>
      </c>
      <c r="B761" t="s">
        <v>3963</v>
      </c>
      <c r="C761" s="944">
        <v>0</v>
      </c>
    </row>
    <row r="762" spans="1:3" x14ac:dyDescent="0.35">
      <c r="A762" s="943" t="s">
        <v>4814</v>
      </c>
      <c r="B762" t="s">
        <v>3754</v>
      </c>
      <c r="C762" s="944">
        <v>0</v>
      </c>
    </row>
    <row r="763" spans="1:3" x14ac:dyDescent="0.35">
      <c r="B763" t="s">
        <v>3975</v>
      </c>
      <c r="C763" s="944">
        <v>1250000</v>
      </c>
    </row>
    <row r="764" spans="1:3" x14ac:dyDescent="0.35">
      <c r="B764" t="s">
        <v>3976</v>
      </c>
      <c r="C764" s="944">
        <v>1390000</v>
      </c>
    </row>
    <row r="765" spans="1:3" x14ac:dyDescent="0.35">
      <c r="A765" s="943" t="s">
        <v>7870</v>
      </c>
      <c r="B765" t="s">
        <v>3977</v>
      </c>
      <c r="C765" s="944"/>
    </row>
    <row r="766" spans="1:3" x14ac:dyDescent="0.35">
      <c r="A766" s="943" t="s">
        <v>7871</v>
      </c>
      <c r="B766" t="s">
        <v>3978</v>
      </c>
      <c r="C766" s="944"/>
    </row>
    <row r="767" spans="1:3" x14ac:dyDescent="0.35">
      <c r="A767" s="943" t="s">
        <v>4815</v>
      </c>
      <c r="B767" t="s">
        <v>3599</v>
      </c>
      <c r="C767" s="944">
        <v>0</v>
      </c>
    </row>
    <row r="768" spans="1:3" x14ac:dyDescent="0.35">
      <c r="A768" s="943" t="s">
        <v>4816</v>
      </c>
      <c r="B768" t="s">
        <v>3601</v>
      </c>
      <c r="C768" s="944">
        <v>0</v>
      </c>
    </row>
    <row r="769" spans="1:3" x14ac:dyDescent="0.35">
      <c r="A769" s="943" t="s">
        <v>4817</v>
      </c>
      <c r="B769" t="s">
        <v>3603</v>
      </c>
      <c r="C769" s="944">
        <v>0</v>
      </c>
    </row>
    <row r="770" spans="1:3" x14ac:dyDescent="0.35">
      <c r="A770" s="943" t="s">
        <v>4818</v>
      </c>
      <c r="B770" t="s">
        <v>3605</v>
      </c>
      <c r="C770" s="944">
        <v>0</v>
      </c>
    </row>
    <row r="771" spans="1:3" x14ac:dyDescent="0.35">
      <c r="A771" s="943" t="s">
        <v>4819</v>
      </c>
      <c r="B771" t="s">
        <v>3607</v>
      </c>
      <c r="C771" s="944">
        <v>0</v>
      </c>
    </row>
    <row r="772" spans="1:3" x14ac:dyDescent="0.35">
      <c r="A772" s="943" t="s">
        <v>4820</v>
      </c>
      <c r="B772" t="s">
        <v>3609</v>
      </c>
      <c r="C772" s="944">
        <v>0</v>
      </c>
    </row>
    <row r="773" spans="1:3" x14ac:dyDescent="0.35">
      <c r="A773" s="943" t="s">
        <v>4821</v>
      </c>
      <c r="B773" t="s">
        <v>3611</v>
      </c>
      <c r="C773" s="944">
        <v>0</v>
      </c>
    </row>
    <row r="774" spans="1:3" x14ac:dyDescent="0.35">
      <c r="A774" s="943" t="s">
        <v>4822</v>
      </c>
      <c r="B774" t="s">
        <v>3613</v>
      </c>
      <c r="C774" s="944">
        <v>0</v>
      </c>
    </row>
    <row r="775" spans="1:3" x14ac:dyDescent="0.35">
      <c r="A775" s="943" t="s">
        <v>4823</v>
      </c>
      <c r="B775" t="s">
        <v>3615</v>
      </c>
      <c r="C775" s="944">
        <v>0</v>
      </c>
    </row>
    <row r="776" spans="1:3" x14ac:dyDescent="0.35">
      <c r="A776" s="943" t="s">
        <v>4824</v>
      </c>
      <c r="B776" t="s">
        <v>3617</v>
      </c>
      <c r="C776" s="944">
        <v>0</v>
      </c>
    </row>
    <row r="777" spans="1:3" x14ac:dyDescent="0.35">
      <c r="A777" s="943" t="s">
        <v>4825</v>
      </c>
      <c r="B777" t="s">
        <v>3619</v>
      </c>
      <c r="C777" s="944">
        <v>0</v>
      </c>
    </row>
    <row r="778" spans="1:3" x14ac:dyDescent="0.35">
      <c r="A778" s="943" t="s">
        <v>4826</v>
      </c>
      <c r="B778" t="s">
        <v>3621</v>
      </c>
      <c r="C778" s="944">
        <v>0</v>
      </c>
    </row>
    <row r="779" spans="1:3" x14ac:dyDescent="0.35">
      <c r="A779" s="943" t="s">
        <v>4827</v>
      </c>
      <c r="B779" t="s">
        <v>3623</v>
      </c>
      <c r="C779" s="944">
        <v>0</v>
      </c>
    </row>
    <row r="780" spans="1:3" x14ac:dyDescent="0.35">
      <c r="A780" s="943" t="s">
        <v>4828</v>
      </c>
      <c r="B780" t="s">
        <v>3625</v>
      </c>
      <c r="C780" s="944">
        <v>0</v>
      </c>
    </row>
    <row r="781" spans="1:3" x14ac:dyDescent="0.35">
      <c r="A781" s="943" t="s">
        <v>4829</v>
      </c>
      <c r="B781" t="s">
        <v>3627</v>
      </c>
      <c r="C781" s="944">
        <v>0</v>
      </c>
    </row>
    <row r="782" spans="1:3" x14ac:dyDescent="0.35">
      <c r="A782" s="943" t="s">
        <v>4830</v>
      </c>
      <c r="B782" t="s">
        <v>3629</v>
      </c>
      <c r="C782" s="944">
        <v>0</v>
      </c>
    </row>
    <row r="783" spans="1:3" x14ac:dyDescent="0.35">
      <c r="A783" s="943" t="s">
        <v>4831</v>
      </c>
      <c r="B783" t="s">
        <v>3631</v>
      </c>
      <c r="C783" s="944">
        <v>0</v>
      </c>
    </row>
    <row r="784" spans="1:3" x14ac:dyDescent="0.35">
      <c r="A784" s="943" t="s">
        <v>4832</v>
      </c>
      <c r="B784" t="s">
        <v>3633</v>
      </c>
      <c r="C784" s="944">
        <v>0</v>
      </c>
    </row>
    <row r="785" spans="1:3" x14ac:dyDescent="0.35">
      <c r="A785" s="943" t="s">
        <v>4833</v>
      </c>
      <c r="B785" t="s">
        <v>3635</v>
      </c>
      <c r="C785" s="944">
        <v>0</v>
      </c>
    </row>
    <row r="786" spans="1:3" x14ac:dyDescent="0.35">
      <c r="A786" s="943" t="s">
        <v>4834</v>
      </c>
      <c r="B786" t="s">
        <v>3637</v>
      </c>
      <c r="C786" s="944">
        <v>0</v>
      </c>
    </row>
    <row r="787" spans="1:3" x14ac:dyDescent="0.35">
      <c r="A787" s="943" t="s">
        <v>4835</v>
      </c>
      <c r="B787" t="s">
        <v>334</v>
      </c>
      <c r="C787" s="944">
        <v>0</v>
      </c>
    </row>
    <row r="788" spans="1:3" x14ac:dyDescent="0.35">
      <c r="A788" s="943" t="s">
        <v>4836</v>
      </c>
      <c r="B788" t="s">
        <v>3640</v>
      </c>
      <c r="C788" s="944">
        <v>0</v>
      </c>
    </row>
    <row r="789" spans="1:3" x14ac:dyDescent="0.35">
      <c r="A789" s="943" t="s">
        <v>4837</v>
      </c>
      <c r="B789" t="s">
        <v>3642</v>
      </c>
      <c r="C789" s="944">
        <v>0</v>
      </c>
    </row>
    <row r="790" spans="1:3" x14ac:dyDescent="0.35">
      <c r="A790" s="943" t="s">
        <v>4838</v>
      </c>
      <c r="B790" t="s">
        <v>3644</v>
      </c>
      <c r="C790" s="944">
        <v>0</v>
      </c>
    </row>
    <row r="791" spans="1:3" x14ac:dyDescent="0.35">
      <c r="A791" s="943" t="s">
        <v>4839</v>
      </c>
      <c r="B791" t="s">
        <v>3646</v>
      </c>
      <c r="C791" s="944">
        <v>0</v>
      </c>
    </row>
    <row r="792" spans="1:3" x14ac:dyDescent="0.35">
      <c r="A792" s="943" t="s">
        <v>4840</v>
      </c>
      <c r="B792" t="s">
        <v>3648</v>
      </c>
      <c r="C792" s="944">
        <v>0</v>
      </c>
    </row>
    <row r="793" spans="1:3" x14ac:dyDescent="0.35">
      <c r="A793" s="943" t="s">
        <v>4841</v>
      </c>
      <c r="B793" t="s">
        <v>3650</v>
      </c>
      <c r="C793" s="944">
        <v>0</v>
      </c>
    </row>
    <row r="794" spans="1:3" x14ac:dyDescent="0.35">
      <c r="A794" s="943" t="s">
        <v>4842</v>
      </c>
      <c r="B794" t="s">
        <v>3652</v>
      </c>
      <c r="C794" s="944">
        <v>0</v>
      </c>
    </row>
    <row r="795" spans="1:3" x14ac:dyDescent="0.35">
      <c r="A795" s="943" t="s">
        <v>4843</v>
      </c>
      <c r="B795" t="s">
        <v>3654</v>
      </c>
      <c r="C795" s="944">
        <v>0</v>
      </c>
    </row>
    <row r="796" spans="1:3" x14ac:dyDescent="0.35">
      <c r="A796" s="943" t="s">
        <v>4844</v>
      </c>
      <c r="B796" t="s">
        <v>3656</v>
      </c>
      <c r="C796" s="944">
        <v>0</v>
      </c>
    </row>
    <row r="797" spans="1:3" x14ac:dyDescent="0.35">
      <c r="A797" s="943" t="s">
        <v>4845</v>
      </c>
      <c r="B797" t="s">
        <v>3658</v>
      </c>
      <c r="C797" s="944">
        <v>0</v>
      </c>
    </row>
    <row r="798" spans="1:3" x14ac:dyDescent="0.35">
      <c r="A798" s="943" t="s">
        <v>4846</v>
      </c>
      <c r="B798" t="s">
        <v>3660</v>
      </c>
      <c r="C798" s="944">
        <v>0</v>
      </c>
    </row>
    <row r="799" spans="1:3" x14ac:dyDescent="0.35">
      <c r="A799" s="943" t="s">
        <v>4847</v>
      </c>
      <c r="B799" t="s">
        <v>3662</v>
      </c>
      <c r="C799" s="944">
        <v>0</v>
      </c>
    </row>
    <row r="800" spans="1:3" x14ac:dyDescent="0.35">
      <c r="A800" s="943" t="s">
        <v>4848</v>
      </c>
      <c r="B800" t="s">
        <v>3664</v>
      </c>
      <c r="C800" s="944">
        <v>0</v>
      </c>
    </row>
    <row r="801" spans="1:3" x14ac:dyDescent="0.35">
      <c r="A801" s="943" t="s">
        <v>4849</v>
      </c>
      <c r="B801" t="s">
        <v>3666</v>
      </c>
      <c r="C801" s="944">
        <v>0</v>
      </c>
    </row>
    <row r="802" spans="1:3" x14ac:dyDescent="0.35">
      <c r="A802" s="943" t="s">
        <v>4850</v>
      </c>
      <c r="B802" t="s">
        <v>3668</v>
      </c>
      <c r="C802" s="944">
        <v>0</v>
      </c>
    </row>
    <row r="803" spans="1:3" x14ac:dyDescent="0.35">
      <c r="A803" s="943" t="s">
        <v>4851</v>
      </c>
      <c r="B803" t="s">
        <v>350</v>
      </c>
      <c r="C803" s="944">
        <v>0</v>
      </c>
    </row>
    <row r="804" spans="1:3" x14ac:dyDescent="0.35">
      <c r="A804" s="943" t="s">
        <v>4852</v>
      </c>
      <c r="B804" t="s">
        <v>3671</v>
      </c>
      <c r="C804" s="944">
        <v>0</v>
      </c>
    </row>
    <row r="805" spans="1:3" x14ac:dyDescent="0.35">
      <c r="A805" s="943" t="s">
        <v>4853</v>
      </c>
      <c r="B805" t="s">
        <v>3930</v>
      </c>
      <c r="C805" s="944">
        <v>0</v>
      </c>
    </row>
    <row r="806" spans="1:3" x14ac:dyDescent="0.35">
      <c r="A806" s="943" t="s">
        <v>4854</v>
      </c>
      <c r="B806" t="s">
        <v>3675</v>
      </c>
      <c r="C806" s="944">
        <v>0</v>
      </c>
    </row>
    <row r="807" spans="1:3" x14ac:dyDescent="0.35">
      <c r="A807" s="943" t="s">
        <v>4855</v>
      </c>
      <c r="B807" t="s">
        <v>3677</v>
      </c>
      <c r="C807" s="944">
        <v>0</v>
      </c>
    </row>
    <row r="808" spans="1:3" x14ac:dyDescent="0.35">
      <c r="A808" s="943" t="s">
        <v>4856</v>
      </c>
      <c r="B808" t="s">
        <v>3679</v>
      </c>
      <c r="C808" s="944">
        <v>0</v>
      </c>
    </row>
    <row r="809" spans="1:3" x14ac:dyDescent="0.35">
      <c r="A809" s="943" t="s">
        <v>4857</v>
      </c>
      <c r="B809" t="s">
        <v>3979</v>
      </c>
      <c r="C809" s="944">
        <v>0</v>
      </c>
    </row>
    <row r="810" spans="1:3" x14ac:dyDescent="0.35">
      <c r="A810" s="943" t="s">
        <v>4858</v>
      </c>
      <c r="B810" t="s">
        <v>3683</v>
      </c>
      <c r="C810" s="944">
        <v>0</v>
      </c>
    </row>
    <row r="811" spans="1:3" x14ac:dyDescent="0.35">
      <c r="A811" s="943" t="s">
        <v>4859</v>
      </c>
      <c r="B811" t="s">
        <v>3685</v>
      </c>
      <c r="C811" s="944">
        <v>0</v>
      </c>
    </row>
    <row r="812" spans="1:3" x14ac:dyDescent="0.35">
      <c r="A812" s="943" t="s">
        <v>4860</v>
      </c>
      <c r="B812" t="s">
        <v>3687</v>
      </c>
      <c r="C812" s="944">
        <v>0</v>
      </c>
    </row>
    <row r="813" spans="1:3" x14ac:dyDescent="0.35">
      <c r="A813" s="943" t="s">
        <v>4861</v>
      </c>
      <c r="B813" t="s">
        <v>3980</v>
      </c>
      <c r="C813" s="944">
        <v>0</v>
      </c>
    </row>
    <row r="814" spans="1:3" x14ac:dyDescent="0.35">
      <c r="A814" s="943" t="s">
        <v>4862</v>
      </c>
      <c r="B814" t="s">
        <v>3981</v>
      </c>
      <c r="C814" s="944">
        <v>0</v>
      </c>
    </row>
    <row r="815" spans="1:3" x14ac:dyDescent="0.35">
      <c r="A815" s="943" t="s">
        <v>4863</v>
      </c>
      <c r="B815" t="s">
        <v>3963</v>
      </c>
      <c r="C815" s="944">
        <v>0</v>
      </c>
    </row>
    <row r="816" spans="1:3" x14ac:dyDescent="0.35">
      <c r="A816" s="943" t="s">
        <v>4864</v>
      </c>
      <c r="B816" t="s">
        <v>3754</v>
      </c>
      <c r="C816" s="944">
        <v>0</v>
      </c>
    </row>
    <row r="817" spans="1:3" x14ac:dyDescent="0.35">
      <c r="B817" t="s">
        <v>3982</v>
      </c>
      <c r="C817" s="944">
        <v>0</v>
      </c>
    </row>
    <row r="818" spans="1:3" x14ac:dyDescent="0.35">
      <c r="A818" s="943" t="s">
        <v>7872</v>
      </c>
      <c r="B818" t="s">
        <v>3983</v>
      </c>
      <c r="C818" s="944"/>
    </row>
    <row r="819" spans="1:3" x14ac:dyDescent="0.35">
      <c r="A819" s="943" t="s">
        <v>4865</v>
      </c>
      <c r="B819" t="s">
        <v>3599</v>
      </c>
      <c r="C819" s="944">
        <v>0</v>
      </c>
    </row>
    <row r="820" spans="1:3" x14ac:dyDescent="0.35">
      <c r="A820" s="943" t="s">
        <v>4866</v>
      </c>
      <c r="B820" t="s">
        <v>3601</v>
      </c>
      <c r="C820" s="944">
        <v>0</v>
      </c>
    </row>
    <row r="821" spans="1:3" x14ac:dyDescent="0.35">
      <c r="A821" s="943" t="s">
        <v>4867</v>
      </c>
      <c r="B821" t="s">
        <v>3603</v>
      </c>
      <c r="C821" s="944">
        <v>0</v>
      </c>
    </row>
    <row r="822" spans="1:3" x14ac:dyDescent="0.35">
      <c r="A822" s="943" t="s">
        <v>4868</v>
      </c>
      <c r="B822" t="s">
        <v>3605</v>
      </c>
      <c r="C822" s="944">
        <v>0</v>
      </c>
    </row>
    <row r="823" spans="1:3" x14ac:dyDescent="0.35">
      <c r="A823" s="943" t="s">
        <v>4869</v>
      </c>
      <c r="B823" t="s">
        <v>3607</v>
      </c>
      <c r="C823" s="944">
        <v>0</v>
      </c>
    </row>
    <row r="824" spans="1:3" x14ac:dyDescent="0.35">
      <c r="A824" s="943" t="s">
        <v>4870</v>
      </c>
      <c r="B824" t="s">
        <v>3609</v>
      </c>
      <c r="C824" s="944">
        <v>0</v>
      </c>
    </row>
    <row r="825" spans="1:3" x14ac:dyDescent="0.35">
      <c r="A825" s="943" t="s">
        <v>4871</v>
      </c>
      <c r="B825" t="s">
        <v>3611</v>
      </c>
      <c r="C825" s="944">
        <v>0</v>
      </c>
    </row>
    <row r="826" spans="1:3" x14ac:dyDescent="0.35">
      <c r="A826" s="943" t="s">
        <v>4872</v>
      </c>
      <c r="B826" t="s">
        <v>3613</v>
      </c>
      <c r="C826" s="944">
        <v>0</v>
      </c>
    </row>
    <row r="827" spans="1:3" x14ac:dyDescent="0.35">
      <c r="A827" s="943" t="s">
        <v>4873</v>
      </c>
      <c r="B827" t="s">
        <v>3615</v>
      </c>
      <c r="C827" s="944">
        <v>0</v>
      </c>
    </row>
    <row r="828" spans="1:3" x14ac:dyDescent="0.35">
      <c r="A828" s="943" t="s">
        <v>4874</v>
      </c>
      <c r="B828" t="s">
        <v>3617</v>
      </c>
      <c r="C828" s="944">
        <v>0</v>
      </c>
    </row>
    <row r="829" spans="1:3" x14ac:dyDescent="0.35">
      <c r="A829" s="943" t="s">
        <v>4875</v>
      </c>
      <c r="B829" t="s">
        <v>3619</v>
      </c>
      <c r="C829" s="944">
        <v>0</v>
      </c>
    </row>
    <row r="830" spans="1:3" x14ac:dyDescent="0.35">
      <c r="A830" s="943" t="s">
        <v>4876</v>
      </c>
      <c r="B830" t="s">
        <v>3621</v>
      </c>
      <c r="C830" s="944">
        <v>0</v>
      </c>
    </row>
    <row r="831" spans="1:3" x14ac:dyDescent="0.35">
      <c r="A831" s="943" t="s">
        <v>4877</v>
      </c>
      <c r="B831" t="s">
        <v>3623</v>
      </c>
      <c r="C831" s="944">
        <v>0</v>
      </c>
    </row>
    <row r="832" spans="1:3" x14ac:dyDescent="0.35">
      <c r="A832" s="943" t="s">
        <v>4878</v>
      </c>
      <c r="B832" t="s">
        <v>3625</v>
      </c>
      <c r="C832" s="944">
        <v>0</v>
      </c>
    </row>
    <row r="833" spans="1:3" x14ac:dyDescent="0.35">
      <c r="A833" s="943" t="s">
        <v>4879</v>
      </c>
      <c r="B833" t="s">
        <v>3627</v>
      </c>
      <c r="C833" s="944">
        <v>0</v>
      </c>
    </row>
    <row r="834" spans="1:3" x14ac:dyDescent="0.35">
      <c r="A834" s="943" t="s">
        <v>4880</v>
      </c>
      <c r="B834" t="s">
        <v>3629</v>
      </c>
      <c r="C834" s="944">
        <v>0</v>
      </c>
    </row>
    <row r="835" spans="1:3" x14ac:dyDescent="0.35">
      <c r="A835" s="943" t="s">
        <v>4881</v>
      </c>
      <c r="B835" t="s">
        <v>3631</v>
      </c>
      <c r="C835" s="944">
        <v>0</v>
      </c>
    </row>
    <row r="836" spans="1:3" x14ac:dyDescent="0.35">
      <c r="A836" s="943" t="s">
        <v>4882</v>
      </c>
      <c r="B836" t="s">
        <v>3633</v>
      </c>
      <c r="C836" s="944">
        <v>0</v>
      </c>
    </row>
    <row r="837" spans="1:3" x14ac:dyDescent="0.35">
      <c r="A837" s="943" t="s">
        <v>4883</v>
      </c>
      <c r="B837" t="s">
        <v>3635</v>
      </c>
      <c r="C837" s="944">
        <v>0</v>
      </c>
    </row>
    <row r="838" spans="1:3" x14ac:dyDescent="0.35">
      <c r="A838" s="943" t="s">
        <v>4884</v>
      </c>
      <c r="B838" t="s">
        <v>3637</v>
      </c>
      <c r="C838" s="944">
        <v>0</v>
      </c>
    </row>
    <row r="839" spans="1:3" x14ac:dyDescent="0.35">
      <c r="A839" s="943" t="s">
        <v>4885</v>
      </c>
      <c r="B839" t="s">
        <v>334</v>
      </c>
      <c r="C839" s="944">
        <v>0</v>
      </c>
    </row>
    <row r="840" spans="1:3" x14ac:dyDescent="0.35">
      <c r="A840" s="943" t="s">
        <v>4886</v>
      </c>
      <c r="B840" t="s">
        <v>3640</v>
      </c>
      <c r="C840" s="944">
        <v>0</v>
      </c>
    </row>
    <row r="841" spans="1:3" x14ac:dyDescent="0.35">
      <c r="A841" s="943" t="s">
        <v>4887</v>
      </c>
      <c r="B841" t="s">
        <v>3642</v>
      </c>
      <c r="C841" s="944">
        <v>0</v>
      </c>
    </row>
    <row r="842" spans="1:3" x14ac:dyDescent="0.35">
      <c r="A842" s="943" t="s">
        <v>4888</v>
      </c>
      <c r="B842" t="s">
        <v>3644</v>
      </c>
      <c r="C842" s="944">
        <v>0</v>
      </c>
    </row>
    <row r="843" spans="1:3" x14ac:dyDescent="0.35">
      <c r="A843" s="943" t="s">
        <v>4889</v>
      </c>
      <c r="B843" t="s">
        <v>3646</v>
      </c>
      <c r="C843" s="944">
        <v>0</v>
      </c>
    </row>
    <row r="844" spans="1:3" x14ac:dyDescent="0.35">
      <c r="A844" s="943" t="s">
        <v>4890</v>
      </c>
      <c r="B844" t="s">
        <v>3648</v>
      </c>
      <c r="C844" s="944">
        <v>0</v>
      </c>
    </row>
    <row r="845" spans="1:3" x14ac:dyDescent="0.35">
      <c r="A845" s="943" t="s">
        <v>4891</v>
      </c>
      <c r="B845" t="s">
        <v>3650</v>
      </c>
      <c r="C845" s="944">
        <v>0</v>
      </c>
    </row>
    <row r="846" spans="1:3" x14ac:dyDescent="0.35">
      <c r="A846" s="943" t="s">
        <v>4892</v>
      </c>
      <c r="B846" t="s">
        <v>3652</v>
      </c>
      <c r="C846" s="944">
        <v>0</v>
      </c>
    </row>
    <row r="847" spans="1:3" x14ac:dyDescent="0.35">
      <c r="A847" s="943" t="s">
        <v>4893</v>
      </c>
      <c r="B847" t="s">
        <v>3654</v>
      </c>
      <c r="C847" s="944">
        <v>0</v>
      </c>
    </row>
    <row r="848" spans="1:3" x14ac:dyDescent="0.35">
      <c r="A848" s="943" t="s">
        <v>4894</v>
      </c>
      <c r="B848" t="s">
        <v>3656</v>
      </c>
      <c r="C848" s="944">
        <v>0</v>
      </c>
    </row>
    <row r="849" spans="1:3" x14ac:dyDescent="0.35">
      <c r="A849" s="943" t="s">
        <v>4895</v>
      </c>
      <c r="B849" t="s">
        <v>3658</v>
      </c>
      <c r="C849" s="944">
        <v>0</v>
      </c>
    </row>
    <row r="850" spans="1:3" x14ac:dyDescent="0.35">
      <c r="A850" s="943" t="s">
        <v>4896</v>
      </c>
      <c r="B850" t="s">
        <v>3660</v>
      </c>
      <c r="C850" s="944">
        <v>0</v>
      </c>
    </row>
    <row r="851" spans="1:3" x14ac:dyDescent="0.35">
      <c r="A851" s="943" t="s">
        <v>4897</v>
      </c>
      <c r="B851" t="s">
        <v>3662</v>
      </c>
      <c r="C851" s="944">
        <v>0</v>
      </c>
    </row>
    <row r="852" spans="1:3" x14ac:dyDescent="0.35">
      <c r="A852" s="943" t="s">
        <v>4898</v>
      </c>
      <c r="B852" t="s">
        <v>3664</v>
      </c>
      <c r="C852" s="944">
        <v>0</v>
      </c>
    </row>
    <row r="853" spans="1:3" x14ac:dyDescent="0.35">
      <c r="A853" s="943" t="s">
        <v>4899</v>
      </c>
      <c r="B853" t="s">
        <v>3666</v>
      </c>
      <c r="C853" s="944">
        <v>0</v>
      </c>
    </row>
    <row r="854" spans="1:3" x14ac:dyDescent="0.35">
      <c r="A854" s="943" t="s">
        <v>4900</v>
      </c>
      <c r="B854" t="s">
        <v>3668</v>
      </c>
      <c r="C854" s="944">
        <v>0</v>
      </c>
    </row>
    <row r="855" spans="1:3" x14ac:dyDescent="0.35">
      <c r="A855" s="943" t="s">
        <v>4901</v>
      </c>
      <c r="B855" t="s">
        <v>350</v>
      </c>
      <c r="C855" s="944">
        <v>0</v>
      </c>
    </row>
    <row r="856" spans="1:3" x14ac:dyDescent="0.35">
      <c r="A856" s="943" t="s">
        <v>4902</v>
      </c>
      <c r="B856" t="s">
        <v>3671</v>
      </c>
      <c r="C856" s="944">
        <v>0</v>
      </c>
    </row>
    <row r="857" spans="1:3" x14ac:dyDescent="0.35">
      <c r="A857" s="943" t="s">
        <v>4903</v>
      </c>
      <c r="B857" t="s">
        <v>3930</v>
      </c>
      <c r="C857" s="944">
        <v>0</v>
      </c>
    </row>
    <row r="858" spans="1:3" x14ac:dyDescent="0.35">
      <c r="A858" s="943" t="s">
        <v>4904</v>
      </c>
      <c r="B858" t="s">
        <v>3675</v>
      </c>
      <c r="C858" s="944">
        <v>0</v>
      </c>
    </row>
    <row r="859" spans="1:3" x14ac:dyDescent="0.35">
      <c r="A859" s="943" t="s">
        <v>4905</v>
      </c>
      <c r="B859" t="s">
        <v>3677</v>
      </c>
      <c r="C859" s="944">
        <v>0</v>
      </c>
    </row>
    <row r="860" spans="1:3" x14ac:dyDescent="0.35">
      <c r="A860" s="943" t="s">
        <v>4906</v>
      </c>
      <c r="B860" t="s">
        <v>3679</v>
      </c>
      <c r="C860" s="944">
        <v>0</v>
      </c>
    </row>
    <row r="861" spans="1:3" x14ac:dyDescent="0.35">
      <c r="A861" s="943" t="s">
        <v>4907</v>
      </c>
      <c r="B861" t="s">
        <v>3979</v>
      </c>
      <c r="C861" s="944">
        <v>0</v>
      </c>
    </row>
    <row r="862" spans="1:3" x14ac:dyDescent="0.35">
      <c r="A862" s="943" t="s">
        <v>4908</v>
      </c>
      <c r="B862" t="s">
        <v>3683</v>
      </c>
      <c r="C862" s="944">
        <v>0</v>
      </c>
    </row>
    <row r="863" spans="1:3" x14ac:dyDescent="0.35">
      <c r="A863" s="943" t="s">
        <v>4909</v>
      </c>
      <c r="B863" t="s">
        <v>3685</v>
      </c>
      <c r="C863" s="944">
        <v>0</v>
      </c>
    </row>
    <row r="864" spans="1:3" x14ac:dyDescent="0.35">
      <c r="A864" s="943" t="s">
        <v>4910</v>
      </c>
      <c r="B864" t="s">
        <v>3687</v>
      </c>
      <c r="C864" s="944">
        <v>0</v>
      </c>
    </row>
    <row r="865" spans="1:3" x14ac:dyDescent="0.35">
      <c r="A865" s="943" t="s">
        <v>4911</v>
      </c>
      <c r="B865" t="s">
        <v>3980</v>
      </c>
      <c r="C865" s="944">
        <v>0</v>
      </c>
    </row>
    <row r="866" spans="1:3" x14ac:dyDescent="0.35">
      <c r="A866" s="943" t="s">
        <v>4912</v>
      </c>
      <c r="B866" t="s">
        <v>3984</v>
      </c>
      <c r="C866" s="944">
        <v>0</v>
      </c>
    </row>
    <row r="867" spans="1:3" x14ac:dyDescent="0.35">
      <c r="A867" s="943" t="s">
        <v>4913</v>
      </c>
      <c r="B867" t="s">
        <v>3985</v>
      </c>
      <c r="C867" s="944">
        <v>0</v>
      </c>
    </row>
    <row r="868" spans="1:3" x14ac:dyDescent="0.35">
      <c r="A868" s="943" t="s">
        <v>4914</v>
      </c>
      <c r="B868" t="s">
        <v>3986</v>
      </c>
      <c r="C868" s="944">
        <v>0</v>
      </c>
    </row>
    <row r="869" spans="1:3" x14ac:dyDescent="0.35">
      <c r="A869" s="943" t="s">
        <v>4915</v>
      </c>
      <c r="B869" t="s">
        <v>3987</v>
      </c>
      <c r="C869" s="944">
        <v>0</v>
      </c>
    </row>
    <row r="870" spans="1:3" x14ac:dyDescent="0.35">
      <c r="A870" s="943" t="s">
        <v>4916</v>
      </c>
      <c r="B870" t="s">
        <v>3988</v>
      </c>
      <c r="C870" s="944">
        <v>0</v>
      </c>
    </row>
    <row r="871" spans="1:3" x14ac:dyDescent="0.35">
      <c r="A871" s="943" t="s">
        <v>4917</v>
      </c>
      <c r="B871" t="s">
        <v>3989</v>
      </c>
      <c r="C871" s="944">
        <v>0</v>
      </c>
    </row>
    <row r="872" spans="1:3" x14ac:dyDescent="0.35">
      <c r="A872" s="943" t="s">
        <v>4918</v>
      </c>
      <c r="B872" t="s">
        <v>3963</v>
      </c>
      <c r="C872" s="944">
        <v>0</v>
      </c>
    </row>
    <row r="873" spans="1:3" x14ac:dyDescent="0.35">
      <c r="A873" s="943" t="s">
        <v>4919</v>
      </c>
      <c r="B873" t="s">
        <v>3754</v>
      </c>
      <c r="C873" s="944">
        <v>0</v>
      </c>
    </row>
    <row r="874" spans="1:3" x14ac:dyDescent="0.35">
      <c r="B874" t="s">
        <v>3990</v>
      </c>
      <c r="C874" s="944">
        <v>0</v>
      </c>
    </row>
    <row r="875" spans="1:3" x14ac:dyDescent="0.35">
      <c r="A875" s="943" t="s">
        <v>7873</v>
      </c>
      <c r="B875" t="s">
        <v>3991</v>
      </c>
      <c r="C875" s="944"/>
    </row>
    <row r="876" spans="1:3" x14ac:dyDescent="0.35">
      <c r="A876" s="943" t="s">
        <v>4920</v>
      </c>
      <c r="B876" t="s">
        <v>3599</v>
      </c>
      <c r="C876" s="944">
        <v>0</v>
      </c>
    </row>
    <row r="877" spans="1:3" x14ac:dyDescent="0.35">
      <c r="A877" s="943" t="s">
        <v>4921</v>
      </c>
      <c r="B877" t="s">
        <v>3601</v>
      </c>
      <c r="C877" s="944">
        <v>0</v>
      </c>
    </row>
    <row r="878" spans="1:3" x14ac:dyDescent="0.35">
      <c r="A878" s="943" t="s">
        <v>4922</v>
      </c>
      <c r="B878" t="s">
        <v>3603</v>
      </c>
      <c r="C878" s="944">
        <v>0</v>
      </c>
    </row>
    <row r="879" spans="1:3" x14ac:dyDescent="0.35">
      <c r="A879" s="943" t="s">
        <v>4923</v>
      </c>
      <c r="B879" t="s">
        <v>3605</v>
      </c>
      <c r="C879" s="944">
        <v>0</v>
      </c>
    </row>
    <row r="880" spans="1:3" x14ac:dyDescent="0.35">
      <c r="A880" s="943" t="s">
        <v>4924</v>
      </c>
      <c r="B880" t="s">
        <v>3607</v>
      </c>
      <c r="C880" s="944">
        <v>0</v>
      </c>
    </row>
    <row r="881" spans="1:3" x14ac:dyDescent="0.35">
      <c r="A881" s="943" t="s">
        <v>4925</v>
      </c>
      <c r="B881" t="s">
        <v>3609</v>
      </c>
      <c r="C881" s="944">
        <v>0</v>
      </c>
    </row>
    <row r="882" spans="1:3" x14ac:dyDescent="0.35">
      <c r="A882" s="943" t="s">
        <v>4926</v>
      </c>
      <c r="B882" t="s">
        <v>3611</v>
      </c>
      <c r="C882" s="944">
        <v>0</v>
      </c>
    </row>
    <row r="883" spans="1:3" x14ac:dyDescent="0.35">
      <c r="A883" s="943" t="s">
        <v>4927</v>
      </c>
      <c r="B883" t="s">
        <v>3613</v>
      </c>
      <c r="C883" s="944">
        <v>0</v>
      </c>
    </row>
    <row r="884" spans="1:3" x14ac:dyDescent="0.35">
      <c r="A884" s="943" t="s">
        <v>4928</v>
      </c>
      <c r="B884" t="s">
        <v>3615</v>
      </c>
      <c r="C884" s="944">
        <v>0</v>
      </c>
    </row>
    <row r="885" spans="1:3" x14ac:dyDescent="0.35">
      <c r="A885" s="943" t="s">
        <v>4929</v>
      </c>
      <c r="B885" t="s">
        <v>3617</v>
      </c>
      <c r="C885" s="944">
        <v>0</v>
      </c>
    </row>
    <row r="886" spans="1:3" x14ac:dyDescent="0.35">
      <c r="A886" s="943" t="s">
        <v>4930</v>
      </c>
      <c r="B886" t="s">
        <v>3619</v>
      </c>
      <c r="C886" s="944">
        <v>0</v>
      </c>
    </row>
    <row r="887" spans="1:3" x14ac:dyDescent="0.35">
      <c r="A887" s="943" t="s">
        <v>4931</v>
      </c>
      <c r="B887" t="s">
        <v>3621</v>
      </c>
      <c r="C887" s="944">
        <v>0</v>
      </c>
    </row>
    <row r="888" spans="1:3" x14ac:dyDescent="0.35">
      <c r="A888" s="943" t="s">
        <v>4932</v>
      </c>
      <c r="B888" t="s">
        <v>3623</v>
      </c>
      <c r="C888" s="944">
        <v>0</v>
      </c>
    </row>
    <row r="889" spans="1:3" x14ac:dyDescent="0.35">
      <c r="A889" s="943" t="s">
        <v>4933</v>
      </c>
      <c r="B889" t="s">
        <v>3625</v>
      </c>
      <c r="C889" s="944">
        <v>0</v>
      </c>
    </row>
    <row r="890" spans="1:3" x14ac:dyDescent="0.35">
      <c r="A890" s="943" t="s">
        <v>4934</v>
      </c>
      <c r="B890" t="s">
        <v>3627</v>
      </c>
      <c r="C890" s="944">
        <v>0</v>
      </c>
    </row>
    <row r="891" spans="1:3" x14ac:dyDescent="0.35">
      <c r="A891" s="943" t="s">
        <v>4935</v>
      </c>
      <c r="B891" t="s">
        <v>3629</v>
      </c>
      <c r="C891" s="944">
        <v>0</v>
      </c>
    </row>
    <row r="892" spans="1:3" x14ac:dyDescent="0.35">
      <c r="A892" s="943" t="s">
        <v>4936</v>
      </c>
      <c r="B892" t="s">
        <v>3631</v>
      </c>
      <c r="C892" s="944">
        <v>0</v>
      </c>
    </row>
    <row r="893" spans="1:3" x14ac:dyDescent="0.35">
      <c r="A893" s="943" t="s">
        <v>4937</v>
      </c>
      <c r="B893" t="s">
        <v>3633</v>
      </c>
      <c r="C893" s="944">
        <v>0</v>
      </c>
    </row>
    <row r="894" spans="1:3" x14ac:dyDescent="0.35">
      <c r="A894" s="943" t="s">
        <v>4938</v>
      </c>
      <c r="B894" t="s">
        <v>3635</v>
      </c>
      <c r="C894" s="944">
        <v>0</v>
      </c>
    </row>
    <row r="895" spans="1:3" x14ac:dyDescent="0.35">
      <c r="A895" s="943" t="s">
        <v>4939</v>
      </c>
      <c r="B895" t="s">
        <v>3637</v>
      </c>
      <c r="C895" s="944">
        <v>0</v>
      </c>
    </row>
    <row r="896" spans="1:3" x14ac:dyDescent="0.35">
      <c r="A896" s="943" t="s">
        <v>4940</v>
      </c>
      <c r="B896" t="s">
        <v>334</v>
      </c>
      <c r="C896" s="944">
        <v>0</v>
      </c>
    </row>
    <row r="897" spans="1:3" x14ac:dyDescent="0.35">
      <c r="A897" s="943" t="s">
        <v>4941</v>
      </c>
      <c r="B897" t="s">
        <v>3640</v>
      </c>
      <c r="C897" s="944">
        <v>0</v>
      </c>
    </row>
    <row r="898" spans="1:3" x14ac:dyDescent="0.35">
      <c r="A898" s="943" t="s">
        <v>4942</v>
      </c>
      <c r="B898" t="s">
        <v>3642</v>
      </c>
      <c r="C898" s="944">
        <v>0</v>
      </c>
    </row>
    <row r="899" spans="1:3" x14ac:dyDescent="0.35">
      <c r="A899" s="943" t="s">
        <v>4943</v>
      </c>
      <c r="B899" t="s">
        <v>3644</v>
      </c>
      <c r="C899" s="944">
        <v>0</v>
      </c>
    </row>
    <row r="900" spans="1:3" x14ac:dyDescent="0.35">
      <c r="A900" s="943" t="s">
        <v>4944</v>
      </c>
      <c r="B900" t="s">
        <v>3646</v>
      </c>
      <c r="C900" s="944">
        <v>0</v>
      </c>
    </row>
    <row r="901" spans="1:3" x14ac:dyDescent="0.35">
      <c r="A901" s="943" t="s">
        <v>4945</v>
      </c>
      <c r="B901" t="s">
        <v>3648</v>
      </c>
      <c r="C901" s="944">
        <v>0</v>
      </c>
    </row>
    <row r="902" spans="1:3" x14ac:dyDescent="0.35">
      <c r="A902" s="943" t="s">
        <v>4946</v>
      </c>
      <c r="B902" t="s">
        <v>3650</v>
      </c>
      <c r="C902" s="944">
        <v>0</v>
      </c>
    </row>
    <row r="903" spans="1:3" x14ac:dyDescent="0.35">
      <c r="A903" s="943" t="s">
        <v>4947</v>
      </c>
      <c r="B903" t="s">
        <v>3652</v>
      </c>
      <c r="C903" s="944">
        <v>0</v>
      </c>
    </row>
    <row r="904" spans="1:3" x14ac:dyDescent="0.35">
      <c r="A904" s="943" t="s">
        <v>4948</v>
      </c>
      <c r="B904" t="s">
        <v>3654</v>
      </c>
      <c r="C904" s="944">
        <v>0</v>
      </c>
    </row>
    <row r="905" spans="1:3" x14ac:dyDescent="0.35">
      <c r="A905" s="943" t="s">
        <v>4949</v>
      </c>
      <c r="B905" t="s">
        <v>3656</v>
      </c>
      <c r="C905" s="944">
        <v>0</v>
      </c>
    </row>
    <row r="906" spans="1:3" x14ac:dyDescent="0.35">
      <c r="A906" s="943" t="s">
        <v>4950</v>
      </c>
      <c r="B906" t="s">
        <v>3658</v>
      </c>
      <c r="C906" s="944">
        <v>0</v>
      </c>
    </row>
    <row r="907" spans="1:3" x14ac:dyDescent="0.35">
      <c r="A907" s="943" t="s">
        <v>4951</v>
      </c>
      <c r="B907" t="s">
        <v>3660</v>
      </c>
      <c r="C907" s="944">
        <v>0</v>
      </c>
    </row>
    <row r="908" spans="1:3" x14ac:dyDescent="0.35">
      <c r="A908" s="943" t="s">
        <v>4952</v>
      </c>
      <c r="B908" t="s">
        <v>3662</v>
      </c>
      <c r="C908" s="944">
        <v>0</v>
      </c>
    </row>
    <row r="909" spans="1:3" x14ac:dyDescent="0.35">
      <c r="A909" s="943" t="s">
        <v>4953</v>
      </c>
      <c r="B909" t="s">
        <v>3664</v>
      </c>
      <c r="C909" s="944">
        <v>0</v>
      </c>
    </row>
    <row r="910" spans="1:3" x14ac:dyDescent="0.35">
      <c r="A910" s="943" t="s">
        <v>4954</v>
      </c>
      <c r="B910" t="s">
        <v>3666</v>
      </c>
      <c r="C910" s="944">
        <v>0</v>
      </c>
    </row>
    <row r="911" spans="1:3" x14ac:dyDescent="0.35">
      <c r="A911" s="943" t="s">
        <v>4955</v>
      </c>
      <c r="B911" t="s">
        <v>3668</v>
      </c>
      <c r="C911" s="944">
        <v>0</v>
      </c>
    </row>
    <row r="912" spans="1:3" x14ac:dyDescent="0.35">
      <c r="A912" s="943" t="s">
        <v>4956</v>
      </c>
      <c r="B912" t="s">
        <v>350</v>
      </c>
      <c r="C912" s="944">
        <v>0</v>
      </c>
    </row>
    <row r="913" spans="1:3" x14ac:dyDescent="0.35">
      <c r="A913" s="943" t="s">
        <v>4957</v>
      </c>
      <c r="B913" t="s">
        <v>3671</v>
      </c>
      <c r="C913" s="944">
        <v>0</v>
      </c>
    </row>
    <row r="914" spans="1:3" x14ac:dyDescent="0.35">
      <c r="A914" s="943" t="s">
        <v>4958</v>
      </c>
      <c r="B914" t="s">
        <v>3673</v>
      </c>
      <c r="C914" s="944">
        <v>0</v>
      </c>
    </row>
    <row r="915" spans="1:3" x14ac:dyDescent="0.35">
      <c r="A915" s="943" t="s">
        <v>4959</v>
      </c>
      <c r="B915" t="s">
        <v>3675</v>
      </c>
      <c r="C915" s="944">
        <v>0</v>
      </c>
    </row>
    <row r="916" spans="1:3" x14ac:dyDescent="0.35">
      <c r="A916" s="943" t="s">
        <v>4960</v>
      </c>
      <c r="B916" t="s">
        <v>3677</v>
      </c>
      <c r="C916" s="944">
        <v>0</v>
      </c>
    </row>
    <row r="917" spans="1:3" x14ac:dyDescent="0.35">
      <c r="A917" s="943" t="s">
        <v>4961</v>
      </c>
      <c r="B917" t="s">
        <v>3679</v>
      </c>
      <c r="C917" s="944">
        <v>0</v>
      </c>
    </row>
    <row r="918" spans="1:3" x14ac:dyDescent="0.35">
      <c r="A918" s="943" t="s">
        <v>4962</v>
      </c>
      <c r="B918" t="s">
        <v>3681</v>
      </c>
      <c r="C918" s="944">
        <v>0</v>
      </c>
    </row>
    <row r="919" spans="1:3" x14ac:dyDescent="0.35">
      <c r="A919" s="943" t="s">
        <v>4963</v>
      </c>
      <c r="B919" t="s">
        <v>3683</v>
      </c>
      <c r="C919" s="944">
        <v>0</v>
      </c>
    </row>
    <row r="920" spans="1:3" x14ac:dyDescent="0.35">
      <c r="A920" s="943" t="s">
        <v>4964</v>
      </c>
      <c r="B920" t="s">
        <v>3685</v>
      </c>
      <c r="C920" s="944">
        <v>0</v>
      </c>
    </row>
    <row r="921" spans="1:3" x14ac:dyDescent="0.35">
      <c r="A921" s="943" t="s">
        <v>4965</v>
      </c>
      <c r="B921" t="s">
        <v>3687</v>
      </c>
      <c r="C921" s="944">
        <v>0</v>
      </c>
    </row>
    <row r="922" spans="1:3" x14ac:dyDescent="0.35">
      <c r="A922" s="943" t="s">
        <v>4966</v>
      </c>
      <c r="B922" t="s">
        <v>3689</v>
      </c>
      <c r="C922" s="944">
        <v>0</v>
      </c>
    </row>
    <row r="923" spans="1:3" x14ac:dyDescent="0.35">
      <c r="A923" s="943" t="s">
        <v>4967</v>
      </c>
      <c r="B923" t="s">
        <v>3992</v>
      </c>
      <c r="C923" s="944">
        <v>0</v>
      </c>
    </row>
    <row r="924" spans="1:3" x14ac:dyDescent="0.35">
      <c r="A924" s="943" t="s">
        <v>4968</v>
      </c>
      <c r="B924" t="s">
        <v>3720</v>
      </c>
      <c r="C924" s="944">
        <v>0</v>
      </c>
    </row>
    <row r="925" spans="1:3" x14ac:dyDescent="0.35">
      <c r="A925" s="943" t="s">
        <v>4969</v>
      </c>
      <c r="B925" t="s">
        <v>3993</v>
      </c>
      <c r="C925" s="944">
        <v>0</v>
      </c>
    </row>
    <row r="926" spans="1:3" x14ac:dyDescent="0.35">
      <c r="A926" s="943" t="s">
        <v>4970</v>
      </c>
      <c r="B926" t="s">
        <v>3994</v>
      </c>
      <c r="C926" s="944">
        <v>0</v>
      </c>
    </row>
    <row r="927" spans="1:3" x14ac:dyDescent="0.35">
      <c r="A927" s="943" t="s">
        <v>4971</v>
      </c>
      <c r="B927" t="s">
        <v>3995</v>
      </c>
      <c r="C927" s="944">
        <v>0</v>
      </c>
    </row>
    <row r="928" spans="1:3" x14ac:dyDescent="0.35">
      <c r="A928" s="943" t="s">
        <v>4972</v>
      </c>
      <c r="B928" t="s">
        <v>3935</v>
      </c>
      <c r="C928" s="944">
        <v>0</v>
      </c>
    </row>
    <row r="929" spans="1:3" x14ac:dyDescent="0.35">
      <c r="A929" s="943" t="s">
        <v>4973</v>
      </c>
      <c r="B929" t="s">
        <v>3968</v>
      </c>
      <c r="C929" s="944">
        <v>0</v>
      </c>
    </row>
    <row r="930" spans="1:3" x14ac:dyDescent="0.35">
      <c r="A930" s="943" t="s">
        <v>4974</v>
      </c>
      <c r="B930" t="s">
        <v>3648</v>
      </c>
      <c r="C930" s="944">
        <v>0</v>
      </c>
    </row>
    <row r="931" spans="1:3" x14ac:dyDescent="0.35">
      <c r="A931" s="943" t="s">
        <v>4975</v>
      </c>
      <c r="B931" t="s">
        <v>3996</v>
      </c>
      <c r="C931" s="944">
        <v>0</v>
      </c>
    </row>
    <row r="932" spans="1:3" x14ac:dyDescent="0.35">
      <c r="A932" s="943" t="s">
        <v>4976</v>
      </c>
      <c r="B932" t="s">
        <v>350</v>
      </c>
      <c r="C932" s="944">
        <v>0</v>
      </c>
    </row>
    <row r="933" spans="1:3" x14ac:dyDescent="0.35">
      <c r="A933" s="943" t="s">
        <v>4977</v>
      </c>
      <c r="B933" t="s">
        <v>3997</v>
      </c>
      <c r="C933" s="944">
        <v>0</v>
      </c>
    </row>
    <row r="934" spans="1:3" x14ac:dyDescent="0.35">
      <c r="A934" s="943" t="s">
        <v>4978</v>
      </c>
      <c r="B934" t="s">
        <v>3720</v>
      </c>
      <c r="C934" s="944">
        <v>0</v>
      </c>
    </row>
    <row r="935" spans="1:3" x14ac:dyDescent="0.35">
      <c r="A935" s="943" t="s">
        <v>4979</v>
      </c>
      <c r="B935" t="s">
        <v>3993</v>
      </c>
      <c r="C935" s="944">
        <v>0</v>
      </c>
    </row>
    <row r="936" spans="1:3" x14ac:dyDescent="0.35">
      <c r="A936" s="943" t="s">
        <v>4980</v>
      </c>
      <c r="B936" t="s">
        <v>3998</v>
      </c>
      <c r="C936" s="944">
        <v>0</v>
      </c>
    </row>
    <row r="937" spans="1:3" x14ac:dyDescent="0.35">
      <c r="A937" s="943" t="s">
        <v>4981</v>
      </c>
      <c r="B937" t="s">
        <v>3999</v>
      </c>
      <c r="C937" s="944">
        <v>0</v>
      </c>
    </row>
    <row r="938" spans="1:3" x14ac:dyDescent="0.35">
      <c r="A938" s="943" t="s">
        <v>4982</v>
      </c>
      <c r="B938" t="s">
        <v>3935</v>
      </c>
      <c r="C938" s="944">
        <v>0</v>
      </c>
    </row>
    <row r="939" spans="1:3" x14ac:dyDescent="0.35">
      <c r="A939" s="943" t="s">
        <v>4983</v>
      </c>
      <c r="B939" t="s">
        <v>3968</v>
      </c>
      <c r="C939" s="944">
        <v>0</v>
      </c>
    </row>
    <row r="940" spans="1:3" x14ac:dyDescent="0.35">
      <c r="A940" s="943" t="s">
        <v>4984</v>
      </c>
      <c r="B940" t="s">
        <v>3648</v>
      </c>
      <c r="C940" s="944">
        <v>0</v>
      </c>
    </row>
    <row r="941" spans="1:3" x14ac:dyDescent="0.35">
      <c r="A941" s="943" t="s">
        <v>4985</v>
      </c>
      <c r="B941" t="s">
        <v>3996</v>
      </c>
      <c r="C941" s="944">
        <v>0</v>
      </c>
    </row>
    <row r="942" spans="1:3" x14ac:dyDescent="0.35">
      <c r="A942" s="943" t="s">
        <v>4986</v>
      </c>
      <c r="B942" t="s">
        <v>350</v>
      </c>
      <c r="C942" s="944">
        <v>0</v>
      </c>
    </row>
    <row r="943" spans="1:3" x14ac:dyDescent="0.35">
      <c r="A943" s="943" t="s">
        <v>4987</v>
      </c>
      <c r="B943" t="s">
        <v>4000</v>
      </c>
      <c r="C943" s="944">
        <v>0</v>
      </c>
    </row>
    <row r="944" spans="1:3" x14ac:dyDescent="0.35">
      <c r="A944" s="943" t="s">
        <v>4988</v>
      </c>
      <c r="B944" t="s">
        <v>3720</v>
      </c>
      <c r="C944" s="944">
        <v>0</v>
      </c>
    </row>
    <row r="945" spans="1:3" x14ac:dyDescent="0.35">
      <c r="A945" s="943" t="s">
        <v>4989</v>
      </c>
      <c r="B945" t="s">
        <v>3993</v>
      </c>
      <c r="C945" s="944">
        <v>0</v>
      </c>
    </row>
    <row r="946" spans="1:3" x14ac:dyDescent="0.35">
      <c r="A946" s="943" t="s">
        <v>4990</v>
      </c>
      <c r="B946" t="s">
        <v>3998</v>
      </c>
      <c r="C946" s="944">
        <v>0</v>
      </c>
    </row>
    <row r="947" spans="1:3" x14ac:dyDescent="0.35">
      <c r="A947" s="943" t="s">
        <v>4991</v>
      </c>
      <c r="B947" t="s">
        <v>3999</v>
      </c>
      <c r="C947" s="944">
        <v>0</v>
      </c>
    </row>
    <row r="948" spans="1:3" x14ac:dyDescent="0.35">
      <c r="A948" s="943" t="s">
        <v>4992</v>
      </c>
      <c r="B948" t="s">
        <v>3935</v>
      </c>
      <c r="C948" s="944">
        <v>0</v>
      </c>
    </row>
    <row r="949" spans="1:3" x14ac:dyDescent="0.35">
      <c r="A949" s="943" t="s">
        <v>4993</v>
      </c>
      <c r="B949" t="s">
        <v>3968</v>
      </c>
      <c r="C949" s="944">
        <v>0</v>
      </c>
    </row>
    <row r="950" spans="1:3" x14ac:dyDescent="0.35">
      <c r="A950" s="943" t="s">
        <v>4994</v>
      </c>
      <c r="B950" t="s">
        <v>3648</v>
      </c>
      <c r="C950" s="944">
        <v>0</v>
      </c>
    </row>
    <row r="951" spans="1:3" x14ac:dyDescent="0.35">
      <c r="A951" s="943" t="s">
        <v>4995</v>
      </c>
      <c r="B951" t="s">
        <v>3996</v>
      </c>
      <c r="C951" s="944">
        <v>0</v>
      </c>
    </row>
    <row r="952" spans="1:3" x14ac:dyDescent="0.35">
      <c r="A952" s="943" t="s">
        <v>4996</v>
      </c>
      <c r="B952" t="s">
        <v>350</v>
      </c>
      <c r="C952" s="944">
        <v>0</v>
      </c>
    </row>
    <row r="953" spans="1:3" x14ac:dyDescent="0.35">
      <c r="A953" s="943" t="s">
        <v>4997</v>
      </c>
      <c r="B953" t="s">
        <v>4001</v>
      </c>
      <c r="C953" s="944">
        <v>0</v>
      </c>
    </row>
    <row r="954" spans="1:3" x14ac:dyDescent="0.35">
      <c r="A954" s="943" t="s">
        <v>4998</v>
      </c>
      <c r="B954" t="s">
        <v>3963</v>
      </c>
      <c r="C954" s="944">
        <v>0</v>
      </c>
    </row>
    <row r="955" spans="1:3" x14ac:dyDescent="0.35">
      <c r="A955" s="943" t="s">
        <v>4999</v>
      </c>
      <c r="B955" t="s">
        <v>3754</v>
      </c>
      <c r="C955" s="944">
        <v>0</v>
      </c>
    </row>
    <row r="956" spans="1:3" x14ac:dyDescent="0.35">
      <c r="B956" t="s">
        <v>4002</v>
      </c>
      <c r="C956" s="944">
        <v>0</v>
      </c>
    </row>
    <row r="957" spans="1:3" x14ac:dyDescent="0.35">
      <c r="A957" s="943" t="s">
        <v>7874</v>
      </c>
      <c r="B957" t="s">
        <v>4003</v>
      </c>
      <c r="C957" s="944"/>
    </row>
    <row r="958" spans="1:3" x14ac:dyDescent="0.35">
      <c r="A958" s="943" t="s">
        <v>5000</v>
      </c>
      <c r="B958" t="s">
        <v>3599</v>
      </c>
      <c r="C958" s="944">
        <v>0</v>
      </c>
    </row>
    <row r="959" spans="1:3" x14ac:dyDescent="0.35">
      <c r="A959" s="943" t="s">
        <v>5001</v>
      </c>
      <c r="B959" t="s">
        <v>3601</v>
      </c>
      <c r="C959" s="944">
        <v>0</v>
      </c>
    </row>
    <row r="960" spans="1:3" x14ac:dyDescent="0.35">
      <c r="A960" s="943" t="s">
        <v>5002</v>
      </c>
      <c r="B960" t="s">
        <v>3603</v>
      </c>
      <c r="C960" s="944">
        <v>0</v>
      </c>
    </row>
    <row r="961" spans="1:3" x14ac:dyDescent="0.35">
      <c r="A961" s="943" t="s">
        <v>5003</v>
      </c>
      <c r="B961" t="s">
        <v>3605</v>
      </c>
      <c r="C961" s="944">
        <v>0</v>
      </c>
    </row>
    <row r="962" spans="1:3" x14ac:dyDescent="0.35">
      <c r="A962" s="943" t="s">
        <v>5004</v>
      </c>
      <c r="B962" t="s">
        <v>3607</v>
      </c>
      <c r="C962" s="944">
        <v>0</v>
      </c>
    </row>
    <row r="963" spans="1:3" x14ac:dyDescent="0.35">
      <c r="A963" s="943" t="s">
        <v>5005</v>
      </c>
      <c r="B963" t="s">
        <v>3609</v>
      </c>
      <c r="C963" s="944">
        <v>0</v>
      </c>
    </row>
    <row r="964" spans="1:3" x14ac:dyDescent="0.35">
      <c r="A964" s="943" t="s">
        <v>5006</v>
      </c>
      <c r="B964" t="s">
        <v>3611</v>
      </c>
      <c r="C964" s="944">
        <v>0</v>
      </c>
    </row>
    <row r="965" spans="1:3" x14ac:dyDescent="0.35">
      <c r="A965" s="943" t="s">
        <v>5007</v>
      </c>
      <c r="B965" t="s">
        <v>3613</v>
      </c>
      <c r="C965" s="944">
        <v>0</v>
      </c>
    </row>
    <row r="966" spans="1:3" x14ac:dyDescent="0.35">
      <c r="A966" s="943" t="s">
        <v>5008</v>
      </c>
      <c r="B966" t="s">
        <v>3615</v>
      </c>
      <c r="C966" s="944">
        <v>0</v>
      </c>
    </row>
    <row r="967" spans="1:3" x14ac:dyDescent="0.35">
      <c r="A967" s="943" t="s">
        <v>5009</v>
      </c>
      <c r="B967" t="s">
        <v>3617</v>
      </c>
      <c r="C967" s="944">
        <v>0</v>
      </c>
    </row>
    <row r="968" spans="1:3" x14ac:dyDescent="0.35">
      <c r="A968" s="943" t="s">
        <v>5010</v>
      </c>
      <c r="B968" t="s">
        <v>3619</v>
      </c>
      <c r="C968" s="944">
        <v>0</v>
      </c>
    </row>
    <row r="969" spans="1:3" x14ac:dyDescent="0.35">
      <c r="A969" s="943" t="s">
        <v>5011</v>
      </c>
      <c r="B969" t="s">
        <v>3621</v>
      </c>
      <c r="C969" s="944">
        <v>0</v>
      </c>
    </row>
    <row r="970" spans="1:3" x14ac:dyDescent="0.35">
      <c r="A970" s="943" t="s">
        <v>5012</v>
      </c>
      <c r="B970" t="s">
        <v>3623</v>
      </c>
      <c r="C970" s="944">
        <v>0</v>
      </c>
    </row>
    <row r="971" spans="1:3" x14ac:dyDescent="0.35">
      <c r="A971" s="943" t="s">
        <v>5013</v>
      </c>
      <c r="B971" t="s">
        <v>3625</v>
      </c>
      <c r="C971" s="944">
        <v>0</v>
      </c>
    </row>
    <row r="972" spans="1:3" x14ac:dyDescent="0.35">
      <c r="A972" s="943" t="s">
        <v>5014</v>
      </c>
      <c r="B972" t="s">
        <v>3627</v>
      </c>
      <c r="C972" s="944">
        <v>0</v>
      </c>
    </row>
    <row r="973" spans="1:3" x14ac:dyDescent="0.35">
      <c r="A973" s="943" t="s">
        <v>5015</v>
      </c>
      <c r="B973" t="s">
        <v>3629</v>
      </c>
      <c r="C973" s="944">
        <v>0</v>
      </c>
    </row>
    <row r="974" spans="1:3" x14ac:dyDescent="0.35">
      <c r="A974" s="943" t="s">
        <v>5016</v>
      </c>
      <c r="B974" t="s">
        <v>3631</v>
      </c>
      <c r="C974" s="944">
        <v>0</v>
      </c>
    </row>
    <row r="975" spans="1:3" x14ac:dyDescent="0.35">
      <c r="A975" s="943" t="s">
        <v>5017</v>
      </c>
      <c r="B975" t="s">
        <v>3633</v>
      </c>
      <c r="C975" s="944">
        <v>0</v>
      </c>
    </row>
    <row r="976" spans="1:3" x14ac:dyDescent="0.35">
      <c r="A976" s="943" t="s">
        <v>5018</v>
      </c>
      <c r="B976" t="s">
        <v>3635</v>
      </c>
      <c r="C976" s="944">
        <v>0</v>
      </c>
    </row>
    <row r="977" spans="1:3" x14ac:dyDescent="0.35">
      <c r="A977" s="943" t="s">
        <v>5019</v>
      </c>
      <c r="B977" t="s">
        <v>3637</v>
      </c>
      <c r="C977" s="944">
        <v>0</v>
      </c>
    </row>
    <row r="978" spans="1:3" x14ac:dyDescent="0.35">
      <c r="A978" s="943" t="s">
        <v>5020</v>
      </c>
      <c r="B978" t="s">
        <v>334</v>
      </c>
      <c r="C978" s="944">
        <v>0</v>
      </c>
    </row>
    <row r="979" spans="1:3" x14ac:dyDescent="0.35">
      <c r="A979" s="943" t="s">
        <v>5021</v>
      </c>
      <c r="B979" t="s">
        <v>3640</v>
      </c>
      <c r="C979" s="944">
        <v>0</v>
      </c>
    </row>
    <row r="980" spans="1:3" x14ac:dyDescent="0.35">
      <c r="A980" s="943" t="s">
        <v>5022</v>
      </c>
      <c r="B980" t="s">
        <v>3642</v>
      </c>
      <c r="C980" s="944">
        <v>0</v>
      </c>
    </row>
    <row r="981" spans="1:3" x14ac:dyDescent="0.35">
      <c r="A981" s="943" t="s">
        <v>5023</v>
      </c>
      <c r="B981" t="s">
        <v>3644</v>
      </c>
      <c r="C981" s="944">
        <v>0</v>
      </c>
    </row>
    <row r="982" spans="1:3" x14ac:dyDescent="0.35">
      <c r="A982" s="943" t="s">
        <v>5024</v>
      </c>
      <c r="B982" t="s">
        <v>3646</v>
      </c>
      <c r="C982" s="944">
        <v>0</v>
      </c>
    </row>
    <row r="983" spans="1:3" x14ac:dyDescent="0.35">
      <c r="A983" s="943" t="s">
        <v>5025</v>
      </c>
      <c r="B983" t="s">
        <v>3648</v>
      </c>
      <c r="C983" s="944">
        <v>0</v>
      </c>
    </row>
    <row r="984" spans="1:3" x14ac:dyDescent="0.35">
      <c r="A984" s="943" t="s">
        <v>5026</v>
      </c>
      <c r="B984" t="s">
        <v>3650</v>
      </c>
      <c r="C984" s="944">
        <v>0</v>
      </c>
    </row>
    <row r="985" spans="1:3" x14ac:dyDescent="0.35">
      <c r="A985" s="943" t="s">
        <v>5027</v>
      </c>
      <c r="B985" t="s">
        <v>3652</v>
      </c>
      <c r="C985" s="944">
        <v>0</v>
      </c>
    </row>
    <row r="986" spans="1:3" x14ac:dyDescent="0.35">
      <c r="A986" s="943" t="s">
        <v>5028</v>
      </c>
      <c r="B986" t="s">
        <v>3654</v>
      </c>
      <c r="C986" s="944">
        <v>0</v>
      </c>
    </row>
    <row r="987" spans="1:3" x14ac:dyDescent="0.35">
      <c r="A987" s="943" t="s">
        <v>5029</v>
      </c>
      <c r="B987" t="s">
        <v>3656</v>
      </c>
      <c r="C987" s="944">
        <v>0</v>
      </c>
    </row>
    <row r="988" spans="1:3" x14ac:dyDescent="0.35">
      <c r="A988" s="943" t="s">
        <v>5030</v>
      </c>
      <c r="B988" t="s">
        <v>3658</v>
      </c>
      <c r="C988" s="944">
        <v>0</v>
      </c>
    </row>
    <row r="989" spans="1:3" x14ac:dyDescent="0.35">
      <c r="A989" s="943" t="s">
        <v>5031</v>
      </c>
      <c r="B989" t="s">
        <v>3660</v>
      </c>
      <c r="C989" s="944">
        <v>0</v>
      </c>
    </row>
    <row r="990" spans="1:3" x14ac:dyDescent="0.35">
      <c r="A990" s="943" t="s">
        <v>5032</v>
      </c>
      <c r="B990" t="s">
        <v>3662</v>
      </c>
      <c r="C990" s="944">
        <v>0</v>
      </c>
    </row>
    <row r="991" spans="1:3" x14ac:dyDescent="0.35">
      <c r="A991" s="943" t="s">
        <v>5033</v>
      </c>
      <c r="B991" t="s">
        <v>3664</v>
      </c>
      <c r="C991" s="944">
        <v>0</v>
      </c>
    </row>
    <row r="992" spans="1:3" x14ac:dyDescent="0.35">
      <c r="A992" s="943" t="s">
        <v>5034</v>
      </c>
      <c r="B992" t="s">
        <v>3666</v>
      </c>
      <c r="C992" s="944">
        <v>0</v>
      </c>
    </row>
    <row r="993" spans="1:3" x14ac:dyDescent="0.35">
      <c r="A993" s="943" t="s">
        <v>5035</v>
      </c>
      <c r="B993" t="s">
        <v>3668</v>
      </c>
      <c r="C993" s="944">
        <v>0</v>
      </c>
    </row>
    <row r="994" spans="1:3" x14ac:dyDescent="0.35">
      <c r="A994" s="943" t="s">
        <v>5036</v>
      </c>
      <c r="B994" t="s">
        <v>350</v>
      </c>
      <c r="C994" s="944">
        <v>0</v>
      </c>
    </row>
    <row r="995" spans="1:3" x14ac:dyDescent="0.35">
      <c r="A995" s="943" t="s">
        <v>5037</v>
      </c>
      <c r="B995" t="s">
        <v>3671</v>
      </c>
      <c r="C995" s="944">
        <v>0</v>
      </c>
    </row>
    <row r="996" spans="1:3" x14ac:dyDescent="0.35">
      <c r="A996" s="943" t="s">
        <v>5038</v>
      </c>
      <c r="B996" t="s">
        <v>3673</v>
      </c>
      <c r="C996" s="944">
        <v>0</v>
      </c>
    </row>
    <row r="997" spans="1:3" x14ac:dyDescent="0.35">
      <c r="A997" s="943" t="s">
        <v>5039</v>
      </c>
      <c r="B997" t="s">
        <v>3675</v>
      </c>
      <c r="C997" s="944">
        <v>0</v>
      </c>
    </row>
    <row r="998" spans="1:3" x14ac:dyDescent="0.35">
      <c r="A998" s="943" t="s">
        <v>5040</v>
      </c>
      <c r="B998" t="s">
        <v>3677</v>
      </c>
      <c r="C998" s="944">
        <v>0</v>
      </c>
    </row>
    <row r="999" spans="1:3" x14ac:dyDescent="0.35">
      <c r="A999" s="943" t="s">
        <v>5041</v>
      </c>
      <c r="B999" t="s">
        <v>3679</v>
      </c>
      <c r="C999" s="944">
        <v>0</v>
      </c>
    </row>
    <row r="1000" spans="1:3" x14ac:dyDescent="0.35">
      <c r="A1000" s="943" t="s">
        <v>5042</v>
      </c>
      <c r="B1000" t="s">
        <v>3681</v>
      </c>
      <c r="C1000" s="944">
        <v>0</v>
      </c>
    </row>
    <row r="1001" spans="1:3" x14ac:dyDescent="0.35">
      <c r="A1001" s="943" t="s">
        <v>5043</v>
      </c>
      <c r="B1001" t="s">
        <v>3683</v>
      </c>
      <c r="C1001" s="944">
        <v>0</v>
      </c>
    </row>
    <row r="1002" spans="1:3" x14ac:dyDescent="0.35">
      <c r="A1002" s="943" t="s">
        <v>5044</v>
      </c>
      <c r="B1002" t="s">
        <v>3685</v>
      </c>
      <c r="C1002" s="944">
        <v>0</v>
      </c>
    </row>
    <row r="1003" spans="1:3" x14ac:dyDescent="0.35">
      <c r="A1003" s="943" t="s">
        <v>5045</v>
      </c>
      <c r="B1003" t="s">
        <v>3687</v>
      </c>
      <c r="C1003" s="944">
        <v>0</v>
      </c>
    </row>
    <row r="1004" spans="1:3" x14ac:dyDescent="0.35">
      <c r="A1004" s="943" t="s">
        <v>5046</v>
      </c>
      <c r="B1004" t="s">
        <v>3689</v>
      </c>
      <c r="C1004" s="944">
        <v>0</v>
      </c>
    </row>
    <row r="1005" spans="1:3" x14ac:dyDescent="0.35">
      <c r="A1005" s="943" t="s">
        <v>5047</v>
      </c>
      <c r="B1005" t="s">
        <v>3992</v>
      </c>
      <c r="C1005" s="944">
        <v>0</v>
      </c>
    </row>
    <row r="1006" spans="1:3" x14ac:dyDescent="0.35">
      <c r="A1006" s="943" t="s">
        <v>5048</v>
      </c>
      <c r="B1006" t="s">
        <v>3720</v>
      </c>
      <c r="C1006" s="944">
        <v>0</v>
      </c>
    </row>
    <row r="1007" spans="1:3" x14ac:dyDescent="0.35">
      <c r="A1007" s="943" t="s">
        <v>5049</v>
      </c>
      <c r="B1007" t="s">
        <v>3993</v>
      </c>
      <c r="C1007" s="944">
        <v>0</v>
      </c>
    </row>
    <row r="1008" spans="1:3" x14ac:dyDescent="0.35">
      <c r="A1008" s="943" t="s">
        <v>5050</v>
      </c>
      <c r="B1008" t="s">
        <v>3994</v>
      </c>
      <c r="C1008" s="944">
        <v>0</v>
      </c>
    </row>
    <row r="1009" spans="1:3" x14ac:dyDescent="0.35">
      <c r="A1009" s="943" t="s">
        <v>5051</v>
      </c>
      <c r="B1009" t="s">
        <v>3995</v>
      </c>
      <c r="C1009" s="944">
        <v>0</v>
      </c>
    </row>
    <row r="1010" spans="1:3" x14ac:dyDescent="0.35">
      <c r="A1010" s="943" t="s">
        <v>5052</v>
      </c>
      <c r="B1010" t="s">
        <v>3935</v>
      </c>
      <c r="C1010" s="944">
        <v>0</v>
      </c>
    </row>
    <row r="1011" spans="1:3" x14ac:dyDescent="0.35">
      <c r="A1011" s="943" t="s">
        <v>5053</v>
      </c>
      <c r="B1011" t="s">
        <v>3968</v>
      </c>
      <c r="C1011" s="944">
        <v>0</v>
      </c>
    </row>
    <row r="1012" spans="1:3" x14ac:dyDescent="0.35">
      <c r="A1012" s="943" t="s">
        <v>5054</v>
      </c>
      <c r="B1012" t="s">
        <v>3648</v>
      </c>
      <c r="C1012" s="944">
        <v>0</v>
      </c>
    </row>
    <row r="1013" spans="1:3" x14ac:dyDescent="0.35">
      <c r="A1013" s="943" t="s">
        <v>5055</v>
      </c>
      <c r="B1013" t="s">
        <v>3996</v>
      </c>
      <c r="C1013" s="944">
        <v>0</v>
      </c>
    </row>
    <row r="1014" spans="1:3" x14ac:dyDescent="0.35">
      <c r="A1014" s="943" t="s">
        <v>5056</v>
      </c>
      <c r="B1014" t="s">
        <v>350</v>
      </c>
      <c r="C1014" s="944">
        <v>0</v>
      </c>
    </row>
    <row r="1015" spans="1:3" x14ac:dyDescent="0.35">
      <c r="A1015" s="943" t="s">
        <v>5057</v>
      </c>
      <c r="B1015" t="s">
        <v>3997</v>
      </c>
      <c r="C1015" s="944">
        <v>0</v>
      </c>
    </row>
    <row r="1016" spans="1:3" x14ac:dyDescent="0.35">
      <c r="A1016" s="943" t="s">
        <v>5058</v>
      </c>
      <c r="B1016" t="s">
        <v>3720</v>
      </c>
      <c r="C1016" s="944">
        <v>0</v>
      </c>
    </row>
    <row r="1017" spans="1:3" x14ac:dyDescent="0.35">
      <c r="A1017" s="943" t="s">
        <v>5059</v>
      </c>
      <c r="B1017" t="s">
        <v>3993</v>
      </c>
      <c r="C1017" s="944">
        <v>0</v>
      </c>
    </row>
    <row r="1018" spans="1:3" x14ac:dyDescent="0.35">
      <c r="A1018" s="943" t="s">
        <v>5060</v>
      </c>
      <c r="B1018" t="s">
        <v>3998</v>
      </c>
      <c r="C1018" s="944">
        <v>0</v>
      </c>
    </row>
    <row r="1019" spans="1:3" x14ac:dyDescent="0.35">
      <c r="A1019" s="943" t="s">
        <v>5061</v>
      </c>
      <c r="B1019" t="s">
        <v>3999</v>
      </c>
      <c r="C1019" s="944">
        <v>0</v>
      </c>
    </row>
    <row r="1020" spans="1:3" x14ac:dyDescent="0.35">
      <c r="A1020" s="943" t="s">
        <v>5062</v>
      </c>
      <c r="B1020" t="s">
        <v>3935</v>
      </c>
      <c r="C1020" s="944">
        <v>0</v>
      </c>
    </row>
    <row r="1021" spans="1:3" x14ac:dyDescent="0.35">
      <c r="A1021" s="943" t="s">
        <v>5063</v>
      </c>
      <c r="B1021" t="s">
        <v>3968</v>
      </c>
      <c r="C1021" s="944">
        <v>0</v>
      </c>
    </row>
    <row r="1022" spans="1:3" x14ac:dyDescent="0.35">
      <c r="A1022" s="943" t="s">
        <v>5064</v>
      </c>
      <c r="B1022" t="s">
        <v>3648</v>
      </c>
      <c r="C1022" s="944">
        <v>0</v>
      </c>
    </row>
    <row r="1023" spans="1:3" x14ac:dyDescent="0.35">
      <c r="A1023" s="943" t="s">
        <v>5065</v>
      </c>
      <c r="B1023" t="s">
        <v>3996</v>
      </c>
      <c r="C1023" s="944">
        <v>0</v>
      </c>
    </row>
    <row r="1024" spans="1:3" x14ac:dyDescent="0.35">
      <c r="A1024" s="943" t="s">
        <v>5066</v>
      </c>
      <c r="B1024" t="s">
        <v>350</v>
      </c>
      <c r="C1024" s="944">
        <v>0</v>
      </c>
    </row>
    <row r="1025" spans="1:3" x14ac:dyDescent="0.35">
      <c r="A1025" s="943" t="s">
        <v>5067</v>
      </c>
      <c r="B1025" t="s">
        <v>4000</v>
      </c>
      <c r="C1025" s="944">
        <v>0</v>
      </c>
    </row>
    <row r="1026" spans="1:3" x14ac:dyDescent="0.35">
      <c r="A1026" s="943" t="s">
        <v>5068</v>
      </c>
      <c r="B1026" t="s">
        <v>3720</v>
      </c>
      <c r="C1026" s="944">
        <v>0</v>
      </c>
    </row>
    <row r="1027" spans="1:3" x14ac:dyDescent="0.35">
      <c r="A1027" s="943" t="s">
        <v>5069</v>
      </c>
      <c r="B1027" t="s">
        <v>3993</v>
      </c>
      <c r="C1027" s="944">
        <v>0</v>
      </c>
    </row>
    <row r="1028" spans="1:3" x14ac:dyDescent="0.35">
      <c r="A1028" s="943" t="s">
        <v>5070</v>
      </c>
      <c r="B1028" t="s">
        <v>3998</v>
      </c>
      <c r="C1028" s="944">
        <v>0</v>
      </c>
    </row>
    <row r="1029" spans="1:3" x14ac:dyDescent="0.35">
      <c r="A1029" s="943" t="s">
        <v>5071</v>
      </c>
      <c r="B1029" t="s">
        <v>3999</v>
      </c>
      <c r="C1029" s="944">
        <v>0</v>
      </c>
    </row>
    <row r="1030" spans="1:3" x14ac:dyDescent="0.35">
      <c r="A1030" s="943" t="s">
        <v>5072</v>
      </c>
      <c r="B1030" t="s">
        <v>3935</v>
      </c>
      <c r="C1030" s="944">
        <v>0</v>
      </c>
    </row>
    <row r="1031" spans="1:3" x14ac:dyDescent="0.35">
      <c r="A1031" s="943" t="s">
        <v>5073</v>
      </c>
      <c r="B1031" t="s">
        <v>3968</v>
      </c>
      <c r="C1031" s="944">
        <v>0</v>
      </c>
    </row>
    <row r="1032" spans="1:3" x14ac:dyDescent="0.35">
      <c r="A1032" s="943" t="s">
        <v>5074</v>
      </c>
      <c r="B1032" t="s">
        <v>3648</v>
      </c>
      <c r="C1032" s="944">
        <v>0</v>
      </c>
    </row>
    <row r="1033" spans="1:3" x14ac:dyDescent="0.35">
      <c r="A1033" s="943" t="s">
        <v>5075</v>
      </c>
      <c r="B1033" t="s">
        <v>3996</v>
      </c>
      <c r="C1033" s="944">
        <v>0</v>
      </c>
    </row>
    <row r="1034" spans="1:3" x14ac:dyDescent="0.35">
      <c r="A1034" s="943" t="s">
        <v>5076</v>
      </c>
      <c r="B1034" t="s">
        <v>350</v>
      </c>
      <c r="C1034" s="944">
        <v>0</v>
      </c>
    </row>
    <row r="1035" spans="1:3" x14ac:dyDescent="0.35">
      <c r="A1035" s="943" t="s">
        <v>5077</v>
      </c>
      <c r="B1035" t="s">
        <v>4001</v>
      </c>
      <c r="C1035" s="944">
        <v>0</v>
      </c>
    </row>
    <row r="1036" spans="1:3" x14ac:dyDescent="0.35">
      <c r="A1036" s="943" t="s">
        <v>5078</v>
      </c>
      <c r="B1036" t="s">
        <v>3963</v>
      </c>
      <c r="C1036" s="944">
        <v>0</v>
      </c>
    </row>
    <row r="1037" spans="1:3" x14ac:dyDescent="0.35">
      <c r="A1037" s="943" t="s">
        <v>5079</v>
      </c>
      <c r="B1037" t="s">
        <v>3754</v>
      </c>
      <c r="C1037" s="944">
        <v>0</v>
      </c>
    </row>
    <row r="1038" spans="1:3" x14ac:dyDescent="0.35">
      <c r="B1038" t="s">
        <v>4004</v>
      </c>
      <c r="C1038" s="944">
        <v>0</v>
      </c>
    </row>
    <row r="1039" spans="1:3" x14ac:dyDescent="0.35">
      <c r="A1039" s="943" t="s">
        <v>7875</v>
      </c>
      <c r="B1039" t="s">
        <v>4005</v>
      </c>
      <c r="C1039" s="944"/>
    </row>
    <row r="1040" spans="1:3" x14ac:dyDescent="0.35">
      <c r="A1040" s="943" t="s">
        <v>5080</v>
      </c>
      <c r="B1040" t="s">
        <v>3599</v>
      </c>
      <c r="C1040" s="944">
        <v>0</v>
      </c>
    </row>
    <row r="1041" spans="1:3" x14ac:dyDescent="0.35">
      <c r="A1041" s="943" t="s">
        <v>5081</v>
      </c>
      <c r="B1041" t="s">
        <v>3601</v>
      </c>
      <c r="C1041" s="944">
        <v>0</v>
      </c>
    </row>
    <row r="1042" spans="1:3" x14ac:dyDescent="0.35">
      <c r="A1042" s="943" t="s">
        <v>5082</v>
      </c>
      <c r="B1042" t="s">
        <v>3603</v>
      </c>
      <c r="C1042" s="944">
        <v>0</v>
      </c>
    </row>
    <row r="1043" spans="1:3" x14ac:dyDescent="0.35">
      <c r="A1043" s="943" t="s">
        <v>5083</v>
      </c>
      <c r="B1043" t="s">
        <v>3605</v>
      </c>
      <c r="C1043" s="944">
        <v>0</v>
      </c>
    </row>
    <row r="1044" spans="1:3" x14ac:dyDescent="0.35">
      <c r="A1044" s="943" t="s">
        <v>5084</v>
      </c>
      <c r="B1044" t="s">
        <v>3607</v>
      </c>
      <c r="C1044" s="944">
        <v>0</v>
      </c>
    </row>
    <row r="1045" spans="1:3" x14ac:dyDescent="0.35">
      <c r="A1045" s="943" t="s">
        <v>5085</v>
      </c>
      <c r="B1045" t="s">
        <v>3609</v>
      </c>
      <c r="C1045" s="944">
        <v>0</v>
      </c>
    </row>
    <row r="1046" spans="1:3" x14ac:dyDescent="0.35">
      <c r="A1046" s="943" t="s">
        <v>5086</v>
      </c>
      <c r="B1046" t="s">
        <v>3611</v>
      </c>
      <c r="C1046" s="944">
        <v>0</v>
      </c>
    </row>
    <row r="1047" spans="1:3" x14ac:dyDescent="0.35">
      <c r="A1047" s="943" t="s">
        <v>5087</v>
      </c>
      <c r="B1047" t="s">
        <v>3613</v>
      </c>
      <c r="C1047" s="944">
        <v>0</v>
      </c>
    </row>
    <row r="1048" spans="1:3" x14ac:dyDescent="0.35">
      <c r="A1048" s="943" t="s">
        <v>5088</v>
      </c>
      <c r="B1048" t="s">
        <v>3615</v>
      </c>
      <c r="C1048" s="944">
        <v>0</v>
      </c>
    </row>
    <row r="1049" spans="1:3" x14ac:dyDescent="0.35">
      <c r="A1049" s="943" t="s">
        <v>5089</v>
      </c>
      <c r="B1049" t="s">
        <v>3617</v>
      </c>
      <c r="C1049" s="944">
        <v>0</v>
      </c>
    </row>
    <row r="1050" spans="1:3" x14ac:dyDescent="0.35">
      <c r="A1050" s="943" t="s">
        <v>5090</v>
      </c>
      <c r="B1050" t="s">
        <v>3619</v>
      </c>
      <c r="C1050" s="944">
        <v>0</v>
      </c>
    </row>
    <row r="1051" spans="1:3" x14ac:dyDescent="0.35">
      <c r="A1051" s="943" t="s">
        <v>5091</v>
      </c>
      <c r="B1051" t="s">
        <v>3621</v>
      </c>
      <c r="C1051" s="944">
        <v>0</v>
      </c>
    </row>
    <row r="1052" spans="1:3" x14ac:dyDescent="0.35">
      <c r="A1052" s="943" t="s">
        <v>5092</v>
      </c>
      <c r="B1052" t="s">
        <v>3623</v>
      </c>
      <c r="C1052" s="944">
        <v>0</v>
      </c>
    </row>
    <row r="1053" spans="1:3" x14ac:dyDescent="0.35">
      <c r="A1053" s="943" t="s">
        <v>5093</v>
      </c>
      <c r="B1053" t="s">
        <v>3625</v>
      </c>
      <c r="C1053" s="944">
        <v>0</v>
      </c>
    </row>
    <row r="1054" spans="1:3" x14ac:dyDescent="0.35">
      <c r="A1054" s="943" t="s">
        <v>5094</v>
      </c>
      <c r="B1054" t="s">
        <v>3627</v>
      </c>
      <c r="C1054" s="944">
        <v>0</v>
      </c>
    </row>
    <row r="1055" spans="1:3" x14ac:dyDescent="0.35">
      <c r="A1055" s="943" t="s">
        <v>5095</v>
      </c>
      <c r="B1055" t="s">
        <v>3629</v>
      </c>
      <c r="C1055" s="944">
        <v>0</v>
      </c>
    </row>
    <row r="1056" spans="1:3" x14ac:dyDescent="0.35">
      <c r="A1056" s="943" t="s">
        <v>5096</v>
      </c>
      <c r="B1056" t="s">
        <v>3631</v>
      </c>
      <c r="C1056" s="944">
        <v>0</v>
      </c>
    </row>
    <row r="1057" spans="1:3" x14ac:dyDescent="0.35">
      <c r="A1057" s="943" t="s">
        <v>5097</v>
      </c>
      <c r="B1057" t="s">
        <v>3633</v>
      </c>
      <c r="C1057" s="944">
        <v>0</v>
      </c>
    </row>
    <row r="1058" spans="1:3" x14ac:dyDescent="0.35">
      <c r="A1058" s="943" t="s">
        <v>5098</v>
      </c>
      <c r="B1058" t="s">
        <v>3635</v>
      </c>
      <c r="C1058" s="944">
        <v>0</v>
      </c>
    </row>
    <row r="1059" spans="1:3" x14ac:dyDescent="0.35">
      <c r="A1059" s="943" t="s">
        <v>5099</v>
      </c>
      <c r="B1059" t="s">
        <v>3637</v>
      </c>
      <c r="C1059" s="944">
        <v>0</v>
      </c>
    </row>
    <row r="1060" spans="1:3" x14ac:dyDescent="0.35">
      <c r="A1060" s="943" t="s">
        <v>5100</v>
      </c>
      <c r="B1060" t="s">
        <v>334</v>
      </c>
      <c r="C1060" s="944">
        <v>0</v>
      </c>
    </row>
    <row r="1061" spans="1:3" x14ac:dyDescent="0.35">
      <c r="A1061" s="943" t="s">
        <v>5101</v>
      </c>
      <c r="B1061" t="s">
        <v>3640</v>
      </c>
      <c r="C1061" s="944">
        <v>0</v>
      </c>
    </row>
    <row r="1062" spans="1:3" x14ac:dyDescent="0.35">
      <c r="A1062" s="943" t="s">
        <v>5102</v>
      </c>
      <c r="B1062" t="s">
        <v>3642</v>
      </c>
      <c r="C1062" s="944">
        <v>0</v>
      </c>
    </row>
    <row r="1063" spans="1:3" x14ac:dyDescent="0.35">
      <c r="A1063" s="943" t="s">
        <v>5103</v>
      </c>
      <c r="B1063" t="s">
        <v>3644</v>
      </c>
      <c r="C1063" s="944">
        <v>0</v>
      </c>
    </row>
    <row r="1064" spans="1:3" x14ac:dyDescent="0.35">
      <c r="A1064" s="943" t="s">
        <v>5104</v>
      </c>
      <c r="B1064" t="s">
        <v>3646</v>
      </c>
      <c r="C1064" s="944">
        <v>0</v>
      </c>
    </row>
    <row r="1065" spans="1:3" x14ac:dyDescent="0.35">
      <c r="A1065" s="943" t="s">
        <v>5105</v>
      </c>
      <c r="B1065" t="s">
        <v>3648</v>
      </c>
      <c r="C1065" s="944">
        <v>1536500</v>
      </c>
    </row>
    <row r="1066" spans="1:3" x14ac:dyDescent="0.35">
      <c r="A1066" s="943" t="s">
        <v>5106</v>
      </c>
      <c r="B1066" t="s">
        <v>3650</v>
      </c>
      <c r="C1066" s="944">
        <v>380200</v>
      </c>
    </row>
    <row r="1067" spans="1:3" x14ac:dyDescent="0.35">
      <c r="A1067" s="943" t="s">
        <v>5107</v>
      </c>
      <c r="B1067" t="s">
        <v>3652</v>
      </c>
      <c r="C1067" s="944">
        <v>0</v>
      </c>
    </row>
    <row r="1068" spans="1:3" x14ac:dyDescent="0.35">
      <c r="A1068" s="943" t="s">
        <v>7876</v>
      </c>
      <c r="B1068" t="s">
        <v>7830</v>
      </c>
      <c r="C1068" s="944">
        <v>0</v>
      </c>
    </row>
    <row r="1069" spans="1:3" x14ac:dyDescent="0.35">
      <c r="A1069" s="943" t="s">
        <v>5108</v>
      </c>
      <c r="B1069" t="s">
        <v>3654</v>
      </c>
      <c r="C1069" s="944">
        <v>0</v>
      </c>
    </row>
    <row r="1070" spans="1:3" x14ac:dyDescent="0.35">
      <c r="A1070" s="943" t="s">
        <v>5109</v>
      </c>
      <c r="B1070" t="s">
        <v>3656</v>
      </c>
      <c r="C1070" s="944">
        <v>0</v>
      </c>
    </row>
    <row r="1071" spans="1:3" x14ac:dyDescent="0.35">
      <c r="A1071" s="943" t="s">
        <v>5110</v>
      </c>
      <c r="B1071" t="s">
        <v>3658</v>
      </c>
      <c r="C1071" s="944">
        <v>0</v>
      </c>
    </row>
    <row r="1072" spans="1:3" x14ac:dyDescent="0.35">
      <c r="A1072" s="943" t="s">
        <v>5111</v>
      </c>
      <c r="B1072" t="s">
        <v>3660</v>
      </c>
      <c r="C1072" s="944">
        <v>0</v>
      </c>
    </row>
    <row r="1073" spans="1:3" x14ac:dyDescent="0.35">
      <c r="A1073" s="943" t="s">
        <v>5112</v>
      </c>
      <c r="B1073" t="s">
        <v>3662</v>
      </c>
      <c r="C1073" s="944">
        <v>0</v>
      </c>
    </row>
    <row r="1074" spans="1:3" x14ac:dyDescent="0.35">
      <c r="A1074" s="943" t="s">
        <v>5113</v>
      </c>
      <c r="B1074" t="s">
        <v>3664</v>
      </c>
      <c r="C1074" s="944">
        <v>0</v>
      </c>
    </row>
    <row r="1075" spans="1:3" x14ac:dyDescent="0.35">
      <c r="A1075" s="943" t="s">
        <v>5114</v>
      </c>
      <c r="B1075" t="s">
        <v>3666</v>
      </c>
      <c r="C1075" s="944">
        <v>0</v>
      </c>
    </row>
    <row r="1076" spans="1:3" x14ac:dyDescent="0.35">
      <c r="A1076" s="943" t="s">
        <v>5115</v>
      </c>
      <c r="B1076" t="s">
        <v>3668</v>
      </c>
      <c r="C1076" s="944">
        <v>0</v>
      </c>
    </row>
    <row r="1077" spans="1:3" x14ac:dyDescent="0.35">
      <c r="A1077" s="943" t="s">
        <v>5116</v>
      </c>
      <c r="B1077" t="s">
        <v>350</v>
      </c>
      <c r="C1077" s="944">
        <v>0</v>
      </c>
    </row>
    <row r="1078" spans="1:3" x14ac:dyDescent="0.35">
      <c r="A1078" s="943" t="s">
        <v>5117</v>
      </c>
      <c r="B1078" t="s">
        <v>3671</v>
      </c>
      <c r="C1078" s="944">
        <v>0</v>
      </c>
    </row>
    <row r="1079" spans="1:3" x14ac:dyDescent="0.35">
      <c r="A1079" s="943" t="s">
        <v>5118</v>
      </c>
      <c r="B1079" t="s">
        <v>3673</v>
      </c>
      <c r="C1079" s="944">
        <v>0</v>
      </c>
    </row>
    <row r="1080" spans="1:3" x14ac:dyDescent="0.35">
      <c r="A1080" s="943" t="s">
        <v>5119</v>
      </c>
      <c r="B1080" t="s">
        <v>3675</v>
      </c>
      <c r="C1080" s="944">
        <v>0</v>
      </c>
    </row>
    <row r="1081" spans="1:3" x14ac:dyDescent="0.35">
      <c r="A1081" s="943" t="s">
        <v>5120</v>
      </c>
      <c r="B1081" t="s">
        <v>3677</v>
      </c>
      <c r="C1081" s="944">
        <v>0</v>
      </c>
    </row>
    <row r="1082" spans="1:3" x14ac:dyDescent="0.35">
      <c r="A1082" s="943" t="s">
        <v>5121</v>
      </c>
      <c r="B1082" t="s">
        <v>3679</v>
      </c>
      <c r="C1082" s="944">
        <v>0</v>
      </c>
    </row>
    <row r="1083" spans="1:3" x14ac:dyDescent="0.35">
      <c r="A1083" s="943" t="s">
        <v>5122</v>
      </c>
      <c r="B1083" t="s">
        <v>3681</v>
      </c>
      <c r="C1083" s="944">
        <v>0</v>
      </c>
    </row>
    <row r="1084" spans="1:3" x14ac:dyDescent="0.35">
      <c r="A1084" s="943" t="s">
        <v>5123</v>
      </c>
      <c r="B1084" t="s">
        <v>3683</v>
      </c>
      <c r="C1084" s="944">
        <v>0</v>
      </c>
    </row>
    <row r="1085" spans="1:3" x14ac:dyDescent="0.35">
      <c r="A1085" s="943" t="s">
        <v>5124</v>
      </c>
      <c r="B1085" t="s">
        <v>3685</v>
      </c>
      <c r="C1085" s="944">
        <v>0</v>
      </c>
    </row>
    <row r="1086" spans="1:3" x14ac:dyDescent="0.35">
      <c r="A1086" s="943" t="s">
        <v>5125</v>
      </c>
      <c r="B1086" t="s">
        <v>3687</v>
      </c>
      <c r="C1086" s="944">
        <v>0</v>
      </c>
    </row>
    <row r="1087" spans="1:3" x14ac:dyDescent="0.35">
      <c r="A1087" s="943" t="s">
        <v>5126</v>
      </c>
      <c r="B1087" t="s">
        <v>3689</v>
      </c>
      <c r="C1087" s="944">
        <v>0</v>
      </c>
    </row>
    <row r="1088" spans="1:3" x14ac:dyDescent="0.35">
      <c r="A1088" s="943" t="s">
        <v>5127</v>
      </c>
      <c r="B1088" t="s">
        <v>3992</v>
      </c>
      <c r="C1088" s="944">
        <v>0</v>
      </c>
    </row>
    <row r="1089" spans="1:3" x14ac:dyDescent="0.35">
      <c r="A1089" s="943" t="s">
        <v>5128</v>
      </c>
      <c r="B1089" t="s">
        <v>3720</v>
      </c>
      <c r="C1089" s="944">
        <v>0</v>
      </c>
    </row>
    <row r="1090" spans="1:3" x14ac:dyDescent="0.35">
      <c r="A1090" s="943" t="s">
        <v>5129</v>
      </c>
      <c r="B1090" t="s">
        <v>3993</v>
      </c>
      <c r="C1090" s="944">
        <v>0</v>
      </c>
    </row>
    <row r="1091" spans="1:3" x14ac:dyDescent="0.35">
      <c r="A1091" s="943" t="s">
        <v>5130</v>
      </c>
      <c r="B1091" t="s">
        <v>3994</v>
      </c>
      <c r="C1091" s="944">
        <v>0</v>
      </c>
    </row>
    <row r="1092" spans="1:3" x14ac:dyDescent="0.35">
      <c r="A1092" s="943" t="s">
        <v>5131</v>
      </c>
      <c r="B1092" t="s">
        <v>3995</v>
      </c>
      <c r="C1092" s="944">
        <v>0</v>
      </c>
    </row>
    <row r="1093" spans="1:3" x14ac:dyDescent="0.35">
      <c r="A1093" s="943" t="s">
        <v>5132</v>
      </c>
      <c r="B1093" t="s">
        <v>3935</v>
      </c>
      <c r="C1093" s="944">
        <v>188500</v>
      </c>
    </row>
    <row r="1094" spans="1:3" x14ac:dyDescent="0.35">
      <c r="A1094" s="943" t="s">
        <v>5133</v>
      </c>
      <c r="B1094" t="s">
        <v>3968</v>
      </c>
      <c r="C1094" s="944">
        <v>0</v>
      </c>
    </row>
    <row r="1095" spans="1:3" x14ac:dyDescent="0.35">
      <c r="A1095" s="943" t="s">
        <v>5134</v>
      </c>
      <c r="B1095" t="s">
        <v>3648</v>
      </c>
      <c r="C1095" s="944">
        <v>0</v>
      </c>
    </row>
    <row r="1096" spans="1:3" x14ac:dyDescent="0.35">
      <c r="A1096" s="943" t="s">
        <v>5135</v>
      </c>
      <c r="B1096" t="s">
        <v>3996</v>
      </c>
      <c r="C1096" s="944">
        <v>0</v>
      </c>
    </row>
    <row r="1097" spans="1:3" x14ac:dyDescent="0.35">
      <c r="A1097" s="943" t="s">
        <v>5136</v>
      </c>
      <c r="B1097" t="s">
        <v>350</v>
      </c>
      <c r="C1097" s="944">
        <v>0</v>
      </c>
    </row>
    <row r="1098" spans="1:3" x14ac:dyDescent="0.35">
      <c r="A1098" s="943" t="s">
        <v>5137</v>
      </c>
      <c r="B1098" t="s">
        <v>3997</v>
      </c>
      <c r="C1098" s="944">
        <v>0</v>
      </c>
    </row>
    <row r="1099" spans="1:3" x14ac:dyDescent="0.35">
      <c r="A1099" s="943" t="s">
        <v>5138</v>
      </c>
      <c r="B1099" t="s">
        <v>3720</v>
      </c>
      <c r="C1099" s="944">
        <v>0</v>
      </c>
    </row>
    <row r="1100" spans="1:3" x14ac:dyDescent="0.35">
      <c r="A1100" s="943" t="s">
        <v>5139</v>
      </c>
      <c r="B1100" t="s">
        <v>3993</v>
      </c>
      <c r="C1100" s="944">
        <v>0</v>
      </c>
    </row>
    <row r="1101" spans="1:3" x14ac:dyDescent="0.35">
      <c r="A1101" s="943" t="s">
        <v>5140</v>
      </c>
      <c r="B1101" t="s">
        <v>3998</v>
      </c>
      <c r="C1101" s="944">
        <v>0</v>
      </c>
    </row>
    <row r="1102" spans="1:3" x14ac:dyDescent="0.35">
      <c r="A1102" s="943" t="s">
        <v>5141</v>
      </c>
      <c r="B1102" t="s">
        <v>3999</v>
      </c>
      <c r="C1102" s="944">
        <v>0</v>
      </c>
    </row>
    <row r="1103" spans="1:3" x14ac:dyDescent="0.35">
      <c r="A1103" s="943" t="s">
        <v>5142</v>
      </c>
      <c r="B1103" t="s">
        <v>3935</v>
      </c>
      <c r="C1103" s="944">
        <v>0</v>
      </c>
    </row>
    <row r="1104" spans="1:3" x14ac:dyDescent="0.35">
      <c r="A1104" s="943" t="s">
        <v>5143</v>
      </c>
      <c r="B1104" t="s">
        <v>3968</v>
      </c>
      <c r="C1104" s="944">
        <v>0</v>
      </c>
    </row>
    <row r="1105" spans="1:3" x14ac:dyDescent="0.35">
      <c r="A1105" s="943" t="s">
        <v>5144</v>
      </c>
      <c r="B1105" t="s">
        <v>3648</v>
      </c>
      <c r="C1105" s="944">
        <v>0</v>
      </c>
    </row>
    <row r="1106" spans="1:3" x14ac:dyDescent="0.35">
      <c r="A1106" s="943" t="s">
        <v>5145</v>
      </c>
      <c r="B1106" t="s">
        <v>3996</v>
      </c>
      <c r="C1106" s="944">
        <v>0</v>
      </c>
    </row>
    <row r="1107" spans="1:3" x14ac:dyDescent="0.35">
      <c r="A1107" s="943" t="s">
        <v>5146</v>
      </c>
      <c r="B1107" t="s">
        <v>350</v>
      </c>
      <c r="C1107" s="944">
        <v>0</v>
      </c>
    </row>
    <row r="1108" spans="1:3" x14ac:dyDescent="0.35">
      <c r="A1108" s="943" t="s">
        <v>5147</v>
      </c>
      <c r="B1108" t="s">
        <v>4000</v>
      </c>
      <c r="C1108" s="944">
        <v>0</v>
      </c>
    </row>
    <row r="1109" spans="1:3" x14ac:dyDescent="0.35">
      <c r="A1109" s="943" t="s">
        <v>5148</v>
      </c>
      <c r="B1109" t="s">
        <v>3720</v>
      </c>
      <c r="C1109" s="944">
        <v>0</v>
      </c>
    </row>
    <row r="1110" spans="1:3" x14ac:dyDescent="0.35">
      <c r="A1110" s="943" t="s">
        <v>5149</v>
      </c>
      <c r="B1110" t="s">
        <v>3993</v>
      </c>
      <c r="C1110" s="944">
        <v>0</v>
      </c>
    </row>
    <row r="1111" spans="1:3" x14ac:dyDescent="0.35">
      <c r="A1111" s="943" t="s">
        <v>5150</v>
      </c>
      <c r="B1111" t="s">
        <v>3998</v>
      </c>
      <c r="C1111" s="944">
        <v>0</v>
      </c>
    </row>
    <row r="1112" spans="1:3" x14ac:dyDescent="0.35">
      <c r="A1112" s="943" t="s">
        <v>5151</v>
      </c>
      <c r="B1112" t="s">
        <v>3999</v>
      </c>
      <c r="C1112" s="944">
        <v>0</v>
      </c>
    </row>
    <row r="1113" spans="1:3" x14ac:dyDescent="0.35">
      <c r="A1113" s="943" t="s">
        <v>5152</v>
      </c>
      <c r="B1113" t="s">
        <v>3935</v>
      </c>
      <c r="C1113" s="944">
        <v>0</v>
      </c>
    </row>
    <row r="1114" spans="1:3" x14ac:dyDescent="0.35">
      <c r="A1114" s="943" t="s">
        <v>5153</v>
      </c>
      <c r="B1114" t="s">
        <v>3968</v>
      </c>
      <c r="C1114" s="944">
        <v>0</v>
      </c>
    </row>
    <row r="1115" spans="1:3" x14ac:dyDescent="0.35">
      <c r="A1115" s="943" t="s">
        <v>5154</v>
      </c>
      <c r="B1115" t="s">
        <v>3648</v>
      </c>
      <c r="C1115" s="944">
        <v>0</v>
      </c>
    </row>
    <row r="1116" spans="1:3" x14ac:dyDescent="0.35">
      <c r="A1116" s="943" t="s">
        <v>5155</v>
      </c>
      <c r="B1116" t="s">
        <v>3996</v>
      </c>
      <c r="C1116" s="944">
        <v>0</v>
      </c>
    </row>
    <row r="1117" spans="1:3" x14ac:dyDescent="0.35">
      <c r="A1117" s="943" t="s">
        <v>5156</v>
      </c>
      <c r="B1117" t="s">
        <v>350</v>
      </c>
      <c r="C1117" s="944">
        <v>0</v>
      </c>
    </row>
    <row r="1118" spans="1:3" x14ac:dyDescent="0.35">
      <c r="A1118" s="943" t="s">
        <v>5157</v>
      </c>
      <c r="B1118" t="s">
        <v>4001</v>
      </c>
      <c r="C1118" s="944">
        <v>0</v>
      </c>
    </row>
    <row r="1119" spans="1:3" x14ac:dyDescent="0.35">
      <c r="A1119" s="943" t="s">
        <v>5158</v>
      </c>
      <c r="B1119" t="s">
        <v>3963</v>
      </c>
      <c r="C1119" s="944">
        <v>0</v>
      </c>
    </row>
    <row r="1120" spans="1:3" x14ac:dyDescent="0.35">
      <c r="A1120" s="943" t="s">
        <v>5159</v>
      </c>
      <c r="B1120" t="s">
        <v>3754</v>
      </c>
      <c r="C1120" s="944">
        <v>0</v>
      </c>
    </row>
    <row r="1121" spans="1:3" x14ac:dyDescent="0.35">
      <c r="A1121" s="943" t="s">
        <v>7948</v>
      </c>
      <c r="B1121" t="s">
        <v>3746</v>
      </c>
      <c r="C1121" s="944">
        <v>0</v>
      </c>
    </row>
    <row r="1122" spans="1:3" x14ac:dyDescent="0.35">
      <c r="B1122" t="s">
        <v>4006</v>
      </c>
      <c r="C1122" s="944">
        <v>2105200</v>
      </c>
    </row>
    <row r="1123" spans="1:3" x14ac:dyDescent="0.35">
      <c r="A1123" s="943" t="s">
        <v>7877</v>
      </c>
      <c r="B1123" t="s">
        <v>4007</v>
      </c>
      <c r="C1123" s="944"/>
    </row>
    <row r="1124" spans="1:3" x14ac:dyDescent="0.35">
      <c r="A1124" s="943" t="s">
        <v>5160</v>
      </c>
      <c r="B1124" t="s">
        <v>3599</v>
      </c>
      <c r="C1124" s="944">
        <v>0</v>
      </c>
    </row>
    <row r="1125" spans="1:3" x14ac:dyDescent="0.35">
      <c r="A1125" s="943" t="s">
        <v>5161</v>
      </c>
      <c r="B1125" t="s">
        <v>3601</v>
      </c>
      <c r="C1125" s="944">
        <v>0</v>
      </c>
    </row>
    <row r="1126" spans="1:3" x14ac:dyDescent="0.35">
      <c r="A1126" s="943" t="s">
        <v>5162</v>
      </c>
      <c r="B1126" t="s">
        <v>3603</v>
      </c>
      <c r="C1126" s="944">
        <v>0</v>
      </c>
    </row>
    <row r="1127" spans="1:3" x14ac:dyDescent="0.35">
      <c r="A1127" s="943" t="s">
        <v>5163</v>
      </c>
      <c r="B1127" t="s">
        <v>3605</v>
      </c>
      <c r="C1127" s="944">
        <v>0</v>
      </c>
    </row>
    <row r="1128" spans="1:3" x14ac:dyDescent="0.35">
      <c r="A1128" s="943" t="s">
        <v>5164</v>
      </c>
      <c r="B1128" t="s">
        <v>3607</v>
      </c>
      <c r="C1128" s="944">
        <v>0</v>
      </c>
    </row>
    <row r="1129" spans="1:3" x14ac:dyDescent="0.35">
      <c r="A1129" s="943" t="s">
        <v>5165</v>
      </c>
      <c r="B1129" t="s">
        <v>3609</v>
      </c>
      <c r="C1129" s="944">
        <v>0</v>
      </c>
    </row>
    <row r="1130" spans="1:3" x14ac:dyDescent="0.35">
      <c r="A1130" s="943" t="s">
        <v>5166</v>
      </c>
      <c r="B1130" t="s">
        <v>3611</v>
      </c>
      <c r="C1130" s="944">
        <v>0</v>
      </c>
    </row>
    <row r="1131" spans="1:3" x14ac:dyDescent="0.35">
      <c r="A1131" s="943" t="s">
        <v>5167</v>
      </c>
      <c r="B1131" t="s">
        <v>3613</v>
      </c>
      <c r="C1131" s="944">
        <v>0</v>
      </c>
    </row>
    <row r="1132" spans="1:3" x14ac:dyDescent="0.35">
      <c r="A1132" s="943" t="s">
        <v>5168</v>
      </c>
      <c r="B1132" t="s">
        <v>3615</v>
      </c>
      <c r="C1132" s="944">
        <v>0</v>
      </c>
    </row>
    <row r="1133" spans="1:3" x14ac:dyDescent="0.35">
      <c r="A1133" s="943" t="s">
        <v>5169</v>
      </c>
      <c r="B1133" t="s">
        <v>3617</v>
      </c>
      <c r="C1133" s="944">
        <v>0</v>
      </c>
    </row>
    <row r="1134" spans="1:3" x14ac:dyDescent="0.35">
      <c r="A1134" s="943" t="s">
        <v>5170</v>
      </c>
      <c r="B1134" t="s">
        <v>3619</v>
      </c>
      <c r="C1134" s="944">
        <v>0</v>
      </c>
    </row>
    <row r="1135" spans="1:3" x14ac:dyDescent="0.35">
      <c r="A1135" s="943" t="s">
        <v>5171</v>
      </c>
      <c r="B1135" t="s">
        <v>3621</v>
      </c>
      <c r="C1135" s="944">
        <v>0</v>
      </c>
    </row>
    <row r="1136" spans="1:3" x14ac:dyDescent="0.35">
      <c r="A1136" s="943" t="s">
        <v>5172</v>
      </c>
      <c r="B1136" t="s">
        <v>3623</v>
      </c>
      <c r="C1136" s="944">
        <v>0</v>
      </c>
    </row>
    <row r="1137" spans="1:3" x14ac:dyDescent="0.35">
      <c r="A1137" s="943" t="s">
        <v>5173</v>
      </c>
      <c r="B1137" t="s">
        <v>3625</v>
      </c>
      <c r="C1137" s="944">
        <v>0</v>
      </c>
    </row>
    <row r="1138" spans="1:3" x14ac:dyDescent="0.35">
      <c r="A1138" s="943" t="s">
        <v>5174</v>
      </c>
      <c r="B1138" t="s">
        <v>3627</v>
      </c>
      <c r="C1138" s="944">
        <v>0</v>
      </c>
    </row>
    <row r="1139" spans="1:3" x14ac:dyDescent="0.35">
      <c r="A1139" s="943" t="s">
        <v>5175</v>
      </c>
      <c r="B1139" t="s">
        <v>3629</v>
      </c>
      <c r="C1139" s="944">
        <v>0</v>
      </c>
    </row>
    <row r="1140" spans="1:3" x14ac:dyDescent="0.35">
      <c r="A1140" s="943" t="s">
        <v>5176</v>
      </c>
      <c r="B1140" t="s">
        <v>3631</v>
      </c>
      <c r="C1140" s="944">
        <v>0</v>
      </c>
    </row>
    <row r="1141" spans="1:3" x14ac:dyDescent="0.35">
      <c r="A1141" s="943" t="s">
        <v>5177</v>
      </c>
      <c r="B1141" t="s">
        <v>3633</v>
      </c>
      <c r="C1141" s="944">
        <v>0</v>
      </c>
    </row>
    <row r="1142" spans="1:3" x14ac:dyDescent="0.35">
      <c r="A1142" s="943" t="s">
        <v>5178</v>
      </c>
      <c r="B1142" t="s">
        <v>3635</v>
      </c>
      <c r="C1142" s="944">
        <v>0</v>
      </c>
    </row>
    <row r="1143" spans="1:3" x14ac:dyDescent="0.35">
      <c r="A1143" s="943" t="s">
        <v>5179</v>
      </c>
      <c r="B1143" t="s">
        <v>3637</v>
      </c>
      <c r="C1143" s="944">
        <v>0</v>
      </c>
    </row>
    <row r="1144" spans="1:3" x14ac:dyDescent="0.35">
      <c r="A1144" s="943" t="s">
        <v>5180</v>
      </c>
      <c r="B1144" t="s">
        <v>334</v>
      </c>
      <c r="C1144" s="944">
        <v>0</v>
      </c>
    </row>
    <row r="1145" spans="1:3" x14ac:dyDescent="0.35">
      <c r="A1145" s="943" t="s">
        <v>5181</v>
      </c>
      <c r="B1145" t="s">
        <v>3640</v>
      </c>
      <c r="C1145" s="944">
        <v>0</v>
      </c>
    </row>
    <row r="1146" spans="1:3" x14ac:dyDescent="0.35">
      <c r="A1146" s="943" t="s">
        <v>5182</v>
      </c>
      <c r="B1146" t="s">
        <v>3642</v>
      </c>
      <c r="C1146" s="944">
        <v>0</v>
      </c>
    </row>
    <row r="1147" spans="1:3" x14ac:dyDescent="0.35">
      <c r="A1147" s="943" t="s">
        <v>5183</v>
      </c>
      <c r="B1147" t="s">
        <v>3644</v>
      </c>
      <c r="C1147" s="944">
        <v>0</v>
      </c>
    </row>
    <row r="1148" spans="1:3" x14ac:dyDescent="0.35">
      <c r="A1148" s="943" t="s">
        <v>5184</v>
      </c>
      <c r="B1148" t="s">
        <v>3646</v>
      </c>
      <c r="C1148" s="944">
        <v>0</v>
      </c>
    </row>
    <row r="1149" spans="1:3" x14ac:dyDescent="0.35">
      <c r="A1149" s="943" t="s">
        <v>5185</v>
      </c>
      <c r="B1149" t="s">
        <v>3648</v>
      </c>
      <c r="C1149" s="944">
        <v>0</v>
      </c>
    </row>
    <row r="1150" spans="1:3" x14ac:dyDescent="0.35">
      <c r="A1150" s="943" t="s">
        <v>5186</v>
      </c>
      <c r="B1150" t="s">
        <v>3650</v>
      </c>
      <c r="C1150" s="944">
        <v>0</v>
      </c>
    </row>
    <row r="1151" spans="1:3" x14ac:dyDescent="0.35">
      <c r="A1151" s="943" t="s">
        <v>5187</v>
      </c>
      <c r="B1151" t="s">
        <v>3652</v>
      </c>
      <c r="C1151" s="944">
        <v>0</v>
      </c>
    </row>
    <row r="1152" spans="1:3" x14ac:dyDescent="0.35">
      <c r="A1152" s="943" t="s">
        <v>5188</v>
      </c>
      <c r="B1152" t="s">
        <v>3654</v>
      </c>
      <c r="C1152" s="944">
        <v>0</v>
      </c>
    </row>
    <row r="1153" spans="1:3" x14ac:dyDescent="0.35">
      <c r="A1153" s="943" t="s">
        <v>5189</v>
      </c>
      <c r="B1153" t="s">
        <v>3656</v>
      </c>
      <c r="C1153" s="944">
        <v>0</v>
      </c>
    </row>
    <row r="1154" spans="1:3" x14ac:dyDescent="0.35">
      <c r="A1154" s="943" t="s">
        <v>5190</v>
      </c>
      <c r="B1154" t="s">
        <v>3658</v>
      </c>
      <c r="C1154" s="944">
        <v>0</v>
      </c>
    </row>
    <row r="1155" spans="1:3" x14ac:dyDescent="0.35">
      <c r="A1155" s="943" t="s">
        <v>5191</v>
      </c>
      <c r="B1155" t="s">
        <v>3660</v>
      </c>
      <c r="C1155" s="944">
        <v>0</v>
      </c>
    </row>
    <row r="1156" spans="1:3" x14ac:dyDescent="0.35">
      <c r="A1156" s="943" t="s">
        <v>5192</v>
      </c>
      <c r="B1156" t="s">
        <v>3662</v>
      </c>
      <c r="C1156" s="944">
        <v>0</v>
      </c>
    </row>
    <row r="1157" spans="1:3" x14ac:dyDescent="0.35">
      <c r="A1157" s="943" t="s">
        <v>5193</v>
      </c>
      <c r="B1157" t="s">
        <v>3664</v>
      </c>
      <c r="C1157" s="944">
        <v>0</v>
      </c>
    </row>
    <row r="1158" spans="1:3" x14ac:dyDescent="0.35">
      <c r="A1158" s="943" t="s">
        <v>5194</v>
      </c>
      <c r="B1158" t="s">
        <v>3666</v>
      </c>
      <c r="C1158" s="944">
        <v>0</v>
      </c>
    </row>
    <row r="1159" spans="1:3" x14ac:dyDescent="0.35">
      <c r="A1159" s="943" t="s">
        <v>5195</v>
      </c>
      <c r="B1159" t="s">
        <v>3668</v>
      </c>
      <c r="C1159" s="944">
        <v>0</v>
      </c>
    </row>
    <row r="1160" spans="1:3" x14ac:dyDescent="0.35">
      <c r="A1160" s="943" t="s">
        <v>5196</v>
      </c>
      <c r="B1160" t="s">
        <v>350</v>
      </c>
      <c r="C1160" s="944">
        <v>0</v>
      </c>
    </row>
    <row r="1161" spans="1:3" x14ac:dyDescent="0.35">
      <c r="A1161" s="943" t="s">
        <v>5197</v>
      </c>
      <c r="B1161" t="s">
        <v>3671</v>
      </c>
      <c r="C1161" s="944">
        <v>0</v>
      </c>
    </row>
    <row r="1162" spans="1:3" x14ac:dyDescent="0.35">
      <c r="A1162" s="943" t="s">
        <v>5198</v>
      </c>
      <c r="B1162" t="s">
        <v>3673</v>
      </c>
      <c r="C1162" s="944">
        <v>0</v>
      </c>
    </row>
    <row r="1163" spans="1:3" x14ac:dyDescent="0.35">
      <c r="A1163" s="943" t="s">
        <v>5199</v>
      </c>
      <c r="B1163" t="s">
        <v>3675</v>
      </c>
      <c r="C1163" s="944">
        <v>0</v>
      </c>
    </row>
    <row r="1164" spans="1:3" x14ac:dyDescent="0.35">
      <c r="A1164" s="943" t="s">
        <v>5200</v>
      </c>
      <c r="B1164" t="s">
        <v>3677</v>
      </c>
      <c r="C1164" s="944">
        <v>0</v>
      </c>
    </row>
    <row r="1165" spans="1:3" x14ac:dyDescent="0.35">
      <c r="A1165" s="943" t="s">
        <v>5201</v>
      </c>
      <c r="B1165" t="s">
        <v>3679</v>
      </c>
      <c r="C1165" s="944">
        <v>0</v>
      </c>
    </row>
    <row r="1166" spans="1:3" x14ac:dyDescent="0.35">
      <c r="A1166" s="943" t="s">
        <v>5202</v>
      </c>
      <c r="B1166" t="s">
        <v>3681</v>
      </c>
      <c r="C1166" s="944">
        <v>0</v>
      </c>
    </row>
    <row r="1167" spans="1:3" x14ac:dyDescent="0.35">
      <c r="A1167" s="943" t="s">
        <v>5203</v>
      </c>
      <c r="B1167" t="s">
        <v>3683</v>
      </c>
      <c r="C1167" s="944">
        <v>0</v>
      </c>
    </row>
    <row r="1168" spans="1:3" x14ac:dyDescent="0.35">
      <c r="A1168" s="943" t="s">
        <v>5204</v>
      </c>
      <c r="B1168" t="s">
        <v>3685</v>
      </c>
      <c r="C1168" s="944">
        <v>0</v>
      </c>
    </row>
    <row r="1169" spans="1:3" x14ac:dyDescent="0.35">
      <c r="A1169" s="943" t="s">
        <v>5205</v>
      </c>
      <c r="B1169" t="s">
        <v>3687</v>
      </c>
      <c r="C1169" s="944">
        <v>0</v>
      </c>
    </row>
    <row r="1170" spans="1:3" x14ac:dyDescent="0.35">
      <c r="A1170" s="943" t="s">
        <v>5206</v>
      </c>
      <c r="B1170" t="s">
        <v>3689</v>
      </c>
      <c r="C1170" s="944">
        <v>0</v>
      </c>
    </row>
    <row r="1171" spans="1:3" x14ac:dyDescent="0.35">
      <c r="A1171" s="943" t="s">
        <v>5207</v>
      </c>
      <c r="B1171" t="s">
        <v>4008</v>
      </c>
      <c r="C1171" s="944">
        <v>0</v>
      </c>
    </row>
    <row r="1172" spans="1:3" x14ac:dyDescent="0.35">
      <c r="A1172" s="943" t="s">
        <v>5208</v>
      </c>
      <c r="B1172" t="s">
        <v>4009</v>
      </c>
      <c r="C1172" s="944">
        <v>0</v>
      </c>
    </row>
    <row r="1173" spans="1:3" x14ac:dyDescent="0.35">
      <c r="A1173" s="943" t="s">
        <v>5209</v>
      </c>
      <c r="B1173" t="s">
        <v>3754</v>
      </c>
      <c r="C1173" s="944">
        <v>0</v>
      </c>
    </row>
    <row r="1174" spans="1:3" x14ac:dyDescent="0.35">
      <c r="B1174" t="s">
        <v>4010</v>
      </c>
      <c r="C1174" s="944">
        <v>0</v>
      </c>
    </row>
    <row r="1175" spans="1:3" x14ac:dyDescent="0.35">
      <c r="A1175" s="943" t="s">
        <v>7878</v>
      </c>
      <c r="B1175" t="s">
        <v>4011</v>
      </c>
      <c r="C1175" s="944"/>
    </row>
    <row r="1176" spans="1:3" x14ac:dyDescent="0.35">
      <c r="A1176" s="943" t="s">
        <v>5210</v>
      </c>
      <c r="B1176" t="s">
        <v>3599</v>
      </c>
      <c r="C1176" s="944">
        <v>0</v>
      </c>
    </row>
    <row r="1177" spans="1:3" x14ac:dyDescent="0.35">
      <c r="A1177" s="943" t="s">
        <v>5211</v>
      </c>
      <c r="B1177" t="s">
        <v>4012</v>
      </c>
      <c r="C1177" s="944">
        <v>0</v>
      </c>
    </row>
    <row r="1178" spans="1:3" x14ac:dyDescent="0.35">
      <c r="A1178" s="943" t="s">
        <v>5212</v>
      </c>
      <c r="B1178" t="s">
        <v>4013</v>
      </c>
      <c r="C1178" s="944">
        <v>0</v>
      </c>
    </row>
    <row r="1179" spans="1:3" x14ac:dyDescent="0.35">
      <c r="A1179" s="943" t="s">
        <v>5213</v>
      </c>
      <c r="B1179" t="s">
        <v>3605</v>
      </c>
      <c r="C1179" s="944">
        <v>0</v>
      </c>
    </row>
    <row r="1180" spans="1:3" x14ac:dyDescent="0.35">
      <c r="A1180" s="943" t="s">
        <v>5214</v>
      </c>
      <c r="B1180" t="s">
        <v>3607</v>
      </c>
      <c r="C1180" s="944">
        <v>0</v>
      </c>
    </row>
    <row r="1181" spans="1:3" x14ac:dyDescent="0.35">
      <c r="A1181" s="943" t="s">
        <v>5215</v>
      </c>
      <c r="B1181" t="s">
        <v>4014</v>
      </c>
      <c r="C1181" s="944">
        <v>0</v>
      </c>
    </row>
    <row r="1182" spans="1:3" x14ac:dyDescent="0.35">
      <c r="A1182" s="943" t="s">
        <v>5216</v>
      </c>
      <c r="B1182" t="s">
        <v>3613</v>
      </c>
      <c r="C1182" s="944">
        <v>0</v>
      </c>
    </row>
    <row r="1183" spans="1:3" x14ac:dyDescent="0.35">
      <c r="A1183" s="943" t="s">
        <v>5217</v>
      </c>
      <c r="B1183" t="s">
        <v>4015</v>
      </c>
      <c r="C1183" s="944">
        <v>0</v>
      </c>
    </row>
    <row r="1184" spans="1:3" x14ac:dyDescent="0.35">
      <c r="A1184" s="943" t="s">
        <v>5218</v>
      </c>
      <c r="B1184" t="s">
        <v>3617</v>
      </c>
      <c r="C1184" s="944">
        <v>0</v>
      </c>
    </row>
    <row r="1185" spans="1:3" x14ac:dyDescent="0.35">
      <c r="A1185" s="943" t="s">
        <v>5219</v>
      </c>
      <c r="B1185" t="s">
        <v>3619</v>
      </c>
      <c r="C1185" s="944">
        <v>0</v>
      </c>
    </row>
    <row r="1186" spans="1:3" x14ac:dyDescent="0.35">
      <c r="A1186" s="943" t="s">
        <v>5220</v>
      </c>
      <c r="B1186" t="s">
        <v>3621</v>
      </c>
      <c r="C1186" s="944">
        <v>0</v>
      </c>
    </row>
    <row r="1187" spans="1:3" x14ac:dyDescent="0.35">
      <c r="A1187" s="943" t="s">
        <v>5221</v>
      </c>
      <c r="B1187" t="s">
        <v>3623</v>
      </c>
      <c r="C1187" s="944">
        <v>0</v>
      </c>
    </row>
    <row r="1188" spans="1:3" x14ac:dyDescent="0.35">
      <c r="A1188" s="943" t="s">
        <v>5222</v>
      </c>
      <c r="B1188" t="s">
        <v>3625</v>
      </c>
      <c r="C1188" s="944">
        <v>0</v>
      </c>
    </row>
    <row r="1189" spans="1:3" x14ac:dyDescent="0.35">
      <c r="A1189" s="943" t="s">
        <v>5223</v>
      </c>
      <c r="B1189" t="s">
        <v>3627</v>
      </c>
      <c r="C1189" s="944">
        <v>0</v>
      </c>
    </row>
    <row r="1190" spans="1:3" x14ac:dyDescent="0.35">
      <c r="A1190" s="943" t="s">
        <v>5224</v>
      </c>
      <c r="B1190" t="s">
        <v>3629</v>
      </c>
      <c r="C1190" s="944">
        <v>0</v>
      </c>
    </row>
    <row r="1191" spans="1:3" x14ac:dyDescent="0.35">
      <c r="A1191" s="943" t="s">
        <v>5225</v>
      </c>
      <c r="B1191" t="s">
        <v>3631</v>
      </c>
      <c r="C1191" s="944">
        <v>0</v>
      </c>
    </row>
    <row r="1192" spans="1:3" x14ac:dyDescent="0.35">
      <c r="A1192" s="943" t="s">
        <v>5226</v>
      </c>
      <c r="B1192" t="s">
        <v>3633</v>
      </c>
      <c r="C1192" s="944">
        <v>0</v>
      </c>
    </row>
    <row r="1193" spans="1:3" x14ac:dyDescent="0.35">
      <c r="A1193" s="943" t="s">
        <v>5227</v>
      </c>
      <c r="B1193" t="s">
        <v>3635</v>
      </c>
      <c r="C1193" s="944">
        <v>0</v>
      </c>
    </row>
    <row r="1194" spans="1:3" x14ac:dyDescent="0.35">
      <c r="A1194" s="943" t="s">
        <v>5228</v>
      </c>
      <c r="B1194" t="s">
        <v>3637</v>
      </c>
      <c r="C1194" s="944">
        <v>0</v>
      </c>
    </row>
    <row r="1195" spans="1:3" x14ac:dyDescent="0.35">
      <c r="A1195" s="943" t="s">
        <v>5229</v>
      </c>
      <c r="B1195" t="s">
        <v>334</v>
      </c>
      <c r="C1195" s="944">
        <v>0</v>
      </c>
    </row>
    <row r="1196" spans="1:3" x14ac:dyDescent="0.35">
      <c r="A1196" s="943" t="s">
        <v>5230</v>
      </c>
      <c r="B1196" t="s">
        <v>3640</v>
      </c>
      <c r="C1196" s="944">
        <v>0</v>
      </c>
    </row>
    <row r="1197" spans="1:3" x14ac:dyDescent="0.35">
      <c r="A1197" s="943" t="s">
        <v>5231</v>
      </c>
      <c r="B1197" t="s">
        <v>3642</v>
      </c>
      <c r="C1197" s="944">
        <v>0</v>
      </c>
    </row>
    <row r="1198" spans="1:3" x14ac:dyDescent="0.35">
      <c r="A1198" s="943" t="s">
        <v>5232</v>
      </c>
      <c r="B1198" t="s">
        <v>3644</v>
      </c>
      <c r="C1198" s="944">
        <v>0</v>
      </c>
    </row>
    <row r="1199" spans="1:3" x14ac:dyDescent="0.35">
      <c r="A1199" s="943" t="s">
        <v>5233</v>
      </c>
      <c r="B1199" t="s">
        <v>3646</v>
      </c>
      <c r="C1199" s="944">
        <v>0</v>
      </c>
    </row>
    <row r="1200" spans="1:3" x14ac:dyDescent="0.35">
      <c r="A1200" s="943" t="s">
        <v>5234</v>
      </c>
      <c r="B1200" t="s">
        <v>3648</v>
      </c>
      <c r="C1200" s="944">
        <v>0</v>
      </c>
    </row>
    <row r="1201" spans="1:3" x14ac:dyDescent="0.35">
      <c r="A1201" s="943" t="s">
        <v>5235</v>
      </c>
      <c r="B1201" t="s">
        <v>3650</v>
      </c>
      <c r="C1201" s="944">
        <v>0</v>
      </c>
    </row>
    <row r="1202" spans="1:3" x14ac:dyDescent="0.35">
      <c r="A1202" s="943" t="s">
        <v>5236</v>
      </c>
      <c r="B1202" t="s">
        <v>3652</v>
      </c>
      <c r="C1202" s="944">
        <v>0</v>
      </c>
    </row>
    <row r="1203" spans="1:3" x14ac:dyDescent="0.35">
      <c r="A1203" s="943" t="s">
        <v>5237</v>
      </c>
      <c r="B1203" t="s">
        <v>3654</v>
      </c>
      <c r="C1203" s="944">
        <v>0</v>
      </c>
    </row>
    <row r="1204" spans="1:3" x14ac:dyDescent="0.35">
      <c r="A1204" s="943" t="s">
        <v>5238</v>
      </c>
      <c r="B1204" t="s">
        <v>3656</v>
      </c>
      <c r="C1204" s="944">
        <v>0</v>
      </c>
    </row>
    <row r="1205" spans="1:3" x14ac:dyDescent="0.35">
      <c r="A1205" s="943" t="s">
        <v>5239</v>
      </c>
      <c r="B1205" t="s">
        <v>3658</v>
      </c>
      <c r="C1205" s="944">
        <v>0</v>
      </c>
    </row>
    <row r="1206" spans="1:3" x14ac:dyDescent="0.35">
      <c r="A1206" s="943" t="s">
        <v>5240</v>
      </c>
      <c r="B1206" t="s">
        <v>3660</v>
      </c>
      <c r="C1206" s="944">
        <v>0</v>
      </c>
    </row>
    <row r="1207" spans="1:3" x14ac:dyDescent="0.35">
      <c r="A1207" s="943" t="s">
        <v>5241</v>
      </c>
      <c r="B1207" t="s">
        <v>3662</v>
      </c>
      <c r="C1207" s="944">
        <v>0</v>
      </c>
    </row>
    <row r="1208" spans="1:3" x14ac:dyDescent="0.35">
      <c r="A1208" s="943" t="s">
        <v>5242</v>
      </c>
      <c r="B1208" t="s">
        <v>3664</v>
      </c>
      <c r="C1208" s="944">
        <v>0</v>
      </c>
    </row>
    <row r="1209" spans="1:3" x14ac:dyDescent="0.35">
      <c r="A1209" s="943" t="s">
        <v>5243</v>
      </c>
      <c r="B1209" t="s">
        <v>3666</v>
      </c>
      <c r="C1209" s="944">
        <v>0</v>
      </c>
    </row>
    <row r="1210" spans="1:3" x14ac:dyDescent="0.35">
      <c r="A1210" s="943" t="s">
        <v>5244</v>
      </c>
      <c r="B1210" t="s">
        <v>3668</v>
      </c>
      <c r="C1210" s="944">
        <v>0</v>
      </c>
    </row>
    <row r="1211" spans="1:3" x14ac:dyDescent="0.35">
      <c r="A1211" s="943" t="s">
        <v>5245</v>
      </c>
      <c r="B1211" t="s">
        <v>350</v>
      </c>
      <c r="C1211" s="944">
        <v>0</v>
      </c>
    </row>
    <row r="1212" spans="1:3" x14ac:dyDescent="0.35">
      <c r="A1212" s="943" t="s">
        <v>5246</v>
      </c>
      <c r="B1212" t="s">
        <v>3671</v>
      </c>
      <c r="C1212" s="944">
        <v>0</v>
      </c>
    </row>
    <row r="1213" spans="1:3" x14ac:dyDescent="0.35">
      <c r="A1213" s="943" t="s">
        <v>5247</v>
      </c>
      <c r="B1213" t="s">
        <v>3673</v>
      </c>
      <c r="C1213" s="944">
        <v>0</v>
      </c>
    </row>
    <row r="1214" spans="1:3" x14ac:dyDescent="0.35">
      <c r="A1214" s="943" t="s">
        <v>5248</v>
      </c>
      <c r="B1214" t="s">
        <v>3675</v>
      </c>
      <c r="C1214" s="944">
        <v>0</v>
      </c>
    </row>
    <row r="1215" spans="1:3" x14ac:dyDescent="0.35">
      <c r="A1215" s="943" t="s">
        <v>5249</v>
      </c>
      <c r="B1215" t="s">
        <v>3677</v>
      </c>
      <c r="C1215" s="944">
        <v>0</v>
      </c>
    </row>
    <row r="1216" spans="1:3" x14ac:dyDescent="0.35">
      <c r="A1216" s="943" t="s">
        <v>5250</v>
      </c>
      <c r="B1216" t="s">
        <v>3679</v>
      </c>
      <c r="C1216" s="944">
        <v>0</v>
      </c>
    </row>
    <row r="1217" spans="1:3" x14ac:dyDescent="0.35">
      <c r="A1217" s="943" t="s">
        <v>5251</v>
      </c>
      <c r="B1217" t="s">
        <v>3681</v>
      </c>
      <c r="C1217" s="944">
        <v>0</v>
      </c>
    </row>
    <row r="1218" spans="1:3" x14ac:dyDescent="0.35">
      <c r="A1218" s="943" t="s">
        <v>5252</v>
      </c>
      <c r="B1218" t="s">
        <v>3683</v>
      </c>
      <c r="C1218" s="944">
        <v>0</v>
      </c>
    </row>
    <row r="1219" spans="1:3" x14ac:dyDescent="0.35">
      <c r="A1219" s="943" t="s">
        <v>5253</v>
      </c>
      <c r="B1219" t="s">
        <v>3685</v>
      </c>
      <c r="C1219" s="944">
        <v>0</v>
      </c>
    </row>
    <row r="1220" spans="1:3" x14ac:dyDescent="0.35">
      <c r="A1220" s="943" t="s">
        <v>5254</v>
      </c>
      <c r="B1220" t="s">
        <v>3687</v>
      </c>
      <c r="C1220" s="944">
        <v>0</v>
      </c>
    </row>
    <row r="1221" spans="1:3" x14ac:dyDescent="0.35">
      <c r="A1221" s="943" t="s">
        <v>5255</v>
      </c>
      <c r="B1221" t="s">
        <v>3689</v>
      </c>
      <c r="C1221" s="944">
        <v>0</v>
      </c>
    </row>
    <row r="1222" spans="1:3" x14ac:dyDescent="0.35">
      <c r="A1222" s="943" t="s">
        <v>5256</v>
      </c>
      <c r="B1222" t="s">
        <v>4016</v>
      </c>
      <c r="C1222" s="944">
        <v>0</v>
      </c>
    </row>
    <row r="1223" spans="1:3" x14ac:dyDescent="0.35">
      <c r="A1223" s="943" t="s">
        <v>5257</v>
      </c>
      <c r="B1223" t="s">
        <v>3640</v>
      </c>
      <c r="C1223" s="944">
        <v>0</v>
      </c>
    </row>
    <row r="1224" spans="1:3" x14ac:dyDescent="0.35">
      <c r="A1224" s="943" t="s">
        <v>5258</v>
      </c>
      <c r="B1224" t="s">
        <v>4017</v>
      </c>
      <c r="C1224" s="944">
        <v>0</v>
      </c>
    </row>
    <row r="1225" spans="1:3" x14ac:dyDescent="0.35">
      <c r="A1225" s="943" t="s">
        <v>5259</v>
      </c>
      <c r="B1225" t="s">
        <v>3646</v>
      </c>
      <c r="C1225" s="944">
        <v>0</v>
      </c>
    </row>
    <row r="1226" spans="1:3" x14ac:dyDescent="0.35">
      <c r="A1226" s="943" t="s">
        <v>5260</v>
      </c>
      <c r="B1226" t="s">
        <v>3648</v>
      </c>
      <c r="C1226" s="944">
        <v>0</v>
      </c>
    </row>
    <row r="1227" spans="1:3" x14ac:dyDescent="0.35">
      <c r="A1227" s="943" t="s">
        <v>5261</v>
      </c>
      <c r="B1227" t="s">
        <v>3932</v>
      </c>
      <c r="C1227" s="944">
        <v>0</v>
      </c>
    </row>
    <row r="1228" spans="1:3" x14ac:dyDescent="0.35">
      <c r="A1228" s="943" t="s">
        <v>5262</v>
      </c>
      <c r="B1228" t="s">
        <v>3966</v>
      </c>
      <c r="C1228" s="944">
        <v>186500</v>
      </c>
    </row>
    <row r="1229" spans="1:3" x14ac:dyDescent="0.35">
      <c r="A1229" s="943" t="s">
        <v>5263</v>
      </c>
      <c r="B1229" t="s">
        <v>4018</v>
      </c>
      <c r="C1229" s="944">
        <v>0</v>
      </c>
    </row>
    <row r="1230" spans="1:3" x14ac:dyDescent="0.35">
      <c r="A1230" s="943" t="s">
        <v>5264</v>
      </c>
      <c r="B1230" t="s">
        <v>3250</v>
      </c>
      <c r="C1230" s="944">
        <v>2252100</v>
      </c>
    </row>
    <row r="1231" spans="1:3" x14ac:dyDescent="0.35">
      <c r="A1231" s="943" t="s">
        <v>5265</v>
      </c>
      <c r="B1231" t="s">
        <v>350</v>
      </c>
      <c r="C1231" s="944">
        <v>0</v>
      </c>
    </row>
    <row r="1232" spans="1:3" x14ac:dyDescent="0.35">
      <c r="A1232" s="943" t="s">
        <v>5266</v>
      </c>
      <c r="B1232" t="s">
        <v>4008</v>
      </c>
      <c r="C1232" s="944">
        <v>0</v>
      </c>
    </row>
    <row r="1233" spans="1:3" x14ac:dyDescent="0.35">
      <c r="A1233" s="943" t="s">
        <v>5267</v>
      </c>
      <c r="B1233" t="s">
        <v>4009</v>
      </c>
      <c r="C1233" s="944">
        <v>0</v>
      </c>
    </row>
    <row r="1234" spans="1:3" x14ac:dyDescent="0.35">
      <c r="A1234" s="943" t="s">
        <v>5268</v>
      </c>
      <c r="B1234" t="s">
        <v>3754</v>
      </c>
      <c r="C1234" s="944">
        <v>0</v>
      </c>
    </row>
    <row r="1235" spans="1:3" x14ac:dyDescent="0.35">
      <c r="B1235" t="s">
        <v>4019</v>
      </c>
      <c r="C1235" s="944">
        <v>2438600</v>
      </c>
    </row>
    <row r="1236" spans="1:3" x14ac:dyDescent="0.35">
      <c r="B1236" t="s">
        <v>4020</v>
      </c>
      <c r="C1236" s="944">
        <v>4543800</v>
      </c>
    </row>
    <row r="1237" spans="1:3" x14ac:dyDescent="0.35">
      <c r="A1237" s="943" t="s">
        <v>7879</v>
      </c>
      <c r="B1237" t="s">
        <v>4021</v>
      </c>
      <c r="C1237" s="944"/>
    </row>
    <row r="1238" spans="1:3" x14ac:dyDescent="0.35">
      <c r="A1238" s="943" t="s">
        <v>7880</v>
      </c>
      <c r="B1238" t="s">
        <v>4022</v>
      </c>
      <c r="C1238" s="944"/>
    </row>
    <row r="1239" spans="1:3" x14ac:dyDescent="0.35">
      <c r="A1239" s="943" t="s">
        <v>5269</v>
      </c>
      <c r="B1239" t="s">
        <v>4023</v>
      </c>
      <c r="C1239" s="944">
        <v>0</v>
      </c>
    </row>
    <row r="1240" spans="1:3" x14ac:dyDescent="0.35">
      <c r="A1240" s="943" t="s">
        <v>5270</v>
      </c>
      <c r="B1240" t="s">
        <v>3720</v>
      </c>
      <c r="C1240" s="944">
        <v>0</v>
      </c>
    </row>
    <row r="1241" spans="1:3" x14ac:dyDescent="0.35">
      <c r="A1241" s="943" t="s">
        <v>5271</v>
      </c>
      <c r="B1241" t="s">
        <v>3932</v>
      </c>
      <c r="C1241" s="944">
        <v>0</v>
      </c>
    </row>
    <row r="1242" spans="1:3" x14ac:dyDescent="0.35">
      <c r="A1242" s="943" t="s">
        <v>5272</v>
      </c>
      <c r="B1242" t="s">
        <v>4024</v>
      </c>
      <c r="C1242" s="944">
        <v>0</v>
      </c>
    </row>
    <row r="1243" spans="1:3" x14ac:dyDescent="0.35">
      <c r="A1243" s="943" t="s">
        <v>5273</v>
      </c>
      <c r="B1243" t="s">
        <v>4025</v>
      </c>
      <c r="C1243" s="944">
        <v>0</v>
      </c>
    </row>
    <row r="1244" spans="1:3" x14ac:dyDescent="0.35">
      <c r="A1244" s="943" t="s">
        <v>5274</v>
      </c>
      <c r="B1244" t="s">
        <v>4026</v>
      </c>
      <c r="C1244" s="944">
        <v>0</v>
      </c>
    </row>
    <row r="1245" spans="1:3" x14ac:dyDescent="0.35">
      <c r="A1245" s="943" t="s">
        <v>5275</v>
      </c>
      <c r="B1245" t="s">
        <v>3718</v>
      </c>
      <c r="C1245" s="944">
        <v>0</v>
      </c>
    </row>
    <row r="1246" spans="1:3" x14ac:dyDescent="0.35">
      <c r="A1246" s="943" t="s">
        <v>5276</v>
      </c>
      <c r="B1246" t="s">
        <v>3996</v>
      </c>
      <c r="C1246" s="944">
        <v>0</v>
      </c>
    </row>
    <row r="1247" spans="1:3" x14ac:dyDescent="0.35">
      <c r="A1247" s="943" t="s">
        <v>5277</v>
      </c>
      <c r="B1247" t="s">
        <v>4027</v>
      </c>
      <c r="C1247" s="944">
        <v>0</v>
      </c>
    </row>
    <row r="1248" spans="1:3" x14ac:dyDescent="0.35">
      <c r="A1248" s="943" t="s">
        <v>5278</v>
      </c>
      <c r="B1248" t="s">
        <v>350</v>
      </c>
      <c r="C1248" s="944">
        <v>0</v>
      </c>
    </row>
    <row r="1249" spans="1:3" x14ac:dyDescent="0.35">
      <c r="A1249" s="943" t="s">
        <v>5279</v>
      </c>
      <c r="B1249" t="s">
        <v>4028</v>
      </c>
      <c r="C1249" s="944">
        <v>0</v>
      </c>
    </row>
    <row r="1250" spans="1:3" x14ac:dyDescent="0.35">
      <c r="A1250" s="943" t="s">
        <v>5280</v>
      </c>
      <c r="B1250" t="s">
        <v>3720</v>
      </c>
      <c r="C1250" s="944">
        <v>0</v>
      </c>
    </row>
    <row r="1251" spans="1:3" x14ac:dyDescent="0.35">
      <c r="A1251" s="943" t="s">
        <v>5281</v>
      </c>
      <c r="B1251" t="s">
        <v>3934</v>
      </c>
      <c r="C1251" s="944">
        <v>0</v>
      </c>
    </row>
    <row r="1252" spans="1:3" x14ac:dyDescent="0.35">
      <c r="A1252" s="943" t="s">
        <v>5282</v>
      </c>
      <c r="B1252" t="s">
        <v>3723</v>
      </c>
      <c r="C1252" s="944">
        <v>0</v>
      </c>
    </row>
    <row r="1253" spans="1:3" x14ac:dyDescent="0.35">
      <c r="A1253" s="943" t="s">
        <v>5283</v>
      </c>
      <c r="B1253" t="s">
        <v>3968</v>
      </c>
      <c r="C1253" s="944">
        <v>0</v>
      </c>
    </row>
    <row r="1254" spans="1:3" x14ac:dyDescent="0.35">
      <c r="A1254" s="943" t="s">
        <v>5284</v>
      </c>
      <c r="B1254" t="s">
        <v>3718</v>
      </c>
      <c r="C1254" s="944">
        <v>0</v>
      </c>
    </row>
    <row r="1255" spans="1:3" x14ac:dyDescent="0.35">
      <c r="A1255" s="943" t="s">
        <v>5285</v>
      </c>
      <c r="B1255" t="s">
        <v>3996</v>
      </c>
      <c r="C1255" s="944">
        <v>0</v>
      </c>
    </row>
    <row r="1256" spans="1:3" x14ac:dyDescent="0.35">
      <c r="A1256" s="943" t="s">
        <v>5286</v>
      </c>
      <c r="B1256" t="s">
        <v>4029</v>
      </c>
      <c r="C1256" s="944">
        <v>0</v>
      </c>
    </row>
    <row r="1257" spans="1:3" x14ac:dyDescent="0.35">
      <c r="A1257" s="943" t="s">
        <v>5287</v>
      </c>
      <c r="B1257" t="s">
        <v>4030</v>
      </c>
      <c r="C1257" s="944">
        <v>0</v>
      </c>
    </row>
    <row r="1258" spans="1:3" x14ac:dyDescent="0.35">
      <c r="A1258" s="943" t="s">
        <v>5288</v>
      </c>
      <c r="B1258" t="s">
        <v>3720</v>
      </c>
      <c r="C1258" s="944">
        <v>0</v>
      </c>
    </row>
    <row r="1259" spans="1:3" x14ac:dyDescent="0.35">
      <c r="A1259" s="943" t="s">
        <v>5289</v>
      </c>
      <c r="B1259" t="s">
        <v>3934</v>
      </c>
      <c r="C1259" s="944">
        <v>0</v>
      </c>
    </row>
    <row r="1260" spans="1:3" x14ac:dyDescent="0.35">
      <c r="A1260" s="943" t="s">
        <v>5290</v>
      </c>
      <c r="B1260" t="s">
        <v>3723</v>
      </c>
      <c r="C1260" s="944">
        <v>0</v>
      </c>
    </row>
    <row r="1261" spans="1:3" x14ac:dyDescent="0.35">
      <c r="A1261" s="943" t="s">
        <v>5291</v>
      </c>
      <c r="B1261" t="s">
        <v>3968</v>
      </c>
      <c r="C1261" s="944">
        <v>0</v>
      </c>
    </row>
    <row r="1262" spans="1:3" x14ac:dyDescent="0.35">
      <c r="A1262" s="943" t="s">
        <v>5292</v>
      </c>
      <c r="B1262" t="s">
        <v>3718</v>
      </c>
      <c r="C1262" s="944">
        <v>0</v>
      </c>
    </row>
    <row r="1263" spans="1:3" x14ac:dyDescent="0.35">
      <c r="A1263" s="943" t="s">
        <v>5293</v>
      </c>
      <c r="B1263" t="s">
        <v>3996</v>
      </c>
      <c r="C1263" s="944">
        <v>0</v>
      </c>
    </row>
    <row r="1264" spans="1:3" x14ac:dyDescent="0.35">
      <c r="A1264" s="943" t="s">
        <v>5294</v>
      </c>
      <c r="B1264" t="s">
        <v>4029</v>
      </c>
      <c r="C1264" s="944">
        <v>0</v>
      </c>
    </row>
    <row r="1265" spans="1:3" x14ac:dyDescent="0.35">
      <c r="A1265" s="943" t="s">
        <v>5295</v>
      </c>
      <c r="B1265" t="s">
        <v>4031</v>
      </c>
      <c r="C1265" s="944">
        <v>0</v>
      </c>
    </row>
    <row r="1266" spans="1:3" x14ac:dyDescent="0.35">
      <c r="A1266" s="943" t="s">
        <v>5296</v>
      </c>
      <c r="B1266" t="s">
        <v>3720</v>
      </c>
      <c r="C1266" s="944">
        <v>0</v>
      </c>
    </row>
    <row r="1267" spans="1:3" x14ac:dyDescent="0.35">
      <c r="A1267" s="943" t="s">
        <v>5297</v>
      </c>
      <c r="B1267" t="s">
        <v>3934</v>
      </c>
      <c r="C1267" s="944">
        <v>0</v>
      </c>
    </row>
    <row r="1268" spans="1:3" x14ac:dyDescent="0.35">
      <c r="A1268" s="943" t="s">
        <v>5298</v>
      </c>
      <c r="B1268" t="s">
        <v>3723</v>
      </c>
      <c r="C1268" s="944">
        <v>0</v>
      </c>
    </row>
    <row r="1269" spans="1:3" x14ac:dyDescent="0.35">
      <c r="A1269" s="943" t="s">
        <v>5299</v>
      </c>
      <c r="B1269" t="s">
        <v>3968</v>
      </c>
      <c r="C1269" s="944">
        <v>0</v>
      </c>
    </row>
    <row r="1270" spans="1:3" x14ac:dyDescent="0.35">
      <c r="A1270" s="943" t="s">
        <v>5300</v>
      </c>
      <c r="B1270" t="s">
        <v>3718</v>
      </c>
      <c r="C1270" s="944">
        <v>0</v>
      </c>
    </row>
    <row r="1271" spans="1:3" x14ac:dyDescent="0.35">
      <c r="A1271" s="943" t="s">
        <v>5301</v>
      </c>
      <c r="B1271" t="s">
        <v>3996</v>
      </c>
      <c r="C1271" s="944">
        <v>0</v>
      </c>
    </row>
    <row r="1272" spans="1:3" x14ac:dyDescent="0.35">
      <c r="A1272" s="943" t="s">
        <v>5302</v>
      </c>
      <c r="B1272" t="s">
        <v>4029</v>
      </c>
      <c r="C1272" s="944">
        <v>0</v>
      </c>
    </row>
    <row r="1273" spans="1:3" x14ac:dyDescent="0.35">
      <c r="A1273" s="943" t="s">
        <v>5303</v>
      </c>
      <c r="B1273" t="s">
        <v>4032</v>
      </c>
      <c r="C1273" s="944">
        <v>0</v>
      </c>
    </row>
    <row r="1274" spans="1:3" x14ac:dyDescent="0.35">
      <c r="A1274" s="943" t="s">
        <v>5304</v>
      </c>
      <c r="B1274" t="s">
        <v>3720</v>
      </c>
      <c r="C1274" s="944">
        <v>0</v>
      </c>
    </row>
    <row r="1275" spans="1:3" x14ac:dyDescent="0.35">
      <c r="A1275" s="943" t="s">
        <v>5305</v>
      </c>
      <c r="B1275" t="s">
        <v>3934</v>
      </c>
      <c r="C1275" s="944">
        <v>0</v>
      </c>
    </row>
    <row r="1276" spans="1:3" x14ac:dyDescent="0.35">
      <c r="A1276" s="943" t="s">
        <v>5306</v>
      </c>
      <c r="B1276" t="s">
        <v>3723</v>
      </c>
      <c r="C1276" s="944">
        <v>0</v>
      </c>
    </row>
    <row r="1277" spans="1:3" x14ac:dyDescent="0.35">
      <c r="A1277" s="943" t="s">
        <v>5307</v>
      </c>
      <c r="B1277" t="s">
        <v>3968</v>
      </c>
      <c r="C1277" s="944">
        <v>0</v>
      </c>
    </row>
    <row r="1278" spans="1:3" x14ac:dyDescent="0.35">
      <c r="A1278" s="943" t="s">
        <v>5308</v>
      </c>
      <c r="B1278" t="s">
        <v>3718</v>
      </c>
      <c r="C1278" s="944">
        <v>0</v>
      </c>
    </row>
    <row r="1279" spans="1:3" x14ac:dyDescent="0.35">
      <c r="A1279" s="943" t="s">
        <v>5309</v>
      </c>
      <c r="B1279" t="s">
        <v>3996</v>
      </c>
      <c r="C1279" s="944">
        <v>0</v>
      </c>
    </row>
    <row r="1280" spans="1:3" x14ac:dyDescent="0.35">
      <c r="A1280" s="943" t="s">
        <v>5310</v>
      </c>
      <c r="B1280" t="s">
        <v>4029</v>
      </c>
      <c r="C1280" s="944">
        <v>0</v>
      </c>
    </row>
    <row r="1281" spans="1:3" x14ac:dyDescent="0.35">
      <c r="A1281" s="943" t="s">
        <v>5311</v>
      </c>
      <c r="B1281" t="s">
        <v>4033</v>
      </c>
      <c r="C1281" s="944">
        <v>0</v>
      </c>
    </row>
    <row r="1282" spans="1:3" x14ac:dyDescent="0.35">
      <c r="A1282" s="943" t="s">
        <v>5312</v>
      </c>
      <c r="B1282" t="s">
        <v>3720</v>
      </c>
      <c r="C1282" s="944">
        <v>0</v>
      </c>
    </row>
    <row r="1283" spans="1:3" x14ac:dyDescent="0.35">
      <c r="A1283" s="943" t="s">
        <v>5313</v>
      </c>
      <c r="B1283" t="s">
        <v>3934</v>
      </c>
      <c r="C1283" s="944">
        <v>0</v>
      </c>
    </row>
    <row r="1284" spans="1:3" x14ac:dyDescent="0.35">
      <c r="A1284" s="943" t="s">
        <v>5314</v>
      </c>
      <c r="B1284" t="s">
        <v>3723</v>
      </c>
      <c r="C1284" s="944">
        <v>0</v>
      </c>
    </row>
    <row r="1285" spans="1:3" x14ac:dyDescent="0.35">
      <c r="A1285" s="943" t="s">
        <v>5315</v>
      </c>
      <c r="B1285" t="s">
        <v>3968</v>
      </c>
      <c r="C1285" s="944">
        <v>0</v>
      </c>
    </row>
    <row r="1286" spans="1:3" x14ac:dyDescent="0.35">
      <c r="A1286" s="943" t="s">
        <v>5316</v>
      </c>
      <c r="B1286" t="s">
        <v>3718</v>
      </c>
      <c r="C1286" s="944">
        <v>0</v>
      </c>
    </row>
    <row r="1287" spans="1:3" x14ac:dyDescent="0.35">
      <c r="A1287" s="943" t="s">
        <v>5317</v>
      </c>
      <c r="B1287" t="s">
        <v>3996</v>
      </c>
      <c r="C1287" s="944">
        <v>0</v>
      </c>
    </row>
    <row r="1288" spans="1:3" x14ac:dyDescent="0.35">
      <c r="A1288" s="943" t="s">
        <v>5318</v>
      </c>
      <c r="B1288" t="s">
        <v>4034</v>
      </c>
      <c r="C1288" s="944">
        <v>0</v>
      </c>
    </row>
    <row r="1289" spans="1:3" x14ac:dyDescent="0.35">
      <c r="A1289" s="943" t="s">
        <v>5319</v>
      </c>
      <c r="B1289" t="s">
        <v>4035</v>
      </c>
      <c r="C1289" s="944">
        <v>0</v>
      </c>
    </row>
    <row r="1290" spans="1:3" x14ac:dyDescent="0.35">
      <c r="A1290" s="943" t="s">
        <v>5320</v>
      </c>
      <c r="B1290" t="s">
        <v>3720</v>
      </c>
      <c r="C1290" s="944">
        <v>0</v>
      </c>
    </row>
    <row r="1291" spans="1:3" x14ac:dyDescent="0.35">
      <c r="A1291" s="943" t="s">
        <v>5321</v>
      </c>
      <c r="B1291" t="s">
        <v>3934</v>
      </c>
      <c r="C1291" s="944">
        <v>0</v>
      </c>
    </row>
    <row r="1292" spans="1:3" x14ac:dyDescent="0.35">
      <c r="A1292" s="943" t="s">
        <v>5322</v>
      </c>
      <c r="B1292" t="s">
        <v>3723</v>
      </c>
      <c r="C1292" s="944">
        <v>0</v>
      </c>
    </row>
    <row r="1293" spans="1:3" x14ac:dyDescent="0.35">
      <c r="A1293" s="943" t="s">
        <v>5323</v>
      </c>
      <c r="B1293" t="s">
        <v>3968</v>
      </c>
      <c r="C1293" s="944">
        <v>0</v>
      </c>
    </row>
    <row r="1294" spans="1:3" x14ac:dyDescent="0.35">
      <c r="A1294" s="943" t="s">
        <v>5324</v>
      </c>
      <c r="B1294" t="s">
        <v>3718</v>
      </c>
      <c r="C1294" s="944">
        <v>0</v>
      </c>
    </row>
    <row r="1295" spans="1:3" x14ac:dyDescent="0.35">
      <c r="A1295" s="943" t="s">
        <v>5325</v>
      </c>
      <c r="B1295" t="s">
        <v>3996</v>
      </c>
      <c r="C1295" s="944">
        <v>0</v>
      </c>
    </row>
    <row r="1296" spans="1:3" x14ac:dyDescent="0.35">
      <c r="A1296" s="943" t="s">
        <v>5326</v>
      </c>
      <c r="B1296" t="s">
        <v>4029</v>
      </c>
      <c r="C1296" s="944">
        <v>0</v>
      </c>
    </row>
    <row r="1297" spans="1:3" x14ac:dyDescent="0.35">
      <c r="A1297" s="943" t="s">
        <v>5327</v>
      </c>
      <c r="B1297" t="s">
        <v>4036</v>
      </c>
      <c r="C1297" s="944">
        <v>0</v>
      </c>
    </row>
    <row r="1298" spans="1:3" x14ac:dyDescent="0.35">
      <c r="A1298" s="943" t="s">
        <v>5328</v>
      </c>
      <c r="B1298" t="s">
        <v>3720</v>
      </c>
      <c r="C1298" s="944">
        <v>0</v>
      </c>
    </row>
    <row r="1299" spans="1:3" x14ac:dyDescent="0.35">
      <c r="A1299" s="943" t="s">
        <v>5329</v>
      </c>
      <c r="B1299" t="s">
        <v>3934</v>
      </c>
      <c r="C1299" s="944">
        <v>0</v>
      </c>
    </row>
    <row r="1300" spans="1:3" x14ac:dyDescent="0.35">
      <c r="A1300" s="943" t="s">
        <v>5330</v>
      </c>
      <c r="B1300" t="s">
        <v>3723</v>
      </c>
      <c r="C1300" s="944">
        <v>0</v>
      </c>
    </row>
    <row r="1301" spans="1:3" x14ac:dyDescent="0.35">
      <c r="A1301" s="943" t="s">
        <v>5331</v>
      </c>
      <c r="B1301" t="s">
        <v>3968</v>
      </c>
      <c r="C1301" s="944">
        <v>0</v>
      </c>
    </row>
    <row r="1302" spans="1:3" x14ac:dyDescent="0.35">
      <c r="A1302" s="943" t="s">
        <v>5332</v>
      </c>
      <c r="B1302" t="s">
        <v>3718</v>
      </c>
      <c r="C1302" s="944">
        <v>0</v>
      </c>
    </row>
    <row r="1303" spans="1:3" x14ac:dyDescent="0.35">
      <c r="A1303" s="943" t="s">
        <v>5333</v>
      </c>
      <c r="B1303" t="s">
        <v>3996</v>
      </c>
      <c r="C1303" s="944">
        <v>0</v>
      </c>
    </row>
    <row r="1304" spans="1:3" x14ac:dyDescent="0.35">
      <c r="A1304" s="943" t="s">
        <v>5334</v>
      </c>
      <c r="B1304" t="s">
        <v>4029</v>
      </c>
      <c r="C1304" s="944">
        <v>0</v>
      </c>
    </row>
    <row r="1305" spans="1:3" x14ac:dyDescent="0.35">
      <c r="A1305" s="943" t="s">
        <v>5335</v>
      </c>
      <c r="B1305" t="s">
        <v>4037</v>
      </c>
      <c r="C1305" s="944">
        <v>0</v>
      </c>
    </row>
    <row r="1306" spans="1:3" x14ac:dyDescent="0.35">
      <c r="A1306" s="943" t="s">
        <v>5336</v>
      </c>
      <c r="B1306" t="s">
        <v>3720</v>
      </c>
      <c r="C1306" s="944">
        <v>0</v>
      </c>
    </row>
    <row r="1307" spans="1:3" x14ac:dyDescent="0.35">
      <c r="A1307" s="943" t="s">
        <v>5337</v>
      </c>
      <c r="B1307" t="s">
        <v>3934</v>
      </c>
      <c r="C1307" s="944">
        <v>0</v>
      </c>
    </row>
    <row r="1308" spans="1:3" x14ac:dyDescent="0.35">
      <c r="A1308" s="943" t="s">
        <v>5338</v>
      </c>
      <c r="B1308" t="s">
        <v>3723</v>
      </c>
      <c r="C1308" s="944">
        <v>0</v>
      </c>
    </row>
    <row r="1309" spans="1:3" x14ac:dyDescent="0.35">
      <c r="A1309" s="943" t="s">
        <v>5339</v>
      </c>
      <c r="B1309" t="s">
        <v>3968</v>
      </c>
      <c r="C1309" s="944">
        <v>0</v>
      </c>
    </row>
    <row r="1310" spans="1:3" x14ac:dyDescent="0.35">
      <c r="A1310" s="943" t="s">
        <v>5340</v>
      </c>
      <c r="B1310" t="s">
        <v>3718</v>
      </c>
      <c r="C1310" s="944">
        <v>0</v>
      </c>
    </row>
    <row r="1311" spans="1:3" x14ac:dyDescent="0.35">
      <c r="A1311" s="943" t="s">
        <v>5341</v>
      </c>
      <c r="B1311" t="s">
        <v>3996</v>
      </c>
      <c r="C1311" s="944">
        <v>0</v>
      </c>
    </row>
    <row r="1312" spans="1:3" x14ac:dyDescent="0.35">
      <c r="A1312" s="943" t="s">
        <v>5342</v>
      </c>
      <c r="B1312" t="s">
        <v>4029</v>
      </c>
      <c r="C1312" s="944">
        <v>0</v>
      </c>
    </row>
    <row r="1313" spans="1:3" x14ac:dyDescent="0.35">
      <c r="B1313" t="s">
        <v>4038</v>
      </c>
      <c r="C1313" s="944">
        <v>0</v>
      </c>
    </row>
    <row r="1314" spans="1:3" x14ac:dyDescent="0.35">
      <c r="A1314" s="943" t="s">
        <v>7881</v>
      </c>
      <c r="B1314" t="s">
        <v>4039</v>
      </c>
      <c r="C1314" s="944"/>
    </row>
    <row r="1315" spans="1:3" x14ac:dyDescent="0.35">
      <c r="A1315" s="943" t="s">
        <v>5343</v>
      </c>
      <c r="B1315" t="s">
        <v>4023</v>
      </c>
      <c r="C1315" s="944">
        <v>0</v>
      </c>
    </row>
    <row r="1316" spans="1:3" x14ac:dyDescent="0.35">
      <c r="A1316" s="943" t="s">
        <v>5344</v>
      </c>
      <c r="B1316" t="s">
        <v>3720</v>
      </c>
      <c r="C1316" s="944">
        <v>0</v>
      </c>
    </row>
    <row r="1317" spans="1:3" x14ac:dyDescent="0.35">
      <c r="A1317" s="943" t="s">
        <v>5345</v>
      </c>
      <c r="B1317" t="s">
        <v>3932</v>
      </c>
      <c r="C1317" s="944">
        <v>0</v>
      </c>
    </row>
    <row r="1318" spans="1:3" x14ac:dyDescent="0.35">
      <c r="A1318" s="943" t="s">
        <v>5346</v>
      </c>
      <c r="B1318" t="s">
        <v>4024</v>
      </c>
      <c r="C1318" s="944">
        <v>0</v>
      </c>
    </row>
    <row r="1319" spans="1:3" x14ac:dyDescent="0.35">
      <c r="A1319" s="943" t="s">
        <v>5347</v>
      </c>
      <c r="B1319" t="s">
        <v>4025</v>
      </c>
      <c r="C1319" s="944">
        <v>0</v>
      </c>
    </row>
    <row r="1320" spans="1:3" x14ac:dyDescent="0.35">
      <c r="A1320" s="943" t="s">
        <v>5348</v>
      </c>
      <c r="B1320" t="s">
        <v>4026</v>
      </c>
      <c r="C1320" s="944">
        <v>0</v>
      </c>
    </row>
    <row r="1321" spans="1:3" x14ac:dyDescent="0.35">
      <c r="A1321" s="943" t="s">
        <v>5349</v>
      </c>
      <c r="B1321" t="s">
        <v>3718</v>
      </c>
      <c r="C1321" s="944">
        <v>0</v>
      </c>
    </row>
    <row r="1322" spans="1:3" x14ac:dyDescent="0.35">
      <c r="A1322" s="943" t="s">
        <v>5350</v>
      </c>
      <c r="B1322" t="s">
        <v>3996</v>
      </c>
      <c r="C1322" s="944">
        <v>0</v>
      </c>
    </row>
    <row r="1323" spans="1:3" x14ac:dyDescent="0.35">
      <c r="A1323" s="943" t="s">
        <v>5351</v>
      </c>
      <c r="B1323" t="s">
        <v>4027</v>
      </c>
      <c r="C1323" s="944">
        <v>0</v>
      </c>
    </row>
    <row r="1324" spans="1:3" x14ac:dyDescent="0.35">
      <c r="A1324" s="943" t="s">
        <v>5352</v>
      </c>
      <c r="B1324" t="s">
        <v>350</v>
      </c>
      <c r="C1324" s="944">
        <v>0</v>
      </c>
    </row>
    <row r="1325" spans="1:3" x14ac:dyDescent="0.35">
      <c r="A1325" s="943" t="s">
        <v>5353</v>
      </c>
      <c r="B1325" t="s">
        <v>4028</v>
      </c>
      <c r="C1325" s="944">
        <v>0</v>
      </c>
    </row>
    <row r="1326" spans="1:3" x14ac:dyDescent="0.35">
      <c r="A1326" s="943" t="s">
        <v>5354</v>
      </c>
      <c r="B1326" t="s">
        <v>3720</v>
      </c>
      <c r="C1326" s="944">
        <v>0</v>
      </c>
    </row>
    <row r="1327" spans="1:3" x14ac:dyDescent="0.35">
      <c r="A1327" s="943" t="s">
        <v>5355</v>
      </c>
      <c r="B1327" t="s">
        <v>3934</v>
      </c>
      <c r="C1327" s="944">
        <v>0</v>
      </c>
    </row>
    <row r="1328" spans="1:3" x14ac:dyDescent="0.35">
      <c r="A1328" s="943" t="s">
        <v>5356</v>
      </c>
      <c r="B1328" t="s">
        <v>3723</v>
      </c>
      <c r="C1328" s="944">
        <v>0</v>
      </c>
    </row>
    <row r="1329" spans="1:3" x14ac:dyDescent="0.35">
      <c r="A1329" s="943" t="s">
        <v>5357</v>
      </c>
      <c r="B1329" t="s">
        <v>3968</v>
      </c>
      <c r="C1329" s="944">
        <v>0</v>
      </c>
    </row>
    <row r="1330" spans="1:3" x14ac:dyDescent="0.35">
      <c r="A1330" s="943" t="s">
        <v>5358</v>
      </c>
      <c r="B1330" t="s">
        <v>3718</v>
      </c>
      <c r="C1330" s="944">
        <v>0</v>
      </c>
    </row>
    <row r="1331" spans="1:3" x14ac:dyDescent="0.35">
      <c r="A1331" s="943" t="s">
        <v>5359</v>
      </c>
      <c r="B1331" t="s">
        <v>3996</v>
      </c>
      <c r="C1331" s="944">
        <v>0</v>
      </c>
    </row>
    <row r="1332" spans="1:3" x14ac:dyDescent="0.35">
      <c r="A1332" s="943" t="s">
        <v>5360</v>
      </c>
      <c r="B1332" t="s">
        <v>4029</v>
      </c>
      <c r="C1332" s="944">
        <v>0</v>
      </c>
    </row>
    <row r="1333" spans="1:3" x14ac:dyDescent="0.35">
      <c r="A1333" s="943" t="s">
        <v>5361</v>
      </c>
      <c r="B1333" t="s">
        <v>4030</v>
      </c>
      <c r="C1333" s="944">
        <v>0</v>
      </c>
    </row>
    <row r="1334" spans="1:3" x14ac:dyDescent="0.35">
      <c r="A1334" s="943" t="s">
        <v>5362</v>
      </c>
      <c r="B1334" t="s">
        <v>3720</v>
      </c>
      <c r="C1334" s="944">
        <v>0</v>
      </c>
    </row>
    <row r="1335" spans="1:3" x14ac:dyDescent="0.35">
      <c r="A1335" s="943" t="s">
        <v>5363</v>
      </c>
      <c r="B1335" t="s">
        <v>3934</v>
      </c>
      <c r="C1335" s="944">
        <v>0</v>
      </c>
    </row>
    <row r="1336" spans="1:3" x14ac:dyDescent="0.35">
      <c r="A1336" s="943" t="s">
        <v>5364</v>
      </c>
      <c r="B1336" t="s">
        <v>3723</v>
      </c>
      <c r="C1336" s="944">
        <v>0</v>
      </c>
    </row>
    <row r="1337" spans="1:3" x14ac:dyDescent="0.35">
      <c r="A1337" s="943" t="s">
        <v>5365</v>
      </c>
      <c r="B1337" t="s">
        <v>3968</v>
      </c>
      <c r="C1337" s="944">
        <v>0</v>
      </c>
    </row>
    <row r="1338" spans="1:3" x14ac:dyDescent="0.35">
      <c r="A1338" s="943" t="s">
        <v>5366</v>
      </c>
      <c r="B1338" t="s">
        <v>3718</v>
      </c>
      <c r="C1338" s="944">
        <v>0</v>
      </c>
    </row>
    <row r="1339" spans="1:3" x14ac:dyDescent="0.35">
      <c r="A1339" s="943" t="s">
        <v>5367</v>
      </c>
      <c r="B1339" t="s">
        <v>3996</v>
      </c>
      <c r="C1339" s="944">
        <v>0</v>
      </c>
    </row>
    <row r="1340" spans="1:3" x14ac:dyDescent="0.35">
      <c r="A1340" s="943" t="s">
        <v>5368</v>
      </c>
      <c r="B1340" t="s">
        <v>4029</v>
      </c>
      <c r="C1340" s="944">
        <v>0</v>
      </c>
    </row>
    <row r="1341" spans="1:3" x14ac:dyDescent="0.35">
      <c r="A1341" s="943" t="s">
        <v>5369</v>
      </c>
      <c r="B1341" t="s">
        <v>4031</v>
      </c>
      <c r="C1341" s="944">
        <v>0</v>
      </c>
    </row>
    <row r="1342" spans="1:3" x14ac:dyDescent="0.35">
      <c r="A1342" s="943" t="s">
        <v>5370</v>
      </c>
      <c r="B1342" t="s">
        <v>3720</v>
      </c>
      <c r="C1342" s="944">
        <v>0</v>
      </c>
    </row>
    <row r="1343" spans="1:3" x14ac:dyDescent="0.35">
      <c r="A1343" s="943" t="s">
        <v>5371</v>
      </c>
      <c r="B1343" t="s">
        <v>3934</v>
      </c>
      <c r="C1343" s="944">
        <v>0</v>
      </c>
    </row>
    <row r="1344" spans="1:3" x14ac:dyDescent="0.35">
      <c r="A1344" s="943" t="s">
        <v>5372</v>
      </c>
      <c r="B1344" t="s">
        <v>3723</v>
      </c>
      <c r="C1344" s="944">
        <v>0</v>
      </c>
    </row>
    <row r="1345" spans="1:3" x14ac:dyDescent="0.35">
      <c r="A1345" s="943" t="s">
        <v>5373</v>
      </c>
      <c r="B1345" t="s">
        <v>3968</v>
      </c>
      <c r="C1345" s="944">
        <v>0</v>
      </c>
    </row>
    <row r="1346" spans="1:3" x14ac:dyDescent="0.35">
      <c r="A1346" s="943" t="s">
        <v>5374</v>
      </c>
      <c r="B1346" t="s">
        <v>3718</v>
      </c>
      <c r="C1346" s="944">
        <v>0</v>
      </c>
    </row>
    <row r="1347" spans="1:3" x14ac:dyDescent="0.35">
      <c r="A1347" s="943" t="s">
        <v>5375</v>
      </c>
      <c r="B1347" t="s">
        <v>3996</v>
      </c>
      <c r="C1347" s="944">
        <v>0</v>
      </c>
    </row>
    <row r="1348" spans="1:3" x14ac:dyDescent="0.35">
      <c r="A1348" s="943" t="s">
        <v>5376</v>
      </c>
      <c r="B1348" t="s">
        <v>4029</v>
      </c>
      <c r="C1348" s="944">
        <v>0</v>
      </c>
    </row>
    <row r="1349" spans="1:3" x14ac:dyDescent="0.35">
      <c r="A1349" s="943" t="s">
        <v>5377</v>
      </c>
      <c r="B1349" t="s">
        <v>4032</v>
      </c>
      <c r="C1349" s="944">
        <v>0</v>
      </c>
    </row>
    <row r="1350" spans="1:3" x14ac:dyDescent="0.35">
      <c r="A1350" s="943" t="s">
        <v>5378</v>
      </c>
      <c r="B1350" t="s">
        <v>3720</v>
      </c>
      <c r="C1350" s="944">
        <v>0</v>
      </c>
    </row>
    <row r="1351" spans="1:3" x14ac:dyDescent="0.35">
      <c r="A1351" s="943" t="s">
        <v>5379</v>
      </c>
      <c r="B1351" t="s">
        <v>3934</v>
      </c>
      <c r="C1351" s="944">
        <v>0</v>
      </c>
    </row>
    <row r="1352" spans="1:3" x14ac:dyDescent="0.35">
      <c r="A1352" s="943" t="s">
        <v>5380</v>
      </c>
      <c r="B1352" t="s">
        <v>3723</v>
      </c>
      <c r="C1352" s="944">
        <v>0</v>
      </c>
    </row>
    <row r="1353" spans="1:3" x14ac:dyDescent="0.35">
      <c r="A1353" s="943" t="s">
        <v>5381</v>
      </c>
      <c r="B1353" t="s">
        <v>3968</v>
      </c>
      <c r="C1353" s="944">
        <v>0</v>
      </c>
    </row>
    <row r="1354" spans="1:3" x14ac:dyDescent="0.35">
      <c r="A1354" s="943" t="s">
        <v>5382</v>
      </c>
      <c r="B1354" t="s">
        <v>3718</v>
      </c>
      <c r="C1354" s="944">
        <v>0</v>
      </c>
    </row>
    <row r="1355" spans="1:3" x14ac:dyDescent="0.35">
      <c r="A1355" s="943" t="s">
        <v>5383</v>
      </c>
      <c r="B1355" t="s">
        <v>3996</v>
      </c>
      <c r="C1355" s="944">
        <v>0</v>
      </c>
    </row>
    <row r="1356" spans="1:3" x14ac:dyDescent="0.35">
      <c r="A1356" s="943" t="s">
        <v>5384</v>
      </c>
      <c r="B1356" t="s">
        <v>4029</v>
      </c>
      <c r="C1356" s="944">
        <v>0</v>
      </c>
    </row>
    <row r="1357" spans="1:3" x14ac:dyDescent="0.35">
      <c r="A1357" s="943" t="s">
        <v>5385</v>
      </c>
      <c r="B1357" t="s">
        <v>4033</v>
      </c>
      <c r="C1357" s="944">
        <v>0</v>
      </c>
    </row>
    <row r="1358" spans="1:3" x14ac:dyDescent="0.35">
      <c r="A1358" s="943" t="s">
        <v>5386</v>
      </c>
      <c r="B1358" t="s">
        <v>3720</v>
      </c>
      <c r="C1358" s="944">
        <v>0</v>
      </c>
    </row>
    <row r="1359" spans="1:3" x14ac:dyDescent="0.35">
      <c r="A1359" s="943" t="s">
        <v>5387</v>
      </c>
      <c r="B1359" t="s">
        <v>3934</v>
      </c>
      <c r="C1359" s="944">
        <v>0</v>
      </c>
    </row>
    <row r="1360" spans="1:3" x14ac:dyDescent="0.35">
      <c r="A1360" s="943" t="s">
        <v>5388</v>
      </c>
      <c r="B1360" t="s">
        <v>3723</v>
      </c>
      <c r="C1360" s="944">
        <v>0</v>
      </c>
    </row>
    <row r="1361" spans="1:3" x14ac:dyDescent="0.35">
      <c r="A1361" s="943" t="s">
        <v>5389</v>
      </c>
      <c r="B1361" t="s">
        <v>3968</v>
      </c>
      <c r="C1361" s="944">
        <v>0</v>
      </c>
    </row>
    <row r="1362" spans="1:3" x14ac:dyDescent="0.35">
      <c r="A1362" s="943" t="s">
        <v>5390</v>
      </c>
      <c r="B1362" t="s">
        <v>3718</v>
      </c>
      <c r="C1362" s="944">
        <v>0</v>
      </c>
    </row>
    <row r="1363" spans="1:3" x14ac:dyDescent="0.35">
      <c r="A1363" s="943" t="s">
        <v>5391</v>
      </c>
      <c r="B1363" t="s">
        <v>3996</v>
      </c>
      <c r="C1363" s="944">
        <v>0</v>
      </c>
    </row>
    <row r="1364" spans="1:3" x14ac:dyDescent="0.35">
      <c r="A1364" s="943" t="s">
        <v>5392</v>
      </c>
      <c r="B1364" t="s">
        <v>4034</v>
      </c>
      <c r="C1364" s="944">
        <v>0</v>
      </c>
    </row>
    <row r="1365" spans="1:3" x14ac:dyDescent="0.35">
      <c r="A1365" s="943" t="s">
        <v>5393</v>
      </c>
      <c r="B1365" t="s">
        <v>4029</v>
      </c>
      <c r="C1365" s="944">
        <v>0</v>
      </c>
    </row>
    <row r="1366" spans="1:3" x14ac:dyDescent="0.35">
      <c r="A1366" s="943" t="s">
        <v>5394</v>
      </c>
      <c r="B1366" t="s">
        <v>4035</v>
      </c>
      <c r="C1366" s="944">
        <v>0</v>
      </c>
    </row>
    <row r="1367" spans="1:3" x14ac:dyDescent="0.35">
      <c r="A1367" s="943" t="s">
        <v>5395</v>
      </c>
      <c r="B1367" t="s">
        <v>3720</v>
      </c>
      <c r="C1367" s="944">
        <v>0</v>
      </c>
    </row>
    <row r="1368" spans="1:3" x14ac:dyDescent="0.35">
      <c r="A1368" s="943" t="s">
        <v>5396</v>
      </c>
      <c r="B1368" t="s">
        <v>3934</v>
      </c>
      <c r="C1368" s="944">
        <v>0</v>
      </c>
    </row>
    <row r="1369" spans="1:3" x14ac:dyDescent="0.35">
      <c r="A1369" s="943" t="s">
        <v>5397</v>
      </c>
      <c r="B1369" t="s">
        <v>3723</v>
      </c>
      <c r="C1369" s="944">
        <v>0</v>
      </c>
    </row>
    <row r="1370" spans="1:3" x14ac:dyDescent="0.35">
      <c r="A1370" s="943" t="s">
        <v>5398</v>
      </c>
      <c r="B1370" t="s">
        <v>3968</v>
      </c>
      <c r="C1370" s="944">
        <v>0</v>
      </c>
    </row>
    <row r="1371" spans="1:3" x14ac:dyDescent="0.35">
      <c r="A1371" s="943" t="s">
        <v>5399</v>
      </c>
      <c r="B1371" t="s">
        <v>3718</v>
      </c>
      <c r="C1371" s="944">
        <v>0</v>
      </c>
    </row>
    <row r="1372" spans="1:3" x14ac:dyDescent="0.35">
      <c r="A1372" s="943" t="s">
        <v>5400</v>
      </c>
      <c r="B1372" t="s">
        <v>3996</v>
      </c>
      <c r="C1372" s="944">
        <v>0</v>
      </c>
    </row>
    <row r="1373" spans="1:3" x14ac:dyDescent="0.35">
      <c r="A1373" s="943" t="s">
        <v>5401</v>
      </c>
      <c r="B1373" t="s">
        <v>4029</v>
      </c>
      <c r="C1373" s="944">
        <v>0</v>
      </c>
    </row>
    <row r="1374" spans="1:3" x14ac:dyDescent="0.35">
      <c r="A1374" s="943" t="s">
        <v>5402</v>
      </c>
      <c r="B1374" t="s">
        <v>4036</v>
      </c>
      <c r="C1374" s="944">
        <v>0</v>
      </c>
    </row>
    <row r="1375" spans="1:3" x14ac:dyDescent="0.35">
      <c r="A1375" s="943" t="s">
        <v>5403</v>
      </c>
      <c r="B1375" t="s">
        <v>3720</v>
      </c>
      <c r="C1375" s="944">
        <v>0</v>
      </c>
    </row>
    <row r="1376" spans="1:3" x14ac:dyDescent="0.35">
      <c r="A1376" s="943" t="s">
        <v>5404</v>
      </c>
      <c r="B1376" t="s">
        <v>3934</v>
      </c>
      <c r="C1376" s="944">
        <v>0</v>
      </c>
    </row>
    <row r="1377" spans="1:3" x14ac:dyDescent="0.35">
      <c r="A1377" s="943" t="s">
        <v>5405</v>
      </c>
      <c r="B1377" t="s">
        <v>3723</v>
      </c>
      <c r="C1377" s="944">
        <v>0</v>
      </c>
    </row>
    <row r="1378" spans="1:3" x14ac:dyDescent="0.35">
      <c r="A1378" s="943" t="s">
        <v>5406</v>
      </c>
      <c r="B1378" t="s">
        <v>3968</v>
      </c>
      <c r="C1378" s="944">
        <v>0</v>
      </c>
    </row>
    <row r="1379" spans="1:3" x14ac:dyDescent="0.35">
      <c r="A1379" s="943" t="s">
        <v>5407</v>
      </c>
      <c r="B1379" t="s">
        <v>3718</v>
      </c>
      <c r="C1379" s="944">
        <v>0</v>
      </c>
    </row>
    <row r="1380" spans="1:3" x14ac:dyDescent="0.35">
      <c r="A1380" s="943" t="s">
        <v>5408</v>
      </c>
      <c r="B1380" t="s">
        <v>3996</v>
      </c>
      <c r="C1380" s="944">
        <v>0</v>
      </c>
    </row>
    <row r="1381" spans="1:3" x14ac:dyDescent="0.35">
      <c r="A1381" s="943" t="s">
        <v>5409</v>
      </c>
      <c r="B1381" t="s">
        <v>4029</v>
      </c>
      <c r="C1381" s="944">
        <v>0</v>
      </c>
    </row>
    <row r="1382" spans="1:3" x14ac:dyDescent="0.35">
      <c r="A1382" s="943" t="s">
        <v>5410</v>
      </c>
      <c r="B1382" t="s">
        <v>4037</v>
      </c>
      <c r="C1382" s="944">
        <v>0</v>
      </c>
    </row>
    <row r="1383" spans="1:3" x14ac:dyDescent="0.35">
      <c r="A1383" s="943" t="s">
        <v>5411</v>
      </c>
      <c r="B1383" t="s">
        <v>3720</v>
      </c>
      <c r="C1383" s="944">
        <v>0</v>
      </c>
    </row>
    <row r="1384" spans="1:3" x14ac:dyDescent="0.35">
      <c r="A1384" s="943" t="s">
        <v>5412</v>
      </c>
      <c r="B1384" t="s">
        <v>3934</v>
      </c>
      <c r="C1384" s="944">
        <v>0</v>
      </c>
    </row>
    <row r="1385" spans="1:3" x14ac:dyDescent="0.35">
      <c r="A1385" s="943" t="s">
        <v>5413</v>
      </c>
      <c r="B1385" t="s">
        <v>3723</v>
      </c>
      <c r="C1385" s="944">
        <v>0</v>
      </c>
    </row>
    <row r="1386" spans="1:3" x14ac:dyDescent="0.35">
      <c r="A1386" s="943" t="s">
        <v>5414</v>
      </c>
      <c r="B1386" t="s">
        <v>3968</v>
      </c>
      <c r="C1386" s="944">
        <v>0</v>
      </c>
    </row>
    <row r="1387" spans="1:3" x14ac:dyDescent="0.35">
      <c r="A1387" s="943" t="s">
        <v>5415</v>
      </c>
      <c r="B1387" t="s">
        <v>3718</v>
      </c>
      <c r="C1387" s="944">
        <v>0</v>
      </c>
    </row>
    <row r="1388" spans="1:3" x14ac:dyDescent="0.35">
      <c r="A1388" s="943" t="s">
        <v>5416</v>
      </c>
      <c r="B1388" t="s">
        <v>3996</v>
      </c>
      <c r="C1388" s="944">
        <v>0</v>
      </c>
    </row>
    <row r="1389" spans="1:3" x14ac:dyDescent="0.35">
      <c r="A1389" s="943" t="s">
        <v>5417</v>
      </c>
      <c r="B1389" t="s">
        <v>4029</v>
      </c>
      <c r="C1389" s="944">
        <v>0</v>
      </c>
    </row>
    <row r="1390" spans="1:3" x14ac:dyDescent="0.35">
      <c r="B1390" t="s">
        <v>4040</v>
      </c>
      <c r="C1390" s="944">
        <v>0</v>
      </c>
    </row>
    <row r="1391" spans="1:3" x14ac:dyDescent="0.35">
      <c r="A1391" s="943" t="s">
        <v>7882</v>
      </c>
      <c r="B1391" t="s">
        <v>4041</v>
      </c>
      <c r="C1391" s="944"/>
    </row>
    <row r="1392" spans="1:3" x14ac:dyDescent="0.35">
      <c r="A1392" s="943" t="s">
        <v>5418</v>
      </c>
      <c r="B1392" t="s">
        <v>4023</v>
      </c>
      <c r="C1392" s="944">
        <v>0</v>
      </c>
    </row>
    <row r="1393" spans="1:3" x14ac:dyDescent="0.35">
      <c r="A1393" s="943" t="s">
        <v>5419</v>
      </c>
      <c r="B1393" t="s">
        <v>3720</v>
      </c>
      <c r="C1393" s="944">
        <v>42500</v>
      </c>
    </row>
    <row r="1394" spans="1:3" x14ac:dyDescent="0.35">
      <c r="A1394" s="943" t="s">
        <v>5420</v>
      </c>
      <c r="B1394" t="s">
        <v>3932</v>
      </c>
      <c r="C1394" s="944">
        <v>0</v>
      </c>
    </row>
    <row r="1395" spans="1:3" x14ac:dyDescent="0.35">
      <c r="A1395" s="943" t="s">
        <v>5421</v>
      </c>
      <c r="B1395" t="s">
        <v>4024</v>
      </c>
      <c r="C1395" s="944">
        <v>213800</v>
      </c>
    </row>
    <row r="1396" spans="1:3" x14ac:dyDescent="0.35">
      <c r="A1396" s="943" t="s">
        <v>5422</v>
      </c>
      <c r="B1396" t="s">
        <v>4025</v>
      </c>
      <c r="C1396" s="944">
        <v>0</v>
      </c>
    </row>
    <row r="1397" spans="1:3" x14ac:dyDescent="0.35">
      <c r="A1397" s="943" t="s">
        <v>5423</v>
      </c>
      <c r="B1397" t="s">
        <v>4026</v>
      </c>
      <c r="C1397" s="944">
        <v>0</v>
      </c>
    </row>
    <row r="1398" spans="1:3" x14ac:dyDescent="0.35">
      <c r="A1398" s="943" t="s">
        <v>5424</v>
      </c>
      <c r="B1398" t="s">
        <v>3718</v>
      </c>
      <c r="C1398" s="944">
        <v>234000</v>
      </c>
    </row>
    <row r="1399" spans="1:3" x14ac:dyDescent="0.35">
      <c r="A1399" s="943" t="s">
        <v>5425</v>
      </c>
      <c r="B1399" t="s">
        <v>3996</v>
      </c>
      <c r="C1399" s="944">
        <v>0</v>
      </c>
    </row>
    <row r="1400" spans="1:3" x14ac:dyDescent="0.35">
      <c r="A1400" s="943" t="s">
        <v>5426</v>
      </c>
      <c r="B1400" t="s">
        <v>4027</v>
      </c>
      <c r="C1400" s="944">
        <v>0</v>
      </c>
    </row>
    <row r="1401" spans="1:3" x14ac:dyDescent="0.35">
      <c r="A1401" s="943" t="s">
        <v>5427</v>
      </c>
      <c r="B1401" t="s">
        <v>350</v>
      </c>
      <c r="C1401" s="944">
        <v>4761000</v>
      </c>
    </row>
    <row r="1402" spans="1:3" x14ac:dyDescent="0.35">
      <c r="A1402" s="943" t="s">
        <v>5428</v>
      </c>
      <c r="B1402" t="s">
        <v>4028</v>
      </c>
      <c r="C1402" s="944">
        <v>0</v>
      </c>
    </row>
    <row r="1403" spans="1:3" x14ac:dyDescent="0.35">
      <c r="A1403" s="943" t="s">
        <v>5429</v>
      </c>
      <c r="B1403" t="s">
        <v>3720</v>
      </c>
      <c r="C1403" s="944">
        <v>0</v>
      </c>
    </row>
    <row r="1404" spans="1:3" x14ac:dyDescent="0.35">
      <c r="A1404" s="943" t="s">
        <v>5430</v>
      </c>
      <c r="B1404" t="s">
        <v>3934</v>
      </c>
      <c r="C1404" s="944">
        <v>0</v>
      </c>
    </row>
    <row r="1405" spans="1:3" x14ac:dyDescent="0.35">
      <c r="A1405" s="943" t="s">
        <v>5431</v>
      </c>
      <c r="B1405" t="s">
        <v>3723</v>
      </c>
      <c r="C1405" s="944">
        <v>0</v>
      </c>
    </row>
    <row r="1406" spans="1:3" x14ac:dyDescent="0.35">
      <c r="A1406" s="943" t="s">
        <v>5432</v>
      </c>
      <c r="B1406" t="s">
        <v>3968</v>
      </c>
      <c r="C1406" s="944">
        <v>0</v>
      </c>
    </row>
    <row r="1407" spans="1:3" x14ac:dyDescent="0.35">
      <c r="A1407" s="943" t="s">
        <v>5433</v>
      </c>
      <c r="B1407" t="s">
        <v>3718</v>
      </c>
      <c r="C1407" s="944">
        <v>338000</v>
      </c>
    </row>
    <row r="1408" spans="1:3" x14ac:dyDescent="0.35">
      <c r="A1408" s="943" t="s">
        <v>5434</v>
      </c>
      <c r="B1408" t="s">
        <v>3996</v>
      </c>
      <c r="C1408" s="944">
        <v>0</v>
      </c>
    </row>
    <row r="1409" spans="1:3" x14ac:dyDescent="0.35">
      <c r="A1409" s="943" t="s">
        <v>5435</v>
      </c>
      <c r="B1409" t="s">
        <v>4029</v>
      </c>
      <c r="C1409" s="944">
        <v>0</v>
      </c>
    </row>
    <row r="1410" spans="1:3" x14ac:dyDescent="0.35">
      <c r="A1410" s="943" t="s">
        <v>5436</v>
      </c>
      <c r="B1410" t="s">
        <v>4030</v>
      </c>
      <c r="C1410" s="944">
        <v>0</v>
      </c>
    </row>
    <row r="1411" spans="1:3" x14ac:dyDescent="0.35">
      <c r="A1411" s="943" t="s">
        <v>5437</v>
      </c>
      <c r="B1411" t="s">
        <v>3720</v>
      </c>
      <c r="C1411" s="944">
        <v>0</v>
      </c>
    </row>
    <row r="1412" spans="1:3" x14ac:dyDescent="0.35">
      <c r="A1412" s="943" t="s">
        <v>5438</v>
      </c>
      <c r="B1412" t="s">
        <v>3934</v>
      </c>
      <c r="C1412" s="944">
        <v>0</v>
      </c>
    </row>
    <row r="1413" spans="1:3" x14ac:dyDescent="0.35">
      <c r="A1413" s="943" t="s">
        <v>5439</v>
      </c>
      <c r="B1413" t="s">
        <v>3723</v>
      </c>
      <c r="C1413" s="944">
        <v>0</v>
      </c>
    </row>
    <row r="1414" spans="1:3" x14ac:dyDescent="0.35">
      <c r="A1414" s="943" t="s">
        <v>5440</v>
      </c>
      <c r="B1414" t="s">
        <v>3968</v>
      </c>
      <c r="C1414" s="944">
        <v>0</v>
      </c>
    </row>
    <row r="1415" spans="1:3" x14ac:dyDescent="0.35">
      <c r="A1415" s="943" t="s">
        <v>5441</v>
      </c>
      <c r="B1415" t="s">
        <v>3718</v>
      </c>
      <c r="C1415" s="944">
        <v>0</v>
      </c>
    </row>
    <row r="1416" spans="1:3" x14ac:dyDescent="0.35">
      <c r="A1416" s="943" t="s">
        <v>5442</v>
      </c>
      <c r="B1416" t="s">
        <v>3996</v>
      </c>
      <c r="C1416" s="944">
        <v>0</v>
      </c>
    </row>
    <row r="1417" spans="1:3" x14ac:dyDescent="0.35">
      <c r="A1417" s="943" t="s">
        <v>5443</v>
      </c>
      <c r="B1417" t="s">
        <v>4029</v>
      </c>
      <c r="C1417" s="944">
        <v>0</v>
      </c>
    </row>
    <row r="1418" spans="1:3" x14ac:dyDescent="0.35">
      <c r="A1418" s="943" t="s">
        <v>5444</v>
      </c>
      <c r="B1418" t="s">
        <v>4031</v>
      </c>
      <c r="C1418" s="944">
        <v>0</v>
      </c>
    </row>
    <row r="1419" spans="1:3" x14ac:dyDescent="0.35">
      <c r="A1419" s="943" t="s">
        <v>5445</v>
      </c>
      <c r="B1419" t="s">
        <v>3720</v>
      </c>
      <c r="C1419" s="944">
        <v>0</v>
      </c>
    </row>
    <row r="1420" spans="1:3" x14ac:dyDescent="0.35">
      <c r="A1420" s="943" t="s">
        <v>5446</v>
      </c>
      <c r="B1420" t="s">
        <v>3934</v>
      </c>
      <c r="C1420" s="944">
        <v>0</v>
      </c>
    </row>
    <row r="1421" spans="1:3" x14ac:dyDescent="0.35">
      <c r="A1421" s="943" t="s">
        <v>5447</v>
      </c>
      <c r="B1421" t="s">
        <v>3723</v>
      </c>
      <c r="C1421" s="944">
        <v>0</v>
      </c>
    </row>
    <row r="1422" spans="1:3" x14ac:dyDescent="0.35">
      <c r="A1422" s="943" t="s">
        <v>5448</v>
      </c>
      <c r="B1422" t="s">
        <v>3968</v>
      </c>
      <c r="C1422" s="944">
        <v>0</v>
      </c>
    </row>
    <row r="1423" spans="1:3" x14ac:dyDescent="0.35">
      <c r="A1423" s="943" t="s">
        <v>5449</v>
      </c>
      <c r="B1423" t="s">
        <v>3718</v>
      </c>
      <c r="C1423" s="944">
        <v>100000</v>
      </c>
    </row>
    <row r="1424" spans="1:3" x14ac:dyDescent="0.35">
      <c r="A1424" s="943" t="s">
        <v>5450</v>
      </c>
      <c r="B1424" t="s">
        <v>3996</v>
      </c>
      <c r="C1424" s="944">
        <v>0</v>
      </c>
    </row>
    <row r="1425" spans="1:3" x14ac:dyDescent="0.35">
      <c r="A1425" s="943" t="s">
        <v>5451</v>
      </c>
      <c r="B1425" t="s">
        <v>4029</v>
      </c>
      <c r="C1425" s="944">
        <v>0</v>
      </c>
    </row>
    <row r="1426" spans="1:3" x14ac:dyDescent="0.35">
      <c r="A1426" s="943" t="s">
        <v>5452</v>
      </c>
      <c r="B1426" t="s">
        <v>4032</v>
      </c>
      <c r="C1426" s="944">
        <v>0</v>
      </c>
    </row>
    <row r="1427" spans="1:3" x14ac:dyDescent="0.35">
      <c r="A1427" s="943" t="s">
        <v>5453</v>
      </c>
      <c r="B1427" t="s">
        <v>3720</v>
      </c>
      <c r="C1427" s="944">
        <v>0</v>
      </c>
    </row>
    <row r="1428" spans="1:3" x14ac:dyDescent="0.35">
      <c r="A1428" s="943" t="s">
        <v>5454</v>
      </c>
      <c r="B1428" t="s">
        <v>3934</v>
      </c>
      <c r="C1428" s="944">
        <v>0</v>
      </c>
    </row>
    <row r="1429" spans="1:3" x14ac:dyDescent="0.35">
      <c r="A1429" s="943" t="s">
        <v>5455</v>
      </c>
      <c r="B1429" t="s">
        <v>3723</v>
      </c>
      <c r="C1429" s="944">
        <v>0</v>
      </c>
    </row>
    <row r="1430" spans="1:3" x14ac:dyDescent="0.35">
      <c r="A1430" s="943" t="s">
        <v>5456</v>
      </c>
      <c r="B1430" t="s">
        <v>3968</v>
      </c>
      <c r="C1430" s="944">
        <v>0</v>
      </c>
    </row>
    <row r="1431" spans="1:3" x14ac:dyDescent="0.35">
      <c r="A1431" s="943" t="s">
        <v>5457</v>
      </c>
      <c r="B1431" t="s">
        <v>3718</v>
      </c>
      <c r="C1431" s="944">
        <v>0</v>
      </c>
    </row>
    <row r="1432" spans="1:3" x14ac:dyDescent="0.35">
      <c r="A1432" s="943" t="s">
        <v>5458</v>
      </c>
      <c r="B1432" t="s">
        <v>3996</v>
      </c>
      <c r="C1432" s="944">
        <v>0</v>
      </c>
    </row>
    <row r="1433" spans="1:3" x14ac:dyDescent="0.35">
      <c r="A1433" s="943" t="s">
        <v>5459</v>
      </c>
      <c r="B1433" t="s">
        <v>4029</v>
      </c>
      <c r="C1433" s="944">
        <v>0</v>
      </c>
    </row>
    <row r="1434" spans="1:3" x14ac:dyDescent="0.35">
      <c r="A1434" s="943" t="s">
        <v>5460</v>
      </c>
      <c r="B1434" t="s">
        <v>4033</v>
      </c>
      <c r="C1434" s="944">
        <v>0</v>
      </c>
    </row>
    <row r="1435" spans="1:3" x14ac:dyDescent="0.35">
      <c r="A1435" s="943" t="s">
        <v>5461</v>
      </c>
      <c r="B1435" t="s">
        <v>3720</v>
      </c>
      <c r="C1435" s="944">
        <v>0</v>
      </c>
    </row>
    <row r="1436" spans="1:3" x14ac:dyDescent="0.35">
      <c r="A1436" s="943" t="s">
        <v>5462</v>
      </c>
      <c r="B1436" t="s">
        <v>3934</v>
      </c>
      <c r="C1436" s="944">
        <v>0</v>
      </c>
    </row>
    <row r="1437" spans="1:3" x14ac:dyDescent="0.35">
      <c r="A1437" s="943" t="s">
        <v>5463</v>
      </c>
      <c r="B1437" t="s">
        <v>3723</v>
      </c>
      <c r="C1437" s="944">
        <v>0</v>
      </c>
    </row>
    <row r="1438" spans="1:3" x14ac:dyDescent="0.35">
      <c r="A1438" s="943" t="s">
        <v>5464</v>
      </c>
      <c r="B1438" t="s">
        <v>3968</v>
      </c>
      <c r="C1438" s="944">
        <v>0</v>
      </c>
    </row>
    <row r="1439" spans="1:3" x14ac:dyDescent="0.35">
      <c r="A1439" s="943" t="s">
        <v>5465</v>
      </c>
      <c r="B1439" t="s">
        <v>3718</v>
      </c>
      <c r="C1439" s="944">
        <v>100000</v>
      </c>
    </row>
    <row r="1440" spans="1:3" x14ac:dyDescent="0.35">
      <c r="A1440" s="943" t="s">
        <v>5466</v>
      </c>
      <c r="B1440" t="s">
        <v>3996</v>
      </c>
      <c r="C1440" s="944">
        <v>0</v>
      </c>
    </row>
    <row r="1441" spans="1:3" x14ac:dyDescent="0.35">
      <c r="A1441" s="943" t="s">
        <v>5467</v>
      </c>
      <c r="B1441" t="s">
        <v>4034</v>
      </c>
      <c r="C1441" s="944">
        <v>0</v>
      </c>
    </row>
    <row r="1442" spans="1:3" x14ac:dyDescent="0.35">
      <c r="A1442" s="943" t="s">
        <v>5468</v>
      </c>
      <c r="B1442" t="s">
        <v>4029</v>
      </c>
      <c r="C1442" s="944">
        <v>0</v>
      </c>
    </row>
    <row r="1443" spans="1:3" x14ac:dyDescent="0.35">
      <c r="A1443" s="943" t="s">
        <v>5469</v>
      </c>
      <c r="B1443" t="s">
        <v>4035</v>
      </c>
      <c r="C1443" s="944">
        <v>0</v>
      </c>
    </row>
    <row r="1444" spans="1:3" x14ac:dyDescent="0.35">
      <c r="A1444" s="943" t="s">
        <v>5470</v>
      </c>
      <c r="B1444" t="s">
        <v>3720</v>
      </c>
      <c r="C1444" s="944">
        <v>0</v>
      </c>
    </row>
    <row r="1445" spans="1:3" x14ac:dyDescent="0.35">
      <c r="A1445" s="943" t="s">
        <v>5471</v>
      </c>
      <c r="B1445" t="s">
        <v>3934</v>
      </c>
      <c r="C1445" s="944">
        <v>0</v>
      </c>
    </row>
    <row r="1446" spans="1:3" x14ac:dyDescent="0.35">
      <c r="A1446" s="943" t="s">
        <v>5472</v>
      </c>
      <c r="B1446" t="s">
        <v>3723</v>
      </c>
      <c r="C1446" s="944">
        <v>0</v>
      </c>
    </row>
    <row r="1447" spans="1:3" x14ac:dyDescent="0.35">
      <c r="A1447" s="943" t="s">
        <v>5473</v>
      </c>
      <c r="B1447" t="s">
        <v>3968</v>
      </c>
      <c r="C1447" s="944">
        <v>0</v>
      </c>
    </row>
    <row r="1448" spans="1:3" x14ac:dyDescent="0.35">
      <c r="A1448" s="943" t="s">
        <v>5474</v>
      </c>
      <c r="B1448" t="s">
        <v>3718</v>
      </c>
      <c r="C1448" s="944">
        <v>0</v>
      </c>
    </row>
    <row r="1449" spans="1:3" x14ac:dyDescent="0.35">
      <c r="A1449" s="943" t="s">
        <v>5475</v>
      </c>
      <c r="B1449" t="s">
        <v>3996</v>
      </c>
      <c r="C1449" s="944">
        <v>0</v>
      </c>
    </row>
    <row r="1450" spans="1:3" x14ac:dyDescent="0.35">
      <c r="A1450" s="943" t="s">
        <v>5476</v>
      </c>
      <c r="B1450" t="s">
        <v>4029</v>
      </c>
      <c r="C1450" s="944">
        <v>0</v>
      </c>
    </row>
    <row r="1451" spans="1:3" x14ac:dyDescent="0.35">
      <c r="A1451" s="943" t="s">
        <v>5477</v>
      </c>
      <c r="B1451" t="s">
        <v>4036</v>
      </c>
      <c r="C1451" s="944">
        <v>0</v>
      </c>
    </row>
    <row r="1452" spans="1:3" x14ac:dyDescent="0.35">
      <c r="A1452" s="943" t="s">
        <v>5478</v>
      </c>
      <c r="B1452" t="s">
        <v>3720</v>
      </c>
      <c r="C1452" s="944">
        <v>0</v>
      </c>
    </row>
    <row r="1453" spans="1:3" x14ac:dyDescent="0.35">
      <c r="A1453" s="943" t="s">
        <v>5479</v>
      </c>
      <c r="B1453" t="s">
        <v>3934</v>
      </c>
      <c r="C1453" s="944">
        <v>200000</v>
      </c>
    </row>
    <row r="1454" spans="1:3" x14ac:dyDescent="0.35">
      <c r="A1454" s="943" t="s">
        <v>5480</v>
      </c>
      <c r="B1454" t="s">
        <v>3723</v>
      </c>
      <c r="C1454" s="944">
        <v>0</v>
      </c>
    </row>
    <row r="1455" spans="1:3" x14ac:dyDescent="0.35">
      <c r="A1455" s="943" t="s">
        <v>5481</v>
      </c>
      <c r="B1455" t="s">
        <v>3968</v>
      </c>
      <c r="C1455" s="944">
        <v>0</v>
      </c>
    </row>
    <row r="1456" spans="1:3" x14ac:dyDescent="0.35">
      <c r="A1456" s="943" t="s">
        <v>5482</v>
      </c>
      <c r="B1456" t="s">
        <v>3718</v>
      </c>
      <c r="C1456" s="944">
        <v>50000</v>
      </c>
    </row>
    <row r="1457" spans="1:3" x14ac:dyDescent="0.35">
      <c r="A1457" s="943" t="s">
        <v>5483</v>
      </c>
      <c r="B1457" t="s">
        <v>3996</v>
      </c>
      <c r="C1457" s="944">
        <v>0</v>
      </c>
    </row>
    <row r="1458" spans="1:3" x14ac:dyDescent="0.35">
      <c r="A1458" s="943" t="s">
        <v>5484</v>
      </c>
      <c r="B1458" t="s">
        <v>4029</v>
      </c>
      <c r="C1458" s="944">
        <v>0</v>
      </c>
    </row>
    <row r="1459" spans="1:3" x14ac:dyDescent="0.35">
      <c r="A1459" s="943" t="s">
        <v>5485</v>
      </c>
      <c r="B1459" t="s">
        <v>4037</v>
      </c>
      <c r="C1459" s="944">
        <v>0</v>
      </c>
    </row>
    <row r="1460" spans="1:3" x14ac:dyDescent="0.35">
      <c r="A1460" s="943" t="s">
        <v>5486</v>
      </c>
      <c r="B1460" t="s">
        <v>3720</v>
      </c>
      <c r="C1460" s="944">
        <v>139000</v>
      </c>
    </row>
    <row r="1461" spans="1:3" x14ac:dyDescent="0.35">
      <c r="A1461" s="943" t="s">
        <v>5487</v>
      </c>
      <c r="B1461" t="s">
        <v>3934</v>
      </c>
      <c r="C1461" s="944">
        <v>46700</v>
      </c>
    </row>
    <row r="1462" spans="1:3" x14ac:dyDescent="0.35">
      <c r="A1462" s="943" t="s">
        <v>5488</v>
      </c>
      <c r="B1462" t="s">
        <v>3723</v>
      </c>
      <c r="C1462" s="944">
        <v>0</v>
      </c>
    </row>
    <row r="1463" spans="1:3" x14ac:dyDescent="0.35">
      <c r="A1463" s="943" t="s">
        <v>5489</v>
      </c>
      <c r="B1463" t="s">
        <v>3968</v>
      </c>
      <c r="C1463" s="944">
        <v>0</v>
      </c>
    </row>
    <row r="1464" spans="1:3" x14ac:dyDescent="0.35">
      <c r="A1464" s="943" t="s">
        <v>5490</v>
      </c>
      <c r="B1464" t="s">
        <v>3718</v>
      </c>
      <c r="C1464" s="944">
        <v>40000</v>
      </c>
    </row>
    <row r="1465" spans="1:3" x14ac:dyDescent="0.35">
      <c r="A1465" s="943" t="s">
        <v>5491</v>
      </c>
      <c r="B1465" t="s">
        <v>3996</v>
      </c>
      <c r="C1465" s="944">
        <v>0</v>
      </c>
    </row>
    <row r="1466" spans="1:3" x14ac:dyDescent="0.35">
      <c r="A1466" s="943" t="s">
        <v>5492</v>
      </c>
      <c r="B1466" t="s">
        <v>4029</v>
      </c>
      <c r="C1466" s="944">
        <v>0</v>
      </c>
    </row>
    <row r="1467" spans="1:3" x14ac:dyDescent="0.35">
      <c r="B1467" t="s">
        <v>4042</v>
      </c>
      <c r="C1467" s="944">
        <v>6265000</v>
      </c>
    </row>
    <row r="1468" spans="1:3" x14ac:dyDescent="0.35">
      <c r="A1468" s="943" t="s">
        <v>7883</v>
      </c>
      <c r="B1468" t="s">
        <v>4043</v>
      </c>
      <c r="C1468" s="944"/>
    </row>
    <row r="1469" spans="1:3" x14ac:dyDescent="0.35">
      <c r="A1469" s="943" t="s">
        <v>5493</v>
      </c>
      <c r="B1469" t="s">
        <v>3720</v>
      </c>
      <c r="C1469" s="944">
        <v>0</v>
      </c>
    </row>
    <row r="1470" spans="1:3" x14ac:dyDescent="0.35">
      <c r="A1470" s="943" t="s">
        <v>5494</v>
      </c>
      <c r="B1470" t="s">
        <v>3934</v>
      </c>
      <c r="C1470" s="944">
        <v>0</v>
      </c>
    </row>
    <row r="1471" spans="1:3" x14ac:dyDescent="0.35">
      <c r="A1471" s="943" t="s">
        <v>5495</v>
      </c>
      <c r="B1471" t="s">
        <v>3935</v>
      </c>
      <c r="C1471" s="944">
        <v>0</v>
      </c>
    </row>
    <row r="1472" spans="1:3" x14ac:dyDescent="0.35">
      <c r="A1472" s="943" t="s">
        <v>5496</v>
      </c>
      <c r="B1472" t="s">
        <v>3968</v>
      </c>
      <c r="C1472" s="944">
        <v>0</v>
      </c>
    </row>
    <row r="1473" spans="1:3" x14ac:dyDescent="0.35">
      <c r="A1473" s="943" t="s">
        <v>5497</v>
      </c>
      <c r="B1473" t="s">
        <v>3648</v>
      </c>
      <c r="C1473" s="944">
        <v>0</v>
      </c>
    </row>
    <row r="1474" spans="1:3" x14ac:dyDescent="0.35">
      <c r="A1474" s="943" t="s">
        <v>5498</v>
      </c>
      <c r="B1474" t="s">
        <v>3996</v>
      </c>
      <c r="C1474" s="944">
        <v>0</v>
      </c>
    </row>
    <row r="1475" spans="1:3" x14ac:dyDescent="0.35">
      <c r="A1475" s="943" t="s">
        <v>5499</v>
      </c>
      <c r="B1475" t="s">
        <v>350</v>
      </c>
      <c r="C1475" s="944">
        <v>0</v>
      </c>
    </row>
    <row r="1476" spans="1:3" x14ac:dyDescent="0.35">
      <c r="B1476" t="s">
        <v>4044</v>
      </c>
      <c r="C1476" s="944">
        <v>0</v>
      </c>
    </row>
    <row r="1477" spans="1:3" x14ac:dyDescent="0.35">
      <c r="A1477" s="943" t="s">
        <v>7884</v>
      </c>
      <c r="B1477" t="s">
        <v>4045</v>
      </c>
      <c r="C1477" s="944"/>
    </row>
    <row r="1478" spans="1:3" x14ac:dyDescent="0.35">
      <c r="A1478" s="943" t="s">
        <v>5500</v>
      </c>
      <c r="B1478" t="s">
        <v>3720</v>
      </c>
      <c r="C1478" s="944">
        <v>0</v>
      </c>
    </row>
    <row r="1479" spans="1:3" x14ac:dyDescent="0.35">
      <c r="A1479" s="943" t="s">
        <v>5501</v>
      </c>
      <c r="B1479" t="s">
        <v>4046</v>
      </c>
      <c r="C1479" s="944">
        <v>0</v>
      </c>
    </row>
    <row r="1480" spans="1:3" x14ac:dyDescent="0.35">
      <c r="A1480" s="943" t="s">
        <v>5502</v>
      </c>
      <c r="B1480" t="s">
        <v>4047</v>
      </c>
      <c r="C1480" s="944">
        <v>0</v>
      </c>
    </row>
    <row r="1481" spans="1:3" x14ac:dyDescent="0.35">
      <c r="A1481" s="943" t="s">
        <v>5503</v>
      </c>
      <c r="B1481" t="s">
        <v>4048</v>
      </c>
      <c r="C1481" s="944">
        <v>0</v>
      </c>
    </row>
    <row r="1482" spans="1:3" x14ac:dyDescent="0.35">
      <c r="A1482" s="943" t="s">
        <v>5504</v>
      </c>
      <c r="B1482" t="s">
        <v>3935</v>
      </c>
      <c r="C1482" s="944">
        <v>0</v>
      </c>
    </row>
    <row r="1483" spans="1:3" x14ac:dyDescent="0.35">
      <c r="A1483" s="943" t="s">
        <v>5505</v>
      </c>
      <c r="B1483" t="s">
        <v>3968</v>
      </c>
      <c r="C1483" s="944">
        <v>0</v>
      </c>
    </row>
    <row r="1484" spans="1:3" x14ac:dyDescent="0.35">
      <c r="A1484" s="943" t="s">
        <v>5506</v>
      </c>
      <c r="B1484" t="s">
        <v>3648</v>
      </c>
      <c r="C1484" s="944">
        <v>0</v>
      </c>
    </row>
    <row r="1485" spans="1:3" x14ac:dyDescent="0.35">
      <c r="A1485" s="943" t="s">
        <v>5507</v>
      </c>
      <c r="B1485" t="s">
        <v>3996</v>
      </c>
      <c r="C1485" s="944">
        <v>0</v>
      </c>
    </row>
    <row r="1486" spans="1:3" x14ac:dyDescent="0.35">
      <c r="A1486" s="943" t="s">
        <v>5508</v>
      </c>
      <c r="B1486" t="s">
        <v>350</v>
      </c>
      <c r="C1486" s="944">
        <v>0</v>
      </c>
    </row>
    <row r="1487" spans="1:3" x14ac:dyDescent="0.35">
      <c r="B1487" t="s">
        <v>4049</v>
      </c>
      <c r="C1487" s="944">
        <v>0</v>
      </c>
    </row>
    <row r="1488" spans="1:3" x14ac:dyDescent="0.35">
      <c r="A1488" s="943" t="s">
        <v>7885</v>
      </c>
      <c r="B1488" t="s">
        <v>4050</v>
      </c>
      <c r="C1488" s="944"/>
    </row>
    <row r="1489" spans="1:3" x14ac:dyDescent="0.35">
      <c r="A1489" s="943" t="s">
        <v>5509</v>
      </c>
      <c r="B1489" t="s">
        <v>4051</v>
      </c>
      <c r="C1489" s="944">
        <v>0</v>
      </c>
    </row>
    <row r="1490" spans="1:3" x14ac:dyDescent="0.35">
      <c r="A1490" s="943" t="s">
        <v>5510</v>
      </c>
      <c r="B1490" t="s">
        <v>3720</v>
      </c>
      <c r="C1490" s="944">
        <v>0</v>
      </c>
    </row>
    <row r="1491" spans="1:3" x14ac:dyDescent="0.35">
      <c r="A1491" s="943" t="s">
        <v>5511</v>
      </c>
      <c r="B1491" t="s">
        <v>3993</v>
      </c>
      <c r="C1491" s="944">
        <v>0</v>
      </c>
    </row>
    <row r="1492" spans="1:3" x14ac:dyDescent="0.35">
      <c r="A1492" s="943" t="s">
        <v>5512</v>
      </c>
      <c r="B1492" t="s">
        <v>3998</v>
      </c>
      <c r="C1492" s="944">
        <v>0</v>
      </c>
    </row>
    <row r="1493" spans="1:3" x14ac:dyDescent="0.35">
      <c r="A1493" s="943" t="s">
        <v>5513</v>
      </c>
      <c r="B1493" t="s">
        <v>4048</v>
      </c>
      <c r="C1493" s="944">
        <v>0</v>
      </c>
    </row>
    <row r="1494" spans="1:3" x14ac:dyDescent="0.35">
      <c r="A1494" s="943" t="s">
        <v>5514</v>
      </c>
      <c r="B1494" t="s">
        <v>3935</v>
      </c>
      <c r="C1494" s="944">
        <v>0</v>
      </c>
    </row>
    <row r="1495" spans="1:3" x14ac:dyDescent="0.35">
      <c r="A1495" s="943" t="s">
        <v>5515</v>
      </c>
      <c r="B1495" t="s">
        <v>3968</v>
      </c>
      <c r="C1495" s="944">
        <v>0</v>
      </c>
    </row>
    <row r="1496" spans="1:3" x14ac:dyDescent="0.35">
      <c r="A1496" s="943" t="s">
        <v>5516</v>
      </c>
      <c r="B1496" t="s">
        <v>3648</v>
      </c>
      <c r="C1496" s="944">
        <v>0</v>
      </c>
    </row>
    <row r="1497" spans="1:3" x14ac:dyDescent="0.35">
      <c r="A1497" s="943" t="s">
        <v>5517</v>
      </c>
      <c r="B1497" t="s">
        <v>3996</v>
      </c>
      <c r="C1497" s="944">
        <v>0</v>
      </c>
    </row>
    <row r="1498" spans="1:3" x14ac:dyDescent="0.35">
      <c r="A1498" s="943" t="s">
        <v>5518</v>
      </c>
      <c r="B1498" t="s">
        <v>350</v>
      </c>
      <c r="C1498" s="944">
        <v>0</v>
      </c>
    </row>
    <row r="1499" spans="1:3" x14ac:dyDescent="0.35">
      <c r="A1499" s="943" t="s">
        <v>5519</v>
      </c>
      <c r="B1499" t="s">
        <v>4052</v>
      </c>
      <c r="C1499" s="944">
        <v>0</v>
      </c>
    </row>
    <row r="1500" spans="1:3" x14ac:dyDescent="0.35">
      <c r="A1500" s="943" t="s">
        <v>5520</v>
      </c>
      <c r="B1500" t="s">
        <v>3720</v>
      </c>
      <c r="C1500" s="944">
        <v>0</v>
      </c>
    </row>
    <row r="1501" spans="1:3" x14ac:dyDescent="0.35">
      <c r="A1501" s="943" t="s">
        <v>5521</v>
      </c>
      <c r="B1501" t="s">
        <v>3993</v>
      </c>
      <c r="C1501" s="944">
        <v>0</v>
      </c>
    </row>
    <row r="1502" spans="1:3" x14ac:dyDescent="0.35">
      <c r="A1502" s="943" t="s">
        <v>5522</v>
      </c>
      <c r="B1502" t="s">
        <v>3998</v>
      </c>
      <c r="C1502" s="944">
        <v>0</v>
      </c>
    </row>
    <row r="1503" spans="1:3" x14ac:dyDescent="0.35">
      <c r="A1503" s="943" t="s">
        <v>5523</v>
      </c>
      <c r="B1503" t="s">
        <v>4048</v>
      </c>
      <c r="C1503" s="944">
        <v>0</v>
      </c>
    </row>
    <row r="1504" spans="1:3" x14ac:dyDescent="0.35">
      <c r="A1504" s="943" t="s">
        <v>5524</v>
      </c>
      <c r="B1504" t="s">
        <v>3935</v>
      </c>
      <c r="C1504" s="944">
        <v>0</v>
      </c>
    </row>
    <row r="1505" spans="1:3" x14ac:dyDescent="0.35">
      <c r="A1505" s="943" t="s">
        <v>5525</v>
      </c>
      <c r="B1505" t="s">
        <v>3968</v>
      </c>
      <c r="C1505" s="944">
        <v>0</v>
      </c>
    </row>
    <row r="1506" spans="1:3" x14ac:dyDescent="0.35">
      <c r="A1506" s="943" t="s">
        <v>5526</v>
      </c>
      <c r="B1506" t="s">
        <v>3648</v>
      </c>
      <c r="C1506" s="944">
        <v>0</v>
      </c>
    </row>
    <row r="1507" spans="1:3" x14ac:dyDescent="0.35">
      <c r="A1507" s="943" t="s">
        <v>5527</v>
      </c>
      <c r="B1507" t="s">
        <v>3996</v>
      </c>
      <c r="C1507" s="944">
        <v>0</v>
      </c>
    </row>
    <row r="1508" spans="1:3" x14ac:dyDescent="0.35">
      <c r="A1508" s="943" t="s">
        <v>5528</v>
      </c>
      <c r="B1508" t="s">
        <v>350</v>
      </c>
      <c r="C1508" s="944">
        <v>0</v>
      </c>
    </row>
    <row r="1509" spans="1:3" x14ac:dyDescent="0.35">
      <c r="B1509" t="s">
        <v>4053</v>
      </c>
      <c r="C1509" s="944">
        <v>0</v>
      </c>
    </row>
    <row r="1510" spans="1:3" x14ac:dyDescent="0.35">
      <c r="A1510" s="943" t="s">
        <v>7886</v>
      </c>
      <c r="B1510" t="s">
        <v>4054</v>
      </c>
      <c r="C1510" s="944"/>
    </row>
    <row r="1511" spans="1:3" x14ac:dyDescent="0.35">
      <c r="A1511" s="943" t="s">
        <v>5529</v>
      </c>
      <c r="B1511" t="s">
        <v>4055</v>
      </c>
      <c r="C1511" s="944">
        <v>0</v>
      </c>
    </row>
    <row r="1512" spans="1:3" x14ac:dyDescent="0.35">
      <c r="A1512" s="943" t="s">
        <v>5530</v>
      </c>
      <c r="B1512" t="s">
        <v>3720</v>
      </c>
      <c r="C1512" s="944">
        <v>0</v>
      </c>
    </row>
    <row r="1513" spans="1:3" x14ac:dyDescent="0.35">
      <c r="A1513" s="943" t="s">
        <v>5531</v>
      </c>
      <c r="B1513" t="s">
        <v>3932</v>
      </c>
      <c r="C1513" s="944">
        <v>0</v>
      </c>
    </row>
    <row r="1514" spans="1:3" x14ac:dyDescent="0.35">
      <c r="A1514" s="943" t="s">
        <v>5532</v>
      </c>
      <c r="B1514" t="s">
        <v>3723</v>
      </c>
      <c r="C1514" s="944">
        <v>0</v>
      </c>
    </row>
    <row r="1515" spans="1:3" x14ac:dyDescent="0.35">
      <c r="A1515" s="943" t="s">
        <v>5533</v>
      </c>
      <c r="B1515" t="s">
        <v>3648</v>
      </c>
      <c r="C1515" s="944">
        <v>0</v>
      </c>
    </row>
    <row r="1516" spans="1:3" x14ac:dyDescent="0.35">
      <c r="A1516" s="943" t="s">
        <v>5534</v>
      </c>
      <c r="B1516" t="s">
        <v>4056</v>
      </c>
      <c r="C1516" s="944">
        <v>0</v>
      </c>
    </row>
    <row r="1517" spans="1:3" x14ac:dyDescent="0.35">
      <c r="A1517" s="943" t="s">
        <v>5535</v>
      </c>
      <c r="B1517" t="s">
        <v>3934</v>
      </c>
      <c r="C1517" s="944">
        <v>0</v>
      </c>
    </row>
    <row r="1518" spans="1:3" x14ac:dyDescent="0.35">
      <c r="A1518" s="943" t="s">
        <v>5536</v>
      </c>
      <c r="B1518" t="s">
        <v>3968</v>
      </c>
      <c r="C1518" s="944">
        <v>0</v>
      </c>
    </row>
    <row r="1519" spans="1:3" x14ac:dyDescent="0.35">
      <c r="A1519" s="943" t="s">
        <v>5537</v>
      </c>
      <c r="B1519" t="s">
        <v>350</v>
      </c>
      <c r="C1519" s="944">
        <v>0</v>
      </c>
    </row>
    <row r="1520" spans="1:3" x14ac:dyDescent="0.35">
      <c r="A1520" s="943" t="s">
        <v>5538</v>
      </c>
      <c r="B1520" t="s">
        <v>4057</v>
      </c>
      <c r="C1520" s="944">
        <v>0</v>
      </c>
    </row>
    <row r="1521" spans="1:3" x14ac:dyDescent="0.35">
      <c r="A1521" s="943" t="s">
        <v>5539</v>
      </c>
      <c r="B1521" t="s">
        <v>4058</v>
      </c>
      <c r="C1521" s="944">
        <v>0</v>
      </c>
    </row>
    <row r="1522" spans="1:3" x14ac:dyDescent="0.35">
      <c r="A1522" s="943" t="s">
        <v>5540</v>
      </c>
      <c r="B1522" t="s">
        <v>4059</v>
      </c>
      <c r="C1522" s="944">
        <v>0</v>
      </c>
    </row>
    <row r="1523" spans="1:3" x14ac:dyDescent="0.35">
      <c r="A1523" s="943" t="s">
        <v>5541</v>
      </c>
      <c r="B1523" t="s">
        <v>4060</v>
      </c>
      <c r="C1523" s="944">
        <v>0</v>
      </c>
    </row>
    <row r="1524" spans="1:3" x14ac:dyDescent="0.35">
      <c r="A1524" s="943" t="s">
        <v>5542</v>
      </c>
      <c r="B1524" t="s">
        <v>4061</v>
      </c>
      <c r="C1524" s="944">
        <v>0</v>
      </c>
    </row>
    <row r="1525" spans="1:3" x14ac:dyDescent="0.35">
      <c r="A1525" s="943" t="s">
        <v>5543</v>
      </c>
      <c r="B1525" t="s">
        <v>3723</v>
      </c>
      <c r="C1525" s="944">
        <v>0</v>
      </c>
    </row>
    <row r="1526" spans="1:3" x14ac:dyDescent="0.35">
      <c r="A1526" s="943" t="s">
        <v>5544</v>
      </c>
      <c r="B1526" t="s">
        <v>3648</v>
      </c>
      <c r="C1526" s="944">
        <v>0</v>
      </c>
    </row>
    <row r="1527" spans="1:3" x14ac:dyDescent="0.35">
      <c r="A1527" s="943" t="s">
        <v>5545</v>
      </c>
      <c r="B1527" t="s">
        <v>4056</v>
      </c>
      <c r="C1527" s="944">
        <v>0</v>
      </c>
    </row>
    <row r="1528" spans="1:3" x14ac:dyDescent="0.35">
      <c r="A1528" s="943" t="s">
        <v>5546</v>
      </c>
      <c r="B1528" t="s">
        <v>3934</v>
      </c>
      <c r="C1528" s="944">
        <v>0</v>
      </c>
    </row>
    <row r="1529" spans="1:3" x14ac:dyDescent="0.35">
      <c r="A1529" s="943" t="s">
        <v>5547</v>
      </c>
      <c r="B1529" t="s">
        <v>350</v>
      </c>
      <c r="C1529" s="944">
        <v>0</v>
      </c>
    </row>
    <row r="1530" spans="1:3" x14ac:dyDescent="0.35">
      <c r="B1530" t="s">
        <v>4062</v>
      </c>
      <c r="C1530" s="944">
        <v>0</v>
      </c>
    </row>
    <row r="1531" spans="1:3" x14ac:dyDescent="0.35">
      <c r="B1531" t="s">
        <v>4063</v>
      </c>
      <c r="C1531" s="944">
        <v>6265000</v>
      </c>
    </row>
    <row r="1532" spans="1:3" x14ac:dyDescent="0.35">
      <c r="A1532" s="943" t="s">
        <v>7887</v>
      </c>
      <c r="B1532" t="s">
        <v>4064</v>
      </c>
      <c r="C1532" s="944"/>
    </row>
    <row r="1533" spans="1:3" x14ac:dyDescent="0.35">
      <c r="A1533" s="943" t="s">
        <v>7888</v>
      </c>
      <c r="B1533" t="s">
        <v>4065</v>
      </c>
      <c r="C1533" s="944"/>
    </row>
    <row r="1534" spans="1:3" x14ac:dyDescent="0.35">
      <c r="A1534" s="943" t="s">
        <v>5548</v>
      </c>
      <c r="B1534" t="s">
        <v>3599</v>
      </c>
      <c r="C1534" s="944">
        <v>0</v>
      </c>
    </row>
    <row r="1535" spans="1:3" x14ac:dyDescent="0.35">
      <c r="A1535" s="943" t="s">
        <v>5549</v>
      </c>
      <c r="B1535" t="s">
        <v>3601</v>
      </c>
      <c r="C1535" s="944">
        <v>0</v>
      </c>
    </row>
    <row r="1536" spans="1:3" x14ac:dyDescent="0.35">
      <c r="A1536" s="943" t="s">
        <v>5550</v>
      </c>
      <c r="B1536" t="s">
        <v>3603</v>
      </c>
      <c r="C1536" s="944">
        <v>0</v>
      </c>
    </row>
    <row r="1537" spans="1:3" x14ac:dyDescent="0.35">
      <c r="A1537" s="943" t="s">
        <v>5551</v>
      </c>
      <c r="B1537" t="s">
        <v>3605</v>
      </c>
      <c r="C1537" s="944">
        <v>0</v>
      </c>
    </row>
    <row r="1538" spans="1:3" x14ac:dyDescent="0.35">
      <c r="A1538" s="943" t="s">
        <v>5552</v>
      </c>
      <c r="B1538" t="s">
        <v>3607</v>
      </c>
      <c r="C1538" s="944">
        <v>0</v>
      </c>
    </row>
    <row r="1539" spans="1:3" x14ac:dyDescent="0.35">
      <c r="A1539" s="943" t="s">
        <v>5553</v>
      </c>
      <c r="B1539" t="s">
        <v>3609</v>
      </c>
      <c r="C1539" s="944">
        <v>0</v>
      </c>
    </row>
    <row r="1540" spans="1:3" x14ac:dyDescent="0.35">
      <c r="A1540" s="943" t="s">
        <v>5554</v>
      </c>
      <c r="B1540" t="s">
        <v>3611</v>
      </c>
      <c r="C1540" s="944">
        <v>0</v>
      </c>
    </row>
    <row r="1541" spans="1:3" x14ac:dyDescent="0.35">
      <c r="A1541" s="943" t="s">
        <v>5555</v>
      </c>
      <c r="B1541" t="s">
        <v>3613</v>
      </c>
      <c r="C1541" s="944">
        <v>0</v>
      </c>
    </row>
    <row r="1542" spans="1:3" x14ac:dyDescent="0.35">
      <c r="A1542" s="943" t="s">
        <v>5556</v>
      </c>
      <c r="B1542" t="s">
        <v>3615</v>
      </c>
      <c r="C1542" s="944">
        <v>0</v>
      </c>
    </row>
    <row r="1543" spans="1:3" x14ac:dyDescent="0.35">
      <c r="A1543" s="943" t="s">
        <v>5557</v>
      </c>
      <c r="B1543" t="s">
        <v>3617</v>
      </c>
      <c r="C1543" s="944">
        <v>0</v>
      </c>
    </row>
    <row r="1544" spans="1:3" x14ac:dyDescent="0.35">
      <c r="A1544" s="943" t="s">
        <v>5558</v>
      </c>
      <c r="B1544" t="s">
        <v>3619</v>
      </c>
      <c r="C1544" s="944">
        <v>0</v>
      </c>
    </row>
    <row r="1545" spans="1:3" x14ac:dyDescent="0.35">
      <c r="A1545" s="943" t="s">
        <v>5559</v>
      </c>
      <c r="B1545" t="s">
        <v>3621</v>
      </c>
      <c r="C1545" s="944">
        <v>0</v>
      </c>
    </row>
    <row r="1546" spans="1:3" x14ac:dyDescent="0.35">
      <c r="A1546" s="943" t="s">
        <v>5560</v>
      </c>
      <c r="B1546" t="s">
        <v>3623</v>
      </c>
      <c r="C1546" s="944">
        <v>0</v>
      </c>
    </row>
    <row r="1547" spans="1:3" x14ac:dyDescent="0.35">
      <c r="A1547" s="943" t="s">
        <v>5561</v>
      </c>
      <c r="B1547" t="s">
        <v>3625</v>
      </c>
      <c r="C1547" s="944">
        <v>0</v>
      </c>
    </row>
    <row r="1548" spans="1:3" x14ac:dyDescent="0.35">
      <c r="A1548" s="943" t="s">
        <v>5562</v>
      </c>
      <c r="B1548" t="s">
        <v>3627</v>
      </c>
      <c r="C1548" s="944">
        <v>0</v>
      </c>
    </row>
    <row r="1549" spans="1:3" x14ac:dyDescent="0.35">
      <c r="A1549" s="943" t="s">
        <v>5563</v>
      </c>
      <c r="B1549" t="s">
        <v>3629</v>
      </c>
      <c r="C1549" s="944">
        <v>0</v>
      </c>
    </row>
    <row r="1550" spans="1:3" x14ac:dyDescent="0.35">
      <c r="A1550" s="943" t="s">
        <v>5564</v>
      </c>
      <c r="B1550" t="s">
        <v>3631</v>
      </c>
      <c r="C1550" s="944">
        <v>0</v>
      </c>
    </row>
    <row r="1551" spans="1:3" x14ac:dyDescent="0.35">
      <c r="A1551" s="943" t="s">
        <v>5565</v>
      </c>
      <c r="B1551" t="s">
        <v>3633</v>
      </c>
      <c r="C1551" s="944">
        <v>0</v>
      </c>
    </row>
    <row r="1552" spans="1:3" x14ac:dyDescent="0.35">
      <c r="A1552" s="943" t="s">
        <v>5566</v>
      </c>
      <c r="B1552" t="s">
        <v>3635</v>
      </c>
      <c r="C1552" s="944">
        <v>0</v>
      </c>
    </row>
    <row r="1553" spans="1:3" x14ac:dyDescent="0.35">
      <c r="A1553" s="943" t="s">
        <v>5567</v>
      </c>
      <c r="B1553" t="s">
        <v>3637</v>
      </c>
      <c r="C1553" s="944">
        <v>0</v>
      </c>
    </row>
    <row r="1554" spans="1:3" x14ac:dyDescent="0.35">
      <c r="A1554" s="943" t="s">
        <v>5568</v>
      </c>
      <c r="B1554" t="s">
        <v>334</v>
      </c>
      <c r="C1554" s="944">
        <v>0</v>
      </c>
    </row>
    <row r="1555" spans="1:3" x14ac:dyDescent="0.35">
      <c r="A1555" s="943" t="s">
        <v>5569</v>
      </c>
      <c r="B1555" t="s">
        <v>3640</v>
      </c>
      <c r="C1555" s="944">
        <v>0</v>
      </c>
    </row>
    <row r="1556" spans="1:3" x14ac:dyDescent="0.35">
      <c r="A1556" s="943" t="s">
        <v>5570</v>
      </c>
      <c r="B1556" t="s">
        <v>3642</v>
      </c>
      <c r="C1556" s="944">
        <v>0</v>
      </c>
    </row>
    <row r="1557" spans="1:3" x14ac:dyDescent="0.35">
      <c r="A1557" s="943" t="s">
        <v>5571</v>
      </c>
      <c r="B1557" t="s">
        <v>3644</v>
      </c>
      <c r="C1557" s="944">
        <v>0</v>
      </c>
    </row>
    <row r="1558" spans="1:3" x14ac:dyDescent="0.35">
      <c r="A1558" s="943" t="s">
        <v>5572</v>
      </c>
      <c r="B1558" t="s">
        <v>3646</v>
      </c>
      <c r="C1558" s="944">
        <v>0</v>
      </c>
    </row>
    <row r="1559" spans="1:3" x14ac:dyDescent="0.35">
      <c r="A1559" s="943" t="s">
        <v>5573</v>
      </c>
      <c r="B1559" t="s">
        <v>3648</v>
      </c>
      <c r="C1559" s="944">
        <v>0</v>
      </c>
    </row>
    <row r="1560" spans="1:3" x14ac:dyDescent="0.35">
      <c r="A1560" s="943" t="s">
        <v>5574</v>
      </c>
      <c r="B1560" t="s">
        <v>3650</v>
      </c>
      <c r="C1560" s="944">
        <v>0</v>
      </c>
    </row>
    <row r="1561" spans="1:3" x14ac:dyDescent="0.35">
      <c r="A1561" s="943" t="s">
        <v>5575</v>
      </c>
      <c r="B1561" t="s">
        <v>3652</v>
      </c>
      <c r="C1561" s="944">
        <v>0</v>
      </c>
    </row>
    <row r="1562" spans="1:3" x14ac:dyDescent="0.35">
      <c r="A1562" s="943" t="s">
        <v>5576</v>
      </c>
      <c r="B1562" t="s">
        <v>3654</v>
      </c>
      <c r="C1562" s="944">
        <v>0</v>
      </c>
    </row>
    <row r="1563" spans="1:3" x14ac:dyDescent="0.35">
      <c r="A1563" s="943" t="s">
        <v>5577</v>
      </c>
      <c r="B1563" t="s">
        <v>3656</v>
      </c>
      <c r="C1563" s="944">
        <v>0</v>
      </c>
    </row>
    <row r="1564" spans="1:3" x14ac:dyDescent="0.35">
      <c r="A1564" s="943" t="s">
        <v>5578</v>
      </c>
      <c r="B1564" t="s">
        <v>3658</v>
      </c>
      <c r="C1564" s="944">
        <v>0</v>
      </c>
    </row>
    <row r="1565" spans="1:3" x14ac:dyDescent="0.35">
      <c r="A1565" s="943" t="s">
        <v>5579</v>
      </c>
      <c r="B1565" t="s">
        <v>3660</v>
      </c>
      <c r="C1565" s="944">
        <v>0</v>
      </c>
    </row>
    <row r="1566" spans="1:3" x14ac:dyDescent="0.35">
      <c r="A1566" s="943" t="s">
        <v>5580</v>
      </c>
      <c r="B1566" t="s">
        <v>3662</v>
      </c>
      <c r="C1566" s="944">
        <v>0</v>
      </c>
    </row>
    <row r="1567" spans="1:3" x14ac:dyDescent="0.35">
      <c r="A1567" s="943" t="s">
        <v>5581</v>
      </c>
      <c r="B1567" t="s">
        <v>3664</v>
      </c>
      <c r="C1567" s="944">
        <v>0</v>
      </c>
    </row>
    <row r="1568" spans="1:3" x14ac:dyDescent="0.35">
      <c r="A1568" s="943" t="s">
        <v>5582</v>
      </c>
      <c r="B1568" t="s">
        <v>3666</v>
      </c>
      <c r="C1568" s="944">
        <v>0</v>
      </c>
    </row>
    <row r="1569" spans="1:3" x14ac:dyDescent="0.35">
      <c r="A1569" s="943" t="s">
        <v>5583</v>
      </c>
      <c r="B1569" t="s">
        <v>3668</v>
      </c>
      <c r="C1569" s="944">
        <v>0</v>
      </c>
    </row>
    <row r="1570" spans="1:3" x14ac:dyDescent="0.35">
      <c r="A1570" s="943" t="s">
        <v>5584</v>
      </c>
      <c r="B1570" t="s">
        <v>350</v>
      </c>
      <c r="C1570" s="944">
        <v>0</v>
      </c>
    </row>
    <row r="1571" spans="1:3" x14ac:dyDescent="0.35">
      <c r="A1571" s="943" t="s">
        <v>5585</v>
      </c>
      <c r="B1571" t="s">
        <v>3671</v>
      </c>
      <c r="C1571" s="944">
        <v>0</v>
      </c>
    </row>
    <row r="1572" spans="1:3" x14ac:dyDescent="0.35">
      <c r="A1572" s="943" t="s">
        <v>5586</v>
      </c>
      <c r="B1572" t="s">
        <v>3673</v>
      </c>
      <c r="C1572" s="944">
        <v>0</v>
      </c>
    </row>
    <row r="1573" spans="1:3" x14ac:dyDescent="0.35">
      <c r="A1573" s="943" t="s">
        <v>5587</v>
      </c>
      <c r="B1573" t="s">
        <v>3675</v>
      </c>
      <c r="C1573" s="944">
        <v>0</v>
      </c>
    </row>
    <row r="1574" spans="1:3" x14ac:dyDescent="0.35">
      <c r="A1574" s="943" t="s">
        <v>5588</v>
      </c>
      <c r="B1574" t="s">
        <v>3677</v>
      </c>
      <c r="C1574" s="944">
        <v>0</v>
      </c>
    </row>
    <row r="1575" spans="1:3" x14ac:dyDescent="0.35">
      <c r="A1575" s="943" t="s">
        <v>5589</v>
      </c>
      <c r="B1575" t="s">
        <v>3679</v>
      </c>
      <c r="C1575" s="944">
        <v>0</v>
      </c>
    </row>
    <row r="1576" spans="1:3" x14ac:dyDescent="0.35">
      <c r="A1576" s="943" t="s">
        <v>5590</v>
      </c>
      <c r="B1576" t="s">
        <v>3681</v>
      </c>
      <c r="C1576" s="944">
        <v>0</v>
      </c>
    </row>
    <row r="1577" spans="1:3" x14ac:dyDescent="0.35">
      <c r="A1577" s="943" t="s">
        <v>5591</v>
      </c>
      <c r="B1577" t="s">
        <v>3683</v>
      </c>
      <c r="C1577" s="944">
        <v>0</v>
      </c>
    </row>
    <row r="1578" spans="1:3" x14ac:dyDescent="0.35">
      <c r="A1578" s="943" t="s">
        <v>5592</v>
      </c>
      <c r="B1578" t="s">
        <v>3685</v>
      </c>
      <c r="C1578" s="944">
        <v>0</v>
      </c>
    </row>
    <row r="1579" spans="1:3" x14ac:dyDescent="0.35">
      <c r="A1579" s="943" t="s">
        <v>5593</v>
      </c>
      <c r="B1579" t="s">
        <v>3687</v>
      </c>
      <c r="C1579" s="944">
        <v>0</v>
      </c>
    </row>
    <row r="1580" spans="1:3" x14ac:dyDescent="0.35">
      <c r="A1580" s="943" t="s">
        <v>5594</v>
      </c>
      <c r="B1580" t="s">
        <v>3689</v>
      </c>
      <c r="C1580" s="944">
        <v>0</v>
      </c>
    </row>
    <row r="1581" spans="1:3" x14ac:dyDescent="0.35">
      <c r="A1581" s="943" t="s">
        <v>5595</v>
      </c>
      <c r="B1581" t="s">
        <v>4066</v>
      </c>
      <c r="C1581" s="944">
        <v>0</v>
      </c>
    </row>
    <row r="1582" spans="1:3" x14ac:dyDescent="0.35">
      <c r="A1582" s="943" t="s">
        <v>5596</v>
      </c>
      <c r="B1582" t="s">
        <v>4067</v>
      </c>
      <c r="C1582" s="944">
        <v>0</v>
      </c>
    </row>
    <row r="1583" spans="1:3" x14ac:dyDescent="0.35">
      <c r="A1583" s="943" t="s">
        <v>5597</v>
      </c>
      <c r="B1583" t="s">
        <v>4068</v>
      </c>
      <c r="C1583" s="944">
        <v>0</v>
      </c>
    </row>
    <row r="1584" spans="1:3" x14ac:dyDescent="0.35">
      <c r="A1584" s="943" t="s">
        <v>5598</v>
      </c>
      <c r="B1584" t="s">
        <v>4069</v>
      </c>
      <c r="C1584" s="944">
        <v>0</v>
      </c>
    </row>
    <row r="1585" spans="1:3" x14ac:dyDescent="0.35">
      <c r="A1585" s="943" t="s">
        <v>5599</v>
      </c>
      <c r="B1585" t="s">
        <v>4070</v>
      </c>
      <c r="C1585" s="944">
        <v>0</v>
      </c>
    </row>
    <row r="1586" spans="1:3" x14ac:dyDescent="0.35">
      <c r="A1586" s="943" t="s">
        <v>5600</v>
      </c>
      <c r="B1586" t="s">
        <v>4071</v>
      </c>
      <c r="C1586" s="944">
        <v>0</v>
      </c>
    </row>
    <row r="1587" spans="1:3" x14ac:dyDescent="0.35">
      <c r="A1587" s="943" t="s">
        <v>5601</v>
      </c>
      <c r="B1587" t="s">
        <v>4072</v>
      </c>
      <c r="C1587" s="944">
        <v>0</v>
      </c>
    </row>
    <row r="1588" spans="1:3" x14ac:dyDescent="0.35">
      <c r="A1588" s="943" t="s">
        <v>5602</v>
      </c>
      <c r="B1588" t="s">
        <v>4073</v>
      </c>
      <c r="C1588" s="944">
        <v>0</v>
      </c>
    </row>
    <row r="1589" spans="1:3" x14ac:dyDescent="0.35">
      <c r="A1589" s="943" t="s">
        <v>5603</v>
      </c>
      <c r="B1589" t="s">
        <v>4074</v>
      </c>
      <c r="C1589" s="944">
        <v>0</v>
      </c>
    </row>
    <row r="1590" spans="1:3" x14ac:dyDescent="0.35">
      <c r="A1590" s="943" t="s">
        <v>5604</v>
      </c>
      <c r="B1590" t="s">
        <v>4075</v>
      </c>
      <c r="C1590" s="944">
        <v>0</v>
      </c>
    </row>
    <row r="1591" spans="1:3" x14ac:dyDescent="0.35">
      <c r="A1591" s="943" t="s">
        <v>5605</v>
      </c>
      <c r="B1591" t="s">
        <v>3963</v>
      </c>
      <c r="C1591" s="944">
        <v>0</v>
      </c>
    </row>
    <row r="1592" spans="1:3" x14ac:dyDescent="0.35">
      <c r="B1592" t="s">
        <v>4076</v>
      </c>
      <c r="C1592" s="944">
        <v>0</v>
      </c>
    </row>
    <row r="1593" spans="1:3" x14ac:dyDescent="0.35">
      <c r="A1593" s="943" t="s">
        <v>7889</v>
      </c>
      <c r="B1593" t="s">
        <v>4077</v>
      </c>
      <c r="C1593" s="944"/>
    </row>
    <row r="1594" spans="1:3" x14ac:dyDescent="0.35">
      <c r="A1594" s="943" t="s">
        <v>5606</v>
      </c>
      <c r="B1594" t="s">
        <v>3599</v>
      </c>
      <c r="C1594" s="944">
        <v>0</v>
      </c>
    </row>
    <row r="1595" spans="1:3" x14ac:dyDescent="0.35">
      <c r="A1595" s="943" t="s">
        <v>5607</v>
      </c>
      <c r="B1595" t="s">
        <v>3601</v>
      </c>
      <c r="C1595" s="944">
        <v>0</v>
      </c>
    </row>
    <row r="1596" spans="1:3" x14ac:dyDescent="0.35">
      <c r="A1596" s="943" t="s">
        <v>5608</v>
      </c>
      <c r="B1596" t="s">
        <v>3603</v>
      </c>
      <c r="C1596" s="944">
        <v>0</v>
      </c>
    </row>
    <row r="1597" spans="1:3" x14ac:dyDescent="0.35">
      <c r="A1597" s="943" t="s">
        <v>5609</v>
      </c>
      <c r="B1597" t="s">
        <v>3605</v>
      </c>
      <c r="C1597" s="944">
        <v>0</v>
      </c>
    </row>
    <row r="1598" spans="1:3" x14ac:dyDescent="0.35">
      <c r="A1598" s="943" t="s">
        <v>5610</v>
      </c>
      <c r="B1598" t="s">
        <v>3607</v>
      </c>
      <c r="C1598" s="944">
        <v>0</v>
      </c>
    </row>
    <row r="1599" spans="1:3" x14ac:dyDescent="0.35">
      <c r="A1599" s="943" t="s">
        <v>5611</v>
      </c>
      <c r="B1599" t="s">
        <v>3609</v>
      </c>
      <c r="C1599" s="944">
        <v>0</v>
      </c>
    </row>
    <row r="1600" spans="1:3" x14ac:dyDescent="0.35">
      <c r="A1600" s="943" t="s">
        <v>5612</v>
      </c>
      <c r="B1600" t="s">
        <v>3611</v>
      </c>
      <c r="C1600" s="944">
        <v>0</v>
      </c>
    </row>
    <row r="1601" spans="1:3" x14ac:dyDescent="0.35">
      <c r="A1601" s="943" t="s">
        <v>5613</v>
      </c>
      <c r="B1601" t="s">
        <v>3613</v>
      </c>
      <c r="C1601" s="944">
        <v>0</v>
      </c>
    </row>
    <row r="1602" spans="1:3" x14ac:dyDescent="0.35">
      <c r="A1602" s="943" t="s">
        <v>5614</v>
      </c>
      <c r="B1602" t="s">
        <v>3615</v>
      </c>
      <c r="C1602" s="944">
        <v>0</v>
      </c>
    </row>
    <row r="1603" spans="1:3" x14ac:dyDescent="0.35">
      <c r="A1603" s="943" t="s">
        <v>5615</v>
      </c>
      <c r="B1603" t="s">
        <v>3617</v>
      </c>
      <c r="C1603" s="944">
        <v>0</v>
      </c>
    </row>
    <row r="1604" spans="1:3" x14ac:dyDescent="0.35">
      <c r="A1604" s="943" t="s">
        <v>5616</v>
      </c>
      <c r="B1604" t="s">
        <v>3619</v>
      </c>
      <c r="C1604" s="944">
        <v>0</v>
      </c>
    </row>
    <row r="1605" spans="1:3" x14ac:dyDescent="0.35">
      <c r="A1605" s="943" t="s">
        <v>5617</v>
      </c>
      <c r="B1605" t="s">
        <v>3621</v>
      </c>
      <c r="C1605" s="944">
        <v>0</v>
      </c>
    </row>
    <row r="1606" spans="1:3" x14ac:dyDescent="0.35">
      <c r="A1606" s="943" t="s">
        <v>5618</v>
      </c>
      <c r="B1606" t="s">
        <v>3623</v>
      </c>
      <c r="C1606" s="944">
        <v>0</v>
      </c>
    </row>
    <row r="1607" spans="1:3" x14ac:dyDescent="0.35">
      <c r="A1607" s="943" t="s">
        <v>5619</v>
      </c>
      <c r="B1607" t="s">
        <v>3625</v>
      </c>
      <c r="C1607" s="944">
        <v>0</v>
      </c>
    </row>
    <row r="1608" spans="1:3" x14ac:dyDescent="0.35">
      <c r="A1608" s="943" t="s">
        <v>5620</v>
      </c>
      <c r="B1608" t="s">
        <v>3627</v>
      </c>
      <c r="C1608" s="944">
        <v>0</v>
      </c>
    </row>
    <row r="1609" spans="1:3" x14ac:dyDescent="0.35">
      <c r="A1609" s="943" t="s">
        <v>5621</v>
      </c>
      <c r="B1609" t="s">
        <v>3629</v>
      </c>
      <c r="C1609" s="944">
        <v>0</v>
      </c>
    </row>
    <row r="1610" spans="1:3" x14ac:dyDescent="0.35">
      <c r="A1610" s="943" t="s">
        <v>5622</v>
      </c>
      <c r="B1610" t="s">
        <v>3631</v>
      </c>
      <c r="C1610" s="944">
        <v>0</v>
      </c>
    </row>
    <row r="1611" spans="1:3" x14ac:dyDescent="0.35">
      <c r="A1611" s="943" t="s">
        <v>5623</v>
      </c>
      <c r="B1611" t="s">
        <v>3633</v>
      </c>
      <c r="C1611" s="944">
        <v>0</v>
      </c>
    </row>
    <row r="1612" spans="1:3" x14ac:dyDescent="0.35">
      <c r="A1612" s="943" t="s">
        <v>5624</v>
      </c>
      <c r="B1612" t="s">
        <v>3635</v>
      </c>
      <c r="C1612" s="944">
        <v>0</v>
      </c>
    </row>
    <row r="1613" spans="1:3" x14ac:dyDescent="0.35">
      <c r="A1613" s="943" t="s">
        <v>5625</v>
      </c>
      <c r="B1613" t="s">
        <v>3637</v>
      </c>
      <c r="C1613" s="944">
        <v>0</v>
      </c>
    </row>
    <row r="1614" spans="1:3" x14ac:dyDescent="0.35">
      <c r="A1614" s="943" t="s">
        <v>5626</v>
      </c>
      <c r="B1614" t="s">
        <v>334</v>
      </c>
      <c r="C1614" s="944">
        <v>0</v>
      </c>
    </row>
    <row r="1615" spans="1:3" x14ac:dyDescent="0.35">
      <c r="A1615" s="943" t="s">
        <v>5627</v>
      </c>
      <c r="B1615" t="s">
        <v>3640</v>
      </c>
      <c r="C1615" s="944">
        <v>0</v>
      </c>
    </row>
    <row r="1616" spans="1:3" x14ac:dyDescent="0.35">
      <c r="A1616" s="943" t="s">
        <v>5628</v>
      </c>
      <c r="B1616" t="s">
        <v>3642</v>
      </c>
      <c r="C1616" s="944">
        <v>0</v>
      </c>
    </row>
    <row r="1617" spans="1:3" x14ac:dyDescent="0.35">
      <c r="A1617" s="943" t="s">
        <v>5629</v>
      </c>
      <c r="B1617" t="s">
        <v>3644</v>
      </c>
      <c r="C1617" s="944">
        <v>0</v>
      </c>
    </row>
    <row r="1618" spans="1:3" x14ac:dyDescent="0.35">
      <c r="A1618" s="943" t="s">
        <v>5630</v>
      </c>
      <c r="B1618" t="s">
        <v>3646</v>
      </c>
      <c r="C1618" s="944">
        <v>0</v>
      </c>
    </row>
    <row r="1619" spans="1:3" x14ac:dyDescent="0.35">
      <c r="A1619" s="943" t="s">
        <v>5631</v>
      </c>
      <c r="B1619" t="s">
        <v>3648</v>
      </c>
      <c r="C1619" s="944">
        <v>0</v>
      </c>
    </row>
    <row r="1620" spans="1:3" x14ac:dyDescent="0.35">
      <c r="A1620" s="943" t="s">
        <v>5632</v>
      </c>
      <c r="B1620" t="s">
        <v>3650</v>
      </c>
      <c r="C1620" s="944">
        <v>0</v>
      </c>
    </row>
    <row r="1621" spans="1:3" x14ac:dyDescent="0.35">
      <c r="A1621" s="943" t="s">
        <v>5633</v>
      </c>
      <c r="B1621" t="s">
        <v>3652</v>
      </c>
      <c r="C1621" s="944">
        <v>0</v>
      </c>
    </row>
    <row r="1622" spans="1:3" x14ac:dyDescent="0.35">
      <c r="A1622" s="943" t="s">
        <v>5634</v>
      </c>
      <c r="B1622" t="s">
        <v>3654</v>
      </c>
      <c r="C1622" s="944">
        <v>0</v>
      </c>
    </row>
    <row r="1623" spans="1:3" x14ac:dyDescent="0.35">
      <c r="A1623" s="943" t="s">
        <v>5635</v>
      </c>
      <c r="B1623" t="s">
        <v>3656</v>
      </c>
      <c r="C1623" s="944">
        <v>0</v>
      </c>
    </row>
    <row r="1624" spans="1:3" x14ac:dyDescent="0.35">
      <c r="A1624" s="943" t="s">
        <v>5636</v>
      </c>
      <c r="B1624" t="s">
        <v>3658</v>
      </c>
      <c r="C1624" s="944">
        <v>0</v>
      </c>
    </row>
    <row r="1625" spans="1:3" x14ac:dyDescent="0.35">
      <c r="A1625" s="943" t="s">
        <v>5637</v>
      </c>
      <c r="B1625" t="s">
        <v>3660</v>
      </c>
      <c r="C1625" s="944">
        <v>0</v>
      </c>
    </row>
    <row r="1626" spans="1:3" x14ac:dyDescent="0.35">
      <c r="A1626" s="943" t="s">
        <v>5638</v>
      </c>
      <c r="B1626" t="s">
        <v>3662</v>
      </c>
      <c r="C1626" s="944">
        <v>0</v>
      </c>
    </row>
    <row r="1627" spans="1:3" x14ac:dyDescent="0.35">
      <c r="A1627" s="943" t="s">
        <v>5639</v>
      </c>
      <c r="B1627" t="s">
        <v>3664</v>
      </c>
      <c r="C1627" s="944">
        <v>0</v>
      </c>
    </row>
    <row r="1628" spans="1:3" x14ac:dyDescent="0.35">
      <c r="A1628" s="943" t="s">
        <v>5640</v>
      </c>
      <c r="B1628" t="s">
        <v>3666</v>
      </c>
      <c r="C1628" s="944">
        <v>0</v>
      </c>
    </row>
    <row r="1629" spans="1:3" x14ac:dyDescent="0.35">
      <c r="A1629" s="943" t="s">
        <v>5641</v>
      </c>
      <c r="B1629" t="s">
        <v>3668</v>
      </c>
      <c r="C1629" s="944">
        <v>0</v>
      </c>
    </row>
    <row r="1630" spans="1:3" x14ac:dyDescent="0.35">
      <c r="A1630" s="943" t="s">
        <v>5642</v>
      </c>
      <c r="B1630" t="s">
        <v>350</v>
      </c>
      <c r="C1630" s="944">
        <v>0</v>
      </c>
    </row>
    <row r="1631" spans="1:3" x14ac:dyDescent="0.35">
      <c r="A1631" s="943" t="s">
        <v>5643</v>
      </c>
      <c r="B1631" t="s">
        <v>3671</v>
      </c>
      <c r="C1631" s="944">
        <v>0</v>
      </c>
    </row>
    <row r="1632" spans="1:3" x14ac:dyDescent="0.35">
      <c r="A1632" s="943" t="s">
        <v>5644</v>
      </c>
      <c r="B1632" t="s">
        <v>3673</v>
      </c>
      <c r="C1632" s="944">
        <v>0</v>
      </c>
    </row>
    <row r="1633" spans="1:3" x14ac:dyDescent="0.35">
      <c r="A1633" s="943" t="s">
        <v>5645</v>
      </c>
      <c r="B1633" t="s">
        <v>3675</v>
      </c>
      <c r="C1633" s="944">
        <v>0</v>
      </c>
    </row>
    <row r="1634" spans="1:3" x14ac:dyDescent="0.35">
      <c r="A1634" s="943" t="s">
        <v>5646</v>
      </c>
      <c r="B1634" t="s">
        <v>3677</v>
      </c>
      <c r="C1634" s="944">
        <v>0</v>
      </c>
    </row>
    <row r="1635" spans="1:3" x14ac:dyDescent="0.35">
      <c r="A1635" s="943" t="s">
        <v>5647</v>
      </c>
      <c r="B1635" t="s">
        <v>3679</v>
      </c>
      <c r="C1635" s="944">
        <v>0</v>
      </c>
    </row>
    <row r="1636" spans="1:3" x14ac:dyDescent="0.35">
      <c r="A1636" s="943" t="s">
        <v>5648</v>
      </c>
      <c r="B1636" t="s">
        <v>3681</v>
      </c>
      <c r="C1636" s="944">
        <v>0</v>
      </c>
    </row>
    <row r="1637" spans="1:3" x14ac:dyDescent="0.35">
      <c r="A1637" s="943" t="s">
        <v>5649</v>
      </c>
      <c r="B1637" t="s">
        <v>3683</v>
      </c>
      <c r="C1637" s="944">
        <v>0</v>
      </c>
    </row>
    <row r="1638" spans="1:3" x14ac:dyDescent="0.35">
      <c r="A1638" s="943" t="s">
        <v>5650</v>
      </c>
      <c r="B1638" t="s">
        <v>3685</v>
      </c>
      <c r="C1638" s="944">
        <v>0</v>
      </c>
    </row>
    <row r="1639" spans="1:3" x14ac:dyDescent="0.35">
      <c r="A1639" s="943" t="s">
        <v>5651</v>
      </c>
      <c r="B1639" t="s">
        <v>3687</v>
      </c>
      <c r="C1639" s="944">
        <v>0</v>
      </c>
    </row>
    <row r="1640" spans="1:3" x14ac:dyDescent="0.35">
      <c r="A1640" s="943" t="s">
        <v>5652</v>
      </c>
      <c r="B1640" t="s">
        <v>3689</v>
      </c>
      <c r="C1640" s="944">
        <v>0</v>
      </c>
    </row>
    <row r="1641" spans="1:3" x14ac:dyDescent="0.35">
      <c r="A1641" s="943" t="s">
        <v>5653</v>
      </c>
      <c r="B1641" t="s">
        <v>4078</v>
      </c>
      <c r="C1641" s="944">
        <v>0</v>
      </c>
    </row>
    <row r="1642" spans="1:3" x14ac:dyDescent="0.35">
      <c r="A1642" s="943" t="s">
        <v>5654</v>
      </c>
      <c r="B1642" t="s">
        <v>4079</v>
      </c>
      <c r="C1642" s="944">
        <v>0</v>
      </c>
    </row>
    <row r="1643" spans="1:3" x14ac:dyDescent="0.35">
      <c r="A1643" s="943" t="s">
        <v>5655</v>
      </c>
      <c r="B1643" t="s">
        <v>4080</v>
      </c>
      <c r="C1643" s="944">
        <v>0</v>
      </c>
    </row>
    <row r="1644" spans="1:3" x14ac:dyDescent="0.35">
      <c r="A1644" s="943" t="s">
        <v>5656</v>
      </c>
      <c r="B1644" t="s">
        <v>4081</v>
      </c>
      <c r="C1644" s="944">
        <v>0</v>
      </c>
    </row>
    <row r="1645" spans="1:3" x14ac:dyDescent="0.35">
      <c r="A1645" s="943" t="s">
        <v>5657</v>
      </c>
      <c r="B1645" t="s">
        <v>3113</v>
      </c>
      <c r="C1645" s="944">
        <v>0</v>
      </c>
    </row>
    <row r="1646" spans="1:3" x14ac:dyDescent="0.35">
      <c r="A1646" s="943" t="s">
        <v>5658</v>
      </c>
      <c r="B1646" t="s">
        <v>4082</v>
      </c>
      <c r="C1646" s="944">
        <v>0</v>
      </c>
    </row>
    <row r="1647" spans="1:3" x14ac:dyDescent="0.35">
      <c r="A1647" s="943" t="s">
        <v>5659</v>
      </c>
      <c r="B1647" t="s">
        <v>4083</v>
      </c>
      <c r="C1647" s="944">
        <v>0</v>
      </c>
    </row>
    <row r="1648" spans="1:3" x14ac:dyDescent="0.35">
      <c r="A1648" s="943" t="s">
        <v>5660</v>
      </c>
      <c r="B1648" t="s">
        <v>4084</v>
      </c>
      <c r="C1648" s="944">
        <v>0</v>
      </c>
    </row>
    <row r="1649" spans="1:3" x14ac:dyDescent="0.35">
      <c r="A1649" s="943" t="s">
        <v>5661</v>
      </c>
      <c r="B1649" t="s">
        <v>4085</v>
      </c>
      <c r="C1649" s="944">
        <v>0</v>
      </c>
    </row>
    <row r="1650" spans="1:3" x14ac:dyDescent="0.35">
      <c r="A1650" s="943" t="s">
        <v>5662</v>
      </c>
      <c r="B1650" t="s">
        <v>4086</v>
      </c>
      <c r="C1650" s="944">
        <v>0</v>
      </c>
    </row>
    <row r="1651" spans="1:3" x14ac:dyDescent="0.35">
      <c r="A1651" s="943" t="s">
        <v>5663</v>
      </c>
      <c r="B1651" t="s">
        <v>4087</v>
      </c>
      <c r="C1651" s="944">
        <v>0</v>
      </c>
    </row>
    <row r="1652" spans="1:3" x14ac:dyDescent="0.35">
      <c r="A1652" s="943" t="s">
        <v>5664</v>
      </c>
      <c r="B1652" t="s">
        <v>4088</v>
      </c>
      <c r="C1652" s="944">
        <v>0</v>
      </c>
    </row>
    <row r="1653" spans="1:3" x14ac:dyDescent="0.35">
      <c r="A1653" s="943" t="s">
        <v>5665</v>
      </c>
      <c r="B1653" t="s">
        <v>4072</v>
      </c>
      <c r="C1653" s="944">
        <v>0</v>
      </c>
    </row>
    <row r="1654" spans="1:3" x14ac:dyDescent="0.35">
      <c r="A1654" s="943" t="s">
        <v>5666</v>
      </c>
      <c r="B1654" t="s">
        <v>4009</v>
      </c>
      <c r="C1654" s="944">
        <v>0</v>
      </c>
    </row>
    <row r="1655" spans="1:3" x14ac:dyDescent="0.35">
      <c r="A1655" s="943" t="s">
        <v>5667</v>
      </c>
      <c r="B1655" t="s">
        <v>4089</v>
      </c>
      <c r="C1655" s="944">
        <v>0</v>
      </c>
    </row>
    <row r="1656" spans="1:3" x14ac:dyDescent="0.35">
      <c r="A1656" s="943" t="s">
        <v>5668</v>
      </c>
      <c r="B1656" t="s">
        <v>4090</v>
      </c>
      <c r="C1656" s="944">
        <v>0</v>
      </c>
    </row>
    <row r="1657" spans="1:3" x14ac:dyDescent="0.35">
      <c r="A1657" s="943" t="s">
        <v>5669</v>
      </c>
      <c r="B1657" t="s">
        <v>4091</v>
      </c>
      <c r="C1657" s="944">
        <v>0</v>
      </c>
    </row>
    <row r="1658" spans="1:3" x14ac:dyDescent="0.35">
      <c r="A1658" s="943" t="s">
        <v>5670</v>
      </c>
      <c r="B1658" t="s">
        <v>4092</v>
      </c>
      <c r="C1658" s="944">
        <v>0</v>
      </c>
    </row>
    <row r="1659" spans="1:3" x14ac:dyDescent="0.35">
      <c r="B1659" t="s">
        <v>4093</v>
      </c>
      <c r="C1659" s="944">
        <v>0</v>
      </c>
    </row>
    <row r="1660" spans="1:3" x14ac:dyDescent="0.35">
      <c r="A1660" s="943" t="s">
        <v>7890</v>
      </c>
      <c r="B1660" t="s">
        <v>4094</v>
      </c>
      <c r="C1660" s="944"/>
    </row>
    <row r="1661" spans="1:3" x14ac:dyDescent="0.35">
      <c r="A1661" s="943" t="s">
        <v>5671</v>
      </c>
      <c r="B1661" t="s">
        <v>3599</v>
      </c>
      <c r="C1661" s="944">
        <v>0</v>
      </c>
    </row>
    <row r="1662" spans="1:3" x14ac:dyDescent="0.35">
      <c r="A1662" s="943" t="s">
        <v>5672</v>
      </c>
      <c r="B1662" t="s">
        <v>3605</v>
      </c>
      <c r="C1662" s="944">
        <v>0</v>
      </c>
    </row>
    <row r="1663" spans="1:3" x14ac:dyDescent="0.35">
      <c r="A1663" s="943" t="s">
        <v>5673</v>
      </c>
      <c r="B1663" t="s">
        <v>3607</v>
      </c>
      <c r="C1663" s="944">
        <v>0</v>
      </c>
    </row>
    <row r="1664" spans="1:3" x14ac:dyDescent="0.35">
      <c r="A1664" s="943" t="s">
        <v>5674</v>
      </c>
      <c r="B1664" t="s">
        <v>3609</v>
      </c>
      <c r="C1664" s="944">
        <v>0</v>
      </c>
    </row>
    <row r="1665" spans="1:3" x14ac:dyDescent="0.35">
      <c r="A1665" s="943" t="s">
        <v>5675</v>
      </c>
      <c r="B1665" t="s">
        <v>3611</v>
      </c>
      <c r="C1665" s="944">
        <v>0</v>
      </c>
    </row>
    <row r="1666" spans="1:3" x14ac:dyDescent="0.35">
      <c r="A1666" s="943" t="s">
        <v>5676</v>
      </c>
      <c r="B1666" t="s">
        <v>3613</v>
      </c>
      <c r="C1666" s="944">
        <v>0</v>
      </c>
    </row>
    <row r="1667" spans="1:3" x14ac:dyDescent="0.35">
      <c r="A1667" s="943" t="s">
        <v>5677</v>
      </c>
      <c r="B1667" t="s">
        <v>3615</v>
      </c>
      <c r="C1667" s="944">
        <v>0</v>
      </c>
    </row>
    <row r="1668" spans="1:3" x14ac:dyDescent="0.35">
      <c r="A1668" s="943" t="s">
        <v>5678</v>
      </c>
      <c r="B1668" t="s">
        <v>3617</v>
      </c>
      <c r="C1668" s="944">
        <v>0</v>
      </c>
    </row>
    <row r="1669" spans="1:3" x14ac:dyDescent="0.35">
      <c r="A1669" s="943" t="s">
        <v>5679</v>
      </c>
      <c r="B1669" t="s">
        <v>3619</v>
      </c>
      <c r="C1669" s="944">
        <v>0</v>
      </c>
    </row>
    <row r="1670" spans="1:3" x14ac:dyDescent="0.35">
      <c r="A1670" s="943" t="s">
        <v>5680</v>
      </c>
      <c r="B1670" t="s">
        <v>3621</v>
      </c>
      <c r="C1670" s="944">
        <v>0</v>
      </c>
    </row>
    <row r="1671" spans="1:3" x14ac:dyDescent="0.35">
      <c r="A1671" s="943" t="s">
        <v>5681</v>
      </c>
      <c r="B1671" t="s">
        <v>3623</v>
      </c>
      <c r="C1671" s="944">
        <v>0</v>
      </c>
    </row>
    <row r="1672" spans="1:3" x14ac:dyDescent="0.35">
      <c r="A1672" s="943" t="s">
        <v>5682</v>
      </c>
      <c r="B1672" t="s">
        <v>3625</v>
      </c>
      <c r="C1672" s="944">
        <v>0</v>
      </c>
    </row>
    <row r="1673" spans="1:3" x14ac:dyDescent="0.35">
      <c r="A1673" s="943" t="s">
        <v>5683</v>
      </c>
      <c r="B1673" t="s">
        <v>3627</v>
      </c>
      <c r="C1673" s="944">
        <v>0</v>
      </c>
    </row>
    <row r="1674" spans="1:3" x14ac:dyDescent="0.35">
      <c r="A1674" s="943" t="s">
        <v>5684</v>
      </c>
      <c r="B1674" t="s">
        <v>3629</v>
      </c>
      <c r="C1674" s="944">
        <v>0</v>
      </c>
    </row>
    <row r="1675" spans="1:3" x14ac:dyDescent="0.35">
      <c r="A1675" s="943" t="s">
        <v>5685</v>
      </c>
      <c r="B1675" t="s">
        <v>3631</v>
      </c>
      <c r="C1675" s="944">
        <v>0</v>
      </c>
    </row>
    <row r="1676" spans="1:3" x14ac:dyDescent="0.35">
      <c r="A1676" s="943" t="s">
        <v>5686</v>
      </c>
      <c r="B1676" t="s">
        <v>3633</v>
      </c>
      <c r="C1676" s="944">
        <v>0</v>
      </c>
    </row>
    <row r="1677" spans="1:3" x14ac:dyDescent="0.35">
      <c r="A1677" s="943" t="s">
        <v>5687</v>
      </c>
      <c r="B1677" t="s">
        <v>3635</v>
      </c>
      <c r="C1677" s="944">
        <v>0</v>
      </c>
    </row>
    <row r="1678" spans="1:3" x14ac:dyDescent="0.35">
      <c r="A1678" s="943" t="s">
        <v>5688</v>
      </c>
      <c r="B1678" t="s">
        <v>3637</v>
      </c>
      <c r="C1678" s="944">
        <v>0</v>
      </c>
    </row>
    <row r="1679" spans="1:3" x14ac:dyDescent="0.35">
      <c r="A1679" s="943" t="s">
        <v>5689</v>
      </c>
      <c r="B1679" t="s">
        <v>334</v>
      </c>
      <c r="C1679" s="944">
        <v>0</v>
      </c>
    </row>
    <row r="1680" spans="1:3" x14ac:dyDescent="0.35">
      <c r="A1680" s="943" t="s">
        <v>5690</v>
      </c>
      <c r="B1680" t="s">
        <v>3640</v>
      </c>
      <c r="C1680" s="944">
        <v>34500</v>
      </c>
    </row>
    <row r="1681" spans="1:3" x14ac:dyDescent="0.35">
      <c r="A1681" s="943" t="s">
        <v>5691</v>
      </c>
      <c r="B1681" t="s">
        <v>3642</v>
      </c>
      <c r="C1681" s="944">
        <v>0</v>
      </c>
    </row>
    <row r="1682" spans="1:3" x14ac:dyDescent="0.35">
      <c r="A1682" s="943" t="s">
        <v>5692</v>
      </c>
      <c r="B1682" t="s">
        <v>3644</v>
      </c>
      <c r="C1682" s="944">
        <v>0</v>
      </c>
    </row>
    <row r="1683" spans="1:3" x14ac:dyDescent="0.35">
      <c r="A1683" s="943" t="s">
        <v>5693</v>
      </c>
      <c r="B1683" t="s">
        <v>3646</v>
      </c>
      <c r="C1683" s="944">
        <v>0</v>
      </c>
    </row>
    <row r="1684" spans="1:3" x14ac:dyDescent="0.35">
      <c r="A1684" s="943" t="s">
        <v>5694</v>
      </c>
      <c r="B1684" t="s">
        <v>3648</v>
      </c>
      <c r="C1684" s="944">
        <v>0</v>
      </c>
    </row>
    <row r="1685" spans="1:3" x14ac:dyDescent="0.35">
      <c r="A1685" s="943" t="s">
        <v>5695</v>
      </c>
      <c r="B1685" t="s">
        <v>3650</v>
      </c>
      <c r="C1685" s="944">
        <v>0</v>
      </c>
    </row>
    <row r="1686" spans="1:3" x14ac:dyDescent="0.35">
      <c r="A1686" s="943" t="s">
        <v>5696</v>
      </c>
      <c r="B1686" t="s">
        <v>3652</v>
      </c>
      <c r="C1686" s="944">
        <v>0</v>
      </c>
    </row>
    <row r="1687" spans="1:3" x14ac:dyDescent="0.35">
      <c r="A1687" s="943" t="s">
        <v>5697</v>
      </c>
      <c r="B1687" t="s">
        <v>4095</v>
      </c>
      <c r="C1687" s="944">
        <v>760000</v>
      </c>
    </row>
    <row r="1688" spans="1:3" x14ac:dyDescent="0.35">
      <c r="A1688" s="943" t="s">
        <v>5698</v>
      </c>
      <c r="B1688" t="s">
        <v>3654</v>
      </c>
      <c r="C1688" s="944">
        <v>0</v>
      </c>
    </row>
    <row r="1689" spans="1:3" x14ac:dyDescent="0.35">
      <c r="A1689" s="943" t="s">
        <v>5699</v>
      </c>
      <c r="B1689" t="s">
        <v>3656</v>
      </c>
      <c r="C1689" s="944">
        <v>0</v>
      </c>
    </row>
    <row r="1690" spans="1:3" x14ac:dyDescent="0.35">
      <c r="A1690" s="943" t="s">
        <v>5700</v>
      </c>
      <c r="B1690" t="s">
        <v>3658</v>
      </c>
      <c r="C1690" s="944">
        <v>0</v>
      </c>
    </row>
    <row r="1691" spans="1:3" x14ac:dyDescent="0.35">
      <c r="A1691" s="943" t="s">
        <v>5701</v>
      </c>
      <c r="B1691" t="s">
        <v>3660</v>
      </c>
      <c r="C1691" s="944">
        <v>300000</v>
      </c>
    </row>
    <row r="1692" spans="1:3" x14ac:dyDescent="0.35">
      <c r="A1692" s="943" t="s">
        <v>5702</v>
      </c>
      <c r="B1692" t="s">
        <v>3662</v>
      </c>
      <c r="C1692" s="944">
        <v>0</v>
      </c>
    </row>
    <row r="1693" spans="1:3" x14ac:dyDescent="0.35">
      <c r="A1693" s="943" t="s">
        <v>5703</v>
      </c>
      <c r="B1693" t="s">
        <v>3664</v>
      </c>
      <c r="C1693" s="944">
        <v>0</v>
      </c>
    </row>
    <row r="1694" spans="1:3" x14ac:dyDescent="0.35">
      <c r="A1694" s="943" t="s">
        <v>5704</v>
      </c>
      <c r="B1694" t="s">
        <v>3666</v>
      </c>
      <c r="C1694" s="944">
        <v>0</v>
      </c>
    </row>
    <row r="1695" spans="1:3" x14ac:dyDescent="0.35">
      <c r="A1695" s="943" t="s">
        <v>5705</v>
      </c>
      <c r="B1695" t="s">
        <v>3668</v>
      </c>
      <c r="C1695" s="944">
        <v>0</v>
      </c>
    </row>
    <row r="1696" spans="1:3" x14ac:dyDescent="0.35">
      <c r="A1696" s="943" t="s">
        <v>5706</v>
      </c>
      <c r="B1696" t="s">
        <v>350</v>
      </c>
      <c r="C1696" s="944">
        <v>0</v>
      </c>
    </row>
    <row r="1697" spans="1:3" x14ac:dyDescent="0.35">
      <c r="A1697" s="943" t="s">
        <v>5707</v>
      </c>
      <c r="B1697" t="s">
        <v>3671</v>
      </c>
      <c r="C1697" s="944">
        <v>0</v>
      </c>
    </row>
    <row r="1698" spans="1:3" x14ac:dyDescent="0.35">
      <c r="A1698" s="943" t="s">
        <v>5708</v>
      </c>
      <c r="B1698" t="s">
        <v>3673</v>
      </c>
      <c r="C1698" s="944">
        <v>0</v>
      </c>
    </row>
    <row r="1699" spans="1:3" x14ac:dyDescent="0.35">
      <c r="A1699" s="943" t="s">
        <v>5709</v>
      </c>
      <c r="B1699" t="s">
        <v>3675</v>
      </c>
      <c r="C1699" s="944">
        <v>0</v>
      </c>
    </row>
    <row r="1700" spans="1:3" x14ac:dyDescent="0.35">
      <c r="A1700" s="943" t="s">
        <v>5710</v>
      </c>
      <c r="B1700" t="s">
        <v>3677</v>
      </c>
      <c r="C1700" s="944">
        <v>0</v>
      </c>
    </row>
    <row r="1701" spans="1:3" x14ac:dyDescent="0.35">
      <c r="A1701" s="943" t="s">
        <v>5711</v>
      </c>
      <c r="B1701" t="s">
        <v>3679</v>
      </c>
      <c r="C1701" s="944">
        <v>0</v>
      </c>
    </row>
    <row r="1702" spans="1:3" x14ac:dyDescent="0.35">
      <c r="A1702" s="943" t="s">
        <v>5712</v>
      </c>
      <c r="B1702" t="s">
        <v>3681</v>
      </c>
      <c r="C1702" s="944">
        <v>0</v>
      </c>
    </row>
    <row r="1703" spans="1:3" x14ac:dyDescent="0.35">
      <c r="A1703" s="943" t="s">
        <v>5713</v>
      </c>
      <c r="B1703" t="s">
        <v>3683</v>
      </c>
      <c r="C1703" s="944">
        <v>0</v>
      </c>
    </row>
    <row r="1704" spans="1:3" x14ac:dyDescent="0.35">
      <c r="A1704" s="943" t="s">
        <v>5714</v>
      </c>
      <c r="B1704" t="s">
        <v>3685</v>
      </c>
      <c r="C1704" s="944">
        <v>0</v>
      </c>
    </row>
    <row r="1705" spans="1:3" x14ac:dyDescent="0.35">
      <c r="A1705" s="943" t="s">
        <v>5715</v>
      </c>
      <c r="B1705" t="s">
        <v>3687</v>
      </c>
      <c r="C1705" s="944">
        <v>0</v>
      </c>
    </row>
    <row r="1706" spans="1:3" x14ac:dyDescent="0.35">
      <c r="A1706" s="943" t="s">
        <v>5716</v>
      </c>
      <c r="B1706" t="s">
        <v>3689</v>
      </c>
      <c r="C1706" s="944">
        <v>0</v>
      </c>
    </row>
    <row r="1707" spans="1:3" x14ac:dyDescent="0.35">
      <c r="A1707" s="943" t="s">
        <v>5717</v>
      </c>
      <c r="B1707" t="s">
        <v>350</v>
      </c>
      <c r="C1707" s="944">
        <v>0</v>
      </c>
    </row>
    <row r="1708" spans="1:3" x14ac:dyDescent="0.35">
      <c r="A1708" s="943" t="s">
        <v>5718</v>
      </c>
      <c r="B1708" t="s">
        <v>4009</v>
      </c>
      <c r="C1708" s="944">
        <v>0</v>
      </c>
    </row>
    <row r="1709" spans="1:3" x14ac:dyDescent="0.35">
      <c r="A1709" s="943" t="s">
        <v>5719</v>
      </c>
      <c r="B1709" t="s">
        <v>4072</v>
      </c>
      <c r="C1709" s="944">
        <v>0</v>
      </c>
    </row>
    <row r="1710" spans="1:3" x14ac:dyDescent="0.35">
      <c r="A1710" s="943" t="s">
        <v>5720</v>
      </c>
      <c r="B1710" t="s">
        <v>4096</v>
      </c>
      <c r="C1710" s="944">
        <v>0</v>
      </c>
    </row>
    <row r="1711" spans="1:3" x14ac:dyDescent="0.35">
      <c r="A1711" s="943" t="s">
        <v>5721</v>
      </c>
      <c r="B1711" t="s">
        <v>4097</v>
      </c>
      <c r="C1711" s="944">
        <v>0</v>
      </c>
    </row>
    <row r="1712" spans="1:3" x14ac:dyDescent="0.35">
      <c r="A1712" s="943" t="s">
        <v>5722</v>
      </c>
      <c r="B1712" t="s">
        <v>4075</v>
      </c>
      <c r="C1712" s="944">
        <v>0</v>
      </c>
    </row>
    <row r="1713" spans="1:3" x14ac:dyDescent="0.35">
      <c r="A1713" s="943" t="s">
        <v>5723</v>
      </c>
      <c r="B1713" t="s">
        <v>4098</v>
      </c>
      <c r="C1713" s="944">
        <v>2319880</v>
      </c>
    </row>
    <row r="1714" spans="1:3" x14ac:dyDescent="0.35">
      <c r="A1714" s="943" t="s">
        <v>7947</v>
      </c>
      <c r="B1714" t="s">
        <v>7955</v>
      </c>
      <c r="C1714" s="944">
        <v>0</v>
      </c>
    </row>
    <row r="1715" spans="1:3" x14ac:dyDescent="0.35">
      <c r="B1715" t="s">
        <v>4099</v>
      </c>
      <c r="C1715" s="944">
        <v>3414380</v>
      </c>
    </row>
    <row r="1716" spans="1:3" x14ac:dyDescent="0.35">
      <c r="A1716" s="943" t="s">
        <v>7891</v>
      </c>
      <c r="B1716" t="s">
        <v>4100</v>
      </c>
      <c r="C1716" s="944"/>
    </row>
    <row r="1717" spans="1:3" x14ac:dyDescent="0.35">
      <c r="A1717" s="943" t="s">
        <v>5724</v>
      </c>
      <c r="B1717" t="s">
        <v>3599</v>
      </c>
      <c r="C1717" s="944">
        <v>0</v>
      </c>
    </row>
    <row r="1718" spans="1:3" x14ac:dyDescent="0.35">
      <c r="A1718" s="943" t="s">
        <v>5725</v>
      </c>
      <c r="B1718" t="s">
        <v>3605</v>
      </c>
      <c r="C1718" s="944">
        <v>246488430</v>
      </c>
    </row>
    <row r="1719" spans="1:3" x14ac:dyDescent="0.35">
      <c r="A1719" s="943" t="s">
        <v>5726</v>
      </c>
      <c r="B1719" t="s">
        <v>3607</v>
      </c>
      <c r="C1719" s="944">
        <v>0</v>
      </c>
    </row>
    <row r="1720" spans="1:3" x14ac:dyDescent="0.35">
      <c r="A1720" s="943" t="s">
        <v>5727</v>
      </c>
      <c r="B1720" t="s">
        <v>3609</v>
      </c>
      <c r="C1720" s="944">
        <v>0</v>
      </c>
    </row>
    <row r="1721" spans="1:3" x14ac:dyDescent="0.35">
      <c r="A1721" s="943" t="s">
        <v>5728</v>
      </c>
      <c r="B1721" t="s">
        <v>3611</v>
      </c>
      <c r="C1721" s="944">
        <v>0</v>
      </c>
    </row>
    <row r="1722" spans="1:3" x14ac:dyDescent="0.35">
      <c r="A1722" s="943" t="s">
        <v>5729</v>
      </c>
      <c r="B1722" t="s">
        <v>3613</v>
      </c>
      <c r="C1722" s="944">
        <v>0</v>
      </c>
    </row>
    <row r="1723" spans="1:3" x14ac:dyDescent="0.35">
      <c r="A1723" s="943" t="s">
        <v>5730</v>
      </c>
      <c r="B1723" t="s">
        <v>7929</v>
      </c>
      <c r="C1723" s="944">
        <v>0</v>
      </c>
    </row>
    <row r="1724" spans="1:3" x14ac:dyDescent="0.35">
      <c r="A1724" s="943" t="s">
        <v>7892</v>
      </c>
      <c r="B1724" t="s">
        <v>3617</v>
      </c>
      <c r="C1724" s="944">
        <v>0</v>
      </c>
    </row>
    <row r="1725" spans="1:3" x14ac:dyDescent="0.35">
      <c r="A1725" s="943" t="s">
        <v>5731</v>
      </c>
      <c r="B1725" t="s">
        <v>3617</v>
      </c>
      <c r="C1725" s="944">
        <v>0</v>
      </c>
    </row>
    <row r="1726" spans="1:3" x14ac:dyDescent="0.35">
      <c r="A1726" s="943" t="s">
        <v>5732</v>
      </c>
      <c r="B1726" t="s">
        <v>3619</v>
      </c>
      <c r="C1726" s="944">
        <v>0</v>
      </c>
    </row>
    <row r="1727" spans="1:3" x14ac:dyDescent="0.35">
      <c r="A1727" s="943" t="s">
        <v>5733</v>
      </c>
      <c r="B1727" t="s">
        <v>3621</v>
      </c>
      <c r="C1727" s="944">
        <v>1720000</v>
      </c>
    </row>
    <row r="1728" spans="1:3" x14ac:dyDescent="0.35">
      <c r="A1728" s="943" t="s">
        <v>5734</v>
      </c>
      <c r="B1728" t="s">
        <v>3623</v>
      </c>
      <c r="C1728" s="944">
        <v>8203104</v>
      </c>
    </row>
    <row r="1729" spans="1:3" x14ac:dyDescent="0.35">
      <c r="A1729" s="943" t="s">
        <v>5735</v>
      </c>
      <c r="B1729" t="s">
        <v>3625</v>
      </c>
      <c r="C1729" s="944">
        <v>0</v>
      </c>
    </row>
    <row r="1730" spans="1:3" x14ac:dyDescent="0.35">
      <c r="A1730" s="943" t="s">
        <v>5736</v>
      </c>
      <c r="B1730" t="s">
        <v>3627</v>
      </c>
      <c r="C1730" s="944">
        <v>12318000</v>
      </c>
    </row>
    <row r="1731" spans="1:3" x14ac:dyDescent="0.35">
      <c r="A1731" s="943" t="s">
        <v>5737</v>
      </c>
      <c r="B1731" t="s">
        <v>3629</v>
      </c>
      <c r="C1731" s="944">
        <v>0</v>
      </c>
    </row>
    <row r="1732" spans="1:3" x14ac:dyDescent="0.35">
      <c r="A1732" s="943" t="s">
        <v>5738</v>
      </c>
      <c r="B1732" t="s">
        <v>3631</v>
      </c>
      <c r="C1732" s="944">
        <v>0</v>
      </c>
    </row>
    <row r="1733" spans="1:3" x14ac:dyDescent="0.35">
      <c r="A1733" s="943" t="s">
        <v>5739</v>
      </c>
      <c r="B1733" t="s">
        <v>3633</v>
      </c>
      <c r="C1733" s="944">
        <v>0</v>
      </c>
    </row>
    <row r="1734" spans="1:3" x14ac:dyDescent="0.35">
      <c r="A1734" s="943" t="s">
        <v>5740</v>
      </c>
      <c r="B1734" t="s">
        <v>3635</v>
      </c>
      <c r="C1734" s="944">
        <v>500000</v>
      </c>
    </row>
    <row r="1735" spans="1:3" x14ac:dyDescent="0.35">
      <c r="A1735" s="943" t="s">
        <v>5741</v>
      </c>
      <c r="B1735" t="s">
        <v>3637</v>
      </c>
      <c r="C1735" s="944">
        <v>2493666.67</v>
      </c>
    </row>
    <row r="1736" spans="1:3" x14ac:dyDescent="0.35">
      <c r="A1736" s="943" t="s">
        <v>5742</v>
      </c>
      <c r="B1736" t="s">
        <v>334</v>
      </c>
      <c r="C1736" s="944">
        <v>0</v>
      </c>
    </row>
    <row r="1737" spans="1:3" x14ac:dyDescent="0.35">
      <c r="A1737" s="943" t="s">
        <v>5743</v>
      </c>
      <c r="B1737" t="s">
        <v>3640</v>
      </c>
      <c r="C1737" s="944">
        <v>0</v>
      </c>
    </row>
    <row r="1738" spans="1:3" x14ac:dyDescent="0.35">
      <c r="A1738" s="943" t="s">
        <v>5744</v>
      </c>
      <c r="B1738" t="s">
        <v>3642</v>
      </c>
      <c r="C1738" s="944">
        <v>0</v>
      </c>
    </row>
    <row r="1739" spans="1:3" x14ac:dyDescent="0.35">
      <c r="A1739" s="943" t="s">
        <v>5745</v>
      </c>
      <c r="B1739" t="s">
        <v>3644</v>
      </c>
      <c r="C1739" s="944">
        <v>0</v>
      </c>
    </row>
    <row r="1740" spans="1:3" x14ac:dyDescent="0.35">
      <c r="A1740" s="943" t="s">
        <v>5746</v>
      </c>
      <c r="B1740" t="s">
        <v>3646</v>
      </c>
      <c r="C1740" s="944">
        <v>0</v>
      </c>
    </row>
    <row r="1741" spans="1:3" x14ac:dyDescent="0.35">
      <c r="A1741" s="943" t="s">
        <v>5747</v>
      </c>
      <c r="B1741" t="s">
        <v>3648</v>
      </c>
      <c r="C1741" s="944">
        <v>390000</v>
      </c>
    </row>
    <row r="1742" spans="1:3" x14ac:dyDescent="0.35">
      <c r="A1742" s="943" t="s">
        <v>5748</v>
      </c>
      <c r="B1742" t="s">
        <v>3650</v>
      </c>
      <c r="C1742" s="944">
        <v>0</v>
      </c>
    </row>
    <row r="1743" spans="1:3" x14ac:dyDescent="0.35">
      <c r="A1743" s="943" t="s">
        <v>5749</v>
      </c>
      <c r="B1743" t="s">
        <v>3652</v>
      </c>
      <c r="C1743" s="944">
        <v>0</v>
      </c>
    </row>
    <row r="1744" spans="1:3" x14ac:dyDescent="0.35">
      <c r="A1744" s="943" t="s">
        <v>5750</v>
      </c>
      <c r="B1744" t="s">
        <v>7372</v>
      </c>
      <c r="C1744" s="944">
        <v>0</v>
      </c>
    </row>
    <row r="1745" spans="1:3" x14ac:dyDescent="0.35">
      <c r="A1745" s="943" t="s">
        <v>5751</v>
      </c>
      <c r="B1745" t="s">
        <v>3654</v>
      </c>
      <c r="C1745" s="944">
        <v>0</v>
      </c>
    </row>
    <row r="1746" spans="1:3" x14ac:dyDescent="0.35">
      <c r="A1746" s="943" t="s">
        <v>5752</v>
      </c>
      <c r="B1746" t="s">
        <v>3656</v>
      </c>
      <c r="C1746" s="944">
        <v>0</v>
      </c>
    </row>
    <row r="1747" spans="1:3" x14ac:dyDescent="0.35">
      <c r="A1747" s="943" t="s">
        <v>5753</v>
      </c>
      <c r="B1747" t="s">
        <v>3658</v>
      </c>
      <c r="C1747" s="944">
        <v>0</v>
      </c>
    </row>
    <row r="1748" spans="1:3" x14ac:dyDescent="0.35">
      <c r="A1748" s="943" t="s">
        <v>5754</v>
      </c>
      <c r="B1748" t="s">
        <v>3660</v>
      </c>
      <c r="C1748" s="944">
        <v>12000</v>
      </c>
    </row>
    <row r="1749" spans="1:3" x14ac:dyDescent="0.35">
      <c r="A1749" s="943" t="s">
        <v>5755</v>
      </c>
      <c r="B1749" t="s">
        <v>3662</v>
      </c>
      <c r="C1749" s="944">
        <v>0</v>
      </c>
    </row>
    <row r="1750" spans="1:3" x14ac:dyDescent="0.35">
      <c r="A1750" s="943" t="s">
        <v>5756</v>
      </c>
      <c r="B1750" t="s">
        <v>3664</v>
      </c>
      <c r="C1750" s="944">
        <v>8746600</v>
      </c>
    </row>
    <row r="1751" spans="1:3" x14ac:dyDescent="0.35">
      <c r="A1751" s="943" t="s">
        <v>5757</v>
      </c>
      <c r="B1751" t="s">
        <v>3666</v>
      </c>
      <c r="C1751" s="944">
        <v>0</v>
      </c>
    </row>
    <row r="1752" spans="1:3" x14ac:dyDescent="0.35">
      <c r="A1752" s="943" t="s">
        <v>5758</v>
      </c>
      <c r="B1752" t="s">
        <v>3668</v>
      </c>
      <c r="C1752" s="944">
        <v>0</v>
      </c>
    </row>
    <row r="1753" spans="1:3" x14ac:dyDescent="0.35">
      <c r="A1753" s="943" t="s">
        <v>5759</v>
      </c>
      <c r="B1753" t="s">
        <v>350</v>
      </c>
      <c r="C1753" s="944">
        <v>0</v>
      </c>
    </row>
    <row r="1754" spans="1:3" x14ac:dyDescent="0.35">
      <c r="A1754" s="943" t="s">
        <v>5760</v>
      </c>
      <c r="B1754" t="s">
        <v>3671</v>
      </c>
      <c r="C1754" s="944">
        <v>0</v>
      </c>
    </row>
    <row r="1755" spans="1:3" x14ac:dyDescent="0.35">
      <c r="A1755" s="943" t="s">
        <v>5761</v>
      </c>
      <c r="B1755" t="s">
        <v>3673</v>
      </c>
      <c r="C1755" s="944">
        <v>0</v>
      </c>
    </row>
    <row r="1756" spans="1:3" x14ac:dyDescent="0.35">
      <c r="A1756" s="943" t="s">
        <v>5762</v>
      </c>
      <c r="B1756" t="s">
        <v>3675</v>
      </c>
      <c r="C1756" s="944">
        <v>0</v>
      </c>
    </row>
    <row r="1757" spans="1:3" x14ac:dyDescent="0.35">
      <c r="A1757" s="943" t="s">
        <v>5763</v>
      </c>
      <c r="B1757" t="s">
        <v>3677</v>
      </c>
      <c r="C1757" s="944">
        <v>0</v>
      </c>
    </row>
    <row r="1758" spans="1:3" x14ac:dyDescent="0.35">
      <c r="A1758" s="943" t="s">
        <v>5764</v>
      </c>
      <c r="B1758" t="s">
        <v>3679</v>
      </c>
      <c r="C1758" s="944">
        <v>0</v>
      </c>
    </row>
    <row r="1759" spans="1:3" x14ac:dyDescent="0.35">
      <c r="A1759" s="943" t="s">
        <v>5765</v>
      </c>
      <c r="B1759" t="s">
        <v>3681</v>
      </c>
      <c r="C1759" s="944">
        <v>0</v>
      </c>
    </row>
    <row r="1760" spans="1:3" x14ac:dyDescent="0.35">
      <c r="A1760" s="943" t="s">
        <v>5766</v>
      </c>
      <c r="B1760" t="s">
        <v>3683</v>
      </c>
      <c r="C1760" s="944">
        <v>0</v>
      </c>
    </row>
    <row r="1761" spans="1:3" x14ac:dyDescent="0.35">
      <c r="A1761" s="943" t="s">
        <v>5767</v>
      </c>
      <c r="B1761" t="s">
        <v>3685</v>
      </c>
      <c r="C1761" s="944">
        <v>0</v>
      </c>
    </row>
    <row r="1762" spans="1:3" x14ac:dyDescent="0.35">
      <c r="A1762" s="943" t="s">
        <v>5768</v>
      </c>
      <c r="B1762" t="s">
        <v>3687</v>
      </c>
      <c r="C1762" s="944">
        <v>0</v>
      </c>
    </row>
    <row r="1763" spans="1:3" x14ac:dyDescent="0.35">
      <c r="A1763" s="943" t="s">
        <v>5769</v>
      </c>
      <c r="B1763" t="s">
        <v>3689</v>
      </c>
      <c r="C1763" s="944">
        <v>0</v>
      </c>
    </row>
    <row r="1764" spans="1:3" x14ac:dyDescent="0.35">
      <c r="A1764" s="943" t="s">
        <v>5770</v>
      </c>
      <c r="B1764" t="s">
        <v>4101</v>
      </c>
      <c r="C1764" s="944">
        <v>0</v>
      </c>
    </row>
    <row r="1765" spans="1:3" x14ac:dyDescent="0.35">
      <c r="A1765" s="943" t="s">
        <v>5771</v>
      </c>
      <c r="B1765" t="s">
        <v>4102</v>
      </c>
      <c r="C1765" s="944">
        <v>0</v>
      </c>
    </row>
    <row r="1766" spans="1:3" x14ac:dyDescent="0.35">
      <c r="A1766" s="943" t="s">
        <v>5772</v>
      </c>
      <c r="B1766" t="s">
        <v>4103</v>
      </c>
      <c r="C1766" s="944">
        <v>0</v>
      </c>
    </row>
    <row r="1767" spans="1:3" x14ac:dyDescent="0.35">
      <c r="A1767" s="943" t="s">
        <v>5773</v>
      </c>
      <c r="B1767" t="s">
        <v>350</v>
      </c>
      <c r="C1767" s="944">
        <v>0</v>
      </c>
    </row>
    <row r="1768" spans="1:3" x14ac:dyDescent="0.35">
      <c r="A1768" s="943" t="s">
        <v>5774</v>
      </c>
      <c r="B1768" t="s">
        <v>3963</v>
      </c>
      <c r="C1768" s="944">
        <v>3344500</v>
      </c>
    </row>
    <row r="1769" spans="1:3" x14ac:dyDescent="0.35">
      <c r="A1769" s="943" t="s">
        <v>5775</v>
      </c>
      <c r="B1769" t="s">
        <v>4072</v>
      </c>
      <c r="C1769" s="944">
        <v>0</v>
      </c>
    </row>
    <row r="1770" spans="1:3" x14ac:dyDescent="0.35">
      <c r="A1770" s="943" t="s">
        <v>5776</v>
      </c>
      <c r="B1770" t="s">
        <v>4104</v>
      </c>
      <c r="C1770" s="944">
        <v>0</v>
      </c>
    </row>
    <row r="1771" spans="1:3" x14ac:dyDescent="0.35">
      <c r="A1771" s="943" t="s">
        <v>5777</v>
      </c>
      <c r="B1771" t="s">
        <v>4073</v>
      </c>
      <c r="C1771" s="944">
        <v>540000</v>
      </c>
    </row>
    <row r="1772" spans="1:3" x14ac:dyDescent="0.35">
      <c r="A1772" s="943" t="s">
        <v>5778</v>
      </c>
      <c r="B1772" t="s">
        <v>7923</v>
      </c>
      <c r="C1772" s="944">
        <v>0</v>
      </c>
    </row>
    <row r="1773" spans="1:3" x14ac:dyDescent="0.35">
      <c r="A1773" s="943" t="s">
        <v>5779</v>
      </c>
      <c r="B1773" t="s">
        <v>4105</v>
      </c>
      <c r="C1773" s="944">
        <v>0</v>
      </c>
    </row>
    <row r="1774" spans="1:3" x14ac:dyDescent="0.35">
      <c r="B1774" t="s">
        <v>4106</v>
      </c>
      <c r="C1774" s="944">
        <v>284756300.67000002</v>
      </c>
    </row>
    <row r="1775" spans="1:3" x14ac:dyDescent="0.35">
      <c r="A1775" s="943" t="s">
        <v>7893</v>
      </c>
      <c r="B1775" t="s">
        <v>4107</v>
      </c>
      <c r="C1775" s="944"/>
    </row>
    <row r="1776" spans="1:3" x14ac:dyDescent="0.35">
      <c r="A1776" s="943" t="s">
        <v>5780</v>
      </c>
      <c r="B1776" t="s">
        <v>3599</v>
      </c>
      <c r="C1776" s="944">
        <v>0</v>
      </c>
    </row>
    <row r="1777" spans="1:3" x14ac:dyDescent="0.35">
      <c r="A1777" s="943" t="s">
        <v>5781</v>
      </c>
      <c r="B1777" t="s">
        <v>3605</v>
      </c>
      <c r="C1777" s="944">
        <v>0</v>
      </c>
    </row>
    <row r="1778" spans="1:3" x14ac:dyDescent="0.35">
      <c r="A1778" s="943" t="s">
        <v>5782</v>
      </c>
      <c r="B1778" t="s">
        <v>3607</v>
      </c>
      <c r="C1778" s="944">
        <v>0</v>
      </c>
    </row>
    <row r="1779" spans="1:3" x14ac:dyDescent="0.35">
      <c r="A1779" s="943" t="s">
        <v>5783</v>
      </c>
      <c r="B1779" t="s">
        <v>3609</v>
      </c>
      <c r="C1779" s="944">
        <v>0</v>
      </c>
    </row>
    <row r="1780" spans="1:3" x14ac:dyDescent="0.35">
      <c r="A1780" s="943" t="s">
        <v>5784</v>
      </c>
      <c r="B1780" t="s">
        <v>3611</v>
      </c>
      <c r="C1780" s="944">
        <v>0</v>
      </c>
    </row>
    <row r="1781" spans="1:3" x14ac:dyDescent="0.35">
      <c r="A1781" s="943" t="s">
        <v>5785</v>
      </c>
      <c r="B1781" t="s">
        <v>3613</v>
      </c>
      <c r="C1781" s="944">
        <v>0</v>
      </c>
    </row>
    <row r="1782" spans="1:3" x14ac:dyDescent="0.35">
      <c r="A1782" s="943" t="s">
        <v>5786</v>
      </c>
      <c r="B1782" t="s">
        <v>3615</v>
      </c>
      <c r="C1782" s="944">
        <v>0</v>
      </c>
    </row>
    <row r="1783" spans="1:3" x14ac:dyDescent="0.35">
      <c r="A1783" s="943" t="s">
        <v>5787</v>
      </c>
      <c r="B1783" t="s">
        <v>3617</v>
      </c>
      <c r="C1783" s="944">
        <v>0</v>
      </c>
    </row>
    <row r="1784" spans="1:3" x14ac:dyDescent="0.35">
      <c r="A1784" s="943" t="s">
        <v>5788</v>
      </c>
      <c r="B1784" t="s">
        <v>3619</v>
      </c>
      <c r="C1784" s="944">
        <v>0</v>
      </c>
    </row>
    <row r="1785" spans="1:3" x14ac:dyDescent="0.35">
      <c r="A1785" s="943" t="s">
        <v>5789</v>
      </c>
      <c r="B1785" t="s">
        <v>3621</v>
      </c>
      <c r="C1785" s="944">
        <v>0</v>
      </c>
    </row>
    <row r="1786" spans="1:3" x14ac:dyDescent="0.35">
      <c r="A1786" s="943" t="s">
        <v>5790</v>
      </c>
      <c r="B1786" t="s">
        <v>3623</v>
      </c>
      <c r="C1786" s="944">
        <v>0</v>
      </c>
    </row>
    <row r="1787" spans="1:3" x14ac:dyDescent="0.35">
      <c r="A1787" s="943" t="s">
        <v>5791</v>
      </c>
      <c r="B1787" t="s">
        <v>3625</v>
      </c>
      <c r="C1787" s="944">
        <v>0</v>
      </c>
    </row>
    <row r="1788" spans="1:3" x14ac:dyDescent="0.35">
      <c r="A1788" s="943" t="s">
        <v>5792</v>
      </c>
      <c r="B1788" t="s">
        <v>3627</v>
      </c>
      <c r="C1788" s="944">
        <v>0</v>
      </c>
    </row>
    <row r="1789" spans="1:3" x14ac:dyDescent="0.35">
      <c r="A1789" s="943" t="s">
        <v>5793</v>
      </c>
      <c r="B1789" t="s">
        <v>3629</v>
      </c>
      <c r="C1789" s="944">
        <v>0</v>
      </c>
    </row>
    <row r="1790" spans="1:3" x14ac:dyDescent="0.35">
      <c r="A1790" s="943" t="s">
        <v>5794</v>
      </c>
      <c r="B1790" t="s">
        <v>3631</v>
      </c>
      <c r="C1790" s="944">
        <v>0</v>
      </c>
    </row>
    <row r="1791" spans="1:3" x14ac:dyDescent="0.35">
      <c r="A1791" s="943" t="s">
        <v>5795</v>
      </c>
      <c r="B1791" t="s">
        <v>3633</v>
      </c>
      <c r="C1791" s="944">
        <v>0</v>
      </c>
    </row>
    <row r="1792" spans="1:3" x14ac:dyDescent="0.35">
      <c r="A1792" s="943" t="s">
        <v>5796</v>
      </c>
      <c r="B1792" t="s">
        <v>3635</v>
      </c>
      <c r="C1792" s="944">
        <v>0</v>
      </c>
    </row>
    <row r="1793" spans="1:3" x14ac:dyDescent="0.35">
      <c r="A1793" s="943" t="s">
        <v>5797</v>
      </c>
      <c r="B1793" t="s">
        <v>3637</v>
      </c>
      <c r="C1793" s="944">
        <v>0</v>
      </c>
    </row>
    <row r="1794" spans="1:3" x14ac:dyDescent="0.35">
      <c r="A1794" s="943" t="s">
        <v>5798</v>
      </c>
      <c r="B1794" t="s">
        <v>334</v>
      </c>
      <c r="C1794" s="944">
        <v>0</v>
      </c>
    </row>
    <row r="1795" spans="1:3" x14ac:dyDescent="0.35">
      <c r="A1795" s="943" t="s">
        <v>5799</v>
      </c>
      <c r="B1795" t="s">
        <v>3640</v>
      </c>
      <c r="C1795" s="944">
        <v>90000</v>
      </c>
    </row>
    <row r="1796" spans="1:3" x14ac:dyDescent="0.35">
      <c r="A1796" s="943" t="s">
        <v>5800</v>
      </c>
      <c r="B1796" t="s">
        <v>3642</v>
      </c>
      <c r="C1796" s="944">
        <v>0</v>
      </c>
    </row>
    <row r="1797" spans="1:3" x14ac:dyDescent="0.35">
      <c r="A1797" s="943" t="s">
        <v>5801</v>
      </c>
      <c r="B1797" t="s">
        <v>3644</v>
      </c>
      <c r="C1797" s="944">
        <v>0</v>
      </c>
    </row>
    <row r="1798" spans="1:3" x14ac:dyDescent="0.35">
      <c r="A1798" s="943" t="s">
        <v>5802</v>
      </c>
      <c r="B1798" t="s">
        <v>3646</v>
      </c>
      <c r="C1798" s="944">
        <v>190000</v>
      </c>
    </row>
    <row r="1799" spans="1:3" x14ac:dyDescent="0.35">
      <c r="A1799" s="943" t="s">
        <v>5803</v>
      </c>
      <c r="B1799" t="s">
        <v>3648</v>
      </c>
      <c r="C1799" s="944">
        <v>4615000</v>
      </c>
    </row>
    <row r="1800" spans="1:3" x14ac:dyDescent="0.35">
      <c r="A1800" s="943" t="s">
        <v>5804</v>
      </c>
      <c r="B1800" t="s">
        <v>3650</v>
      </c>
      <c r="C1800" s="944">
        <v>1463500</v>
      </c>
    </row>
    <row r="1801" spans="1:3" x14ac:dyDescent="0.35">
      <c r="A1801" s="943" t="s">
        <v>5805</v>
      </c>
      <c r="B1801" t="s">
        <v>7830</v>
      </c>
      <c r="C1801" s="944">
        <v>0</v>
      </c>
    </row>
    <row r="1802" spans="1:3" x14ac:dyDescent="0.35">
      <c r="A1802" s="943" t="s">
        <v>7894</v>
      </c>
      <c r="B1802" t="s">
        <v>7831</v>
      </c>
      <c r="C1802" s="944">
        <v>150500</v>
      </c>
    </row>
    <row r="1803" spans="1:3" x14ac:dyDescent="0.35">
      <c r="A1803" s="943" t="s">
        <v>5806</v>
      </c>
      <c r="B1803" t="s">
        <v>3654</v>
      </c>
      <c r="C1803" s="944">
        <v>1101800</v>
      </c>
    </row>
    <row r="1804" spans="1:3" x14ac:dyDescent="0.35">
      <c r="A1804" s="943" t="s">
        <v>5807</v>
      </c>
      <c r="B1804" t="s">
        <v>4108</v>
      </c>
      <c r="C1804" s="944">
        <v>0</v>
      </c>
    </row>
    <row r="1805" spans="1:3" x14ac:dyDescent="0.35">
      <c r="A1805" s="943" t="s">
        <v>5808</v>
      </c>
      <c r="B1805" t="s">
        <v>3117</v>
      </c>
      <c r="C1805" s="944">
        <v>0</v>
      </c>
    </row>
    <row r="1806" spans="1:3" x14ac:dyDescent="0.35">
      <c r="A1806" s="943" t="s">
        <v>5809</v>
      </c>
      <c r="B1806" t="s">
        <v>4109</v>
      </c>
      <c r="C1806" s="944">
        <v>674550</v>
      </c>
    </row>
    <row r="1807" spans="1:3" x14ac:dyDescent="0.35">
      <c r="A1807" s="943" t="s">
        <v>5810</v>
      </c>
      <c r="B1807" t="s">
        <v>4110</v>
      </c>
      <c r="C1807" s="944">
        <v>0</v>
      </c>
    </row>
    <row r="1808" spans="1:3" x14ac:dyDescent="0.35">
      <c r="A1808" s="943" t="s">
        <v>5811</v>
      </c>
      <c r="B1808" t="s">
        <v>4111</v>
      </c>
      <c r="C1808" s="944">
        <v>0</v>
      </c>
    </row>
    <row r="1809" spans="1:3" x14ac:dyDescent="0.35">
      <c r="A1809" s="943" t="s">
        <v>5812</v>
      </c>
      <c r="B1809" t="s">
        <v>4112</v>
      </c>
      <c r="C1809" s="944">
        <v>0</v>
      </c>
    </row>
    <row r="1810" spans="1:3" x14ac:dyDescent="0.35">
      <c r="A1810" s="943" t="s">
        <v>5813</v>
      </c>
      <c r="B1810" t="s">
        <v>4113</v>
      </c>
      <c r="C1810" s="944">
        <v>0</v>
      </c>
    </row>
    <row r="1811" spans="1:3" x14ac:dyDescent="0.35">
      <c r="A1811" s="943" t="s">
        <v>5814</v>
      </c>
      <c r="B1811" t="s">
        <v>350</v>
      </c>
      <c r="C1811" s="944">
        <v>0</v>
      </c>
    </row>
    <row r="1812" spans="1:3" x14ac:dyDescent="0.35">
      <c r="A1812" s="943" t="s">
        <v>5815</v>
      </c>
      <c r="B1812" t="s">
        <v>3723</v>
      </c>
      <c r="C1812" s="944">
        <v>0</v>
      </c>
    </row>
    <row r="1813" spans="1:3" x14ac:dyDescent="0.35">
      <c r="A1813" s="943" t="s">
        <v>5816</v>
      </c>
      <c r="B1813" t="s">
        <v>3662</v>
      </c>
      <c r="C1813" s="944">
        <v>1530000</v>
      </c>
    </row>
    <row r="1814" spans="1:3" x14ac:dyDescent="0.35">
      <c r="A1814" s="943" t="s">
        <v>5817</v>
      </c>
      <c r="B1814" t="s">
        <v>4114</v>
      </c>
      <c r="C1814" s="944">
        <v>24000</v>
      </c>
    </row>
    <row r="1815" spans="1:3" x14ac:dyDescent="0.35">
      <c r="A1815" s="943" t="s">
        <v>5818</v>
      </c>
      <c r="B1815" t="s">
        <v>4115</v>
      </c>
      <c r="C1815" s="944">
        <v>130000</v>
      </c>
    </row>
    <row r="1816" spans="1:3" x14ac:dyDescent="0.35">
      <c r="A1816" s="943" t="s">
        <v>5819</v>
      </c>
      <c r="B1816" t="s">
        <v>3666</v>
      </c>
      <c r="C1816" s="944">
        <v>0</v>
      </c>
    </row>
    <row r="1817" spans="1:3" x14ac:dyDescent="0.35">
      <c r="A1817" s="943" t="s">
        <v>5820</v>
      </c>
      <c r="B1817" t="s">
        <v>4116</v>
      </c>
      <c r="C1817" s="944">
        <v>0</v>
      </c>
    </row>
    <row r="1818" spans="1:3" x14ac:dyDescent="0.35">
      <c r="A1818" s="943" t="s">
        <v>5821</v>
      </c>
      <c r="B1818" t="s">
        <v>3671</v>
      </c>
      <c r="C1818" s="944">
        <v>0</v>
      </c>
    </row>
    <row r="1819" spans="1:3" x14ac:dyDescent="0.35">
      <c r="A1819" s="943" t="s">
        <v>5822</v>
      </c>
      <c r="B1819" t="s">
        <v>3673</v>
      </c>
      <c r="C1819" s="944">
        <v>0</v>
      </c>
    </row>
    <row r="1820" spans="1:3" x14ac:dyDescent="0.35">
      <c r="A1820" s="943" t="s">
        <v>5823</v>
      </c>
      <c r="B1820" t="s">
        <v>3675</v>
      </c>
      <c r="C1820" s="944">
        <v>0</v>
      </c>
    </row>
    <row r="1821" spans="1:3" x14ac:dyDescent="0.35">
      <c r="A1821" s="943" t="s">
        <v>5824</v>
      </c>
      <c r="B1821" t="s">
        <v>3677</v>
      </c>
      <c r="C1821" s="944">
        <v>0</v>
      </c>
    </row>
    <row r="1822" spans="1:3" x14ac:dyDescent="0.35">
      <c r="A1822" s="943" t="s">
        <v>5825</v>
      </c>
      <c r="B1822" t="s">
        <v>3679</v>
      </c>
      <c r="C1822" s="944">
        <v>0</v>
      </c>
    </row>
    <row r="1823" spans="1:3" x14ac:dyDescent="0.35">
      <c r="A1823" s="943" t="s">
        <v>5826</v>
      </c>
      <c r="B1823" t="s">
        <v>3681</v>
      </c>
      <c r="C1823" s="944">
        <v>0</v>
      </c>
    </row>
    <row r="1824" spans="1:3" x14ac:dyDescent="0.35">
      <c r="A1824" s="943" t="s">
        <v>5827</v>
      </c>
      <c r="B1824" t="s">
        <v>3683</v>
      </c>
      <c r="C1824" s="944">
        <v>0</v>
      </c>
    </row>
    <row r="1825" spans="1:3" x14ac:dyDescent="0.35">
      <c r="A1825" s="943" t="s">
        <v>5828</v>
      </c>
      <c r="B1825" t="s">
        <v>3685</v>
      </c>
      <c r="C1825" s="944">
        <v>0</v>
      </c>
    </row>
    <row r="1826" spans="1:3" x14ac:dyDescent="0.35">
      <c r="A1826" s="943" t="s">
        <v>5829</v>
      </c>
      <c r="B1826" t="s">
        <v>3687</v>
      </c>
      <c r="C1826" s="944">
        <v>0</v>
      </c>
    </row>
    <row r="1827" spans="1:3" x14ac:dyDescent="0.35">
      <c r="A1827" s="943" t="s">
        <v>5830</v>
      </c>
      <c r="B1827" t="s">
        <v>3689</v>
      </c>
      <c r="C1827" s="944">
        <v>0</v>
      </c>
    </row>
    <row r="1828" spans="1:3" x14ac:dyDescent="0.35">
      <c r="A1828" s="943" t="s">
        <v>5831</v>
      </c>
      <c r="B1828" t="s">
        <v>350</v>
      </c>
      <c r="C1828" s="944">
        <v>0</v>
      </c>
    </row>
    <row r="1829" spans="1:3" x14ac:dyDescent="0.35">
      <c r="A1829" s="943" t="s">
        <v>5832</v>
      </c>
      <c r="B1829" t="s">
        <v>3963</v>
      </c>
      <c r="C1829" s="944">
        <v>0</v>
      </c>
    </row>
    <row r="1830" spans="1:3" x14ac:dyDescent="0.35">
      <c r="A1830" s="943" t="s">
        <v>5833</v>
      </c>
      <c r="B1830" t="s">
        <v>4072</v>
      </c>
      <c r="C1830" s="944">
        <v>0</v>
      </c>
    </row>
    <row r="1831" spans="1:3" x14ac:dyDescent="0.35">
      <c r="A1831" s="943" t="s">
        <v>5834</v>
      </c>
      <c r="B1831" t="s">
        <v>4104</v>
      </c>
      <c r="C1831" s="944">
        <v>0</v>
      </c>
    </row>
    <row r="1832" spans="1:3" x14ac:dyDescent="0.35">
      <c r="A1832" s="943" t="s">
        <v>5835</v>
      </c>
      <c r="B1832" t="s">
        <v>4117</v>
      </c>
      <c r="C1832" s="944">
        <v>0</v>
      </c>
    </row>
    <row r="1833" spans="1:3" x14ac:dyDescent="0.35">
      <c r="A1833" s="943" t="s">
        <v>5836</v>
      </c>
      <c r="B1833" t="s">
        <v>4118</v>
      </c>
      <c r="C1833" s="944">
        <v>0</v>
      </c>
    </row>
    <row r="1834" spans="1:3" x14ac:dyDescent="0.35">
      <c r="A1834" s="943" t="s">
        <v>5837</v>
      </c>
      <c r="B1834" t="s">
        <v>4119</v>
      </c>
      <c r="C1834" s="944">
        <v>0</v>
      </c>
    </row>
    <row r="1835" spans="1:3" x14ac:dyDescent="0.35">
      <c r="B1835" t="s">
        <v>4120</v>
      </c>
      <c r="C1835" s="944">
        <v>9969350</v>
      </c>
    </row>
    <row r="1836" spans="1:3" x14ac:dyDescent="0.35">
      <c r="A1836" s="943" t="s">
        <v>7895</v>
      </c>
      <c r="B1836" t="s">
        <v>4121</v>
      </c>
      <c r="C1836" s="944"/>
    </row>
    <row r="1837" spans="1:3" x14ac:dyDescent="0.35">
      <c r="A1837" s="943" t="s">
        <v>5838</v>
      </c>
      <c r="B1837" t="s">
        <v>3599</v>
      </c>
      <c r="C1837" s="944">
        <v>0</v>
      </c>
    </row>
    <row r="1838" spans="1:3" x14ac:dyDescent="0.35">
      <c r="A1838" s="943" t="s">
        <v>5839</v>
      </c>
      <c r="B1838" t="s">
        <v>3605</v>
      </c>
      <c r="C1838" s="944">
        <v>0</v>
      </c>
    </row>
    <row r="1839" spans="1:3" x14ac:dyDescent="0.35">
      <c r="A1839" s="943" t="s">
        <v>5840</v>
      </c>
      <c r="B1839" t="s">
        <v>3607</v>
      </c>
      <c r="C1839" s="944">
        <v>0</v>
      </c>
    </row>
    <row r="1840" spans="1:3" x14ac:dyDescent="0.35">
      <c r="A1840" s="943" t="s">
        <v>5841</v>
      </c>
      <c r="B1840" t="s">
        <v>3609</v>
      </c>
      <c r="C1840" s="944">
        <v>0</v>
      </c>
    </row>
    <row r="1841" spans="1:3" x14ac:dyDescent="0.35">
      <c r="A1841" s="943" t="s">
        <v>5842</v>
      </c>
      <c r="B1841" t="s">
        <v>3611</v>
      </c>
      <c r="C1841" s="944">
        <v>0</v>
      </c>
    </row>
    <row r="1842" spans="1:3" x14ac:dyDescent="0.35">
      <c r="A1842" s="943" t="s">
        <v>5843</v>
      </c>
      <c r="B1842" t="s">
        <v>3613</v>
      </c>
      <c r="C1842" s="944">
        <v>0</v>
      </c>
    </row>
    <row r="1843" spans="1:3" x14ac:dyDescent="0.35">
      <c r="A1843" s="943" t="s">
        <v>5844</v>
      </c>
      <c r="B1843" t="s">
        <v>3615</v>
      </c>
      <c r="C1843" s="944">
        <v>0</v>
      </c>
    </row>
    <row r="1844" spans="1:3" x14ac:dyDescent="0.35">
      <c r="A1844" s="943" t="s">
        <v>5845</v>
      </c>
      <c r="B1844" t="s">
        <v>3617</v>
      </c>
      <c r="C1844" s="944">
        <v>0</v>
      </c>
    </row>
    <row r="1845" spans="1:3" x14ac:dyDescent="0.35">
      <c r="A1845" s="943" t="s">
        <v>5846</v>
      </c>
      <c r="B1845" t="s">
        <v>3619</v>
      </c>
      <c r="C1845" s="944">
        <v>0</v>
      </c>
    </row>
    <row r="1846" spans="1:3" x14ac:dyDescent="0.35">
      <c r="A1846" s="943" t="s">
        <v>5847</v>
      </c>
      <c r="B1846" t="s">
        <v>3621</v>
      </c>
      <c r="C1846" s="944">
        <v>0</v>
      </c>
    </row>
    <row r="1847" spans="1:3" x14ac:dyDescent="0.35">
      <c r="A1847" s="943" t="s">
        <v>5848</v>
      </c>
      <c r="B1847" t="s">
        <v>3623</v>
      </c>
      <c r="C1847" s="944">
        <v>0</v>
      </c>
    </row>
    <row r="1848" spans="1:3" x14ac:dyDescent="0.35">
      <c r="A1848" s="943" t="s">
        <v>5849</v>
      </c>
      <c r="B1848" t="s">
        <v>3625</v>
      </c>
      <c r="C1848" s="944">
        <v>0</v>
      </c>
    </row>
    <row r="1849" spans="1:3" x14ac:dyDescent="0.35">
      <c r="A1849" s="943" t="s">
        <v>5850</v>
      </c>
      <c r="B1849" t="s">
        <v>3627</v>
      </c>
      <c r="C1849" s="944">
        <v>0</v>
      </c>
    </row>
    <row r="1850" spans="1:3" x14ac:dyDescent="0.35">
      <c r="A1850" s="943" t="s">
        <v>5851</v>
      </c>
      <c r="B1850" t="s">
        <v>3629</v>
      </c>
      <c r="C1850" s="944">
        <v>0</v>
      </c>
    </row>
    <row r="1851" spans="1:3" x14ac:dyDescent="0.35">
      <c r="A1851" s="943" t="s">
        <v>5852</v>
      </c>
      <c r="B1851" t="s">
        <v>3631</v>
      </c>
      <c r="C1851" s="944">
        <v>0</v>
      </c>
    </row>
    <row r="1852" spans="1:3" x14ac:dyDescent="0.35">
      <c r="A1852" s="943" t="s">
        <v>5853</v>
      </c>
      <c r="B1852" t="s">
        <v>3633</v>
      </c>
      <c r="C1852" s="944">
        <v>0</v>
      </c>
    </row>
    <row r="1853" spans="1:3" x14ac:dyDescent="0.35">
      <c r="A1853" s="943" t="s">
        <v>5854</v>
      </c>
      <c r="B1853" t="s">
        <v>3635</v>
      </c>
      <c r="C1853" s="944">
        <v>0</v>
      </c>
    </row>
    <row r="1854" spans="1:3" x14ac:dyDescent="0.35">
      <c r="A1854" s="943" t="s">
        <v>5855</v>
      </c>
      <c r="B1854" t="s">
        <v>3637</v>
      </c>
      <c r="C1854" s="944">
        <v>0</v>
      </c>
    </row>
    <row r="1855" spans="1:3" x14ac:dyDescent="0.35">
      <c r="A1855" s="943" t="s">
        <v>5856</v>
      </c>
      <c r="B1855" t="s">
        <v>334</v>
      </c>
      <c r="C1855" s="944">
        <v>0</v>
      </c>
    </row>
    <row r="1856" spans="1:3" x14ac:dyDescent="0.35">
      <c r="A1856" s="943" t="s">
        <v>5857</v>
      </c>
      <c r="B1856" t="s">
        <v>3640</v>
      </c>
      <c r="C1856" s="944">
        <v>0</v>
      </c>
    </row>
    <row r="1857" spans="1:3" x14ac:dyDescent="0.35">
      <c r="A1857" s="943" t="s">
        <v>5858</v>
      </c>
      <c r="B1857" t="s">
        <v>3642</v>
      </c>
      <c r="C1857" s="944">
        <v>0</v>
      </c>
    </row>
    <row r="1858" spans="1:3" x14ac:dyDescent="0.35">
      <c r="A1858" s="943" t="s">
        <v>5859</v>
      </c>
      <c r="B1858" t="s">
        <v>3644</v>
      </c>
      <c r="C1858" s="944">
        <v>0</v>
      </c>
    </row>
    <row r="1859" spans="1:3" x14ac:dyDescent="0.35">
      <c r="A1859" s="943" t="s">
        <v>5860</v>
      </c>
      <c r="B1859" t="s">
        <v>3646</v>
      </c>
      <c r="C1859" s="944">
        <v>0</v>
      </c>
    </row>
    <row r="1860" spans="1:3" x14ac:dyDescent="0.35">
      <c r="A1860" s="943" t="s">
        <v>5861</v>
      </c>
      <c r="B1860" t="s">
        <v>3648</v>
      </c>
      <c r="C1860" s="944">
        <v>0</v>
      </c>
    </row>
    <row r="1861" spans="1:3" x14ac:dyDescent="0.35">
      <c r="A1861" s="943" t="s">
        <v>5862</v>
      </c>
      <c r="B1861" t="s">
        <v>3650</v>
      </c>
      <c r="C1861" s="944">
        <v>0</v>
      </c>
    </row>
    <row r="1862" spans="1:3" x14ac:dyDescent="0.35">
      <c r="A1862" s="943" t="s">
        <v>5863</v>
      </c>
      <c r="B1862" t="s">
        <v>4024</v>
      </c>
      <c r="C1862" s="944">
        <v>0</v>
      </c>
    </row>
    <row r="1863" spans="1:3" x14ac:dyDescent="0.35">
      <c r="A1863" s="943" t="s">
        <v>7896</v>
      </c>
      <c r="B1863" t="s">
        <v>7830</v>
      </c>
      <c r="C1863" s="944">
        <v>117400</v>
      </c>
    </row>
    <row r="1864" spans="1:3" x14ac:dyDescent="0.35">
      <c r="A1864" s="943" t="s">
        <v>5864</v>
      </c>
      <c r="B1864" t="s">
        <v>3654</v>
      </c>
      <c r="C1864" s="944">
        <v>0</v>
      </c>
    </row>
    <row r="1865" spans="1:3" x14ac:dyDescent="0.35">
      <c r="A1865" s="943" t="s">
        <v>5865</v>
      </c>
      <c r="B1865" t="s">
        <v>3656</v>
      </c>
      <c r="C1865" s="944">
        <v>0</v>
      </c>
    </row>
    <row r="1866" spans="1:3" x14ac:dyDescent="0.35">
      <c r="A1866" s="943" t="s">
        <v>5866</v>
      </c>
      <c r="B1866" t="s">
        <v>3658</v>
      </c>
      <c r="C1866" s="944">
        <v>0</v>
      </c>
    </row>
    <row r="1867" spans="1:3" x14ac:dyDescent="0.35">
      <c r="A1867" s="943" t="s">
        <v>5867</v>
      </c>
      <c r="B1867" t="s">
        <v>3660</v>
      </c>
      <c r="C1867" s="944">
        <v>60000</v>
      </c>
    </row>
    <row r="1868" spans="1:3" x14ac:dyDescent="0.35">
      <c r="A1868" s="943" t="s">
        <v>5868</v>
      </c>
      <c r="B1868" t="s">
        <v>3662</v>
      </c>
      <c r="C1868" s="944">
        <v>0</v>
      </c>
    </row>
    <row r="1869" spans="1:3" x14ac:dyDescent="0.35">
      <c r="A1869" s="943" t="s">
        <v>5869</v>
      </c>
      <c r="B1869" t="s">
        <v>3664</v>
      </c>
      <c r="C1869" s="944">
        <v>0</v>
      </c>
    </row>
    <row r="1870" spans="1:3" x14ac:dyDescent="0.35">
      <c r="A1870" s="943" t="s">
        <v>5870</v>
      </c>
      <c r="B1870" t="s">
        <v>3666</v>
      </c>
      <c r="C1870" s="944">
        <v>0</v>
      </c>
    </row>
    <row r="1871" spans="1:3" x14ac:dyDescent="0.35">
      <c r="A1871" s="943" t="s">
        <v>5871</v>
      </c>
      <c r="B1871" t="s">
        <v>3668</v>
      </c>
      <c r="C1871" s="944">
        <v>0</v>
      </c>
    </row>
    <row r="1872" spans="1:3" x14ac:dyDescent="0.35">
      <c r="A1872" s="943" t="s">
        <v>5872</v>
      </c>
      <c r="B1872" t="s">
        <v>350</v>
      </c>
      <c r="C1872" s="944">
        <v>0</v>
      </c>
    </row>
    <row r="1873" spans="1:3" x14ac:dyDescent="0.35">
      <c r="A1873" s="943" t="s">
        <v>5873</v>
      </c>
      <c r="B1873" t="s">
        <v>3671</v>
      </c>
      <c r="C1873" s="944">
        <v>0</v>
      </c>
    </row>
    <row r="1874" spans="1:3" x14ac:dyDescent="0.35">
      <c r="A1874" s="943" t="s">
        <v>5874</v>
      </c>
      <c r="B1874" t="s">
        <v>3673</v>
      </c>
      <c r="C1874" s="944">
        <v>0</v>
      </c>
    </row>
    <row r="1875" spans="1:3" x14ac:dyDescent="0.35">
      <c r="A1875" s="943" t="s">
        <v>5875</v>
      </c>
      <c r="B1875" t="s">
        <v>3675</v>
      </c>
      <c r="C1875" s="944">
        <v>0</v>
      </c>
    </row>
    <row r="1876" spans="1:3" x14ac:dyDescent="0.35">
      <c r="A1876" s="943" t="s">
        <v>5876</v>
      </c>
      <c r="B1876" t="s">
        <v>3677</v>
      </c>
      <c r="C1876" s="944">
        <v>0</v>
      </c>
    </row>
    <row r="1877" spans="1:3" x14ac:dyDescent="0.35">
      <c r="A1877" s="943" t="s">
        <v>5877</v>
      </c>
      <c r="B1877" t="s">
        <v>3679</v>
      </c>
      <c r="C1877" s="944">
        <v>0</v>
      </c>
    </row>
    <row r="1878" spans="1:3" x14ac:dyDescent="0.35">
      <c r="A1878" s="943" t="s">
        <v>5878</v>
      </c>
      <c r="B1878" t="s">
        <v>3681</v>
      </c>
      <c r="C1878" s="944">
        <v>0</v>
      </c>
    </row>
    <row r="1879" spans="1:3" x14ac:dyDescent="0.35">
      <c r="A1879" s="943" t="s">
        <v>5879</v>
      </c>
      <c r="B1879" t="s">
        <v>3683</v>
      </c>
      <c r="C1879" s="944">
        <v>0</v>
      </c>
    </row>
    <row r="1880" spans="1:3" x14ac:dyDescent="0.35">
      <c r="A1880" s="943" t="s">
        <v>5880</v>
      </c>
      <c r="B1880" t="s">
        <v>3685</v>
      </c>
      <c r="C1880" s="944">
        <v>0</v>
      </c>
    </row>
    <row r="1881" spans="1:3" x14ac:dyDescent="0.35">
      <c r="A1881" s="943" t="s">
        <v>5881</v>
      </c>
      <c r="B1881" t="s">
        <v>3687</v>
      </c>
      <c r="C1881" s="944">
        <v>0</v>
      </c>
    </row>
    <row r="1882" spans="1:3" x14ac:dyDescent="0.35">
      <c r="A1882" s="943" t="s">
        <v>5882</v>
      </c>
      <c r="B1882" t="s">
        <v>3689</v>
      </c>
      <c r="C1882" s="944">
        <v>0</v>
      </c>
    </row>
    <row r="1883" spans="1:3" x14ac:dyDescent="0.35">
      <c r="A1883" s="943" t="s">
        <v>5883</v>
      </c>
      <c r="B1883" t="s">
        <v>350</v>
      </c>
      <c r="C1883" s="944">
        <v>0</v>
      </c>
    </row>
    <row r="1884" spans="1:3" x14ac:dyDescent="0.35">
      <c r="A1884" s="943" t="s">
        <v>5884</v>
      </c>
      <c r="B1884" t="s">
        <v>3963</v>
      </c>
      <c r="C1884" s="944">
        <v>0</v>
      </c>
    </row>
    <row r="1885" spans="1:3" x14ac:dyDescent="0.35">
      <c r="A1885" s="943" t="s">
        <v>5885</v>
      </c>
      <c r="B1885" t="s">
        <v>4072</v>
      </c>
      <c r="C1885" s="944">
        <v>0</v>
      </c>
    </row>
    <row r="1886" spans="1:3" x14ac:dyDescent="0.35">
      <c r="A1886" s="943" t="s">
        <v>5886</v>
      </c>
      <c r="B1886" t="s">
        <v>4104</v>
      </c>
      <c r="C1886" s="944">
        <v>0</v>
      </c>
    </row>
    <row r="1887" spans="1:3" x14ac:dyDescent="0.35">
      <c r="A1887" s="943" t="s">
        <v>5887</v>
      </c>
      <c r="B1887" t="s">
        <v>4073</v>
      </c>
      <c r="C1887" s="944">
        <v>0</v>
      </c>
    </row>
    <row r="1888" spans="1:3" x14ac:dyDescent="0.35">
      <c r="A1888" s="943" t="s">
        <v>5888</v>
      </c>
      <c r="B1888" t="s">
        <v>4075</v>
      </c>
      <c r="C1888" s="944">
        <v>0</v>
      </c>
    </row>
    <row r="1889" spans="1:3" x14ac:dyDescent="0.35">
      <c r="B1889" t="s">
        <v>4122</v>
      </c>
      <c r="C1889" s="944">
        <v>177400</v>
      </c>
    </row>
    <row r="1890" spans="1:3" x14ac:dyDescent="0.35">
      <c r="B1890" t="s">
        <v>4123</v>
      </c>
      <c r="C1890" s="944">
        <v>298317430.67000002</v>
      </c>
    </row>
    <row r="1891" spans="1:3" x14ac:dyDescent="0.35">
      <c r="A1891" s="943" t="s">
        <v>7897</v>
      </c>
      <c r="B1891" t="s">
        <v>4124</v>
      </c>
      <c r="C1891" s="944"/>
    </row>
    <row r="1892" spans="1:3" x14ac:dyDescent="0.35">
      <c r="A1892" s="943" t="s">
        <v>7898</v>
      </c>
      <c r="B1892" t="s">
        <v>4125</v>
      </c>
      <c r="C1892" s="944"/>
    </row>
    <row r="1893" spans="1:3" x14ac:dyDescent="0.35">
      <c r="A1893" s="943" t="s">
        <v>5889</v>
      </c>
      <c r="B1893" t="s">
        <v>3599</v>
      </c>
      <c r="C1893" s="944">
        <v>0</v>
      </c>
    </row>
    <row r="1894" spans="1:3" x14ac:dyDescent="0.35">
      <c r="A1894" s="943" t="s">
        <v>5890</v>
      </c>
      <c r="B1894" t="s">
        <v>3605</v>
      </c>
      <c r="C1894" s="944">
        <v>0</v>
      </c>
    </row>
    <row r="1895" spans="1:3" x14ac:dyDescent="0.35">
      <c r="A1895" s="943" t="s">
        <v>5891</v>
      </c>
      <c r="B1895" t="s">
        <v>3607</v>
      </c>
      <c r="C1895" s="944">
        <v>0</v>
      </c>
    </row>
    <row r="1896" spans="1:3" x14ac:dyDescent="0.35">
      <c r="A1896" s="943" t="s">
        <v>5892</v>
      </c>
      <c r="B1896" t="s">
        <v>4126</v>
      </c>
      <c r="C1896" s="944">
        <v>0</v>
      </c>
    </row>
    <row r="1897" spans="1:3" x14ac:dyDescent="0.35">
      <c r="A1897" s="943" t="s">
        <v>5893</v>
      </c>
      <c r="B1897" t="s">
        <v>4127</v>
      </c>
      <c r="C1897" s="944">
        <v>0</v>
      </c>
    </row>
    <row r="1898" spans="1:3" x14ac:dyDescent="0.35">
      <c r="A1898" s="943" t="s">
        <v>5894</v>
      </c>
      <c r="B1898" t="s">
        <v>3609</v>
      </c>
      <c r="C1898" s="944">
        <v>0</v>
      </c>
    </row>
    <row r="1899" spans="1:3" x14ac:dyDescent="0.35">
      <c r="A1899" s="943" t="s">
        <v>5895</v>
      </c>
      <c r="B1899" t="s">
        <v>3611</v>
      </c>
      <c r="C1899" s="944">
        <v>0</v>
      </c>
    </row>
    <row r="1900" spans="1:3" x14ac:dyDescent="0.35">
      <c r="A1900" s="943" t="s">
        <v>5896</v>
      </c>
      <c r="B1900" t="s">
        <v>3613</v>
      </c>
      <c r="C1900" s="944">
        <v>0</v>
      </c>
    </row>
    <row r="1901" spans="1:3" x14ac:dyDescent="0.35">
      <c r="A1901" s="943" t="s">
        <v>5897</v>
      </c>
      <c r="B1901" t="s">
        <v>3615</v>
      </c>
      <c r="C1901" s="944">
        <v>0</v>
      </c>
    </row>
    <row r="1902" spans="1:3" x14ac:dyDescent="0.35">
      <c r="A1902" s="943" t="s">
        <v>5898</v>
      </c>
      <c r="B1902" t="s">
        <v>3617</v>
      </c>
      <c r="C1902" s="944">
        <v>0</v>
      </c>
    </row>
    <row r="1903" spans="1:3" x14ac:dyDescent="0.35">
      <c r="A1903" s="943" t="s">
        <v>5899</v>
      </c>
      <c r="B1903" t="s">
        <v>3619</v>
      </c>
      <c r="C1903" s="944">
        <v>0</v>
      </c>
    </row>
    <row r="1904" spans="1:3" x14ac:dyDescent="0.35">
      <c r="A1904" s="943" t="s">
        <v>5900</v>
      </c>
      <c r="B1904" t="s">
        <v>3621</v>
      </c>
      <c r="C1904" s="944">
        <v>0</v>
      </c>
    </row>
    <row r="1905" spans="1:3" x14ac:dyDescent="0.35">
      <c r="A1905" s="943" t="s">
        <v>5901</v>
      </c>
      <c r="B1905" t="s">
        <v>3623</v>
      </c>
      <c r="C1905" s="944">
        <v>0</v>
      </c>
    </row>
    <row r="1906" spans="1:3" x14ac:dyDescent="0.35">
      <c r="A1906" s="943" t="s">
        <v>5902</v>
      </c>
      <c r="B1906" t="s">
        <v>3625</v>
      </c>
      <c r="C1906" s="944">
        <v>0</v>
      </c>
    </row>
    <row r="1907" spans="1:3" x14ac:dyDescent="0.35">
      <c r="A1907" s="943" t="s">
        <v>5903</v>
      </c>
      <c r="B1907" t="s">
        <v>3627</v>
      </c>
      <c r="C1907" s="944">
        <v>0</v>
      </c>
    </row>
    <row r="1908" spans="1:3" x14ac:dyDescent="0.35">
      <c r="A1908" s="943" t="s">
        <v>5904</v>
      </c>
      <c r="B1908" t="s">
        <v>3629</v>
      </c>
      <c r="C1908" s="944">
        <v>0</v>
      </c>
    </row>
    <row r="1909" spans="1:3" x14ac:dyDescent="0.35">
      <c r="A1909" s="943" t="s">
        <v>5905</v>
      </c>
      <c r="B1909" t="s">
        <v>3631</v>
      </c>
      <c r="C1909" s="944">
        <v>0</v>
      </c>
    </row>
    <row r="1910" spans="1:3" x14ac:dyDescent="0.35">
      <c r="A1910" s="943" t="s">
        <v>5906</v>
      </c>
      <c r="B1910" t="s">
        <v>3633</v>
      </c>
      <c r="C1910" s="944">
        <v>0</v>
      </c>
    </row>
    <row r="1911" spans="1:3" x14ac:dyDescent="0.35">
      <c r="A1911" s="943" t="s">
        <v>5907</v>
      </c>
      <c r="B1911" t="s">
        <v>3635</v>
      </c>
      <c r="C1911" s="944">
        <v>0</v>
      </c>
    </row>
    <row r="1912" spans="1:3" x14ac:dyDescent="0.35">
      <c r="A1912" s="943" t="s">
        <v>5908</v>
      </c>
      <c r="B1912" t="s">
        <v>3637</v>
      </c>
      <c r="C1912" s="944">
        <v>0</v>
      </c>
    </row>
    <row r="1913" spans="1:3" x14ac:dyDescent="0.35">
      <c r="A1913" s="943" t="s">
        <v>5909</v>
      </c>
      <c r="B1913" t="s">
        <v>334</v>
      </c>
      <c r="C1913" s="944">
        <v>0</v>
      </c>
    </row>
    <row r="1914" spans="1:3" x14ac:dyDescent="0.35">
      <c r="A1914" s="943" t="s">
        <v>5910</v>
      </c>
      <c r="B1914" t="s">
        <v>3640</v>
      </c>
      <c r="C1914" s="944">
        <v>0</v>
      </c>
    </row>
    <row r="1915" spans="1:3" x14ac:dyDescent="0.35">
      <c r="A1915" s="943" t="s">
        <v>5911</v>
      </c>
      <c r="B1915" t="s">
        <v>3642</v>
      </c>
      <c r="C1915" s="944">
        <v>0</v>
      </c>
    </row>
    <row r="1916" spans="1:3" x14ac:dyDescent="0.35">
      <c r="A1916" s="943" t="s">
        <v>5912</v>
      </c>
      <c r="B1916" t="s">
        <v>3644</v>
      </c>
      <c r="C1916" s="944">
        <v>0</v>
      </c>
    </row>
    <row r="1917" spans="1:3" x14ac:dyDescent="0.35">
      <c r="A1917" s="943" t="s">
        <v>5913</v>
      </c>
      <c r="B1917" t="s">
        <v>3646</v>
      </c>
      <c r="C1917" s="944">
        <v>0</v>
      </c>
    </row>
    <row r="1918" spans="1:3" x14ac:dyDescent="0.35">
      <c r="A1918" s="943" t="s">
        <v>5914</v>
      </c>
      <c r="B1918" t="s">
        <v>3648</v>
      </c>
      <c r="C1918" s="944">
        <v>0</v>
      </c>
    </row>
    <row r="1919" spans="1:3" x14ac:dyDescent="0.35">
      <c r="A1919" s="943" t="s">
        <v>5915</v>
      </c>
      <c r="B1919" t="s">
        <v>3650</v>
      </c>
      <c r="C1919" s="944">
        <v>0</v>
      </c>
    </row>
    <row r="1920" spans="1:3" x14ac:dyDescent="0.35">
      <c r="A1920" s="943" t="s">
        <v>5916</v>
      </c>
      <c r="B1920" t="s">
        <v>3652</v>
      </c>
      <c r="C1920" s="944">
        <v>0</v>
      </c>
    </row>
    <row r="1921" spans="1:3" x14ac:dyDescent="0.35">
      <c r="A1921" s="943" t="s">
        <v>5917</v>
      </c>
      <c r="B1921" t="s">
        <v>3654</v>
      </c>
      <c r="C1921" s="944">
        <v>0</v>
      </c>
    </row>
    <row r="1922" spans="1:3" x14ac:dyDescent="0.35">
      <c r="A1922" s="943" t="s">
        <v>5918</v>
      </c>
      <c r="B1922" t="s">
        <v>3656</v>
      </c>
      <c r="C1922" s="944">
        <v>0</v>
      </c>
    </row>
    <row r="1923" spans="1:3" x14ac:dyDescent="0.35">
      <c r="A1923" s="943" t="s">
        <v>5919</v>
      </c>
      <c r="B1923" t="s">
        <v>3658</v>
      </c>
      <c r="C1923" s="944">
        <v>0</v>
      </c>
    </row>
    <row r="1924" spans="1:3" x14ac:dyDescent="0.35">
      <c r="A1924" s="943" t="s">
        <v>5920</v>
      </c>
      <c r="B1924" t="s">
        <v>3660</v>
      </c>
      <c r="C1924" s="944">
        <v>0</v>
      </c>
    </row>
    <row r="1925" spans="1:3" x14ac:dyDescent="0.35">
      <c r="A1925" s="943" t="s">
        <v>5921</v>
      </c>
      <c r="B1925" t="s">
        <v>3662</v>
      </c>
      <c r="C1925" s="944">
        <v>0</v>
      </c>
    </row>
    <row r="1926" spans="1:3" x14ac:dyDescent="0.35">
      <c r="A1926" s="943" t="s">
        <v>5922</v>
      </c>
      <c r="B1926" t="s">
        <v>3664</v>
      </c>
      <c r="C1926" s="944">
        <v>0</v>
      </c>
    </row>
    <row r="1927" spans="1:3" x14ac:dyDescent="0.35">
      <c r="A1927" s="943" t="s">
        <v>5923</v>
      </c>
      <c r="B1927" t="s">
        <v>3666</v>
      </c>
      <c r="C1927" s="944">
        <v>0</v>
      </c>
    </row>
    <row r="1928" spans="1:3" x14ac:dyDescent="0.35">
      <c r="A1928" s="943" t="s">
        <v>5924</v>
      </c>
      <c r="B1928" t="s">
        <v>3668</v>
      </c>
      <c r="C1928" s="944">
        <v>0</v>
      </c>
    </row>
    <row r="1929" spans="1:3" x14ac:dyDescent="0.35">
      <c r="A1929" s="943" t="s">
        <v>5925</v>
      </c>
      <c r="B1929" t="s">
        <v>350</v>
      </c>
      <c r="C1929" s="944">
        <v>0</v>
      </c>
    </row>
    <row r="1930" spans="1:3" x14ac:dyDescent="0.35">
      <c r="A1930" s="943" t="s">
        <v>5926</v>
      </c>
      <c r="B1930" t="s">
        <v>3671</v>
      </c>
      <c r="C1930" s="944">
        <v>0</v>
      </c>
    </row>
    <row r="1931" spans="1:3" x14ac:dyDescent="0.35">
      <c r="A1931" s="943" t="s">
        <v>5927</v>
      </c>
      <c r="B1931" t="s">
        <v>3930</v>
      </c>
      <c r="C1931" s="944">
        <v>0</v>
      </c>
    </row>
    <row r="1932" spans="1:3" x14ac:dyDescent="0.35">
      <c r="A1932" s="943" t="s">
        <v>5928</v>
      </c>
      <c r="B1932" t="s">
        <v>3675</v>
      </c>
      <c r="C1932" s="944">
        <v>0</v>
      </c>
    </row>
    <row r="1933" spans="1:3" x14ac:dyDescent="0.35">
      <c r="A1933" s="943" t="s">
        <v>5929</v>
      </c>
      <c r="B1933" t="s">
        <v>3677</v>
      </c>
      <c r="C1933" s="944">
        <v>0</v>
      </c>
    </row>
    <row r="1934" spans="1:3" x14ac:dyDescent="0.35">
      <c r="A1934" s="943" t="s">
        <v>5930</v>
      </c>
      <c r="B1934" t="s">
        <v>3679</v>
      </c>
      <c r="C1934" s="944">
        <v>0</v>
      </c>
    </row>
    <row r="1935" spans="1:3" x14ac:dyDescent="0.35">
      <c r="A1935" s="943" t="s">
        <v>5931</v>
      </c>
      <c r="B1935" t="s">
        <v>3681</v>
      </c>
      <c r="C1935" s="944">
        <v>0</v>
      </c>
    </row>
    <row r="1936" spans="1:3" x14ac:dyDescent="0.35">
      <c r="A1936" s="943" t="s">
        <v>5932</v>
      </c>
      <c r="B1936" t="s">
        <v>3683</v>
      </c>
      <c r="C1936" s="944">
        <v>0</v>
      </c>
    </row>
    <row r="1937" spans="1:3" x14ac:dyDescent="0.35">
      <c r="A1937" s="943" t="s">
        <v>5933</v>
      </c>
      <c r="B1937" t="s">
        <v>3685</v>
      </c>
      <c r="C1937" s="944">
        <v>0</v>
      </c>
    </row>
    <row r="1938" spans="1:3" x14ac:dyDescent="0.35">
      <c r="A1938" s="943" t="s">
        <v>5934</v>
      </c>
      <c r="B1938" t="s">
        <v>3687</v>
      </c>
      <c r="C1938" s="944">
        <v>0</v>
      </c>
    </row>
    <row r="1939" spans="1:3" x14ac:dyDescent="0.35">
      <c r="A1939" s="943" t="s">
        <v>5935</v>
      </c>
      <c r="B1939" t="s">
        <v>3689</v>
      </c>
      <c r="C1939" s="944">
        <v>0</v>
      </c>
    </row>
    <row r="1940" spans="1:3" x14ac:dyDescent="0.35">
      <c r="A1940" s="943" t="s">
        <v>5936</v>
      </c>
      <c r="B1940" t="s">
        <v>350</v>
      </c>
      <c r="C1940" s="944">
        <v>0</v>
      </c>
    </row>
    <row r="1941" spans="1:3" x14ac:dyDescent="0.35">
      <c r="A1941" s="943" t="s">
        <v>5937</v>
      </c>
      <c r="B1941" t="s">
        <v>4009</v>
      </c>
      <c r="C1941" s="944">
        <v>0</v>
      </c>
    </row>
    <row r="1942" spans="1:3" x14ac:dyDescent="0.35">
      <c r="A1942" s="943" t="s">
        <v>5938</v>
      </c>
      <c r="B1942" t="s">
        <v>4072</v>
      </c>
      <c r="C1942" s="944">
        <v>0</v>
      </c>
    </row>
    <row r="1943" spans="1:3" x14ac:dyDescent="0.35">
      <c r="B1943" t="s">
        <v>4128</v>
      </c>
      <c r="C1943" s="944">
        <v>0</v>
      </c>
    </row>
    <row r="1944" spans="1:3" x14ac:dyDescent="0.35">
      <c r="A1944" s="943" t="s">
        <v>7899</v>
      </c>
      <c r="B1944" t="s">
        <v>4129</v>
      </c>
      <c r="C1944" s="944"/>
    </row>
    <row r="1945" spans="1:3" x14ac:dyDescent="0.35">
      <c r="A1945" s="943" t="s">
        <v>5939</v>
      </c>
      <c r="B1945" t="s">
        <v>3599</v>
      </c>
      <c r="C1945" s="944">
        <v>0</v>
      </c>
    </row>
    <row r="1946" spans="1:3" x14ac:dyDescent="0.35">
      <c r="A1946" s="943" t="s">
        <v>5940</v>
      </c>
      <c r="B1946" t="s">
        <v>3605</v>
      </c>
      <c r="C1946" s="944">
        <v>0</v>
      </c>
    </row>
    <row r="1947" spans="1:3" x14ac:dyDescent="0.35">
      <c r="A1947" s="943" t="s">
        <v>5941</v>
      </c>
      <c r="B1947" t="s">
        <v>3607</v>
      </c>
      <c r="C1947" s="944">
        <v>0</v>
      </c>
    </row>
    <row r="1948" spans="1:3" x14ac:dyDescent="0.35">
      <c r="A1948" s="943" t="s">
        <v>5942</v>
      </c>
      <c r="B1948" t="s">
        <v>4126</v>
      </c>
      <c r="C1948" s="944">
        <v>0</v>
      </c>
    </row>
    <row r="1949" spans="1:3" x14ac:dyDescent="0.35">
      <c r="A1949" s="943" t="s">
        <v>5943</v>
      </c>
      <c r="B1949" t="s">
        <v>4127</v>
      </c>
      <c r="C1949" s="944">
        <v>0</v>
      </c>
    </row>
    <row r="1950" spans="1:3" x14ac:dyDescent="0.35">
      <c r="A1950" s="943" t="s">
        <v>5944</v>
      </c>
      <c r="B1950" t="s">
        <v>3609</v>
      </c>
      <c r="C1950" s="944">
        <v>0</v>
      </c>
    </row>
    <row r="1951" spans="1:3" x14ac:dyDescent="0.35">
      <c r="A1951" s="943" t="s">
        <v>5945</v>
      </c>
      <c r="B1951" t="s">
        <v>3611</v>
      </c>
      <c r="C1951" s="944">
        <v>0</v>
      </c>
    </row>
    <row r="1952" spans="1:3" x14ac:dyDescent="0.35">
      <c r="A1952" s="943" t="s">
        <v>5946</v>
      </c>
      <c r="B1952" t="s">
        <v>3613</v>
      </c>
      <c r="C1952" s="944">
        <v>0</v>
      </c>
    </row>
    <row r="1953" spans="1:3" x14ac:dyDescent="0.35">
      <c r="A1953" s="943" t="s">
        <v>5947</v>
      </c>
      <c r="B1953" t="s">
        <v>3615</v>
      </c>
      <c r="C1953" s="944">
        <v>0</v>
      </c>
    </row>
    <row r="1954" spans="1:3" x14ac:dyDescent="0.35">
      <c r="A1954" s="943" t="s">
        <v>5948</v>
      </c>
      <c r="B1954" t="s">
        <v>3617</v>
      </c>
      <c r="C1954" s="944">
        <v>0</v>
      </c>
    </row>
    <row r="1955" spans="1:3" x14ac:dyDescent="0.35">
      <c r="A1955" s="943" t="s">
        <v>5949</v>
      </c>
      <c r="B1955" t="s">
        <v>3619</v>
      </c>
      <c r="C1955" s="944">
        <v>0</v>
      </c>
    </row>
    <row r="1956" spans="1:3" x14ac:dyDescent="0.35">
      <c r="A1956" s="943" t="s">
        <v>5950</v>
      </c>
      <c r="B1956" t="s">
        <v>3621</v>
      </c>
      <c r="C1956" s="944">
        <v>0</v>
      </c>
    </row>
    <row r="1957" spans="1:3" x14ac:dyDescent="0.35">
      <c r="A1957" s="943" t="s">
        <v>5951</v>
      </c>
      <c r="B1957" t="s">
        <v>3623</v>
      </c>
      <c r="C1957" s="944">
        <v>0</v>
      </c>
    </row>
    <row r="1958" spans="1:3" x14ac:dyDescent="0.35">
      <c r="A1958" s="943" t="s">
        <v>5952</v>
      </c>
      <c r="B1958" t="s">
        <v>3625</v>
      </c>
      <c r="C1958" s="944">
        <v>0</v>
      </c>
    </row>
    <row r="1959" spans="1:3" x14ac:dyDescent="0.35">
      <c r="A1959" s="943" t="s">
        <v>5953</v>
      </c>
      <c r="B1959" t="s">
        <v>3627</v>
      </c>
      <c r="C1959" s="944">
        <v>0</v>
      </c>
    </row>
    <row r="1960" spans="1:3" x14ac:dyDescent="0.35">
      <c r="A1960" s="943" t="s">
        <v>5954</v>
      </c>
      <c r="B1960" t="s">
        <v>3629</v>
      </c>
      <c r="C1960" s="944">
        <v>0</v>
      </c>
    </row>
    <row r="1961" spans="1:3" x14ac:dyDescent="0.35">
      <c r="A1961" s="943" t="s">
        <v>5955</v>
      </c>
      <c r="B1961" t="s">
        <v>3631</v>
      </c>
      <c r="C1961" s="944">
        <v>0</v>
      </c>
    </row>
    <row r="1962" spans="1:3" x14ac:dyDescent="0.35">
      <c r="A1962" s="943" t="s">
        <v>5956</v>
      </c>
      <c r="B1962" t="s">
        <v>3633</v>
      </c>
      <c r="C1962" s="944">
        <v>0</v>
      </c>
    </row>
    <row r="1963" spans="1:3" x14ac:dyDescent="0.35">
      <c r="A1963" s="943" t="s">
        <v>5957</v>
      </c>
      <c r="B1963" t="s">
        <v>3635</v>
      </c>
      <c r="C1963" s="944">
        <v>0</v>
      </c>
    </row>
    <row r="1964" spans="1:3" x14ac:dyDescent="0.35">
      <c r="A1964" s="943" t="s">
        <v>5958</v>
      </c>
      <c r="B1964" t="s">
        <v>3637</v>
      </c>
      <c r="C1964" s="944">
        <v>0</v>
      </c>
    </row>
    <row r="1965" spans="1:3" x14ac:dyDescent="0.35">
      <c r="A1965" s="943" t="s">
        <v>5959</v>
      </c>
      <c r="B1965" t="s">
        <v>334</v>
      </c>
      <c r="C1965" s="944">
        <v>0</v>
      </c>
    </row>
    <row r="1966" spans="1:3" x14ac:dyDescent="0.35">
      <c r="A1966" s="943" t="s">
        <v>5960</v>
      </c>
      <c r="B1966" t="s">
        <v>3640</v>
      </c>
      <c r="C1966" s="944">
        <v>0</v>
      </c>
    </row>
    <row r="1967" spans="1:3" x14ac:dyDescent="0.35">
      <c r="A1967" s="943" t="s">
        <v>5961</v>
      </c>
      <c r="B1967" t="s">
        <v>3642</v>
      </c>
      <c r="C1967" s="944">
        <v>0</v>
      </c>
    </row>
    <row r="1968" spans="1:3" x14ac:dyDescent="0.35">
      <c r="A1968" s="943" t="s">
        <v>5962</v>
      </c>
      <c r="B1968" t="s">
        <v>3644</v>
      </c>
      <c r="C1968" s="944">
        <v>0</v>
      </c>
    </row>
    <row r="1969" spans="1:3" x14ac:dyDescent="0.35">
      <c r="A1969" s="943" t="s">
        <v>5963</v>
      </c>
      <c r="B1969" t="s">
        <v>3646</v>
      </c>
      <c r="C1969" s="944">
        <v>0</v>
      </c>
    </row>
    <row r="1970" spans="1:3" x14ac:dyDescent="0.35">
      <c r="A1970" s="943" t="s">
        <v>5964</v>
      </c>
      <c r="B1970" t="s">
        <v>3648</v>
      </c>
      <c r="C1970" s="944">
        <v>0</v>
      </c>
    </row>
    <row r="1971" spans="1:3" x14ac:dyDescent="0.35">
      <c r="A1971" s="943" t="s">
        <v>5965</v>
      </c>
      <c r="B1971" t="s">
        <v>3650</v>
      </c>
      <c r="C1971" s="944">
        <v>0</v>
      </c>
    </row>
    <row r="1972" spans="1:3" x14ac:dyDescent="0.35">
      <c r="A1972" s="943" t="s">
        <v>5966</v>
      </c>
      <c r="B1972" t="s">
        <v>3652</v>
      </c>
      <c r="C1972" s="944">
        <v>0</v>
      </c>
    </row>
    <row r="1973" spans="1:3" x14ac:dyDescent="0.35">
      <c r="A1973" s="943" t="s">
        <v>5967</v>
      </c>
      <c r="B1973" t="s">
        <v>3654</v>
      </c>
      <c r="C1973" s="944">
        <v>0</v>
      </c>
    </row>
    <row r="1974" spans="1:3" x14ac:dyDescent="0.35">
      <c r="A1974" s="943" t="s">
        <v>5968</v>
      </c>
      <c r="B1974" t="s">
        <v>3656</v>
      </c>
      <c r="C1974" s="944">
        <v>0</v>
      </c>
    </row>
    <row r="1975" spans="1:3" x14ac:dyDescent="0.35">
      <c r="A1975" s="943" t="s">
        <v>5969</v>
      </c>
      <c r="B1975" t="s">
        <v>3658</v>
      </c>
      <c r="C1975" s="944">
        <v>0</v>
      </c>
    </row>
    <row r="1976" spans="1:3" x14ac:dyDescent="0.35">
      <c r="A1976" s="943" t="s">
        <v>5970</v>
      </c>
      <c r="B1976" t="s">
        <v>3660</v>
      </c>
      <c r="C1976" s="944">
        <v>0</v>
      </c>
    </row>
    <row r="1977" spans="1:3" x14ac:dyDescent="0.35">
      <c r="A1977" s="943" t="s">
        <v>5971</v>
      </c>
      <c r="B1977" t="s">
        <v>3662</v>
      </c>
      <c r="C1977" s="944">
        <v>434000</v>
      </c>
    </row>
    <row r="1978" spans="1:3" x14ac:dyDescent="0.35">
      <c r="A1978" s="943" t="s">
        <v>5972</v>
      </c>
      <c r="B1978" t="s">
        <v>3664</v>
      </c>
      <c r="C1978" s="944">
        <v>0</v>
      </c>
    </row>
    <row r="1979" spans="1:3" x14ac:dyDescent="0.35">
      <c r="A1979" s="943" t="s">
        <v>5973</v>
      </c>
      <c r="B1979" t="s">
        <v>3666</v>
      </c>
      <c r="C1979" s="944">
        <v>0</v>
      </c>
    </row>
    <row r="1980" spans="1:3" x14ac:dyDescent="0.35">
      <c r="A1980" s="943" t="s">
        <v>5974</v>
      </c>
      <c r="B1980" t="s">
        <v>3668</v>
      </c>
      <c r="C1980" s="944">
        <v>0</v>
      </c>
    </row>
    <row r="1981" spans="1:3" x14ac:dyDescent="0.35">
      <c r="A1981" s="943" t="s">
        <v>5975</v>
      </c>
      <c r="B1981" t="s">
        <v>350</v>
      </c>
      <c r="C1981" s="944">
        <v>0</v>
      </c>
    </row>
    <row r="1982" spans="1:3" x14ac:dyDescent="0.35">
      <c r="A1982" s="943" t="s">
        <v>5976</v>
      </c>
      <c r="B1982" t="s">
        <v>3671</v>
      </c>
      <c r="C1982" s="944">
        <v>0</v>
      </c>
    </row>
    <row r="1983" spans="1:3" x14ac:dyDescent="0.35">
      <c r="A1983" s="943" t="s">
        <v>5977</v>
      </c>
      <c r="B1983" t="s">
        <v>3930</v>
      </c>
      <c r="C1983" s="944">
        <v>0</v>
      </c>
    </row>
    <row r="1984" spans="1:3" x14ac:dyDescent="0.35">
      <c r="A1984" s="943" t="s">
        <v>5978</v>
      </c>
      <c r="B1984" t="s">
        <v>3675</v>
      </c>
      <c r="C1984" s="944">
        <v>0</v>
      </c>
    </row>
    <row r="1985" spans="1:3" x14ac:dyDescent="0.35">
      <c r="A1985" s="943" t="s">
        <v>5979</v>
      </c>
      <c r="B1985" t="s">
        <v>3677</v>
      </c>
      <c r="C1985" s="944">
        <v>0</v>
      </c>
    </row>
    <row r="1986" spans="1:3" x14ac:dyDescent="0.35">
      <c r="A1986" s="943" t="s">
        <v>5980</v>
      </c>
      <c r="B1986" t="s">
        <v>3679</v>
      </c>
      <c r="C1986" s="944">
        <v>0</v>
      </c>
    </row>
    <row r="1987" spans="1:3" x14ac:dyDescent="0.35">
      <c r="A1987" s="943" t="s">
        <v>5981</v>
      </c>
      <c r="B1987" t="s">
        <v>3681</v>
      </c>
      <c r="C1987" s="944">
        <v>0</v>
      </c>
    </row>
    <row r="1988" spans="1:3" x14ac:dyDescent="0.35">
      <c r="A1988" s="943" t="s">
        <v>5982</v>
      </c>
      <c r="B1988" t="s">
        <v>3683</v>
      </c>
      <c r="C1988" s="944">
        <v>0</v>
      </c>
    </row>
    <row r="1989" spans="1:3" x14ac:dyDescent="0.35">
      <c r="A1989" s="943" t="s">
        <v>5983</v>
      </c>
      <c r="B1989" t="s">
        <v>3685</v>
      </c>
      <c r="C1989" s="944">
        <v>0</v>
      </c>
    </row>
    <row r="1990" spans="1:3" x14ac:dyDescent="0.35">
      <c r="A1990" s="943" t="s">
        <v>5984</v>
      </c>
      <c r="B1990" t="s">
        <v>3687</v>
      </c>
      <c r="C1990" s="944">
        <v>0</v>
      </c>
    </row>
    <row r="1991" spans="1:3" x14ac:dyDescent="0.35">
      <c r="A1991" s="943" t="s">
        <v>5985</v>
      </c>
      <c r="B1991" t="s">
        <v>3689</v>
      </c>
      <c r="C1991" s="944">
        <v>0</v>
      </c>
    </row>
    <row r="1992" spans="1:3" x14ac:dyDescent="0.35">
      <c r="A1992" s="943" t="s">
        <v>5986</v>
      </c>
      <c r="B1992" t="s">
        <v>4130</v>
      </c>
      <c r="C1992" s="944">
        <v>0</v>
      </c>
    </row>
    <row r="1993" spans="1:3" x14ac:dyDescent="0.35">
      <c r="A1993" s="943" t="s">
        <v>5987</v>
      </c>
      <c r="B1993" t="s">
        <v>4131</v>
      </c>
      <c r="C1993" s="944">
        <v>0</v>
      </c>
    </row>
    <row r="1994" spans="1:3" x14ac:dyDescent="0.35">
      <c r="A1994" s="943" t="s">
        <v>5988</v>
      </c>
      <c r="B1994" t="s">
        <v>4132</v>
      </c>
      <c r="C1994" s="944">
        <v>0</v>
      </c>
    </row>
    <row r="1995" spans="1:3" x14ac:dyDescent="0.35">
      <c r="A1995" s="943" t="s">
        <v>5989</v>
      </c>
      <c r="B1995" t="s">
        <v>4133</v>
      </c>
      <c r="C1995" s="944">
        <v>0</v>
      </c>
    </row>
    <row r="1996" spans="1:3" x14ac:dyDescent="0.35">
      <c r="A1996" s="943" t="s">
        <v>5990</v>
      </c>
      <c r="B1996" t="s">
        <v>4134</v>
      </c>
      <c r="C1996" s="944">
        <v>4655000</v>
      </c>
    </row>
    <row r="1997" spans="1:3" x14ac:dyDescent="0.35">
      <c r="A1997" s="943" t="s">
        <v>5991</v>
      </c>
      <c r="B1997" t="s">
        <v>4135</v>
      </c>
      <c r="C1997" s="944">
        <v>0</v>
      </c>
    </row>
    <row r="1998" spans="1:3" x14ac:dyDescent="0.35">
      <c r="A1998" s="943" t="s">
        <v>5992</v>
      </c>
      <c r="B1998" t="s">
        <v>4136</v>
      </c>
      <c r="C1998" s="944">
        <v>369000</v>
      </c>
    </row>
    <row r="1999" spans="1:3" x14ac:dyDescent="0.35">
      <c r="A1999" s="943" t="s">
        <v>7757</v>
      </c>
      <c r="B1999" t="s">
        <v>7758</v>
      </c>
      <c r="C1999" s="944">
        <v>0</v>
      </c>
    </row>
    <row r="2000" spans="1:3" x14ac:dyDescent="0.35">
      <c r="A2000" s="943" t="s">
        <v>5993</v>
      </c>
      <c r="B2000" t="s">
        <v>350</v>
      </c>
      <c r="C2000" s="944">
        <v>0</v>
      </c>
    </row>
    <row r="2001" spans="1:3" x14ac:dyDescent="0.35">
      <c r="A2001" s="943" t="s">
        <v>5994</v>
      </c>
      <c r="B2001" t="s">
        <v>350</v>
      </c>
      <c r="C2001" s="944">
        <v>0</v>
      </c>
    </row>
    <row r="2002" spans="1:3" x14ac:dyDescent="0.35">
      <c r="A2002" s="943" t="s">
        <v>5995</v>
      </c>
      <c r="B2002" t="s">
        <v>4009</v>
      </c>
      <c r="C2002" s="944">
        <v>0</v>
      </c>
    </row>
    <row r="2003" spans="1:3" x14ac:dyDescent="0.35">
      <c r="A2003" s="943" t="s">
        <v>5996</v>
      </c>
      <c r="B2003" t="s">
        <v>4072</v>
      </c>
      <c r="C2003" s="944">
        <v>0</v>
      </c>
    </row>
    <row r="2004" spans="1:3" x14ac:dyDescent="0.35">
      <c r="B2004" t="s">
        <v>4137</v>
      </c>
      <c r="C2004" s="944">
        <v>5458000</v>
      </c>
    </row>
    <row r="2005" spans="1:3" x14ac:dyDescent="0.35">
      <c r="A2005" s="943" t="s">
        <v>7900</v>
      </c>
      <c r="B2005" t="s">
        <v>4138</v>
      </c>
      <c r="C2005" s="944"/>
    </row>
    <row r="2006" spans="1:3" x14ac:dyDescent="0.35">
      <c r="A2006" s="943" t="s">
        <v>5997</v>
      </c>
      <c r="B2006" t="s">
        <v>4139</v>
      </c>
      <c r="C2006" s="944">
        <v>0</v>
      </c>
    </row>
    <row r="2007" spans="1:3" x14ac:dyDescent="0.35">
      <c r="A2007" s="943" t="s">
        <v>5998</v>
      </c>
      <c r="B2007" t="s">
        <v>4140</v>
      </c>
      <c r="C2007" s="944">
        <v>0</v>
      </c>
    </row>
    <row r="2008" spans="1:3" x14ac:dyDescent="0.35">
      <c r="A2008" s="943" t="s">
        <v>5999</v>
      </c>
      <c r="B2008" t="s">
        <v>4141</v>
      </c>
      <c r="C2008" s="944">
        <v>55841500</v>
      </c>
    </row>
    <row r="2009" spans="1:3" x14ac:dyDescent="0.35">
      <c r="A2009" s="943" t="s">
        <v>6000</v>
      </c>
      <c r="B2009" t="s">
        <v>4142</v>
      </c>
      <c r="C2009" s="944">
        <v>15000</v>
      </c>
    </row>
    <row r="2010" spans="1:3" x14ac:dyDescent="0.35">
      <c r="A2010" s="943" t="s">
        <v>6001</v>
      </c>
      <c r="B2010" t="s">
        <v>4143</v>
      </c>
      <c r="C2010" s="944">
        <v>0</v>
      </c>
    </row>
    <row r="2011" spans="1:3" x14ac:dyDescent="0.35">
      <c r="A2011" s="943" t="s">
        <v>6002</v>
      </c>
      <c r="B2011" t="s">
        <v>4144</v>
      </c>
      <c r="C2011" s="944">
        <v>0</v>
      </c>
    </row>
    <row r="2012" spans="1:3" x14ac:dyDescent="0.35">
      <c r="A2012" s="943" t="s">
        <v>6003</v>
      </c>
      <c r="B2012" t="s">
        <v>4145</v>
      </c>
      <c r="C2012" s="944">
        <v>0</v>
      </c>
    </row>
    <row r="2013" spans="1:3" x14ac:dyDescent="0.35">
      <c r="A2013" s="943" t="s">
        <v>6004</v>
      </c>
      <c r="B2013" t="s">
        <v>4146</v>
      </c>
      <c r="C2013" s="944">
        <v>0</v>
      </c>
    </row>
    <row r="2014" spans="1:3" x14ac:dyDescent="0.35">
      <c r="A2014" s="943" t="s">
        <v>6005</v>
      </c>
      <c r="B2014" t="s">
        <v>4147</v>
      </c>
      <c r="C2014" s="944">
        <v>0</v>
      </c>
    </row>
    <row r="2015" spans="1:3" x14ac:dyDescent="0.35">
      <c r="A2015" s="943" t="s">
        <v>6006</v>
      </c>
      <c r="B2015" t="s">
        <v>4148</v>
      </c>
      <c r="C2015" s="944">
        <v>0</v>
      </c>
    </row>
    <row r="2016" spans="1:3" x14ac:dyDescent="0.35">
      <c r="A2016" s="943" t="s">
        <v>6007</v>
      </c>
      <c r="B2016" t="s">
        <v>4149</v>
      </c>
      <c r="C2016" s="944">
        <v>0</v>
      </c>
    </row>
    <row r="2017" spans="1:3" x14ac:dyDescent="0.35">
      <c r="A2017" s="943" t="s">
        <v>6008</v>
      </c>
      <c r="B2017" t="s">
        <v>4150</v>
      </c>
      <c r="C2017" s="944">
        <v>0</v>
      </c>
    </row>
    <row r="2018" spans="1:3" x14ac:dyDescent="0.35">
      <c r="A2018" s="943" t="s">
        <v>6009</v>
      </c>
      <c r="B2018" t="s">
        <v>4151</v>
      </c>
      <c r="C2018" s="944">
        <v>0</v>
      </c>
    </row>
    <row r="2019" spans="1:3" x14ac:dyDescent="0.35">
      <c r="A2019" s="943" t="s">
        <v>6010</v>
      </c>
      <c r="B2019" t="s">
        <v>4152</v>
      </c>
      <c r="C2019" s="944">
        <v>0</v>
      </c>
    </row>
    <row r="2020" spans="1:3" x14ac:dyDescent="0.35">
      <c r="A2020" s="943" t="s">
        <v>6011</v>
      </c>
      <c r="B2020" t="s">
        <v>4153</v>
      </c>
      <c r="C2020" s="944">
        <v>0</v>
      </c>
    </row>
    <row r="2021" spans="1:3" x14ac:dyDescent="0.35">
      <c r="A2021" s="943" t="s">
        <v>6012</v>
      </c>
      <c r="B2021" t="s">
        <v>4154</v>
      </c>
      <c r="C2021" s="944">
        <v>0</v>
      </c>
    </row>
    <row r="2022" spans="1:3" x14ac:dyDescent="0.35">
      <c r="A2022" s="943" t="s">
        <v>6013</v>
      </c>
      <c r="B2022" t="s">
        <v>4155</v>
      </c>
      <c r="C2022" s="944">
        <v>0</v>
      </c>
    </row>
    <row r="2023" spans="1:3" x14ac:dyDescent="0.35">
      <c r="A2023" s="943" t="s">
        <v>6014</v>
      </c>
      <c r="B2023" t="s">
        <v>4156</v>
      </c>
      <c r="C2023" s="944">
        <v>0</v>
      </c>
    </row>
    <row r="2024" spans="1:3" x14ac:dyDescent="0.35">
      <c r="A2024" s="943" t="s">
        <v>6015</v>
      </c>
      <c r="B2024" t="s">
        <v>4157</v>
      </c>
      <c r="C2024" s="944">
        <v>0</v>
      </c>
    </row>
    <row r="2025" spans="1:3" x14ac:dyDescent="0.35">
      <c r="A2025" s="943" t="s">
        <v>6016</v>
      </c>
      <c r="B2025" t="s">
        <v>4158</v>
      </c>
      <c r="C2025" s="944">
        <v>0</v>
      </c>
    </row>
    <row r="2026" spans="1:3" x14ac:dyDescent="0.35">
      <c r="A2026" s="943" t="s">
        <v>6017</v>
      </c>
      <c r="B2026" t="s">
        <v>4159</v>
      </c>
      <c r="C2026" s="944">
        <v>0</v>
      </c>
    </row>
    <row r="2027" spans="1:3" x14ac:dyDescent="0.35">
      <c r="A2027" s="943" t="s">
        <v>6018</v>
      </c>
      <c r="B2027" t="s">
        <v>4160</v>
      </c>
      <c r="C2027" s="944">
        <v>0</v>
      </c>
    </row>
    <row r="2028" spans="1:3" x14ac:dyDescent="0.35">
      <c r="A2028" s="943" t="s">
        <v>6019</v>
      </c>
      <c r="B2028" t="s">
        <v>4161</v>
      </c>
      <c r="C2028" s="944">
        <v>0</v>
      </c>
    </row>
    <row r="2029" spans="1:3" x14ac:dyDescent="0.35">
      <c r="A2029" s="943" t="s">
        <v>6020</v>
      </c>
      <c r="B2029" t="s">
        <v>4162</v>
      </c>
      <c r="C2029" s="944">
        <v>0</v>
      </c>
    </row>
    <row r="2030" spans="1:3" x14ac:dyDescent="0.35">
      <c r="A2030" s="943" t="s">
        <v>6021</v>
      </c>
      <c r="B2030" t="s">
        <v>4163</v>
      </c>
      <c r="C2030" s="944">
        <v>0</v>
      </c>
    </row>
    <row r="2031" spans="1:3" x14ac:dyDescent="0.35">
      <c r="A2031" s="943" t="s">
        <v>6022</v>
      </c>
      <c r="B2031" t="s">
        <v>4164</v>
      </c>
      <c r="C2031" s="944">
        <v>0</v>
      </c>
    </row>
    <row r="2032" spans="1:3" x14ac:dyDescent="0.35">
      <c r="A2032" s="943" t="s">
        <v>6023</v>
      </c>
      <c r="B2032" t="s">
        <v>4165</v>
      </c>
      <c r="C2032" s="944">
        <v>0</v>
      </c>
    </row>
    <row r="2033" spans="1:3" x14ac:dyDescent="0.35">
      <c r="A2033" s="943" t="s">
        <v>6024</v>
      </c>
      <c r="B2033" t="s">
        <v>4166</v>
      </c>
      <c r="C2033" s="944">
        <v>0</v>
      </c>
    </row>
    <row r="2034" spans="1:3" x14ac:dyDescent="0.35">
      <c r="A2034" s="943" t="s">
        <v>6025</v>
      </c>
      <c r="B2034" t="s">
        <v>4167</v>
      </c>
      <c r="C2034" s="944">
        <v>0</v>
      </c>
    </row>
    <row r="2035" spans="1:3" x14ac:dyDescent="0.35">
      <c r="A2035" s="943" t="s">
        <v>6026</v>
      </c>
      <c r="B2035" t="s">
        <v>4168</v>
      </c>
      <c r="C2035" s="944">
        <v>0</v>
      </c>
    </row>
    <row r="2036" spans="1:3" x14ac:dyDescent="0.35">
      <c r="A2036" s="943" t="s">
        <v>6027</v>
      </c>
      <c r="B2036" t="s">
        <v>4169</v>
      </c>
      <c r="C2036" s="944">
        <v>0</v>
      </c>
    </row>
    <row r="2037" spans="1:3" x14ac:dyDescent="0.35">
      <c r="A2037" s="943" t="s">
        <v>6028</v>
      </c>
      <c r="B2037" t="s">
        <v>4170</v>
      </c>
      <c r="C2037" s="944">
        <v>0</v>
      </c>
    </row>
    <row r="2038" spans="1:3" x14ac:dyDescent="0.35">
      <c r="A2038" s="943" t="s">
        <v>6029</v>
      </c>
      <c r="B2038" t="s">
        <v>4171</v>
      </c>
      <c r="C2038" s="944">
        <v>0</v>
      </c>
    </row>
    <row r="2039" spans="1:3" x14ac:dyDescent="0.35">
      <c r="A2039" s="943" t="s">
        <v>6030</v>
      </c>
      <c r="B2039" t="s">
        <v>4172</v>
      </c>
      <c r="C2039" s="944">
        <v>0</v>
      </c>
    </row>
    <row r="2040" spans="1:3" x14ac:dyDescent="0.35">
      <c r="A2040" s="943" t="s">
        <v>6031</v>
      </c>
      <c r="B2040" t="s">
        <v>4173</v>
      </c>
      <c r="C2040" s="944">
        <v>0</v>
      </c>
    </row>
    <row r="2041" spans="1:3" x14ac:dyDescent="0.35">
      <c r="A2041" s="943" t="s">
        <v>6032</v>
      </c>
      <c r="B2041" t="s">
        <v>4174</v>
      </c>
      <c r="C2041" s="944">
        <v>0</v>
      </c>
    </row>
    <row r="2042" spans="1:3" x14ac:dyDescent="0.35">
      <c r="A2042" s="943" t="s">
        <v>6033</v>
      </c>
      <c r="B2042" t="s">
        <v>4175</v>
      </c>
      <c r="C2042" s="944">
        <v>0</v>
      </c>
    </row>
    <row r="2043" spans="1:3" x14ac:dyDescent="0.35">
      <c r="A2043" s="943" t="s">
        <v>6034</v>
      </c>
      <c r="B2043" t="s">
        <v>4176</v>
      </c>
      <c r="C2043" s="944">
        <v>0</v>
      </c>
    </row>
    <row r="2044" spans="1:3" x14ac:dyDescent="0.35">
      <c r="A2044" s="943" t="s">
        <v>6035</v>
      </c>
      <c r="B2044" t="s">
        <v>4177</v>
      </c>
      <c r="C2044" s="944">
        <v>0</v>
      </c>
    </row>
    <row r="2045" spans="1:3" x14ac:dyDescent="0.35">
      <c r="A2045" s="943" t="s">
        <v>6036</v>
      </c>
      <c r="B2045" t="s">
        <v>4178</v>
      </c>
      <c r="C2045" s="944">
        <v>0</v>
      </c>
    </row>
    <row r="2046" spans="1:3" x14ac:dyDescent="0.35">
      <c r="A2046" s="943" t="s">
        <v>6037</v>
      </c>
      <c r="B2046" t="s">
        <v>4179</v>
      </c>
      <c r="C2046" s="944">
        <v>0</v>
      </c>
    </row>
    <row r="2047" spans="1:3" x14ac:dyDescent="0.35">
      <c r="A2047" s="943" t="s">
        <v>6038</v>
      </c>
      <c r="B2047" t="s">
        <v>4180</v>
      </c>
      <c r="C2047" s="944">
        <v>0</v>
      </c>
    </row>
    <row r="2048" spans="1:3" x14ac:dyDescent="0.35">
      <c r="A2048" s="943" t="s">
        <v>6039</v>
      </c>
      <c r="B2048" t="s">
        <v>4181</v>
      </c>
      <c r="C2048" s="944">
        <v>0</v>
      </c>
    </row>
    <row r="2049" spans="1:3" x14ac:dyDescent="0.35">
      <c r="A2049" s="943" t="s">
        <v>6040</v>
      </c>
      <c r="B2049" t="s">
        <v>4182</v>
      </c>
      <c r="C2049" s="944">
        <v>0</v>
      </c>
    </row>
    <row r="2050" spans="1:3" x14ac:dyDescent="0.35">
      <c r="A2050" s="943" t="s">
        <v>6041</v>
      </c>
      <c r="B2050" t="s">
        <v>4183</v>
      </c>
      <c r="C2050" s="944">
        <v>0</v>
      </c>
    </row>
    <row r="2051" spans="1:3" x14ac:dyDescent="0.35">
      <c r="A2051" s="943" t="s">
        <v>6042</v>
      </c>
      <c r="B2051" t="s">
        <v>4184</v>
      </c>
      <c r="C2051" s="944">
        <v>0</v>
      </c>
    </row>
    <row r="2052" spans="1:3" x14ac:dyDescent="0.35">
      <c r="A2052" s="943" t="s">
        <v>6043</v>
      </c>
      <c r="B2052" t="s">
        <v>4185</v>
      </c>
      <c r="C2052" s="944">
        <v>0</v>
      </c>
    </row>
    <row r="2053" spans="1:3" x14ac:dyDescent="0.35">
      <c r="A2053" s="943" t="s">
        <v>6044</v>
      </c>
      <c r="B2053" t="s">
        <v>4186</v>
      </c>
      <c r="C2053" s="944">
        <v>0</v>
      </c>
    </row>
    <row r="2054" spans="1:3" x14ac:dyDescent="0.35">
      <c r="A2054" s="943" t="s">
        <v>6045</v>
      </c>
      <c r="B2054" t="s">
        <v>4187</v>
      </c>
      <c r="C2054" s="944">
        <v>0</v>
      </c>
    </row>
    <row r="2055" spans="1:3" x14ac:dyDescent="0.35">
      <c r="A2055" s="943" t="s">
        <v>6046</v>
      </c>
      <c r="B2055" t="s">
        <v>4188</v>
      </c>
      <c r="C2055" s="944">
        <v>0</v>
      </c>
    </row>
    <row r="2056" spans="1:3" x14ac:dyDescent="0.35">
      <c r="A2056" s="943" t="s">
        <v>6047</v>
      </c>
      <c r="B2056" t="s">
        <v>4189</v>
      </c>
      <c r="C2056" s="944">
        <v>0</v>
      </c>
    </row>
    <row r="2057" spans="1:3" x14ac:dyDescent="0.35">
      <c r="A2057" s="943" t="s">
        <v>6048</v>
      </c>
      <c r="B2057" t="s">
        <v>4190</v>
      </c>
      <c r="C2057" s="944">
        <v>0</v>
      </c>
    </row>
    <row r="2058" spans="1:3" x14ac:dyDescent="0.35">
      <c r="A2058" s="943" t="s">
        <v>6049</v>
      </c>
      <c r="B2058" t="s">
        <v>4191</v>
      </c>
      <c r="C2058" s="944">
        <v>0</v>
      </c>
    </row>
    <row r="2059" spans="1:3" x14ac:dyDescent="0.35">
      <c r="A2059" s="943" t="s">
        <v>6050</v>
      </c>
      <c r="B2059" t="s">
        <v>4192</v>
      </c>
      <c r="C2059" s="944">
        <v>0</v>
      </c>
    </row>
    <row r="2060" spans="1:3" x14ac:dyDescent="0.35">
      <c r="A2060" s="943" t="s">
        <v>6051</v>
      </c>
      <c r="B2060" t="s">
        <v>4193</v>
      </c>
      <c r="C2060" s="944">
        <v>0</v>
      </c>
    </row>
    <row r="2061" spans="1:3" x14ac:dyDescent="0.35">
      <c r="A2061" s="943" t="s">
        <v>6052</v>
      </c>
      <c r="B2061" t="s">
        <v>4194</v>
      </c>
      <c r="C2061" s="944">
        <v>0</v>
      </c>
    </row>
    <row r="2062" spans="1:3" x14ac:dyDescent="0.35">
      <c r="A2062" s="943" t="s">
        <v>6053</v>
      </c>
      <c r="B2062" t="s">
        <v>4195</v>
      </c>
      <c r="C2062" s="944">
        <v>0</v>
      </c>
    </row>
    <row r="2063" spans="1:3" x14ac:dyDescent="0.35">
      <c r="A2063" s="943" t="s">
        <v>6054</v>
      </c>
      <c r="B2063" t="s">
        <v>4196</v>
      </c>
      <c r="C2063" s="944">
        <v>0</v>
      </c>
    </row>
    <row r="2064" spans="1:3" x14ac:dyDescent="0.35">
      <c r="A2064" s="943" t="s">
        <v>6055</v>
      </c>
      <c r="B2064" t="s">
        <v>4197</v>
      </c>
      <c r="C2064" s="944">
        <v>0</v>
      </c>
    </row>
    <row r="2065" spans="1:3" x14ac:dyDescent="0.35">
      <c r="A2065" s="943" t="s">
        <v>6056</v>
      </c>
      <c r="B2065" t="s">
        <v>4198</v>
      </c>
      <c r="C2065" s="944">
        <v>0</v>
      </c>
    </row>
    <row r="2066" spans="1:3" x14ac:dyDescent="0.35">
      <c r="A2066" s="943" t="s">
        <v>6057</v>
      </c>
      <c r="B2066" t="s">
        <v>4199</v>
      </c>
      <c r="C2066" s="944">
        <v>0</v>
      </c>
    </row>
    <row r="2067" spans="1:3" x14ac:dyDescent="0.35">
      <c r="A2067" s="943" t="s">
        <v>6058</v>
      </c>
      <c r="B2067" t="s">
        <v>4200</v>
      </c>
      <c r="C2067" s="944">
        <v>0</v>
      </c>
    </row>
    <row r="2068" spans="1:3" x14ac:dyDescent="0.35">
      <c r="A2068" s="943" t="s">
        <v>6059</v>
      </c>
      <c r="B2068" t="s">
        <v>4201</v>
      </c>
      <c r="C2068" s="944">
        <v>0</v>
      </c>
    </row>
    <row r="2069" spans="1:3" x14ac:dyDescent="0.35">
      <c r="A2069" s="943" t="s">
        <v>6060</v>
      </c>
      <c r="B2069" t="s">
        <v>4202</v>
      </c>
      <c r="C2069" s="944">
        <v>0</v>
      </c>
    </row>
    <row r="2070" spans="1:3" x14ac:dyDescent="0.35">
      <c r="A2070" s="943" t="s">
        <v>6061</v>
      </c>
      <c r="B2070" t="s">
        <v>4203</v>
      </c>
      <c r="C2070" s="944">
        <v>0</v>
      </c>
    </row>
    <row r="2071" spans="1:3" x14ac:dyDescent="0.35">
      <c r="A2071" s="943" t="s">
        <v>6062</v>
      </c>
      <c r="B2071" t="s">
        <v>4204</v>
      </c>
      <c r="C2071" s="944">
        <v>0</v>
      </c>
    </row>
    <row r="2072" spans="1:3" x14ac:dyDescent="0.35">
      <c r="A2072" s="943" t="s">
        <v>6063</v>
      </c>
      <c r="B2072" t="s">
        <v>4205</v>
      </c>
      <c r="C2072" s="944">
        <v>0</v>
      </c>
    </row>
    <row r="2073" spans="1:3" x14ac:dyDescent="0.35">
      <c r="A2073" s="943" t="s">
        <v>6064</v>
      </c>
      <c r="B2073" t="s">
        <v>4206</v>
      </c>
      <c r="C2073" s="944">
        <v>0</v>
      </c>
    </row>
    <row r="2074" spans="1:3" x14ac:dyDescent="0.35">
      <c r="A2074" s="943" t="s">
        <v>6065</v>
      </c>
      <c r="B2074" t="s">
        <v>4207</v>
      </c>
      <c r="C2074" s="944">
        <v>0</v>
      </c>
    </row>
    <row r="2075" spans="1:3" x14ac:dyDescent="0.35">
      <c r="A2075" s="943" t="s">
        <v>6066</v>
      </c>
      <c r="B2075" t="s">
        <v>4208</v>
      </c>
      <c r="C2075" s="944">
        <v>0</v>
      </c>
    </row>
    <row r="2076" spans="1:3" x14ac:dyDescent="0.35">
      <c r="A2076" s="943" t="s">
        <v>6067</v>
      </c>
      <c r="B2076" t="s">
        <v>4209</v>
      </c>
      <c r="C2076" s="944">
        <v>0</v>
      </c>
    </row>
    <row r="2077" spans="1:3" x14ac:dyDescent="0.35">
      <c r="A2077" s="943" t="s">
        <v>6068</v>
      </c>
      <c r="B2077" t="s">
        <v>4210</v>
      </c>
      <c r="C2077" s="944">
        <v>0</v>
      </c>
    </row>
    <row r="2078" spans="1:3" x14ac:dyDescent="0.35">
      <c r="A2078" s="943" t="s">
        <v>6069</v>
      </c>
      <c r="B2078" t="s">
        <v>4211</v>
      </c>
      <c r="C2078" s="944">
        <v>0</v>
      </c>
    </row>
    <row r="2079" spans="1:3" x14ac:dyDescent="0.35">
      <c r="A2079" s="943" t="s">
        <v>6070</v>
      </c>
      <c r="B2079" t="s">
        <v>4212</v>
      </c>
      <c r="C2079" s="944">
        <v>0</v>
      </c>
    </row>
    <row r="2080" spans="1:3" x14ac:dyDescent="0.35">
      <c r="A2080" s="943" t="s">
        <v>6071</v>
      </c>
      <c r="B2080" t="s">
        <v>4213</v>
      </c>
      <c r="C2080" s="944">
        <v>0</v>
      </c>
    </row>
    <row r="2081" spans="1:3" x14ac:dyDescent="0.35">
      <c r="A2081" s="943" t="s">
        <v>6072</v>
      </c>
      <c r="B2081" t="s">
        <v>4214</v>
      </c>
      <c r="C2081" s="944">
        <v>0</v>
      </c>
    </row>
    <row r="2082" spans="1:3" x14ac:dyDescent="0.35">
      <c r="A2082" s="943" t="s">
        <v>6073</v>
      </c>
      <c r="B2082" t="s">
        <v>4215</v>
      </c>
      <c r="C2082" s="944">
        <v>0</v>
      </c>
    </row>
    <row r="2083" spans="1:3" x14ac:dyDescent="0.35">
      <c r="B2083" t="s">
        <v>4216</v>
      </c>
      <c r="C2083" s="944">
        <v>55856500</v>
      </c>
    </row>
    <row r="2084" spans="1:3" x14ac:dyDescent="0.35">
      <c r="A2084" s="943" t="s">
        <v>7901</v>
      </c>
      <c r="B2084" t="s">
        <v>4217</v>
      </c>
      <c r="C2084" s="944"/>
    </row>
    <row r="2085" spans="1:3" x14ac:dyDescent="0.35">
      <c r="A2085" s="943" t="s">
        <v>6074</v>
      </c>
      <c r="B2085" t="s">
        <v>4218</v>
      </c>
      <c r="C2085" s="944">
        <v>0</v>
      </c>
    </row>
    <row r="2086" spans="1:3" x14ac:dyDescent="0.35">
      <c r="A2086" s="943" t="s">
        <v>6075</v>
      </c>
      <c r="B2086" t="s">
        <v>4219</v>
      </c>
      <c r="C2086" s="944">
        <v>0</v>
      </c>
    </row>
    <row r="2087" spans="1:3" x14ac:dyDescent="0.35">
      <c r="A2087" s="943" t="s">
        <v>6076</v>
      </c>
      <c r="B2087" t="s">
        <v>4220</v>
      </c>
      <c r="C2087" s="944">
        <v>0</v>
      </c>
    </row>
    <row r="2088" spans="1:3" x14ac:dyDescent="0.35">
      <c r="A2088" s="943" t="s">
        <v>6077</v>
      </c>
      <c r="B2088" t="s">
        <v>4221</v>
      </c>
      <c r="C2088" s="944">
        <v>0</v>
      </c>
    </row>
    <row r="2089" spans="1:3" x14ac:dyDescent="0.35">
      <c r="A2089" s="943" t="s">
        <v>6078</v>
      </c>
      <c r="B2089" t="s">
        <v>4222</v>
      </c>
      <c r="C2089" s="944">
        <v>0</v>
      </c>
    </row>
    <row r="2090" spans="1:3" x14ac:dyDescent="0.35">
      <c r="A2090" s="943" t="s">
        <v>6079</v>
      </c>
      <c r="B2090" t="s">
        <v>4223</v>
      </c>
      <c r="C2090" s="944">
        <v>0</v>
      </c>
    </row>
    <row r="2091" spans="1:3" x14ac:dyDescent="0.35">
      <c r="A2091" s="943" t="s">
        <v>6080</v>
      </c>
      <c r="B2091" t="s">
        <v>4224</v>
      </c>
      <c r="C2091" s="944">
        <v>0</v>
      </c>
    </row>
    <row r="2092" spans="1:3" x14ac:dyDescent="0.35">
      <c r="A2092" s="943" t="s">
        <v>6081</v>
      </c>
      <c r="B2092" t="s">
        <v>4225</v>
      </c>
      <c r="C2092" s="944">
        <v>0</v>
      </c>
    </row>
    <row r="2093" spans="1:3" x14ac:dyDescent="0.35">
      <c r="A2093" s="943" t="s">
        <v>6082</v>
      </c>
      <c r="B2093" t="s">
        <v>4226</v>
      </c>
      <c r="C2093" s="944">
        <v>0</v>
      </c>
    </row>
    <row r="2094" spans="1:3" x14ac:dyDescent="0.35">
      <c r="A2094" s="943" t="s">
        <v>6083</v>
      </c>
      <c r="B2094" t="s">
        <v>4227</v>
      </c>
      <c r="C2094" s="944">
        <v>0</v>
      </c>
    </row>
    <row r="2095" spans="1:3" x14ac:dyDescent="0.35">
      <c r="A2095" s="943" t="s">
        <v>6084</v>
      </c>
      <c r="B2095" t="s">
        <v>4228</v>
      </c>
      <c r="C2095" s="944">
        <v>0</v>
      </c>
    </row>
    <row r="2096" spans="1:3" x14ac:dyDescent="0.35">
      <c r="A2096" s="943" t="s">
        <v>6085</v>
      </c>
      <c r="B2096" t="s">
        <v>4229</v>
      </c>
      <c r="C2096" s="944">
        <v>0</v>
      </c>
    </row>
    <row r="2097" spans="1:3" x14ac:dyDescent="0.35">
      <c r="A2097" s="943" t="s">
        <v>6086</v>
      </c>
      <c r="B2097" t="s">
        <v>4230</v>
      </c>
      <c r="C2097" s="944">
        <v>0</v>
      </c>
    </row>
    <row r="2098" spans="1:3" x14ac:dyDescent="0.35">
      <c r="A2098" s="943" t="s">
        <v>6087</v>
      </c>
      <c r="B2098" t="s">
        <v>4231</v>
      </c>
      <c r="C2098" s="944">
        <v>0</v>
      </c>
    </row>
    <row r="2099" spans="1:3" x14ac:dyDescent="0.35">
      <c r="A2099" s="943" t="s">
        <v>6088</v>
      </c>
      <c r="B2099" t="s">
        <v>4232</v>
      </c>
      <c r="C2099" s="944">
        <v>0</v>
      </c>
    </row>
    <row r="2100" spans="1:3" x14ac:dyDescent="0.35">
      <c r="A2100" s="943" t="s">
        <v>6089</v>
      </c>
      <c r="B2100" t="s">
        <v>4233</v>
      </c>
      <c r="C2100" s="944">
        <v>0</v>
      </c>
    </row>
    <row r="2101" spans="1:3" x14ac:dyDescent="0.35">
      <c r="A2101" s="943" t="s">
        <v>6090</v>
      </c>
      <c r="B2101" t="s">
        <v>4234</v>
      </c>
      <c r="C2101" s="944">
        <v>0</v>
      </c>
    </row>
    <row r="2102" spans="1:3" x14ac:dyDescent="0.35">
      <c r="A2102" s="943" t="s">
        <v>6091</v>
      </c>
      <c r="B2102" t="s">
        <v>4235</v>
      </c>
      <c r="C2102" s="944">
        <v>0</v>
      </c>
    </row>
    <row r="2103" spans="1:3" x14ac:dyDescent="0.35">
      <c r="A2103" s="943" t="s">
        <v>6092</v>
      </c>
      <c r="B2103" t="s">
        <v>4236</v>
      </c>
      <c r="C2103" s="944">
        <v>0</v>
      </c>
    </row>
    <row r="2104" spans="1:3" x14ac:dyDescent="0.35">
      <c r="A2104" s="943" t="s">
        <v>6093</v>
      </c>
      <c r="B2104" t="s">
        <v>4237</v>
      </c>
      <c r="C2104" s="944">
        <v>0</v>
      </c>
    </row>
    <row r="2105" spans="1:3" x14ac:dyDescent="0.35">
      <c r="A2105" s="943" t="s">
        <v>6094</v>
      </c>
      <c r="B2105" t="s">
        <v>4238</v>
      </c>
      <c r="C2105" s="944">
        <v>0</v>
      </c>
    </row>
    <row r="2106" spans="1:3" x14ac:dyDescent="0.35">
      <c r="A2106" s="943" t="s">
        <v>6095</v>
      </c>
      <c r="B2106" t="s">
        <v>4239</v>
      </c>
      <c r="C2106" s="944">
        <v>75000</v>
      </c>
    </row>
    <row r="2107" spans="1:3" x14ac:dyDescent="0.35">
      <c r="A2107" s="943" t="s">
        <v>6096</v>
      </c>
      <c r="B2107" t="s">
        <v>4240</v>
      </c>
      <c r="C2107" s="944">
        <v>80000</v>
      </c>
    </row>
    <row r="2108" spans="1:3" x14ac:dyDescent="0.35">
      <c r="A2108" s="943" t="s">
        <v>6097</v>
      </c>
      <c r="B2108" t="s">
        <v>4241</v>
      </c>
      <c r="C2108" s="944">
        <v>0</v>
      </c>
    </row>
    <row r="2109" spans="1:3" x14ac:dyDescent="0.35">
      <c r="A2109" s="943" t="s">
        <v>6098</v>
      </c>
      <c r="B2109" t="s">
        <v>4242</v>
      </c>
      <c r="C2109" s="944">
        <v>0</v>
      </c>
    </row>
    <row r="2110" spans="1:3" x14ac:dyDescent="0.35">
      <c r="A2110" s="943" t="s">
        <v>6099</v>
      </c>
      <c r="B2110" t="s">
        <v>4243</v>
      </c>
      <c r="C2110" s="944">
        <v>331000</v>
      </c>
    </row>
    <row r="2111" spans="1:3" x14ac:dyDescent="0.35">
      <c r="A2111" s="943" t="s">
        <v>6100</v>
      </c>
      <c r="B2111" t="s">
        <v>4244</v>
      </c>
      <c r="C2111" s="944">
        <v>0</v>
      </c>
    </row>
    <row r="2112" spans="1:3" x14ac:dyDescent="0.35">
      <c r="A2112" s="943" t="s">
        <v>6101</v>
      </c>
      <c r="B2112" t="s">
        <v>4245</v>
      </c>
      <c r="C2112" s="944">
        <v>0</v>
      </c>
    </row>
    <row r="2113" spans="1:3" x14ac:dyDescent="0.35">
      <c r="A2113" s="943" t="s">
        <v>6102</v>
      </c>
      <c r="B2113" t="s">
        <v>4246</v>
      </c>
      <c r="C2113" s="944">
        <v>55000</v>
      </c>
    </row>
    <row r="2114" spans="1:3" x14ac:dyDescent="0.35">
      <c r="A2114" s="943" t="s">
        <v>6103</v>
      </c>
      <c r="B2114" t="s">
        <v>4247</v>
      </c>
      <c r="C2114" s="944">
        <v>0</v>
      </c>
    </row>
    <row r="2115" spans="1:3" x14ac:dyDescent="0.35">
      <c r="A2115" s="943" t="s">
        <v>6104</v>
      </c>
      <c r="B2115" t="s">
        <v>4248</v>
      </c>
      <c r="C2115" s="944">
        <v>0</v>
      </c>
    </row>
    <row r="2116" spans="1:3" x14ac:dyDescent="0.35">
      <c r="B2116" t="s">
        <v>4249</v>
      </c>
      <c r="C2116" s="944">
        <v>541000</v>
      </c>
    </row>
    <row r="2117" spans="1:3" x14ac:dyDescent="0.35">
      <c r="A2117" s="943" t="s">
        <v>7902</v>
      </c>
      <c r="B2117" t="s">
        <v>4250</v>
      </c>
      <c r="C2117" s="944"/>
    </row>
    <row r="2118" spans="1:3" x14ac:dyDescent="0.35">
      <c r="A2118" s="943" t="s">
        <v>6105</v>
      </c>
      <c r="B2118" t="s">
        <v>4251</v>
      </c>
      <c r="C2118" s="944">
        <v>0</v>
      </c>
    </row>
    <row r="2119" spans="1:3" x14ac:dyDescent="0.35">
      <c r="A2119" s="943" t="s">
        <v>6106</v>
      </c>
      <c r="B2119" t="s">
        <v>4252</v>
      </c>
      <c r="C2119" s="944">
        <v>0</v>
      </c>
    </row>
    <row r="2120" spans="1:3" x14ac:dyDescent="0.35">
      <c r="A2120" s="943" t="s">
        <v>6107</v>
      </c>
      <c r="B2120" t="s">
        <v>4253</v>
      </c>
      <c r="C2120" s="944">
        <v>0</v>
      </c>
    </row>
    <row r="2121" spans="1:3" x14ac:dyDescent="0.35">
      <c r="A2121" s="943" t="s">
        <v>6108</v>
      </c>
      <c r="B2121" t="s">
        <v>4254</v>
      </c>
      <c r="C2121" s="944">
        <v>0</v>
      </c>
    </row>
    <row r="2122" spans="1:3" x14ac:dyDescent="0.35">
      <c r="A2122" s="943" t="s">
        <v>6109</v>
      </c>
      <c r="B2122" t="s">
        <v>4255</v>
      </c>
      <c r="C2122" s="944">
        <v>0</v>
      </c>
    </row>
    <row r="2123" spans="1:3" x14ac:dyDescent="0.35">
      <c r="A2123" s="943" t="s">
        <v>6110</v>
      </c>
      <c r="B2123" t="s">
        <v>4256</v>
      </c>
      <c r="C2123" s="944">
        <v>0</v>
      </c>
    </row>
    <row r="2124" spans="1:3" x14ac:dyDescent="0.35">
      <c r="A2124" s="943" t="s">
        <v>6111</v>
      </c>
      <c r="B2124" t="s">
        <v>4257</v>
      </c>
      <c r="C2124" s="944">
        <v>0</v>
      </c>
    </row>
    <row r="2125" spans="1:3" x14ac:dyDescent="0.35">
      <c r="A2125" s="943" t="s">
        <v>6112</v>
      </c>
      <c r="B2125" t="s">
        <v>4258</v>
      </c>
      <c r="C2125" s="944">
        <v>0</v>
      </c>
    </row>
    <row r="2126" spans="1:3" x14ac:dyDescent="0.35">
      <c r="A2126" s="943" t="s">
        <v>6113</v>
      </c>
      <c r="B2126" t="s">
        <v>4259</v>
      </c>
      <c r="C2126" s="944">
        <v>0</v>
      </c>
    </row>
    <row r="2127" spans="1:3" x14ac:dyDescent="0.35">
      <c r="A2127" s="943" t="s">
        <v>6114</v>
      </c>
      <c r="B2127" t="s">
        <v>4260</v>
      </c>
      <c r="C2127" s="944">
        <v>0</v>
      </c>
    </row>
    <row r="2128" spans="1:3" x14ac:dyDescent="0.35">
      <c r="A2128" s="943" t="s">
        <v>6115</v>
      </c>
      <c r="B2128" t="s">
        <v>4261</v>
      </c>
      <c r="C2128" s="944">
        <v>0</v>
      </c>
    </row>
    <row r="2129" spans="1:3" x14ac:dyDescent="0.35">
      <c r="A2129" s="943" t="s">
        <v>6116</v>
      </c>
      <c r="B2129" t="s">
        <v>4262</v>
      </c>
      <c r="C2129" s="944">
        <v>0</v>
      </c>
    </row>
    <row r="2130" spans="1:3" x14ac:dyDescent="0.35">
      <c r="A2130" s="943" t="s">
        <v>6117</v>
      </c>
      <c r="B2130" t="s">
        <v>4263</v>
      </c>
      <c r="C2130" s="944">
        <v>0</v>
      </c>
    </row>
    <row r="2131" spans="1:3" x14ac:dyDescent="0.35">
      <c r="A2131" s="943" t="s">
        <v>6118</v>
      </c>
      <c r="B2131" t="s">
        <v>4264</v>
      </c>
      <c r="C2131" s="944">
        <v>0</v>
      </c>
    </row>
    <row r="2132" spans="1:3" x14ac:dyDescent="0.35">
      <c r="A2132" s="943" t="s">
        <v>6119</v>
      </c>
      <c r="B2132" t="s">
        <v>4265</v>
      </c>
      <c r="C2132" s="944">
        <v>0</v>
      </c>
    </row>
    <row r="2133" spans="1:3" x14ac:dyDescent="0.35">
      <c r="A2133" s="943" t="s">
        <v>6120</v>
      </c>
      <c r="B2133" t="s">
        <v>4266</v>
      </c>
      <c r="C2133" s="944">
        <v>0</v>
      </c>
    </row>
    <row r="2134" spans="1:3" x14ac:dyDescent="0.35">
      <c r="A2134" s="943" t="s">
        <v>6121</v>
      </c>
      <c r="B2134" t="s">
        <v>4257</v>
      </c>
      <c r="C2134" s="944">
        <v>153000</v>
      </c>
    </row>
    <row r="2135" spans="1:3" x14ac:dyDescent="0.35">
      <c r="A2135" s="943" t="s">
        <v>6122</v>
      </c>
      <c r="B2135" t="s">
        <v>4267</v>
      </c>
      <c r="C2135" s="944">
        <v>18000</v>
      </c>
    </row>
    <row r="2136" spans="1:3" x14ac:dyDescent="0.35">
      <c r="A2136" s="943" t="s">
        <v>6123</v>
      </c>
      <c r="B2136" t="s">
        <v>4259</v>
      </c>
      <c r="C2136" s="944">
        <v>0</v>
      </c>
    </row>
    <row r="2137" spans="1:3" x14ac:dyDescent="0.35">
      <c r="A2137" s="943" t="s">
        <v>6124</v>
      </c>
      <c r="B2137" t="s">
        <v>4260</v>
      </c>
      <c r="C2137" s="944">
        <v>80000</v>
      </c>
    </row>
    <row r="2138" spans="1:3" x14ac:dyDescent="0.35">
      <c r="A2138" s="943" t="s">
        <v>6125</v>
      </c>
      <c r="B2138" t="s">
        <v>1102</v>
      </c>
      <c r="C2138" s="944">
        <v>0</v>
      </c>
    </row>
    <row r="2139" spans="1:3" x14ac:dyDescent="0.35">
      <c r="A2139" s="943" t="s">
        <v>6126</v>
      </c>
      <c r="B2139" t="s">
        <v>4268</v>
      </c>
      <c r="C2139" s="944">
        <v>326000</v>
      </c>
    </row>
    <row r="2140" spans="1:3" x14ac:dyDescent="0.35">
      <c r="A2140" s="943" t="s">
        <v>6127</v>
      </c>
      <c r="B2140" t="s">
        <v>4269</v>
      </c>
      <c r="C2140" s="944">
        <v>125000</v>
      </c>
    </row>
    <row r="2141" spans="1:3" x14ac:dyDescent="0.35">
      <c r="A2141" s="943" t="s">
        <v>6128</v>
      </c>
      <c r="B2141" t="s">
        <v>4270</v>
      </c>
      <c r="C2141" s="944">
        <v>0</v>
      </c>
    </row>
    <row r="2142" spans="1:3" x14ac:dyDescent="0.35">
      <c r="A2142" s="943" t="s">
        <v>6129</v>
      </c>
      <c r="B2142" t="s">
        <v>4271</v>
      </c>
      <c r="C2142" s="944">
        <v>0</v>
      </c>
    </row>
    <row r="2143" spans="1:3" x14ac:dyDescent="0.35">
      <c r="A2143" s="943" t="s">
        <v>6130</v>
      </c>
      <c r="B2143" t="s">
        <v>4272</v>
      </c>
      <c r="C2143" s="944">
        <v>0</v>
      </c>
    </row>
    <row r="2144" spans="1:3" x14ac:dyDescent="0.35">
      <c r="A2144" s="943" t="s">
        <v>6131</v>
      </c>
      <c r="B2144" t="s">
        <v>4273</v>
      </c>
      <c r="C2144" s="944">
        <v>0</v>
      </c>
    </row>
    <row r="2145" spans="1:3" x14ac:dyDescent="0.35">
      <c r="A2145" s="943" t="s">
        <v>6132</v>
      </c>
      <c r="B2145" t="s">
        <v>4274</v>
      </c>
      <c r="C2145" s="944">
        <v>0</v>
      </c>
    </row>
    <row r="2146" spans="1:3" x14ac:dyDescent="0.35">
      <c r="A2146" s="943" t="s">
        <v>6133</v>
      </c>
      <c r="B2146" t="s">
        <v>4275</v>
      </c>
      <c r="C2146" s="944">
        <v>0</v>
      </c>
    </row>
    <row r="2147" spans="1:3" x14ac:dyDescent="0.35">
      <c r="A2147" s="943" t="s">
        <v>6134</v>
      </c>
      <c r="B2147" t="s">
        <v>4276</v>
      </c>
      <c r="C2147" s="944">
        <v>0</v>
      </c>
    </row>
    <row r="2148" spans="1:3" x14ac:dyDescent="0.35">
      <c r="A2148" s="943" t="s">
        <v>6135</v>
      </c>
      <c r="B2148" t="s">
        <v>350</v>
      </c>
      <c r="C2148" s="944">
        <v>0</v>
      </c>
    </row>
    <row r="2149" spans="1:3" x14ac:dyDescent="0.35">
      <c r="B2149" t="s">
        <v>4277</v>
      </c>
      <c r="C2149" s="944">
        <v>702000</v>
      </c>
    </row>
    <row r="2150" spans="1:3" x14ac:dyDescent="0.35">
      <c r="A2150" s="943" t="s">
        <v>7903</v>
      </c>
      <c r="B2150" t="s">
        <v>4278</v>
      </c>
      <c r="C2150" s="944"/>
    </row>
    <row r="2151" spans="1:3" x14ac:dyDescent="0.35">
      <c r="A2151" s="943" t="s">
        <v>6136</v>
      </c>
      <c r="B2151" t="s">
        <v>4279</v>
      </c>
      <c r="C2151" s="944">
        <v>0</v>
      </c>
    </row>
    <row r="2152" spans="1:3" x14ac:dyDescent="0.35">
      <c r="A2152" s="943" t="s">
        <v>6137</v>
      </c>
      <c r="B2152" t="s">
        <v>7924</v>
      </c>
      <c r="C2152" s="944">
        <v>0</v>
      </c>
    </row>
    <row r="2153" spans="1:3" x14ac:dyDescent="0.35">
      <c r="A2153" s="943" t="s">
        <v>6138</v>
      </c>
      <c r="B2153" t="s">
        <v>7925</v>
      </c>
      <c r="C2153" s="944">
        <v>504500</v>
      </c>
    </row>
    <row r="2154" spans="1:3" x14ac:dyDescent="0.35">
      <c r="A2154" s="943" t="s">
        <v>6139</v>
      </c>
      <c r="B2154" t="s">
        <v>4280</v>
      </c>
      <c r="C2154" s="944">
        <v>5551600</v>
      </c>
    </row>
    <row r="2155" spans="1:3" x14ac:dyDescent="0.35">
      <c r="A2155" s="943" t="s">
        <v>6140</v>
      </c>
      <c r="B2155" t="s">
        <v>7926</v>
      </c>
      <c r="C2155" s="944">
        <v>1009000</v>
      </c>
    </row>
    <row r="2156" spans="1:3" x14ac:dyDescent="0.35">
      <c r="A2156" s="943" t="s">
        <v>6141</v>
      </c>
      <c r="B2156" t="s">
        <v>7927</v>
      </c>
      <c r="C2156" s="944">
        <v>0</v>
      </c>
    </row>
    <row r="2157" spans="1:3" x14ac:dyDescent="0.35">
      <c r="A2157" s="943" t="s">
        <v>6142</v>
      </c>
      <c r="B2157" t="s">
        <v>7928</v>
      </c>
      <c r="C2157" s="944">
        <v>1009000</v>
      </c>
    </row>
    <row r="2158" spans="1:3" x14ac:dyDescent="0.35">
      <c r="A2158" s="943" t="s">
        <v>6143</v>
      </c>
      <c r="B2158" t="s">
        <v>4281</v>
      </c>
      <c r="C2158" s="944">
        <v>0</v>
      </c>
    </row>
    <row r="2159" spans="1:3" x14ac:dyDescent="0.35">
      <c r="A2159" s="943" t="s">
        <v>6144</v>
      </c>
      <c r="B2159" t="s">
        <v>4282</v>
      </c>
      <c r="C2159" s="944">
        <v>0</v>
      </c>
    </row>
    <row r="2160" spans="1:3" x14ac:dyDescent="0.35">
      <c r="A2160" s="943" t="s">
        <v>6145</v>
      </c>
      <c r="B2160" t="s">
        <v>4283</v>
      </c>
      <c r="C2160" s="944">
        <v>0</v>
      </c>
    </row>
    <row r="2161" spans="1:3" x14ac:dyDescent="0.35">
      <c r="A2161" s="943" t="s">
        <v>6146</v>
      </c>
      <c r="B2161" t="s">
        <v>4284</v>
      </c>
      <c r="C2161" s="944">
        <v>0</v>
      </c>
    </row>
    <row r="2162" spans="1:3" x14ac:dyDescent="0.35">
      <c r="A2162" s="943" t="s">
        <v>6147</v>
      </c>
      <c r="B2162" t="s">
        <v>4285</v>
      </c>
      <c r="C2162" s="944">
        <v>0</v>
      </c>
    </row>
    <row r="2163" spans="1:3" x14ac:dyDescent="0.35">
      <c r="A2163" s="943" t="s">
        <v>6148</v>
      </c>
      <c r="B2163" t="s">
        <v>4286</v>
      </c>
      <c r="C2163" s="944">
        <v>0</v>
      </c>
    </row>
    <row r="2164" spans="1:3" x14ac:dyDescent="0.35">
      <c r="A2164" s="943" t="s">
        <v>6149</v>
      </c>
      <c r="B2164" t="s">
        <v>4287</v>
      </c>
      <c r="C2164" s="944">
        <v>0</v>
      </c>
    </row>
    <row r="2165" spans="1:3" x14ac:dyDescent="0.35">
      <c r="A2165" s="943" t="s">
        <v>6150</v>
      </c>
      <c r="B2165" t="s">
        <v>4288</v>
      </c>
      <c r="C2165" s="944">
        <v>0</v>
      </c>
    </row>
    <row r="2166" spans="1:3" x14ac:dyDescent="0.35">
      <c r="B2166" t="s">
        <v>4289</v>
      </c>
      <c r="C2166" s="944">
        <v>8074100</v>
      </c>
    </row>
    <row r="2167" spans="1:3" x14ac:dyDescent="0.35">
      <c r="A2167" s="943" t="s">
        <v>7904</v>
      </c>
      <c r="B2167" t="s">
        <v>4290</v>
      </c>
      <c r="C2167" s="944"/>
    </row>
    <row r="2168" spans="1:3" x14ac:dyDescent="0.35">
      <c r="A2168" s="943" t="s">
        <v>6151</v>
      </c>
      <c r="B2168" t="s">
        <v>3599</v>
      </c>
      <c r="C2168" s="944">
        <v>0</v>
      </c>
    </row>
    <row r="2169" spans="1:3" x14ac:dyDescent="0.35">
      <c r="A2169" s="943" t="s">
        <v>6152</v>
      </c>
      <c r="B2169" t="s">
        <v>3605</v>
      </c>
      <c r="C2169" s="944">
        <v>0</v>
      </c>
    </row>
    <row r="2170" spans="1:3" x14ac:dyDescent="0.35">
      <c r="A2170" s="943" t="s">
        <v>6153</v>
      </c>
      <c r="B2170" t="s">
        <v>3607</v>
      </c>
      <c r="C2170" s="944">
        <v>0</v>
      </c>
    </row>
    <row r="2171" spans="1:3" x14ac:dyDescent="0.35">
      <c r="A2171" s="943" t="s">
        <v>6154</v>
      </c>
      <c r="B2171" t="s">
        <v>4126</v>
      </c>
      <c r="C2171" s="944">
        <v>0</v>
      </c>
    </row>
    <row r="2172" spans="1:3" x14ac:dyDescent="0.35">
      <c r="A2172" s="943" t="s">
        <v>6155</v>
      </c>
      <c r="B2172" t="s">
        <v>4127</v>
      </c>
      <c r="C2172" s="944">
        <v>0</v>
      </c>
    </row>
    <row r="2173" spans="1:3" x14ac:dyDescent="0.35">
      <c r="A2173" s="943" t="s">
        <v>6156</v>
      </c>
      <c r="B2173" t="s">
        <v>3609</v>
      </c>
      <c r="C2173" s="944">
        <v>0</v>
      </c>
    </row>
    <row r="2174" spans="1:3" x14ac:dyDescent="0.35">
      <c r="A2174" s="943" t="s">
        <v>6157</v>
      </c>
      <c r="B2174" t="s">
        <v>3611</v>
      </c>
      <c r="C2174" s="944">
        <v>0</v>
      </c>
    </row>
    <row r="2175" spans="1:3" x14ac:dyDescent="0.35">
      <c r="A2175" s="943" t="s">
        <v>6158</v>
      </c>
      <c r="B2175" t="s">
        <v>3613</v>
      </c>
      <c r="C2175" s="944">
        <v>0</v>
      </c>
    </row>
    <row r="2176" spans="1:3" x14ac:dyDescent="0.35">
      <c r="A2176" s="943" t="s">
        <v>6159</v>
      </c>
      <c r="B2176" t="s">
        <v>3615</v>
      </c>
      <c r="C2176" s="944">
        <v>0</v>
      </c>
    </row>
    <row r="2177" spans="1:3" x14ac:dyDescent="0.35">
      <c r="A2177" s="943" t="s">
        <v>6160</v>
      </c>
      <c r="B2177" t="s">
        <v>3617</v>
      </c>
      <c r="C2177" s="944">
        <v>0</v>
      </c>
    </row>
    <row r="2178" spans="1:3" x14ac:dyDescent="0.35">
      <c r="A2178" s="943" t="s">
        <v>6161</v>
      </c>
      <c r="B2178" t="s">
        <v>3619</v>
      </c>
      <c r="C2178" s="944">
        <v>0</v>
      </c>
    </row>
    <row r="2179" spans="1:3" x14ac:dyDescent="0.35">
      <c r="A2179" s="943" t="s">
        <v>6162</v>
      </c>
      <c r="B2179" t="s">
        <v>3621</v>
      </c>
      <c r="C2179" s="944">
        <v>0</v>
      </c>
    </row>
    <row r="2180" spans="1:3" x14ac:dyDescent="0.35">
      <c r="A2180" s="943" t="s">
        <v>6163</v>
      </c>
      <c r="B2180" t="s">
        <v>3623</v>
      </c>
      <c r="C2180" s="944">
        <v>0</v>
      </c>
    </row>
    <row r="2181" spans="1:3" x14ac:dyDescent="0.35">
      <c r="A2181" s="943" t="s">
        <v>6164</v>
      </c>
      <c r="B2181" t="s">
        <v>3625</v>
      </c>
      <c r="C2181" s="944">
        <v>0</v>
      </c>
    </row>
    <row r="2182" spans="1:3" x14ac:dyDescent="0.35">
      <c r="A2182" s="943" t="s">
        <v>6165</v>
      </c>
      <c r="B2182" t="s">
        <v>3627</v>
      </c>
      <c r="C2182" s="944">
        <v>0</v>
      </c>
    </row>
    <row r="2183" spans="1:3" x14ac:dyDescent="0.35">
      <c r="A2183" s="943" t="s">
        <v>6166</v>
      </c>
      <c r="B2183" t="s">
        <v>3629</v>
      </c>
      <c r="C2183" s="944">
        <v>0</v>
      </c>
    </row>
    <row r="2184" spans="1:3" x14ac:dyDescent="0.35">
      <c r="A2184" s="943" t="s">
        <v>6167</v>
      </c>
      <c r="B2184" t="s">
        <v>3631</v>
      </c>
      <c r="C2184" s="944">
        <v>0</v>
      </c>
    </row>
    <row r="2185" spans="1:3" x14ac:dyDescent="0.35">
      <c r="A2185" s="943" t="s">
        <v>6168</v>
      </c>
      <c r="B2185" t="s">
        <v>3633</v>
      </c>
      <c r="C2185" s="944">
        <v>0</v>
      </c>
    </row>
    <row r="2186" spans="1:3" x14ac:dyDescent="0.35">
      <c r="A2186" s="943" t="s">
        <v>6169</v>
      </c>
      <c r="B2186" t="s">
        <v>3635</v>
      </c>
      <c r="C2186" s="944">
        <v>0</v>
      </c>
    </row>
    <row r="2187" spans="1:3" x14ac:dyDescent="0.35">
      <c r="A2187" s="943" t="s">
        <v>6170</v>
      </c>
      <c r="B2187" t="s">
        <v>3637</v>
      </c>
      <c r="C2187" s="944">
        <v>0</v>
      </c>
    </row>
    <row r="2188" spans="1:3" x14ac:dyDescent="0.35">
      <c r="A2188" s="943" t="s">
        <v>6171</v>
      </c>
      <c r="B2188" t="s">
        <v>334</v>
      </c>
      <c r="C2188" s="944">
        <v>0</v>
      </c>
    </row>
    <row r="2189" spans="1:3" x14ac:dyDescent="0.35">
      <c r="A2189" s="943" t="s">
        <v>6172</v>
      </c>
      <c r="B2189" t="s">
        <v>3640</v>
      </c>
      <c r="C2189" s="944">
        <v>0</v>
      </c>
    </row>
    <row r="2190" spans="1:3" x14ac:dyDescent="0.35">
      <c r="A2190" s="943" t="s">
        <v>6173</v>
      </c>
      <c r="B2190" t="s">
        <v>3642</v>
      </c>
      <c r="C2190" s="944">
        <v>0</v>
      </c>
    </row>
    <row r="2191" spans="1:3" x14ac:dyDescent="0.35">
      <c r="A2191" s="943" t="s">
        <v>6174</v>
      </c>
      <c r="B2191" t="s">
        <v>3644</v>
      </c>
      <c r="C2191" s="944">
        <v>0</v>
      </c>
    </row>
    <row r="2192" spans="1:3" x14ac:dyDescent="0.35">
      <c r="A2192" s="943" t="s">
        <v>6175</v>
      </c>
      <c r="B2192" t="s">
        <v>3646</v>
      </c>
      <c r="C2192" s="944">
        <v>0</v>
      </c>
    </row>
    <row r="2193" spans="1:3" x14ac:dyDescent="0.35">
      <c r="A2193" s="943" t="s">
        <v>6176</v>
      </c>
      <c r="B2193" t="s">
        <v>3648</v>
      </c>
      <c r="C2193" s="944">
        <v>0</v>
      </c>
    </row>
    <row r="2194" spans="1:3" x14ac:dyDescent="0.35">
      <c r="A2194" s="943" t="s">
        <v>6177</v>
      </c>
      <c r="B2194" t="s">
        <v>3650</v>
      </c>
      <c r="C2194" s="944">
        <v>0</v>
      </c>
    </row>
    <row r="2195" spans="1:3" x14ac:dyDescent="0.35">
      <c r="A2195" s="943" t="s">
        <v>6178</v>
      </c>
      <c r="B2195" t="s">
        <v>3652</v>
      </c>
      <c r="C2195" s="944">
        <v>0</v>
      </c>
    </row>
    <row r="2196" spans="1:3" x14ac:dyDescent="0.35">
      <c r="A2196" s="943" t="s">
        <v>6179</v>
      </c>
      <c r="B2196" t="s">
        <v>3654</v>
      </c>
      <c r="C2196" s="944">
        <v>0</v>
      </c>
    </row>
    <row r="2197" spans="1:3" x14ac:dyDescent="0.35">
      <c r="A2197" s="943" t="s">
        <v>6180</v>
      </c>
      <c r="B2197" t="s">
        <v>3656</v>
      </c>
      <c r="C2197" s="944">
        <v>0</v>
      </c>
    </row>
    <row r="2198" spans="1:3" x14ac:dyDescent="0.35">
      <c r="A2198" s="943" t="s">
        <v>6181</v>
      </c>
      <c r="B2198" t="s">
        <v>3658</v>
      </c>
      <c r="C2198" s="944">
        <v>0</v>
      </c>
    </row>
    <row r="2199" spans="1:3" x14ac:dyDescent="0.35">
      <c r="A2199" s="943" t="s">
        <v>6182</v>
      </c>
      <c r="B2199" t="s">
        <v>3660</v>
      </c>
      <c r="C2199" s="944">
        <v>0</v>
      </c>
    </row>
    <row r="2200" spans="1:3" x14ac:dyDescent="0.35">
      <c r="A2200" s="943" t="s">
        <v>6183</v>
      </c>
      <c r="B2200" t="s">
        <v>3662</v>
      </c>
      <c r="C2200" s="944">
        <v>0</v>
      </c>
    </row>
    <row r="2201" spans="1:3" x14ac:dyDescent="0.35">
      <c r="A2201" s="943" t="s">
        <v>6184</v>
      </c>
      <c r="B2201" t="s">
        <v>3664</v>
      </c>
      <c r="C2201" s="944">
        <v>0</v>
      </c>
    </row>
    <row r="2202" spans="1:3" x14ac:dyDescent="0.35">
      <c r="A2202" s="943" t="s">
        <v>6185</v>
      </c>
      <c r="B2202" t="s">
        <v>3666</v>
      </c>
      <c r="C2202" s="944">
        <v>0</v>
      </c>
    </row>
    <row r="2203" spans="1:3" x14ac:dyDescent="0.35">
      <c r="A2203" s="943" t="s">
        <v>6186</v>
      </c>
      <c r="B2203" t="s">
        <v>3668</v>
      </c>
      <c r="C2203" s="944">
        <v>0</v>
      </c>
    </row>
    <row r="2204" spans="1:3" x14ac:dyDescent="0.35">
      <c r="A2204" s="943" t="s">
        <v>6187</v>
      </c>
      <c r="B2204" t="s">
        <v>350</v>
      </c>
      <c r="C2204" s="944">
        <v>0</v>
      </c>
    </row>
    <row r="2205" spans="1:3" x14ac:dyDescent="0.35">
      <c r="A2205" s="943" t="s">
        <v>6188</v>
      </c>
      <c r="B2205" t="s">
        <v>3671</v>
      </c>
      <c r="C2205" s="944">
        <v>0</v>
      </c>
    </row>
    <row r="2206" spans="1:3" x14ac:dyDescent="0.35">
      <c r="A2206" s="943" t="s">
        <v>6189</v>
      </c>
      <c r="B2206" t="s">
        <v>3930</v>
      </c>
      <c r="C2206" s="944">
        <v>0</v>
      </c>
    </row>
    <row r="2207" spans="1:3" x14ac:dyDescent="0.35">
      <c r="A2207" s="943" t="s">
        <v>6190</v>
      </c>
      <c r="B2207" t="s">
        <v>3675</v>
      </c>
      <c r="C2207" s="944">
        <v>0</v>
      </c>
    </row>
    <row r="2208" spans="1:3" x14ac:dyDescent="0.35">
      <c r="A2208" s="943" t="s">
        <v>6191</v>
      </c>
      <c r="B2208" t="s">
        <v>3677</v>
      </c>
      <c r="C2208" s="944">
        <v>0</v>
      </c>
    </row>
    <row r="2209" spans="1:3" x14ac:dyDescent="0.35">
      <c r="A2209" s="943" t="s">
        <v>6192</v>
      </c>
      <c r="B2209" t="s">
        <v>3679</v>
      </c>
      <c r="C2209" s="944">
        <v>0</v>
      </c>
    </row>
    <row r="2210" spans="1:3" x14ac:dyDescent="0.35">
      <c r="A2210" s="943" t="s">
        <v>6193</v>
      </c>
      <c r="B2210" t="s">
        <v>3681</v>
      </c>
      <c r="C2210" s="944">
        <v>0</v>
      </c>
    </row>
    <row r="2211" spans="1:3" x14ac:dyDescent="0.35">
      <c r="A2211" s="943" t="s">
        <v>6194</v>
      </c>
      <c r="B2211" t="s">
        <v>3683</v>
      </c>
      <c r="C2211" s="944">
        <v>0</v>
      </c>
    </row>
    <row r="2212" spans="1:3" x14ac:dyDescent="0.35">
      <c r="A2212" s="943" t="s">
        <v>6195</v>
      </c>
      <c r="B2212" t="s">
        <v>3685</v>
      </c>
      <c r="C2212" s="944">
        <v>0</v>
      </c>
    </row>
    <row r="2213" spans="1:3" x14ac:dyDescent="0.35">
      <c r="A2213" s="943" t="s">
        <v>6196</v>
      </c>
      <c r="B2213" t="s">
        <v>3687</v>
      </c>
      <c r="C2213" s="944">
        <v>0</v>
      </c>
    </row>
    <row r="2214" spans="1:3" x14ac:dyDescent="0.35">
      <c r="A2214" s="943" t="s">
        <v>6197</v>
      </c>
      <c r="B2214" t="s">
        <v>3689</v>
      </c>
      <c r="C2214" s="944">
        <v>0</v>
      </c>
    </row>
    <row r="2215" spans="1:3" x14ac:dyDescent="0.35">
      <c r="A2215" s="943" t="s">
        <v>6198</v>
      </c>
      <c r="B2215" t="s">
        <v>4291</v>
      </c>
      <c r="C2215" s="944">
        <v>0</v>
      </c>
    </row>
    <row r="2216" spans="1:3" x14ac:dyDescent="0.35">
      <c r="A2216" s="943" t="s">
        <v>6199</v>
      </c>
      <c r="B2216" t="s">
        <v>4292</v>
      </c>
      <c r="C2216" s="944">
        <v>0</v>
      </c>
    </row>
    <row r="2217" spans="1:3" x14ac:dyDescent="0.35">
      <c r="A2217" s="943" t="s">
        <v>6200</v>
      </c>
      <c r="B2217" t="s">
        <v>4293</v>
      </c>
      <c r="C2217" s="944">
        <v>0</v>
      </c>
    </row>
    <row r="2218" spans="1:3" x14ac:dyDescent="0.35">
      <c r="A2218" s="943" t="s">
        <v>6201</v>
      </c>
      <c r="B2218" t="s">
        <v>350</v>
      </c>
      <c r="C2218" s="944">
        <v>0</v>
      </c>
    </row>
    <row r="2219" spans="1:3" x14ac:dyDescent="0.35">
      <c r="A2219" s="943" t="s">
        <v>6202</v>
      </c>
      <c r="B2219" t="s">
        <v>350</v>
      </c>
      <c r="C2219" s="944">
        <v>0</v>
      </c>
    </row>
    <row r="2220" spans="1:3" x14ac:dyDescent="0.35">
      <c r="A2220" s="943" t="s">
        <v>6203</v>
      </c>
      <c r="B2220" t="s">
        <v>4294</v>
      </c>
      <c r="C2220" s="944">
        <v>0</v>
      </c>
    </row>
    <row r="2221" spans="1:3" x14ac:dyDescent="0.35">
      <c r="A2221" s="943" t="s">
        <v>6204</v>
      </c>
      <c r="B2221" t="s">
        <v>4072</v>
      </c>
      <c r="C2221" s="944">
        <v>0</v>
      </c>
    </row>
    <row r="2222" spans="1:3" x14ac:dyDescent="0.35">
      <c r="B2222" t="s">
        <v>4295</v>
      </c>
      <c r="C2222" s="944">
        <v>0</v>
      </c>
    </row>
    <row r="2223" spans="1:3" x14ac:dyDescent="0.35">
      <c r="A2223" s="943" t="s">
        <v>7905</v>
      </c>
      <c r="B2223" t="s">
        <v>4296</v>
      </c>
      <c r="C2223" s="944"/>
    </row>
    <row r="2224" spans="1:3" x14ac:dyDescent="0.35">
      <c r="A2224" s="943" t="s">
        <v>6205</v>
      </c>
      <c r="B2224" t="s">
        <v>3599</v>
      </c>
      <c r="C2224" s="944">
        <v>0</v>
      </c>
    </row>
    <row r="2225" spans="1:3" x14ac:dyDescent="0.35">
      <c r="A2225" s="943" t="s">
        <v>6206</v>
      </c>
      <c r="B2225" t="s">
        <v>3605</v>
      </c>
      <c r="C2225" s="944">
        <v>0</v>
      </c>
    </row>
    <row r="2226" spans="1:3" x14ac:dyDescent="0.35">
      <c r="A2226" s="943" t="s">
        <v>6207</v>
      </c>
      <c r="B2226" t="s">
        <v>3607</v>
      </c>
      <c r="C2226" s="944">
        <v>0</v>
      </c>
    </row>
    <row r="2227" spans="1:3" x14ac:dyDescent="0.35">
      <c r="A2227" s="943" t="s">
        <v>6208</v>
      </c>
      <c r="B2227" t="s">
        <v>4126</v>
      </c>
      <c r="C2227" s="944">
        <v>0</v>
      </c>
    </row>
    <row r="2228" spans="1:3" x14ac:dyDescent="0.35">
      <c r="A2228" s="943" t="s">
        <v>6209</v>
      </c>
      <c r="B2228" t="s">
        <v>4127</v>
      </c>
      <c r="C2228" s="944">
        <v>0</v>
      </c>
    </row>
    <row r="2229" spans="1:3" x14ac:dyDescent="0.35">
      <c r="A2229" s="943" t="s">
        <v>6210</v>
      </c>
      <c r="B2229" t="s">
        <v>3609</v>
      </c>
      <c r="C2229" s="944">
        <v>0</v>
      </c>
    </row>
    <row r="2230" spans="1:3" x14ac:dyDescent="0.35">
      <c r="A2230" s="943" t="s">
        <v>6211</v>
      </c>
      <c r="B2230" t="s">
        <v>3611</v>
      </c>
      <c r="C2230" s="944">
        <v>0</v>
      </c>
    </row>
    <row r="2231" spans="1:3" x14ac:dyDescent="0.35">
      <c r="A2231" s="943" t="s">
        <v>6212</v>
      </c>
      <c r="B2231" t="s">
        <v>3613</v>
      </c>
      <c r="C2231" s="944">
        <v>0</v>
      </c>
    </row>
    <row r="2232" spans="1:3" x14ac:dyDescent="0.35">
      <c r="A2232" s="943" t="s">
        <v>6213</v>
      </c>
      <c r="B2232" t="s">
        <v>3615</v>
      </c>
      <c r="C2232" s="944">
        <v>0</v>
      </c>
    </row>
    <row r="2233" spans="1:3" x14ac:dyDescent="0.35">
      <c r="A2233" s="943" t="s">
        <v>6214</v>
      </c>
      <c r="B2233" t="s">
        <v>3617</v>
      </c>
      <c r="C2233" s="944">
        <v>0</v>
      </c>
    </row>
    <row r="2234" spans="1:3" x14ac:dyDescent="0.35">
      <c r="A2234" s="943" t="s">
        <v>6215</v>
      </c>
      <c r="B2234" t="s">
        <v>3619</v>
      </c>
      <c r="C2234" s="944">
        <v>0</v>
      </c>
    </row>
    <row r="2235" spans="1:3" x14ac:dyDescent="0.35">
      <c r="A2235" s="943" t="s">
        <v>6216</v>
      </c>
      <c r="B2235" t="s">
        <v>3621</v>
      </c>
      <c r="C2235" s="944">
        <v>0</v>
      </c>
    </row>
    <row r="2236" spans="1:3" x14ac:dyDescent="0.35">
      <c r="A2236" s="943" t="s">
        <v>6217</v>
      </c>
      <c r="B2236" t="s">
        <v>3623</v>
      </c>
      <c r="C2236" s="944">
        <v>0</v>
      </c>
    </row>
    <row r="2237" spans="1:3" x14ac:dyDescent="0.35">
      <c r="A2237" s="943" t="s">
        <v>6218</v>
      </c>
      <c r="B2237" t="s">
        <v>3625</v>
      </c>
      <c r="C2237" s="944">
        <v>0</v>
      </c>
    </row>
    <row r="2238" spans="1:3" x14ac:dyDescent="0.35">
      <c r="A2238" s="943" t="s">
        <v>6219</v>
      </c>
      <c r="B2238" t="s">
        <v>3627</v>
      </c>
      <c r="C2238" s="944">
        <v>0</v>
      </c>
    </row>
    <row r="2239" spans="1:3" x14ac:dyDescent="0.35">
      <c r="A2239" s="943" t="s">
        <v>6220</v>
      </c>
      <c r="B2239" t="s">
        <v>3629</v>
      </c>
      <c r="C2239" s="944">
        <v>0</v>
      </c>
    </row>
    <row r="2240" spans="1:3" x14ac:dyDescent="0.35">
      <c r="A2240" s="943" t="s">
        <v>6221</v>
      </c>
      <c r="B2240" t="s">
        <v>3631</v>
      </c>
      <c r="C2240" s="944">
        <v>0</v>
      </c>
    </row>
    <row r="2241" spans="1:3" x14ac:dyDescent="0.35">
      <c r="A2241" s="943" t="s">
        <v>6222</v>
      </c>
      <c r="B2241" t="s">
        <v>3633</v>
      </c>
      <c r="C2241" s="944">
        <v>0</v>
      </c>
    </row>
    <row r="2242" spans="1:3" x14ac:dyDescent="0.35">
      <c r="A2242" s="943" t="s">
        <v>6223</v>
      </c>
      <c r="B2242" t="s">
        <v>3635</v>
      </c>
      <c r="C2242" s="944">
        <v>0</v>
      </c>
    </row>
    <row r="2243" spans="1:3" x14ac:dyDescent="0.35">
      <c r="A2243" s="943" t="s">
        <v>6224</v>
      </c>
      <c r="B2243" t="s">
        <v>3637</v>
      </c>
      <c r="C2243" s="944">
        <v>0</v>
      </c>
    </row>
    <row r="2244" spans="1:3" x14ac:dyDescent="0.35">
      <c r="A2244" s="943" t="s">
        <v>6225</v>
      </c>
      <c r="B2244" t="s">
        <v>334</v>
      </c>
      <c r="C2244" s="944">
        <v>0</v>
      </c>
    </row>
    <row r="2245" spans="1:3" x14ac:dyDescent="0.35">
      <c r="A2245" s="943" t="s">
        <v>6226</v>
      </c>
      <c r="B2245" t="s">
        <v>3640</v>
      </c>
      <c r="C2245" s="944">
        <v>0</v>
      </c>
    </row>
    <row r="2246" spans="1:3" x14ac:dyDescent="0.35">
      <c r="A2246" s="943" t="s">
        <v>6227</v>
      </c>
      <c r="B2246" t="s">
        <v>3642</v>
      </c>
      <c r="C2246" s="944">
        <v>0</v>
      </c>
    </row>
    <row r="2247" spans="1:3" x14ac:dyDescent="0.35">
      <c r="A2247" s="943" t="s">
        <v>6228</v>
      </c>
      <c r="B2247" t="s">
        <v>3644</v>
      </c>
      <c r="C2247" s="944">
        <v>0</v>
      </c>
    </row>
    <row r="2248" spans="1:3" x14ac:dyDescent="0.35">
      <c r="A2248" s="943" t="s">
        <v>6229</v>
      </c>
      <c r="B2248" t="s">
        <v>3646</v>
      </c>
      <c r="C2248" s="944">
        <v>0</v>
      </c>
    </row>
    <row r="2249" spans="1:3" x14ac:dyDescent="0.35">
      <c r="A2249" s="943" t="s">
        <v>6230</v>
      </c>
      <c r="B2249" t="s">
        <v>3648</v>
      </c>
      <c r="C2249" s="944">
        <v>0</v>
      </c>
    </row>
    <row r="2250" spans="1:3" x14ac:dyDescent="0.35">
      <c r="A2250" s="943" t="s">
        <v>6231</v>
      </c>
      <c r="B2250" t="s">
        <v>3650</v>
      </c>
      <c r="C2250" s="944">
        <v>0</v>
      </c>
    </row>
    <row r="2251" spans="1:3" x14ac:dyDescent="0.35">
      <c r="A2251" s="943" t="s">
        <v>6232</v>
      </c>
      <c r="B2251" t="s">
        <v>3652</v>
      </c>
      <c r="C2251" s="944">
        <v>0</v>
      </c>
    </row>
    <row r="2252" spans="1:3" x14ac:dyDescent="0.35">
      <c r="A2252" s="943" t="s">
        <v>6233</v>
      </c>
      <c r="B2252" t="s">
        <v>3654</v>
      </c>
      <c r="C2252" s="944">
        <v>0</v>
      </c>
    </row>
    <row r="2253" spans="1:3" x14ac:dyDescent="0.35">
      <c r="A2253" s="943" t="s">
        <v>6234</v>
      </c>
      <c r="B2253" t="s">
        <v>3656</v>
      </c>
      <c r="C2253" s="944">
        <v>0</v>
      </c>
    </row>
    <row r="2254" spans="1:3" x14ac:dyDescent="0.35">
      <c r="A2254" s="943" t="s">
        <v>6235</v>
      </c>
      <c r="B2254" t="s">
        <v>3658</v>
      </c>
      <c r="C2254" s="944">
        <v>0</v>
      </c>
    </row>
    <row r="2255" spans="1:3" x14ac:dyDescent="0.35">
      <c r="A2255" s="943" t="s">
        <v>6236</v>
      </c>
      <c r="B2255" t="s">
        <v>3660</v>
      </c>
      <c r="C2255" s="944">
        <v>0</v>
      </c>
    </row>
    <row r="2256" spans="1:3" x14ac:dyDescent="0.35">
      <c r="A2256" s="943" t="s">
        <v>6237</v>
      </c>
      <c r="B2256" t="s">
        <v>3662</v>
      </c>
      <c r="C2256" s="944">
        <v>0</v>
      </c>
    </row>
    <row r="2257" spans="1:3" x14ac:dyDescent="0.35">
      <c r="A2257" s="943" t="s">
        <v>6238</v>
      </c>
      <c r="B2257" t="s">
        <v>3664</v>
      </c>
      <c r="C2257" s="944">
        <v>0</v>
      </c>
    </row>
    <row r="2258" spans="1:3" x14ac:dyDescent="0.35">
      <c r="A2258" s="943" t="s">
        <v>6239</v>
      </c>
      <c r="B2258" t="s">
        <v>3666</v>
      </c>
      <c r="C2258" s="944">
        <v>0</v>
      </c>
    </row>
    <row r="2259" spans="1:3" x14ac:dyDescent="0.35">
      <c r="A2259" s="943" t="s">
        <v>6240</v>
      </c>
      <c r="B2259" t="s">
        <v>3668</v>
      </c>
      <c r="C2259" s="944">
        <v>0</v>
      </c>
    </row>
    <row r="2260" spans="1:3" x14ac:dyDescent="0.35">
      <c r="A2260" s="943" t="s">
        <v>6241</v>
      </c>
      <c r="B2260" t="s">
        <v>350</v>
      </c>
      <c r="C2260" s="944">
        <v>0</v>
      </c>
    </row>
    <row r="2261" spans="1:3" x14ac:dyDescent="0.35">
      <c r="A2261" s="943" t="s">
        <v>6242</v>
      </c>
      <c r="B2261" t="s">
        <v>3671</v>
      </c>
      <c r="C2261" s="944">
        <v>0</v>
      </c>
    </row>
    <row r="2262" spans="1:3" x14ac:dyDescent="0.35">
      <c r="A2262" s="943" t="s">
        <v>6243</v>
      </c>
      <c r="B2262" t="s">
        <v>3930</v>
      </c>
      <c r="C2262" s="944">
        <v>0</v>
      </c>
    </row>
    <row r="2263" spans="1:3" x14ac:dyDescent="0.35">
      <c r="A2263" s="943" t="s">
        <v>6244</v>
      </c>
      <c r="B2263" t="s">
        <v>3675</v>
      </c>
      <c r="C2263" s="944">
        <v>0</v>
      </c>
    </row>
    <row r="2264" spans="1:3" x14ac:dyDescent="0.35">
      <c r="A2264" s="943" t="s">
        <v>6245</v>
      </c>
      <c r="B2264" t="s">
        <v>3677</v>
      </c>
      <c r="C2264" s="944">
        <v>0</v>
      </c>
    </row>
    <row r="2265" spans="1:3" x14ac:dyDescent="0.35">
      <c r="A2265" s="943" t="s">
        <v>6246</v>
      </c>
      <c r="B2265" t="s">
        <v>3679</v>
      </c>
      <c r="C2265" s="944">
        <v>0</v>
      </c>
    </row>
    <row r="2266" spans="1:3" x14ac:dyDescent="0.35">
      <c r="A2266" s="943" t="s">
        <v>6247</v>
      </c>
      <c r="B2266" t="s">
        <v>3681</v>
      </c>
      <c r="C2266" s="944">
        <v>0</v>
      </c>
    </row>
    <row r="2267" spans="1:3" x14ac:dyDescent="0.35">
      <c r="A2267" s="943" t="s">
        <v>6248</v>
      </c>
      <c r="B2267" t="s">
        <v>3683</v>
      </c>
      <c r="C2267" s="944">
        <v>0</v>
      </c>
    </row>
    <row r="2268" spans="1:3" x14ac:dyDescent="0.35">
      <c r="A2268" s="943" t="s">
        <v>6249</v>
      </c>
      <c r="B2268" t="s">
        <v>3685</v>
      </c>
      <c r="C2268" s="944">
        <v>0</v>
      </c>
    </row>
    <row r="2269" spans="1:3" x14ac:dyDescent="0.35">
      <c r="A2269" s="943" t="s">
        <v>6250</v>
      </c>
      <c r="B2269" t="s">
        <v>3687</v>
      </c>
      <c r="C2269" s="944">
        <v>0</v>
      </c>
    </row>
    <row r="2270" spans="1:3" x14ac:dyDescent="0.35">
      <c r="A2270" s="943" t="s">
        <v>6251</v>
      </c>
      <c r="B2270" t="s">
        <v>3689</v>
      </c>
      <c r="C2270" s="944">
        <v>0</v>
      </c>
    </row>
    <row r="2271" spans="1:3" x14ac:dyDescent="0.35">
      <c r="A2271" s="943" t="s">
        <v>6252</v>
      </c>
      <c r="B2271" t="s">
        <v>4297</v>
      </c>
      <c r="C2271" s="944">
        <v>0</v>
      </c>
    </row>
    <row r="2272" spans="1:3" x14ac:dyDescent="0.35">
      <c r="A2272" s="943" t="s">
        <v>6253</v>
      </c>
      <c r="B2272" t="s">
        <v>4298</v>
      </c>
      <c r="C2272" s="944">
        <v>0</v>
      </c>
    </row>
    <row r="2273" spans="1:3" x14ac:dyDescent="0.35">
      <c r="A2273" s="943" t="s">
        <v>6254</v>
      </c>
      <c r="B2273" t="s">
        <v>4299</v>
      </c>
      <c r="C2273" s="944">
        <v>0</v>
      </c>
    </row>
    <row r="2274" spans="1:3" x14ac:dyDescent="0.35">
      <c r="A2274" s="943" t="s">
        <v>6255</v>
      </c>
      <c r="B2274" t="s">
        <v>4300</v>
      </c>
      <c r="C2274" s="944">
        <v>0</v>
      </c>
    </row>
    <row r="2275" spans="1:3" x14ac:dyDescent="0.35">
      <c r="A2275" s="943" t="s">
        <v>6256</v>
      </c>
      <c r="B2275" t="s">
        <v>350</v>
      </c>
      <c r="C2275" s="944">
        <v>0</v>
      </c>
    </row>
    <row r="2276" spans="1:3" x14ac:dyDescent="0.35">
      <c r="A2276" s="943" t="s">
        <v>6257</v>
      </c>
      <c r="B2276" t="s">
        <v>4294</v>
      </c>
      <c r="C2276" s="944">
        <v>0</v>
      </c>
    </row>
    <row r="2277" spans="1:3" x14ac:dyDescent="0.35">
      <c r="A2277" s="943" t="s">
        <v>6258</v>
      </c>
      <c r="B2277" t="s">
        <v>4072</v>
      </c>
      <c r="C2277" s="944">
        <v>0</v>
      </c>
    </row>
    <row r="2278" spans="1:3" x14ac:dyDescent="0.35">
      <c r="B2278" t="s">
        <v>4301</v>
      </c>
      <c r="C2278" s="944">
        <v>0</v>
      </c>
    </row>
    <row r="2279" spans="1:3" x14ac:dyDescent="0.35">
      <c r="A2279" s="943" t="s">
        <v>7906</v>
      </c>
      <c r="B2279" t="s">
        <v>4302</v>
      </c>
      <c r="C2279" s="944"/>
    </row>
    <row r="2280" spans="1:3" x14ac:dyDescent="0.35">
      <c r="A2280" s="943" t="s">
        <v>6259</v>
      </c>
      <c r="B2280" t="s">
        <v>558</v>
      </c>
      <c r="C2280" s="944">
        <v>0</v>
      </c>
    </row>
    <row r="2281" spans="1:3" x14ac:dyDescent="0.35">
      <c r="A2281" s="943" t="s">
        <v>6260</v>
      </c>
      <c r="B2281" t="s">
        <v>3124</v>
      </c>
      <c r="C2281" s="944">
        <v>17403272.170000002</v>
      </c>
    </row>
    <row r="2282" spans="1:3" x14ac:dyDescent="0.35">
      <c r="A2282" s="943" t="s">
        <v>6261</v>
      </c>
      <c r="B2282" t="s">
        <v>3125</v>
      </c>
      <c r="C2282" s="944">
        <v>13408750</v>
      </c>
    </row>
    <row r="2283" spans="1:3" x14ac:dyDescent="0.35">
      <c r="A2283" s="943" t="s">
        <v>6262</v>
      </c>
      <c r="B2283" t="s">
        <v>3126</v>
      </c>
      <c r="C2283" s="944">
        <v>4352608.33</v>
      </c>
    </row>
    <row r="2284" spans="1:3" x14ac:dyDescent="0.35">
      <c r="A2284" s="943" t="s">
        <v>6263</v>
      </c>
      <c r="B2284" t="s">
        <v>3127</v>
      </c>
      <c r="C2284" s="944">
        <v>13792294.74</v>
      </c>
    </row>
    <row r="2285" spans="1:3" x14ac:dyDescent="0.35">
      <c r="A2285" s="943" t="s">
        <v>6264</v>
      </c>
      <c r="B2285" t="s">
        <v>3128</v>
      </c>
      <c r="C2285" s="944">
        <v>0</v>
      </c>
    </row>
    <row r="2286" spans="1:3" x14ac:dyDescent="0.35">
      <c r="A2286" s="943" t="s">
        <v>6265</v>
      </c>
      <c r="B2286" t="s">
        <v>3129</v>
      </c>
      <c r="C2286" s="944">
        <v>0</v>
      </c>
    </row>
    <row r="2287" spans="1:3" x14ac:dyDescent="0.35">
      <c r="A2287" s="943" t="s">
        <v>6266</v>
      </c>
      <c r="B2287" t="s">
        <v>3130</v>
      </c>
      <c r="C2287" s="944">
        <v>2336259.38</v>
      </c>
    </row>
    <row r="2288" spans="1:3" x14ac:dyDescent="0.35">
      <c r="A2288" s="943" t="s">
        <v>6267</v>
      </c>
      <c r="B2288" t="s">
        <v>3131</v>
      </c>
      <c r="C2288" s="944">
        <v>50000</v>
      </c>
    </row>
    <row r="2289" spans="1:3" x14ac:dyDescent="0.35">
      <c r="A2289" s="943" t="s">
        <v>6268</v>
      </c>
      <c r="B2289" t="s">
        <v>561</v>
      </c>
      <c r="C2289" s="944">
        <v>0</v>
      </c>
    </row>
    <row r="2290" spans="1:3" x14ac:dyDescent="0.35">
      <c r="A2290" s="943" t="s">
        <v>6269</v>
      </c>
      <c r="B2290" t="s">
        <v>3132</v>
      </c>
      <c r="C2290" s="944">
        <v>584658.32999999996</v>
      </c>
    </row>
    <row r="2291" spans="1:3" x14ac:dyDescent="0.35">
      <c r="A2291" s="943" t="s">
        <v>6270</v>
      </c>
      <c r="B2291" t="s">
        <v>3133</v>
      </c>
      <c r="C2291" s="944">
        <v>0</v>
      </c>
    </row>
    <row r="2292" spans="1:3" x14ac:dyDescent="0.35">
      <c r="A2292" s="943" t="s">
        <v>6271</v>
      </c>
      <c r="B2292" t="s">
        <v>3134</v>
      </c>
      <c r="C2292" s="944">
        <v>58333.33</v>
      </c>
    </row>
    <row r="2293" spans="1:3" x14ac:dyDescent="0.35">
      <c r="A2293" s="943" t="s">
        <v>6272</v>
      </c>
      <c r="B2293" t="s">
        <v>3135</v>
      </c>
      <c r="C2293" s="944">
        <v>0</v>
      </c>
    </row>
    <row r="2294" spans="1:3" x14ac:dyDescent="0.35">
      <c r="A2294" s="943" t="s">
        <v>6273</v>
      </c>
      <c r="B2294" t="s">
        <v>3136</v>
      </c>
      <c r="C2294" s="944">
        <v>3299047.92</v>
      </c>
    </row>
    <row r="2295" spans="1:3" x14ac:dyDescent="0.35">
      <c r="A2295" s="943" t="s">
        <v>6274</v>
      </c>
      <c r="B2295" t="s">
        <v>3137</v>
      </c>
      <c r="C2295" s="944">
        <v>0</v>
      </c>
    </row>
    <row r="2296" spans="1:3" x14ac:dyDescent="0.35">
      <c r="A2296" s="943" t="s">
        <v>6275</v>
      </c>
      <c r="B2296" t="s">
        <v>3138</v>
      </c>
      <c r="C2296" s="944">
        <v>1544154.51</v>
      </c>
    </row>
    <row r="2297" spans="1:3" x14ac:dyDescent="0.35">
      <c r="A2297" s="943" t="s">
        <v>6276</v>
      </c>
      <c r="B2297" t="s">
        <v>3139</v>
      </c>
      <c r="C2297" s="944">
        <v>761404.33</v>
      </c>
    </row>
    <row r="2298" spans="1:3" x14ac:dyDescent="0.35">
      <c r="A2298" s="943" t="s">
        <v>6277</v>
      </c>
      <c r="B2298" t="s">
        <v>3140</v>
      </c>
      <c r="C2298" s="944">
        <v>0</v>
      </c>
    </row>
    <row r="2299" spans="1:3" x14ac:dyDescent="0.35">
      <c r="A2299" s="943" t="s">
        <v>6278</v>
      </c>
      <c r="B2299" t="s">
        <v>1096</v>
      </c>
      <c r="C2299" s="944">
        <v>0</v>
      </c>
    </row>
    <row r="2300" spans="1:3" x14ac:dyDescent="0.35">
      <c r="A2300" s="943" t="s">
        <v>6279</v>
      </c>
      <c r="B2300" t="s">
        <v>3141</v>
      </c>
      <c r="C2300" s="944">
        <v>8877958.2300000004</v>
      </c>
    </row>
    <row r="2301" spans="1:3" x14ac:dyDescent="0.35">
      <c r="A2301" s="943" t="s">
        <v>6280</v>
      </c>
      <c r="B2301" t="s">
        <v>3142</v>
      </c>
      <c r="C2301" s="944">
        <v>410890.8</v>
      </c>
    </row>
    <row r="2302" spans="1:3" x14ac:dyDescent="0.35">
      <c r="A2302" s="943" t="s">
        <v>6281</v>
      </c>
      <c r="B2302" t="s">
        <v>3143</v>
      </c>
      <c r="C2302" s="944">
        <v>169513.17</v>
      </c>
    </row>
    <row r="2303" spans="1:3" x14ac:dyDescent="0.35">
      <c r="A2303" s="943" t="s">
        <v>6282</v>
      </c>
      <c r="B2303" t="s">
        <v>3144</v>
      </c>
      <c r="C2303" s="944">
        <v>2808334.88</v>
      </c>
    </row>
    <row r="2304" spans="1:3" x14ac:dyDescent="0.35">
      <c r="A2304" s="943" t="s">
        <v>6283</v>
      </c>
      <c r="B2304" t="s">
        <v>3145</v>
      </c>
      <c r="C2304" s="944">
        <v>0</v>
      </c>
    </row>
    <row r="2305" spans="1:3" x14ac:dyDescent="0.35">
      <c r="A2305" s="943" t="s">
        <v>6284</v>
      </c>
      <c r="B2305" t="s">
        <v>3146</v>
      </c>
      <c r="C2305" s="944">
        <v>715958.33</v>
      </c>
    </row>
    <row r="2306" spans="1:3" x14ac:dyDescent="0.35">
      <c r="A2306" s="943" t="s">
        <v>6285</v>
      </c>
      <c r="B2306" t="s">
        <v>3147</v>
      </c>
      <c r="C2306" s="944">
        <v>0</v>
      </c>
    </row>
    <row r="2307" spans="1:3" x14ac:dyDescent="0.35">
      <c r="A2307" s="943" t="s">
        <v>6286</v>
      </c>
      <c r="B2307" t="s">
        <v>3148</v>
      </c>
      <c r="C2307" s="944">
        <v>0</v>
      </c>
    </row>
    <row r="2308" spans="1:3" x14ac:dyDescent="0.35">
      <c r="A2308" s="943" t="s">
        <v>6287</v>
      </c>
      <c r="B2308" t="s">
        <v>3111</v>
      </c>
      <c r="C2308" s="944">
        <v>0</v>
      </c>
    </row>
    <row r="2309" spans="1:3" x14ac:dyDescent="0.35">
      <c r="A2309" s="943" t="s">
        <v>6288</v>
      </c>
      <c r="B2309" t="s">
        <v>3149</v>
      </c>
      <c r="C2309" s="944">
        <v>1651771.68</v>
      </c>
    </row>
    <row r="2310" spans="1:3" x14ac:dyDescent="0.35">
      <c r="A2310" s="943" t="s">
        <v>6289</v>
      </c>
      <c r="B2310" t="s">
        <v>3150</v>
      </c>
      <c r="C2310" s="944">
        <v>1435713.83</v>
      </c>
    </row>
    <row r="2311" spans="1:3" x14ac:dyDescent="0.35">
      <c r="A2311" s="943" t="s">
        <v>6290</v>
      </c>
      <c r="B2311" t="s">
        <v>3151</v>
      </c>
      <c r="C2311" s="944">
        <v>9831774</v>
      </c>
    </row>
    <row r="2312" spans="1:3" x14ac:dyDescent="0.35">
      <c r="A2312" s="943" t="s">
        <v>6291</v>
      </c>
      <c r="B2312" t="s">
        <v>3152</v>
      </c>
      <c r="C2312" s="944">
        <v>3629855.83</v>
      </c>
    </row>
    <row r="2313" spans="1:3" x14ac:dyDescent="0.35">
      <c r="A2313" s="943" t="s">
        <v>6292</v>
      </c>
      <c r="B2313" t="s">
        <v>3153</v>
      </c>
      <c r="C2313" s="944">
        <v>475410.3</v>
      </c>
    </row>
    <row r="2314" spans="1:3" x14ac:dyDescent="0.35">
      <c r="A2314" s="943" t="s">
        <v>6293</v>
      </c>
      <c r="B2314" t="s">
        <v>3154</v>
      </c>
      <c r="C2314" s="944">
        <v>634329.73</v>
      </c>
    </row>
    <row r="2315" spans="1:3" x14ac:dyDescent="0.35">
      <c r="A2315" s="943" t="s">
        <v>6294</v>
      </c>
      <c r="B2315" t="s">
        <v>3155</v>
      </c>
      <c r="C2315" s="944">
        <v>285276.17</v>
      </c>
    </row>
    <row r="2316" spans="1:3" x14ac:dyDescent="0.35">
      <c r="A2316" s="943" t="s">
        <v>6295</v>
      </c>
      <c r="B2316" t="s">
        <v>3156</v>
      </c>
      <c r="C2316" s="944">
        <v>972954.67</v>
      </c>
    </row>
    <row r="2317" spans="1:3" x14ac:dyDescent="0.35">
      <c r="A2317" s="943" t="s">
        <v>6296</v>
      </c>
      <c r="B2317" t="s">
        <v>3157</v>
      </c>
      <c r="C2317" s="944">
        <v>0</v>
      </c>
    </row>
    <row r="2318" spans="1:3" x14ac:dyDescent="0.35">
      <c r="A2318" s="943" t="s">
        <v>6297</v>
      </c>
      <c r="B2318" t="s">
        <v>1102</v>
      </c>
      <c r="C2318" s="944">
        <v>0</v>
      </c>
    </row>
    <row r="2319" spans="1:3" x14ac:dyDescent="0.35">
      <c r="A2319" s="943" t="s">
        <v>6298</v>
      </c>
      <c r="B2319" t="s">
        <v>3158</v>
      </c>
      <c r="C2319" s="944">
        <v>2031250</v>
      </c>
    </row>
    <row r="2320" spans="1:3" x14ac:dyDescent="0.35">
      <c r="A2320" s="943" t="s">
        <v>6299</v>
      </c>
      <c r="B2320" t="s">
        <v>3159</v>
      </c>
      <c r="C2320" s="944">
        <v>298958.33</v>
      </c>
    </row>
    <row r="2321" spans="1:3" x14ac:dyDescent="0.35">
      <c r="A2321" s="943" t="s">
        <v>6300</v>
      </c>
      <c r="B2321" t="s">
        <v>3160</v>
      </c>
      <c r="C2321" s="944">
        <v>0</v>
      </c>
    </row>
    <row r="2322" spans="1:3" x14ac:dyDescent="0.35">
      <c r="A2322" s="943" t="s">
        <v>6301</v>
      </c>
      <c r="B2322" t="s">
        <v>4303</v>
      </c>
      <c r="C2322" s="944">
        <v>0</v>
      </c>
    </row>
    <row r="2323" spans="1:3" x14ac:dyDescent="0.35">
      <c r="A2323" s="943" t="s">
        <v>6302</v>
      </c>
      <c r="B2323" t="s">
        <v>4304</v>
      </c>
      <c r="C2323" s="944">
        <v>0</v>
      </c>
    </row>
    <row r="2324" spans="1:3" x14ac:dyDescent="0.35">
      <c r="A2324" s="943" t="s">
        <v>6303</v>
      </c>
      <c r="B2324" t="s">
        <v>4305</v>
      </c>
      <c r="C2324" s="944">
        <v>0</v>
      </c>
    </row>
    <row r="2325" spans="1:3" x14ac:dyDescent="0.35">
      <c r="A2325" s="943" t="s">
        <v>6304</v>
      </c>
      <c r="B2325" t="s">
        <v>4306</v>
      </c>
      <c r="C2325" s="944">
        <v>0</v>
      </c>
    </row>
    <row r="2326" spans="1:3" x14ac:dyDescent="0.35">
      <c r="A2326" s="943" t="s">
        <v>6305</v>
      </c>
      <c r="B2326" t="s">
        <v>4307</v>
      </c>
      <c r="C2326" s="944">
        <v>0</v>
      </c>
    </row>
    <row r="2327" spans="1:3" x14ac:dyDescent="0.35">
      <c r="A2327" s="943" t="s">
        <v>6306</v>
      </c>
      <c r="B2327" t="s">
        <v>4308</v>
      </c>
      <c r="C2327" s="944">
        <v>0</v>
      </c>
    </row>
    <row r="2328" spans="1:3" x14ac:dyDescent="0.35">
      <c r="B2328" t="s">
        <v>4309</v>
      </c>
      <c r="C2328" s="944">
        <v>91820732.989999995</v>
      </c>
    </row>
    <row r="2329" spans="1:3" x14ac:dyDescent="0.35">
      <c r="B2329" t="s">
        <v>4310</v>
      </c>
      <c r="C2329" s="944">
        <v>162452332.99000001</v>
      </c>
    </row>
    <row r="2330" spans="1:3" x14ac:dyDescent="0.35">
      <c r="A2330" s="943" t="s">
        <v>7907</v>
      </c>
      <c r="B2330" t="s">
        <v>4311</v>
      </c>
      <c r="C2330" s="944"/>
    </row>
    <row r="2331" spans="1:3" x14ac:dyDescent="0.35">
      <c r="A2331" s="943" t="s">
        <v>7908</v>
      </c>
      <c r="B2331" t="s">
        <v>4312</v>
      </c>
      <c r="C2331" s="944"/>
    </row>
    <row r="2332" spans="1:3" x14ac:dyDescent="0.35">
      <c r="A2332" s="943" t="s">
        <v>6307</v>
      </c>
      <c r="B2332" t="s">
        <v>4313</v>
      </c>
      <c r="C2332" s="944">
        <v>0</v>
      </c>
    </row>
    <row r="2333" spans="1:3" x14ac:dyDescent="0.35">
      <c r="A2333" s="943" t="s">
        <v>6308</v>
      </c>
      <c r="B2333" t="s">
        <v>4314</v>
      </c>
      <c r="C2333" s="944">
        <v>0</v>
      </c>
    </row>
    <row r="2334" spans="1:3" x14ac:dyDescent="0.35">
      <c r="A2334" s="943" t="s">
        <v>6309</v>
      </c>
      <c r="B2334" t="s">
        <v>4315</v>
      </c>
      <c r="C2334" s="944">
        <v>0</v>
      </c>
    </row>
    <row r="2335" spans="1:3" x14ac:dyDescent="0.35">
      <c r="A2335" s="943" t="s">
        <v>6310</v>
      </c>
      <c r="B2335" t="s">
        <v>4316</v>
      </c>
      <c r="C2335" s="944">
        <v>0</v>
      </c>
    </row>
    <row r="2336" spans="1:3" x14ac:dyDescent="0.35">
      <c r="A2336" s="943" t="s">
        <v>6311</v>
      </c>
      <c r="B2336" t="s">
        <v>4317</v>
      </c>
      <c r="C2336" s="944">
        <v>0</v>
      </c>
    </row>
    <row r="2337" spans="1:3" x14ac:dyDescent="0.35">
      <c r="A2337" s="943" t="s">
        <v>6312</v>
      </c>
      <c r="B2337" t="s">
        <v>4318</v>
      </c>
      <c r="C2337" s="944">
        <v>0</v>
      </c>
    </row>
    <row r="2338" spans="1:3" x14ac:dyDescent="0.35">
      <c r="A2338" s="943" t="s">
        <v>6313</v>
      </c>
      <c r="B2338" t="s">
        <v>4319</v>
      </c>
      <c r="C2338" s="944">
        <v>0</v>
      </c>
    </row>
    <row r="2339" spans="1:3" x14ac:dyDescent="0.35">
      <c r="A2339" s="943" t="s">
        <v>6314</v>
      </c>
      <c r="B2339" t="s">
        <v>4320</v>
      </c>
      <c r="C2339" s="944">
        <v>0</v>
      </c>
    </row>
    <row r="2340" spans="1:3" x14ac:dyDescent="0.35">
      <c r="B2340" t="s">
        <v>4321</v>
      </c>
      <c r="C2340" s="944">
        <v>0</v>
      </c>
    </row>
    <row r="2341" spans="1:3" x14ac:dyDescent="0.35">
      <c r="A2341" s="943" t="s">
        <v>7909</v>
      </c>
      <c r="B2341" t="s">
        <v>4322</v>
      </c>
      <c r="C2341" s="944"/>
    </row>
    <row r="2342" spans="1:3" x14ac:dyDescent="0.35">
      <c r="A2342" s="943" t="s">
        <v>6315</v>
      </c>
      <c r="B2342" t="s">
        <v>4323</v>
      </c>
      <c r="C2342" s="944">
        <v>0</v>
      </c>
    </row>
    <row r="2343" spans="1:3" x14ac:dyDescent="0.35">
      <c r="A2343" s="943" t="s">
        <v>6316</v>
      </c>
      <c r="B2343" t="s">
        <v>4324</v>
      </c>
      <c r="C2343" s="944">
        <v>0</v>
      </c>
    </row>
    <row r="2344" spans="1:3" x14ac:dyDescent="0.35">
      <c r="B2344" t="s">
        <v>4325</v>
      </c>
      <c r="C2344" s="944">
        <v>0</v>
      </c>
    </row>
    <row r="2345" spans="1:3" x14ac:dyDescent="0.35">
      <c r="B2345" t="s">
        <v>4326</v>
      </c>
      <c r="C2345" s="944">
        <v>0</v>
      </c>
    </row>
    <row r="2346" spans="1:3" x14ac:dyDescent="0.35">
      <c r="A2346" s="943" t="s">
        <v>7910</v>
      </c>
      <c r="B2346" t="s">
        <v>3504</v>
      </c>
      <c r="C2346" s="944"/>
    </row>
    <row r="2347" spans="1:3" x14ac:dyDescent="0.35">
      <c r="A2347" s="943" t="s">
        <v>7911</v>
      </c>
      <c r="B2347" t="s">
        <v>4327</v>
      </c>
      <c r="C2347" s="944"/>
    </row>
    <row r="2348" spans="1:3" x14ac:dyDescent="0.35">
      <c r="A2348" s="943" t="s">
        <v>6317</v>
      </c>
      <c r="B2348" t="s">
        <v>4328</v>
      </c>
      <c r="C2348" s="944">
        <v>61850</v>
      </c>
    </row>
    <row r="2349" spans="1:3" x14ac:dyDescent="0.35">
      <c r="A2349" s="943" t="s">
        <v>6318</v>
      </c>
      <c r="B2349" t="s">
        <v>4329</v>
      </c>
      <c r="C2349" s="944">
        <v>0</v>
      </c>
    </row>
    <row r="2350" spans="1:3" x14ac:dyDescent="0.35">
      <c r="A2350" s="943" t="s">
        <v>6319</v>
      </c>
      <c r="B2350" t="s">
        <v>4330</v>
      </c>
      <c r="C2350" s="944">
        <v>0</v>
      </c>
    </row>
    <row r="2351" spans="1:3" x14ac:dyDescent="0.35">
      <c r="B2351" t="s">
        <v>4331</v>
      </c>
      <c r="C2351" s="944">
        <v>61850</v>
      </c>
    </row>
    <row r="2352" spans="1:3" x14ac:dyDescent="0.35">
      <c r="A2352" s="943" t="s">
        <v>7912</v>
      </c>
      <c r="B2352" t="s">
        <v>4332</v>
      </c>
      <c r="C2352" s="944"/>
    </row>
    <row r="2353" spans="1:3" x14ac:dyDescent="0.35">
      <c r="A2353" s="943" t="s">
        <v>6320</v>
      </c>
      <c r="B2353" t="s">
        <v>4333</v>
      </c>
      <c r="C2353" s="944">
        <v>0</v>
      </c>
    </row>
    <row r="2354" spans="1:3" x14ac:dyDescent="0.35">
      <c r="A2354" s="943" t="s">
        <v>6321</v>
      </c>
      <c r="B2354" t="s">
        <v>4334</v>
      </c>
      <c r="C2354" s="944">
        <v>0</v>
      </c>
    </row>
    <row r="2355" spans="1:3" x14ac:dyDescent="0.35">
      <c r="B2355" t="s">
        <v>4335</v>
      </c>
      <c r="C2355" s="944">
        <v>0</v>
      </c>
    </row>
    <row r="2356" spans="1:3" x14ac:dyDescent="0.35">
      <c r="A2356" s="943" t="s">
        <v>7913</v>
      </c>
      <c r="B2356" t="s">
        <v>4336</v>
      </c>
      <c r="C2356" s="944"/>
    </row>
    <row r="2357" spans="1:3" x14ac:dyDescent="0.35">
      <c r="A2357" s="943" t="s">
        <v>6322</v>
      </c>
      <c r="B2357" t="s">
        <v>4337</v>
      </c>
      <c r="C2357" s="944">
        <v>0</v>
      </c>
    </row>
    <row r="2358" spans="1:3" x14ac:dyDescent="0.35">
      <c r="A2358" s="943" t="s">
        <v>6323</v>
      </c>
      <c r="B2358" t="s">
        <v>4338</v>
      </c>
      <c r="C2358" s="944">
        <v>0</v>
      </c>
    </row>
    <row r="2359" spans="1:3" x14ac:dyDescent="0.35">
      <c r="A2359" s="943" t="s">
        <v>6324</v>
      </c>
      <c r="B2359" t="s">
        <v>4339</v>
      </c>
      <c r="C2359" s="944">
        <v>0</v>
      </c>
    </row>
    <row r="2360" spans="1:3" x14ac:dyDescent="0.35">
      <c r="B2360" t="s">
        <v>4340</v>
      </c>
      <c r="C2360" s="944">
        <v>0</v>
      </c>
    </row>
    <row r="2361" spans="1:3" x14ac:dyDescent="0.35">
      <c r="B2361" t="s">
        <v>3531</v>
      </c>
      <c r="C2361" s="944">
        <v>61850</v>
      </c>
    </row>
    <row r="2362" spans="1:3" x14ac:dyDescent="0.35">
      <c r="A2362" s="943" t="s">
        <v>7914</v>
      </c>
      <c r="B2362" t="s">
        <v>4341</v>
      </c>
      <c r="C2362" s="944"/>
    </row>
    <row r="2363" spans="1:3" x14ac:dyDescent="0.35">
      <c r="A2363" s="943" t="s">
        <v>7915</v>
      </c>
      <c r="B2363" t="s">
        <v>4342</v>
      </c>
      <c r="C2363" s="944"/>
    </row>
    <row r="2364" spans="1:3" x14ac:dyDescent="0.35">
      <c r="A2364" s="943" t="s">
        <v>6325</v>
      </c>
      <c r="B2364" t="s">
        <v>3599</v>
      </c>
      <c r="C2364" s="944">
        <v>0</v>
      </c>
    </row>
    <row r="2365" spans="1:3" x14ac:dyDescent="0.35">
      <c r="A2365" s="943" t="s">
        <v>6326</v>
      </c>
      <c r="B2365" t="s">
        <v>3605</v>
      </c>
      <c r="C2365" s="944">
        <v>0</v>
      </c>
    </row>
    <row r="2366" spans="1:3" x14ac:dyDescent="0.35">
      <c r="A2366" s="943" t="s">
        <v>6327</v>
      </c>
      <c r="B2366" t="s">
        <v>3607</v>
      </c>
      <c r="C2366" s="944">
        <v>0</v>
      </c>
    </row>
    <row r="2367" spans="1:3" x14ac:dyDescent="0.35">
      <c r="A2367" s="943" t="s">
        <v>6328</v>
      </c>
      <c r="B2367" t="s">
        <v>4126</v>
      </c>
      <c r="C2367" s="944">
        <v>0</v>
      </c>
    </row>
    <row r="2368" spans="1:3" x14ac:dyDescent="0.35">
      <c r="A2368" s="943" t="s">
        <v>6329</v>
      </c>
      <c r="B2368" t="s">
        <v>4127</v>
      </c>
      <c r="C2368" s="944">
        <v>0</v>
      </c>
    </row>
    <row r="2369" spans="1:3" x14ac:dyDescent="0.35">
      <c r="A2369" s="943" t="s">
        <v>6330</v>
      </c>
      <c r="B2369" t="s">
        <v>4014</v>
      </c>
      <c r="C2369" s="944">
        <v>0</v>
      </c>
    </row>
    <row r="2370" spans="1:3" x14ac:dyDescent="0.35">
      <c r="A2370" s="943" t="s">
        <v>6331</v>
      </c>
      <c r="B2370" t="s">
        <v>3613</v>
      </c>
      <c r="C2370" s="944">
        <v>0</v>
      </c>
    </row>
    <row r="2371" spans="1:3" x14ac:dyDescent="0.35">
      <c r="A2371" s="943" t="s">
        <v>6332</v>
      </c>
      <c r="B2371" t="s">
        <v>4015</v>
      </c>
      <c r="C2371" s="944">
        <v>0</v>
      </c>
    </row>
    <row r="2372" spans="1:3" x14ac:dyDescent="0.35">
      <c r="A2372" s="943" t="s">
        <v>6333</v>
      </c>
      <c r="B2372" t="s">
        <v>4343</v>
      </c>
      <c r="C2372" s="944">
        <v>0</v>
      </c>
    </row>
    <row r="2373" spans="1:3" x14ac:dyDescent="0.35">
      <c r="A2373" s="943" t="s">
        <v>6334</v>
      </c>
      <c r="B2373" t="s">
        <v>3619</v>
      </c>
      <c r="C2373" s="944">
        <v>0</v>
      </c>
    </row>
    <row r="2374" spans="1:3" x14ac:dyDescent="0.35">
      <c r="A2374" s="943" t="s">
        <v>6335</v>
      </c>
      <c r="B2374" t="s">
        <v>3621</v>
      </c>
      <c r="C2374" s="944">
        <v>0</v>
      </c>
    </row>
    <row r="2375" spans="1:3" x14ac:dyDescent="0.35">
      <c r="A2375" s="943" t="s">
        <v>6336</v>
      </c>
      <c r="B2375" t="s">
        <v>3623</v>
      </c>
      <c r="C2375" s="944">
        <v>0</v>
      </c>
    </row>
    <row r="2376" spans="1:3" x14ac:dyDescent="0.35">
      <c r="A2376" s="943" t="s">
        <v>6337</v>
      </c>
      <c r="B2376" t="s">
        <v>4344</v>
      </c>
      <c r="C2376" s="944">
        <v>0</v>
      </c>
    </row>
    <row r="2377" spans="1:3" x14ac:dyDescent="0.35">
      <c r="A2377" s="943" t="s">
        <v>6338</v>
      </c>
      <c r="B2377" t="s">
        <v>3627</v>
      </c>
      <c r="C2377" s="944">
        <v>0</v>
      </c>
    </row>
    <row r="2378" spans="1:3" x14ac:dyDescent="0.35">
      <c r="A2378" s="943" t="s">
        <v>6339</v>
      </c>
      <c r="B2378" t="s">
        <v>3629</v>
      </c>
      <c r="C2378" s="944">
        <v>0</v>
      </c>
    </row>
    <row r="2379" spans="1:3" x14ac:dyDescent="0.35">
      <c r="A2379" s="943" t="s">
        <v>6340</v>
      </c>
      <c r="B2379" t="s">
        <v>3631</v>
      </c>
      <c r="C2379" s="944">
        <v>0</v>
      </c>
    </row>
    <row r="2380" spans="1:3" x14ac:dyDescent="0.35">
      <c r="A2380" s="943" t="s">
        <v>6341</v>
      </c>
      <c r="B2380" t="s">
        <v>3633</v>
      </c>
      <c r="C2380" s="944">
        <v>0</v>
      </c>
    </row>
    <row r="2381" spans="1:3" x14ac:dyDescent="0.35">
      <c r="A2381" s="943" t="s">
        <v>6342</v>
      </c>
      <c r="B2381" t="s">
        <v>3635</v>
      </c>
      <c r="C2381" s="944">
        <v>0</v>
      </c>
    </row>
    <row r="2382" spans="1:3" x14ac:dyDescent="0.35">
      <c r="A2382" s="943" t="s">
        <v>6343</v>
      </c>
      <c r="B2382" t="s">
        <v>3637</v>
      </c>
      <c r="C2382" s="944">
        <v>0</v>
      </c>
    </row>
    <row r="2383" spans="1:3" x14ac:dyDescent="0.35">
      <c r="A2383" s="943" t="s">
        <v>6344</v>
      </c>
      <c r="B2383" t="s">
        <v>4345</v>
      </c>
      <c r="C2383" s="944">
        <v>0</v>
      </c>
    </row>
    <row r="2384" spans="1:3" x14ac:dyDescent="0.35">
      <c r="A2384" s="943" t="s">
        <v>6345</v>
      </c>
      <c r="B2384" t="s">
        <v>3720</v>
      </c>
      <c r="C2384" s="944">
        <v>0</v>
      </c>
    </row>
    <row r="2385" spans="1:3" x14ac:dyDescent="0.35">
      <c r="A2385" s="943" t="s">
        <v>6346</v>
      </c>
      <c r="B2385" t="s">
        <v>3117</v>
      </c>
      <c r="C2385" s="944">
        <v>0</v>
      </c>
    </row>
    <row r="2386" spans="1:3" x14ac:dyDescent="0.35">
      <c r="A2386" s="943" t="s">
        <v>6347</v>
      </c>
      <c r="B2386" t="s">
        <v>3662</v>
      </c>
      <c r="C2386" s="944">
        <v>0</v>
      </c>
    </row>
    <row r="2387" spans="1:3" x14ac:dyDescent="0.35">
      <c r="A2387" s="943" t="s">
        <v>6348</v>
      </c>
      <c r="B2387" t="s">
        <v>4346</v>
      </c>
      <c r="C2387" s="944">
        <v>0</v>
      </c>
    </row>
    <row r="2388" spans="1:3" x14ac:dyDescent="0.35">
      <c r="A2388" s="943" t="s">
        <v>6349</v>
      </c>
      <c r="B2388" t="s">
        <v>4112</v>
      </c>
      <c r="C2388" s="944">
        <v>0</v>
      </c>
    </row>
    <row r="2389" spans="1:3" x14ac:dyDescent="0.35">
      <c r="A2389" s="943" t="s">
        <v>6350</v>
      </c>
      <c r="B2389" t="s">
        <v>4347</v>
      </c>
      <c r="C2389" s="944">
        <v>0</v>
      </c>
    </row>
    <row r="2390" spans="1:3" x14ac:dyDescent="0.35">
      <c r="A2390" s="943" t="s">
        <v>6351</v>
      </c>
      <c r="B2390" t="s">
        <v>3648</v>
      </c>
      <c r="C2390" s="944">
        <v>0</v>
      </c>
    </row>
    <row r="2391" spans="1:3" x14ac:dyDescent="0.35">
      <c r="A2391" s="943" t="s">
        <v>6352</v>
      </c>
      <c r="B2391" t="s">
        <v>4024</v>
      </c>
      <c r="C2391" s="944">
        <v>0</v>
      </c>
    </row>
    <row r="2392" spans="1:3" x14ac:dyDescent="0.35">
      <c r="A2392" s="943" t="s">
        <v>6353</v>
      </c>
      <c r="B2392" t="s">
        <v>3654</v>
      </c>
      <c r="C2392" s="944">
        <v>0</v>
      </c>
    </row>
    <row r="2393" spans="1:3" x14ac:dyDescent="0.35">
      <c r="A2393" s="943" t="s">
        <v>6354</v>
      </c>
      <c r="B2393" t="s">
        <v>3671</v>
      </c>
      <c r="C2393" s="944">
        <v>0</v>
      </c>
    </row>
    <row r="2394" spans="1:3" x14ac:dyDescent="0.35">
      <c r="A2394" s="943" t="s">
        <v>6355</v>
      </c>
      <c r="B2394" t="s">
        <v>3675</v>
      </c>
      <c r="C2394" s="944">
        <v>0</v>
      </c>
    </row>
    <row r="2395" spans="1:3" x14ac:dyDescent="0.35">
      <c r="A2395" s="943" t="s">
        <v>6356</v>
      </c>
      <c r="B2395" t="s">
        <v>3679</v>
      </c>
      <c r="C2395" s="944">
        <v>0</v>
      </c>
    </row>
    <row r="2396" spans="1:3" x14ac:dyDescent="0.35">
      <c r="A2396" s="943" t="s">
        <v>6357</v>
      </c>
      <c r="B2396" t="s">
        <v>4348</v>
      </c>
      <c r="C2396" s="944">
        <v>0</v>
      </c>
    </row>
    <row r="2397" spans="1:3" x14ac:dyDescent="0.35">
      <c r="A2397" s="943" t="s">
        <v>6358</v>
      </c>
      <c r="B2397" t="s">
        <v>4349</v>
      </c>
      <c r="C2397" s="944">
        <v>0</v>
      </c>
    </row>
    <row r="2398" spans="1:3" x14ac:dyDescent="0.35">
      <c r="A2398" s="943" t="s">
        <v>6359</v>
      </c>
      <c r="B2398" t="s">
        <v>4350</v>
      </c>
      <c r="C2398" s="944">
        <v>0</v>
      </c>
    </row>
    <row r="2399" spans="1:3" x14ac:dyDescent="0.35">
      <c r="A2399" s="943" t="s">
        <v>6360</v>
      </c>
      <c r="B2399" t="s">
        <v>3685</v>
      </c>
      <c r="C2399" s="944">
        <v>0</v>
      </c>
    </row>
    <row r="2400" spans="1:3" x14ac:dyDescent="0.35">
      <c r="A2400" s="943" t="s">
        <v>6361</v>
      </c>
      <c r="B2400" t="s">
        <v>3687</v>
      </c>
      <c r="C2400" s="944">
        <v>0</v>
      </c>
    </row>
    <row r="2401" spans="1:3" x14ac:dyDescent="0.35">
      <c r="A2401" s="943" t="s">
        <v>6362</v>
      </c>
      <c r="B2401" t="s">
        <v>3689</v>
      </c>
      <c r="C2401" s="944">
        <v>0</v>
      </c>
    </row>
    <row r="2402" spans="1:3" x14ac:dyDescent="0.35">
      <c r="A2402" s="943" t="s">
        <v>6363</v>
      </c>
      <c r="B2402" t="s">
        <v>4351</v>
      </c>
      <c r="C2402" s="944">
        <v>0</v>
      </c>
    </row>
    <row r="2403" spans="1:3" x14ac:dyDescent="0.35">
      <c r="A2403" s="943" t="s">
        <v>6364</v>
      </c>
      <c r="B2403" t="s">
        <v>4352</v>
      </c>
      <c r="C2403" s="944">
        <v>0</v>
      </c>
    </row>
    <row r="2404" spans="1:3" x14ac:dyDescent="0.35">
      <c r="A2404" s="943" t="s">
        <v>6365</v>
      </c>
      <c r="B2404" t="s">
        <v>4353</v>
      </c>
      <c r="C2404" s="944">
        <v>0</v>
      </c>
    </row>
    <row r="2405" spans="1:3" x14ac:dyDescent="0.35">
      <c r="A2405" s="943" t="s">
        <v>6366</v>
      </c>
      <c r="B2405" t="s">
        <v>4354</v>
      </c>
      <c r="C2405" s="944">
        <v>0</v>
      </c>
    </row>
    <row r="2406" spans="1:3" x14ac:dyDescent="0.35">
      <c r="A2406" s="943" t="s">
        <v>6367</v>
      </c>
      <c r="B2406" t="s">
        <v>4355</v>
      </c>
      <c r="C2406" s="944">
        <v>749600</v>
      </c>
    </row>
    <row r="2407" spans="1:3" x14ac:dyDescent="0.35">
      <c r="A2407" s="943" t="s">
        <v>6368</v>
      </c>
      <c r="B2407" t="s">
        <v>4356</v>
      </c>
      <c r="C2407" s="944">
        <v>0</v>
      </c>
    </row>
    <row r="2408" spans="1:3" x14ac:dyDescent="0.35">
      <c r="A2408" s="943" t="s">
        <v>6369</v>
      </c>
      <c r="B2408" t="s">
        <v>4357</v>
      </c>
      <c r="C2408" s="944">
        <v>0</v>
      </c>
    </row>
    <row r="2409" spans="1:3" x14ac:dyDescent="0.35">
      <c r="A2409" s="943" t="s">
        <v>6370</v>
      </c>
      <c r="B2409" t="s">
        <v>4358</v>
      </c>
      <c r="C2409" s="944">
        <v>0</v>
      </c>
    </row>
    <row r="2410" spans="1:3" x14ac:dyDescent="0.35">
      <c r="A2410" s="943" t="s">
        <v>6371</v>
      </c>
      <c r="B2410" t="s">
        <v>4359</v>
      </c>
      <c r="C2410" s="944">
        <v>0</v>
      </c>
    </row>
    <row r="2411" spans="1:3" x14ac:dyDescent="0.35">
      <c r="A2411" s="943" t="s">
        <v>6372</v>
      </c>
      <c r="B2411" t="s">
        <v>350</v>
      </c>
      <c r="C2411" s="944">
        <v>0</v>
      </c>
    </row>
    <row r="2412" spans="1:3" x14ac:dyDescent="0.35">
      <c r="A2412" s="943" t="s">
        <v>6373</v>
      </c>
      <c r="B2412" t="s">
        <v>4360</v>
      </c>
      <c r="C2412" s="944">
        <v>0</v>
      </c>
    </row>
    <row r="2413" spans="1:3" x14ac:dyDescent="0.35">
      <c r="A2413" s="943" t="s">
        <v>6374</v>
      </c>
      <c r="B2413" t="s">
        <v>4361</v>
      </c>
      <c r="C2413" s="944">
        <v>88281143</v>
      </c>
    </row>
    <row r="2414" spans="1:3" x14ac:dyDescent="0.35">
      <c r="A2414" s="943" t="s">
        <v>6375</v>
      </c>
      <c r="B2414" t="s">
        <v>3325</v>
      </c>
      <c r="C2414" s="944">
        <v>1154500</v>
      </c>
    </row>
    <row r="2415" spans="1:3" x14ac:dyDescent="0.35">
      <c r="A2415" s="943" t="s">
        <v>6376</v>
      </c>
      <c r="B2415" t="s">
        <v>4362</v>
      </c>
      <c r="C2415" s="944">
        <v>190000</v>
      </c>
    </row>
    <row r="2416" spans="1:3" x14ac:dyDescent="0.35">
      <c r="A2416" s="943" t="s">
        <v>6377</v>
      </c>
      <c r="B2416" t="s">
        <v>4363</v>
      </c>
      <c r="C2416" s="944">
        <v>0</v>
      </c>
    </row>
    <row r="2417" spans="1:3" x14ac:dyDescent="0.35">
      <c r="A2417" s="943" t="s">
        <v>6378</v>
      </c>
      <c r="B2417" t="s">
        <v>4364</v>
      </c>
      <c r="C2417" s="944">
        <v>3060000</v>
      </c>
    </row>
    <row r="2418" spans="1:3" x14ac:dyDescent="0.35">
      <c r="A2418" s="943" t="s">
        <v>6379</v>
      </c>
      <c r="B2418" t="s">
        <v>4365</v>
      </c>
      <c r="C2418" s="944">
        <v>2458000</v>
      </c>
    </row>
    <row r="2419" spans="1:3" x14ac:dyDescent="0.35">
      <c r="A2419" s="943" t="s">
        <v>6380</v>
      </c>
      <c r="B2419" t="s">
        <v>4366</v>
      </c>
      <c r="C2419" s="944">
        <v>0</v>
      </c>
    </row>
    <row r="2420" spans="1:3" x14ac:dyDescent="0.35">
      <c r="A2420" s="943" t="s">
        <v>6381</v>
      </c>
      <c r="B2420" t="s">
        <v>4367</v>
      </c>
      <c r="C2420" s="944">
        <v>4443000</v>
      </c>
    </row>
    <row r="2421" spans="1:3" x14ac:dyDescent="0.35">
      <c r="A2421" s="943" t="s">
        <v>6382</v>
      </c>
      <c r="B2421" t="s">
        <v>4368</v>
      </c>
      <c r="C2421" s="944">
        <v>15000</v>
      </c>
    </row>
    <row r="2422" spans="1:3" x14ac:dyDescent="0.35">
      <c r="A2422" s="943" t="s">
        <v>6383</v>
      </c>
      <c r="B2422" t="s">
        <v>350</v>
      </c>
      <c r="C2422" s="944">
        <v>0</v>
      </c>
    </row>
    <row r="2423" spans="1:3" x14ac:dyDescent="0.35">
      <c r="A2423" s="943" t="s">
        <v>6384</v>
      </c>
      <c r="B2423" t="s">
        <v>4369</v>
      </c>
      <c r="C2423" s="944">
        <v>0</v>
      </c>
    </row>
    <row r="2424" spans="1:3" x14ac:dyDescent="0.35">
      <c r="B2424" t="s">
        <v>4370</v>
      </c>
      <c r="C2424" s="944">
        <v>100351243</v>
      </c>
    </row>
    <row r="2425" spans="1:3" x14ac:dyDescent="0.35">
      <c r="A2425" s="943" t="s">
        <v>7916</v>
      </c>
      <c r="B2425" t="s">
        <v>4371</v>
      </c>
      <c r="C2425" s="944"/>
    </row>
    <row r="2426" spans="1:3" x14ac:dyDescent="0.35">
      <c r="A2426" s="943" t="s">
        <v>6385</v>
      </c>
      <c r="B2426" t="s">
        <v>3599</v>
      </c>
      <c r="C2426" s="944">
        <v>0</v>
      </c>
    </row>
    <row r="2427" spans="1:3" x14ac:dyDescent="0.35">
      <c r="A2427" s="943" t="s">
        <v>6386</v>
      </c>
      <c r="B2427" t="s">
        <v>3605</v>
      </c>
      <c r="C2427" s="944">
        <v>0</v>
      </c>
    </row>
    <row r="2428" spans="1:3" x14ac:dyDescent="0.35">
      <c r="A2428" s="943" t="s">
        <v>6387</v>
      </c>
      <c r="B2428" t="s">
        <v>3607</v>
      </c>
      <c r="C2428" s="944">
        <v>0</v>
      </c>
    </row>
    <row r="2429" spans="1:3" x14ac:dyDescent="0.35">
      <c r="A2429" s="943" t="s">
        <v>6388</v>
      </c>
      <c r="B2429" t="s">
        <v>4126</v>
      </c>
      <c r="C2429" s="944">
        <v>0</v>
      </c>
    </row>
    <row r="2430" spans="1:3" x14ac:dyDescent="0.35">
      <c r="A2430" s="943" t="s">
        <v>6389</v>
      </c>
      <c r="B2430" t="s">
        <v>4127</v>
      </c>
      <c r="C2430" s="944">
        <v>0</v>
      </c>
    </row>
    <row r="2431" spans="1:3" x14ac:dyDescent="0.35">
      <c r="A2431" s="943" t="s">
        <v>6390</v>
      </c>
      <c r="B2431" t="s">
        <v>4014</v>
      </c>
      <c r="C2431" s="944">
        <v>0</v>
      </c>
    </row>
    <row r="2432" spans="1:3" x14ac:dyDescent="0.35">
      <c r="A2432" s="943" t="s">
        <v>6391</v>
      </c>
      <c r="B2432" t="s">
        <v>3613</v>
      </c>
      <c r="C2432" s="944">
        <v>0</v>
      </c>
    </row>
    <row r="2433" spans="1:3" x14ac:dyDescent="0.35">
      <c r="A2433" s="943" t="s">
        <v>6392</v>
      </c>
      <c r="B2433" t="s">
        <v>4015</v>
      </c>
      <c r="C2433" s="944">
        <v>0</v>
      </c>
    </row>
    <row r="2434" spans="1:3" x14ac:dyDescent="0.35">
      <c r="A2434" s="943" t="s">
        <v>6393</v>
      </c>
      <c r="B2434" t="s">
        <v>4343</v>
      </c>
      <c r="C2434" s="944">
        <v>0</v>
      </c>
    </row>
    <row r="2435" spans="1:3" x14ac:dyDescent="0.35">
      <c r="A2435" s="943" t="s">
        <v>6394</v>
      </c>
      <c r="B2435" t="s">
        <v>3619</v>
      </c>
      <c r="C2435" s="944">
        <v>0</v>
      </c>
    </row>
    <row r="2436" spans="1:3" x14ac:dyDescent="0.35">
      <c r="A2436" s="943" t="s">
        <v>6395</v>
      </c>
      <c r="B2436" t="s">
        <v>3621</v>
      </c>
      <c r="C2436" s="944">
        <v>0</v>
      </c>
    </row>
    <row r="2437" spans="1:3" x14ac:dyDescent="0.35">
      <c r="A2437" s="943" t="s">
        <v>6396</v>
      </c>
      <c r="B2437" t="s">
        <v>3623</v>
      </c>
      <c r="C2437" s="944">
        <v>0</v>
      </c>
    </row>
    <row r="2438" spans="1:3" x14ac:dyDescent="0.35">
      <c r="A2438" s="943" t="s">
        <v>6397</v>
      </c>
      <c r="B2438" t="s">
        <v>4344</v>
      </c>
      <c r="C2438" s="944">
        <v>0</v>
      </c>
    </row>
    <row r="2439" spans="1:3" x14ac:dyDescent="0.35">
      <c r="A2439" s="943" t="s">
        <v>6398</v>
      </c>
      <c r="B2439" t="s">
        <v>3627</v>
      </c>
      <c r="C2439" s="944">
        <v>0</v>
      </c>
    </row>
    <row r="2440" spans="1:3" x14ac:dyDescent="0.35">
      <c r="A2440" s="943" t="s">
        <v>6399</v>
      </c>
      <c r="B2440" t="s">
        <v>3629</v>
      </c>
      <c r="C2440" s="944">
        <v>0</v>
      </c>
    </row>
    <row r="2441" spans="1:3" x14ac:dyDescent="0.35">
      <c r="A2441" s="943" t="s">
        <v>6400</v>
      </c>
      <c r="B2441" t="s">
        <v>3631</v>
      </c>
      <c r="C2441" s="944">
        <v>0</v>
      </c>
    </row>
    <row r="2442" spans="1:3" x14ac:dyDescent="0.35">
      <c r="A2442" s="943" t="s">
        <v>6401</v>
      </c>
      <c r="B2442" t="s">
        <v>3633</v>
      </c>
      <c r="C2442" s="944">
        <v>0</v>
      </c>
    </row>
    <row r="2443" spans="1:3" x14ac:dyDescent="0.35">
      <c r="A2443" s="943" t="s">
        <v>6402</v>
      </c>
      <c r="B2443" t="s">
        <v>3635</v>
      </c>
      <c r="C2443" s="944">
        <v>0</v>
      </c>
    </row>
    <row r="2444" spans="1:3" x14ac:dyDescent="0.35">
      <c r="A2444" s="943" t="s">
        <v>6403</v>
      </c>
      <c r="B2444" t="s">
        <v>3637</v>
      </c>
      <c r="C2444" s="944">
        <v>0</v>
      </c>
    </row>
    <row r="2445" spans="1:3" x14ac:dyDescent="0.35">
      <c r="A2445" s="943" t="s">
        <v>6404</v>
      </c>
      <c r="B2445" t="s">
        <v>4345</v>
      </c>
      <c r="C2445" s="944">
        <v>0</v>
      </c>
    </row>
    <row r="2446" spans="1:3" x14ac:dyDescent="0.35">
      <c r="A2446" s="943" t="s">
        <v>6405</v>
      </c>
      <c r="B2446" t="s">
        <v>3720</v>
      </c>
      <c r="C2446" s="944">
        <v>0</v>
      </c>
    </row>
    <row r="2447" spans="1:3" x14ac:dyDescent="0.35">
      <c r="A2447" s="943" t="s">
        <v>6406</v>
      </c>
      <c r="B2447" t="s">
        <v>3117</v>
      </c>
      <c r="C2447" s="944">
        <v>0</v>
      </c>
    </row>
    <row r="2448" spans="1:3" x14ac:dyDescent="0.35">
      <c r="A2448" s="943" t="s">
        <v>6407</v>
      </c>
      <c r="B2448" t="s">
        <v>3662</v>
      </c>
      <c r="C2448" s="944">
        <v>0</v>
      </c>
    </row>
    <row r="2449" spans="1:3" x14ac:dyDescent="0.35">
      <c r="A2449" s="943" t="s">
        <v>6408</v>
      </c>
      <c r="B2449" t="s">
        <v>4346</v>
      </c>
      <c r="C2449" s="944">
        <v>0</v>
      </c>
    </row>
    <row r="2450" spans="1:3" x14ac:dyDescent="0.35">
      <c r="A2450" s="943" t="s">
        <v>6409</v>
      </c>
      <c r="B2450" t="s">
        <v>4112</v>
      </c>
      <c r="C2450" s="944">
        <v>0</v>
      </c>
    </row>
    <row r="2451" spans="1:3" x14ac:dyDescent="0.35">
      <c r="A2451" s="943" t="s">
        <v>6410</v>
      </c>
      <c r="B2451" t="s">
        <v>4347</v>
      </c>
      <c r="C2451" s="944">
        <v>0</v>
      </c>
    </row>
    <row r="2452" spans="1:3" x14ac:dyDescent="0.35">
      <c r="A2452" s="943" t="s">
        <v>6411</v>
      </c>
      <c r="B2452" t="s">
        <v>3648</v>
      </c>
      <c r="C2452" s="944">
        <v>0</v>
      </c>
    </row>
    <row r="2453" spans="1:3" x14ac:dyDescent="0.35">
      <c r="A2453" s="943" t="s">
        <v>6412</v>
      </c>
      <c r="B2453" t="s">
        <v>4024</v>
      </c>
      <c r="C2453" s="944">
        <v>0</v>
      </c>
    </row>
    <row r="2454" spans="1:3" x14ac:dyDescent="0.35">
      <c r="A2454" s="943" t="s">
        <v>6413</v>
      </c>
      <c r="B2454" t="s">
        <v>3654</v>
      </c>
      <c r="C2454" s="944">
        <v>0</v>
      </c>
    </row>
    <row r="2455" spans="1:3" x14ac:dyDescent="0.35">
      <c r="A2455" s="943" t="s">
        <v>6414</v>
      </c>
      <c r="B2455" t="s">
        <v>3671</v>
      </c>
      <c r="C2455" s="944">
        <v>0</v>
      </c>
    </row>
    <row r="2456" spans="1:3" x14ac:dyDescent="0.35">
      <c r="A2456" s="943" t="s">
        <v>6415</v>
      </c>
      <c r="B2456" t="s">
        <v>3675</v>
      </c>
      <c r="C2456" s="944">
        <v>0</v>
      </c>
    </row>
    <row r="2457" spans="1:3" x14ac:dyDescent="0.35">
      <c r="A2457" s="943" t="s">
        <v>6416</v>
      </c>
      <c r="B2457" t="s">
        <v>3679</v>
      </c>
      <c r="C2457" s="944">
        <v>0</v>
      </c>
    </row>
    <row r="2458" spans="1:3" x14ac:dyDescent="0.35">
      <c r="A2458" s="943" t="s">
        <v>6417</v>
      </c>
      <c r="B2458" t="s">
        <v>4348</v>
      </c>
      <c r="C2458" s="944">
        <v>0</v>
      </c>
    </row>
    <row r="2459" spans="1:3" x14ac:dyDescent="0.35">
      <c r="A2459" s="943" t="s">
        <v>6418</v>
      </c>
      <c r="B2459" t="s">
        <v>4349</v>
      </c>
      <c r="C2459" s="944">
        <v>0</v>
      </c>
    </row>
    <row r="2460" spans="1:3" x14ac:dyDescent="0.35">
      <c r="A2460" s="943" t="s">
        <v>6419</v>
      </c>
      <c r="B2460" t="s">
        <v>4350</v>
      </c>
      <c r="C2460" s="944">
        <v>0</v>
      </c>
    </row>
    <row r="2461" spans="1:3" x14ac:dyDescent="0.35">
      <c r="A2461" s="943" t="s">
        <v>6420</v>
      </c>
      <c r="B2461" t="s">
        <v>3685</v>
      </c>
      <c r="C2461" s="944">
        <v>0</v>
      </c>
    </row>
    <row r="2462" spans="1:3" x14ac:dyDescent="0.35">
      <c r="A2462" s="943" t="s">
        <v>6421</v>
      </c>
      <c r="B2462" t="s">
        <v>3687</v>
      </c>
      <c r="C2462" s="944">
        <v>0</v>
      </c>
    </row>
    <row r="2463" spans="1:3" x14ac:dyDescent="0.35">
      <c r="A2463" s="943" t="s">
        <v>6422</v>
      </c>
      <c r="B2463" t="s">
        <v>3689</v>
      </c>
      <c r="C2463" s="944">
        <v>0</v>
      </c>
    </row>
    <row r="2464" spans="1:3" x14ac:dyDescent="0.35">
      <c r="A2464" s="943" t="s">
        <v>6423</v>
      </c>
      <c r="B2464" t="s">
        <v>4351</v>
      </c>
      <c r="C2464" s="944">
        <v>0</v>
      </c>
    </row>
    <row r="2465" spans="1:3" x14ac:dyDescent="0.35">
      <c r="A2465" s="943" t="s">
        <v>6424</v>
      </c>
      <c r="B2465" t="s">
        <v>4372</v>
      </c>
      <c r="C2465" s="944">
        <v>0</v>
      </c>
    </row>
    <row r="2466" spans="1:3" x14ac:dyDescent="0.35">
      <c r="A2466" s="943" t="s">
        <v>6425</v>
      </c>
      <c r="B2466" t="s">
        <v>4373</v>
      </c>
      <c r="C2466" s="944">
        <v>0</v>
      </c>
    </row>
    <row r="2467" spans="1:3" x14ac:dyDescent="0.35">
      <c r="A2467" s="943" t="s">
        <v>6426</v>
      </c>
      <c r="B2467" t="s">
        <v>4374</v>
      </c>
      <c r="C2467" s="944">
        <v>0</v>
      </c>
    </row>
    <row r="2468" spans="1:3" x14ac:dyDescent="0.35">
      <c r="A2468" s="943" t="s">
        <v>6427</v>
      </c>
      <c r="B2468" t="s">
        <v>4375</v>
      </c>
      <c r="C2468" s="944">
        <v>0</v>
      </c>
    </row>
    <row r="2469" spans="1:3" x14ac:dyDescent="0.35">
      <c r="A2469" s="943" t="s">
        <v>6428</v>
      </c>
      <c r="B2469" t="s">
        <v>4376</v>
      </c>
      <c r="C2469" s="944">
        <v>0</v>
      </c>
    </row>
    <row r="2470" spans="1:3" x14ac:dyDescent="0.35">
      <c r="A2470" s="943" t="s">
        <v>6429</v>
      </c>
      <c r="B2470" t="s">
        <v>4377</v>
      </c>
      <c r="C2470" s="944">
        <v>0</v>
      </c>
    </row>
    <row r="2471" spans="1:3" x14ac:dyDescent="0.35">
      <c r="A2471" s="943" t="s">
        <v>6430</v>
      </c>
      <c r="B2471" t="s">
        <v>4378</v>
      </c>
      <c r="C2471" s="944">
        <v>0</v>
      </c>
    </row>
    <row r="2472" spans="1:3" x14ac:dyDescent="0.35">
      <c r="A2472" s="943" t="s">
        <v>6431</v>
      </c>
      <c r="B2472" t="s">
        <v>350</v>
      </c>
      <c r="C2472" s="944">
        <v>0</v>
      </c>
    </row>
    <row r="2473" spans="1:3" x14ac:dyDescent="0.35">
      <c r="A2473" s="943" t="s">
        <v>6432</v>
      </c>
      <c r="B2473" t="s">
        <v>4379</v>
      </c>
      <c r="C2473" s="944">
        <v>0</v>
      </c>
    </row>
    <row r="2474" spans="1:3" x14ac:dyDescent="0.35">
      <c r="A2474" s="943" t="s">
        <v>6433</v>
      </c>
      <c r="B2474" t="s">
        <v>4380</v>
      </c>
      <c r="C2474" s="944">
        <v>0</v>
      </c>
    </row>
    <row r="2475" spans="1:3" x14ac:dyDescent="0.35">
      <c r="A2475" s="943" t="s">
        <v>6434</v>
      </c>
      <c r="B2475" t="s">
        <v>4381</v>
      </c>
      <c r="C2475" s="944">
        <v>0</v>
      </c>
    </row>
    <row r="2476" spans="1:3" x14ac:dyDescent="0.35">
      <c r="A2476" s="943" t="s">
        <v>6435</v>
      </c>
      <c r="B2476" t="s">
        <v>4135</v>
      </c>
      <c r="C2476" s="944">
        <v>0</v>
      </c>
    </row>
    <row r="2477" spans="1:3" x14ac:dyDescent="0.35">
      <c r="A2477" s="943" t="s">
        <v>6436</v>
      </c>
      <c r="B2477" t="s">
        <v>4382</v>
      </c>
      <c r="C2477" s="944">
        <v>0</v>
      </c>
    </row>
    <row r="2478" spans="1:3" x14ac:dyDescent="0.35">
      <c r="A2478" s="943" t="s">
        <v>6437</v>
      </c>
      <c r="B2478" t="s">
        <v>4383</v>
      </c>
      <c r="C2478" s="944">
        <v>0</v>
      </c>
    </row>
    <row r="2479" spans="1:3" x14ac:dyDescent="0.35">
      <c r="A2479" s="943" t="s">
        <v>6438</v>
      </c>
      <c r="B2479" t="s">
        <v>350</v>
      </c>
      <c r="C2479" s="944">
        <v>0</v>
      </c>
    </row>
    <row r="2480" spans="1:3" x14ac:dyDescent="0.35">
      <c r="A2480" s="943" t="s">
        <v>6439</v>
      </c>
      <c r="B2480" t="s">
        <v>4384</v>
      </c>
      <c r="C2480" s="944">
        <v>0</v>
      </c>
    </row>
    <row r="2481" spans="1:3" x14ac:dyDescent="0.35">
      <c r="B2481" t="s">
        <v>4385</v>
      </c>
      <c r="C2481" s="944">
        <v>0</v>
      </c>
    </row>
    <row r="2482" spans="1:3" x14ac:dyDescent="0.35">
      <c r="A2482" s="943" t="s">
        <v>7917</v>
      </c>
      <c r="B2482" t="s">
        <v>4386</v>
      </c>
      <c r="C2482" s="944"/>
    </row>
    <row r="2483" spans="1:3" x14ac:dyDescent="0.35">
      <c r="A2483" s="943" t="s">
        <v>6440</v>
      </c>
      <c r="B2483" t="s">
        <v>3599</v>
      </c>
      <c r="C2483" s="944">
        <v>0</v>
      </c>
    </row>
    <row r="2484" spans="1:3" x14ac:dyDescent="0.35">
      <c r="A2484" s="943" t="s">
        <v>6441</v>
      </c>
      <c r="B2484" t="s">
        <v>3605</v>
      </c>
      <c r="C2484" s="944">
        <v>0</v>
      </c>
    </row>
    <row r="2485" spans="1:3" x14ac:dyDescent="0.35">
      <c r="A2485" s="943" t="s">
        <v>6442</v>
      </c>
      <c r="B2485" t="s">
        <v>3607</v>
      </c>
      <c r="C2485" s="944">
        <v>0</v>
      </c>
    </row>
    <row r="2486" spans="1:3" x14ac:dyDescent="0.35">
      <c r="A2486" s="943" t="s">
        <v>6443</v>
      </c>
      <c r="B2486" t="s">
        <v>4126</v>
      </c>
      <c r="C2486" s="944">
        <v>0</v>
      </c>
    </row>
    <row r="2487" spans="1:3" x14ac:dyDescent="0.35">
      <c r="A2487" s="943" t="s">
        <v>6444</v>
      </c>
      <c r="B2487" t="s">
        <v>4127</v>
      </c>
      <c r="C2487" s="944">
        <v>0</v>
      </c>
    </row>
    <row r="2488" spans="1:3" x14ac:dyDescent="0.35">
      <c r="A2488" s="943" t="s">
        <v>6445</v>
      </c>
      <c r="B2488" t="s">
        <v>4014</v>
      </c>
      <c r="C2488" s="944">
        <v>0</v>
      </c>
    </row>
    <row r="2489" spans="1:3" x14ac:dyDescent="0.35">
      <c r="A2489" s="943" t="s">
        <v>6446</v>
      </c>
      <c r="B2489" t="s">
        <v>3613</v>
      </c>
      <c r="C2489" s="944">
        <v>0</v>
      </c>
    </row>
    <row r="2490" spans="1:3" x14ac:dyDescent="0.35">
      <c r="A2490" s="943" t="s">
        <v>6447</v>
      </c>
      <c r="B2490" t="s">
        <v>4015</v>
      </c>
      <c r="C2490" s="944">
        <v>0</v>
      </c>
    </row>
    <row r="2491" spans="1:3" x14ac:dyDescent="0.35">
      <c r="A2491" s="943" t="s">
        <v>6448</v>
      </c>
      <c r="B2491" t="s">
        <v>4343</v>
      </c>
      <c r="C2491" s="944">
        <v>0</v>
      </c>
    </row>
    <row r="2492" spans="1:3" x14ac:dyDescent="0.35">
      <c r="A2492" s="943" t="s">
        <v>6449</v>
      </c>
      <c r="B2492" t="s">
        <v>3619</v>
      </c>
      <c r="C2492" s="944">
        <v>0</v>
      </c>
    </row>
    <row r="2493" spans="1:3" x14ac:dyDescent="0.35">
      <c r="A2493" s="943" t="s">
        <v>6450</v>
      </c>
      <c r="B2493" t="s">
        <v>3621</v>
      </c>
      <c r="C2493" s="944">
        <v>0</v>
      </c>
    </row>
    <row r="2494" spans="1:3" x14ac:dyDescent="0.35">
      <c r="A2494" s="943" t="s">
        <v>6451</v>
      </c>
      <c r="B2494" t="s">
        <v>3623</v>
      </c>
      <c r="C2494" s="944">
        <v>0</v>
      </c>
    </row>
    <row r="2495" spans="1:3" x14ac:dyDescent="0.35">
      <c r="A2495" s="943" t="s">
        <v>6452</v>
      </c>
      <c r="B2495" t="s">
        <v>4344</v>
      </c>
      <c r="C2495" s="944">
        <v>0</v>
      </c>
    </row>
    <row r="2496" spans="1:3" x14ac:dyDescent="0.35">
      <c r="A2496" s="943" t="s">
        <v>6453</v>
      </c>
      <c r="B2496" t="s">
        <v>3627</v>
      </c>
      <c r="C2496" s="944">
        <v>0</v>
      </c>
    </row>
    <row r="2497" spans="1:3" x14ac:dyDescent="0.35">
      <c r="A2497" s="943" t="s">
        <v>6454</v>
      </c>
      <c r="B2497" t="s">
        <v>3629</v>
      </c>
      <c r="C2497" s="944">
        <v>0</v>
      </c>
    </row>
    <row r="2498" spans="1:3" x14ac:dyDescent="0.35">
      <c r="A2498" s="943" t="s">
        <v>6455</v>
      </c>
      <c r="B2498" t="s">
        <v>3631</v>
      </c>
      <c r="C2498" s="944">
        <v>0</v>
      </c>
    </row>
    <row r="2499" spans="1:3" x14ac:dyDescent="0.35">
      <c r="A2499" s="943" t="s">
        <v>6456</v>
      </c>
      <c r="B2499" t="s">
        <v>3633</v>
      </c>
      <c r="C2499" s="944">
        <v>0</v>
      </c>
    </row>
    <row r="2500" spans="1:3" x14ac:dyDescent="0.35">
      <c r="A2500" s="943" t="s">
        <v>6457</v>
      </c>
      <c r="B2500" t="s">
        <v>3635</v>
      </c>
      <c r="C2500" s="944">
        <v>0</v>
      </c>
    </row>
    <row r="2501" spans="1:3" x14ac:dyDescent="0.35">
      <c r="A2501" s="943" t="s">
        <v>6458</v>
      </c>
      <c r="B2501" t="s">
        <v>3637</v>
      </c>
      <c r="C2501" s="944">
        <v>0</v>
      </c>
    </row>
    <row r="2502" spans="1:3" x14ac:dyDescent="0.35">
      <c r="A2502" s="943" t="s">
        <v>6459</v>
      </c>
      <c r="B2502" t="s">
        <v>4345</v>
      </c>
      <c r="C2502" s="944">
        <v>0</v>
      </c>
    </row>
    <row r="2503" spans="1:3" x14ac:dyDescent="0.35">
      <c r="A2503" s="943" t="s">
        <v>6460</v>
      </c>
      <c r="B2503" t="s">
        <v>3720</v>
      </c>
      <c r="C2503" s="944">
        <v>0</v>
      </c>
    </row>
    <row r="2504" spans="1:3" x14ac:dyDescent="0.35">
      <c r="A2504" s="943" t="s">
        <v>6461</v>
      </c>
      <c r="B2504" t="s">
        <v>3117</v>
      </c>
      <c r="C2504" s="944">
        <v>0</v>
      </c>
    </row>
    <row r="2505" spans="1:3" x14ac:dyDescent="0.35">
      <c r="A2505" s="943" t="s">
        <v>6462</v>
      </c>
      <c r="B2505" t="s">
        <v>3662</v>
      </c>
      <c r="C2505" s="944">
        <v>0</v>
      </c>
    </row>
    <row r="2506" spans="1:3" x14ac:dyDescent="0.35">
      <c r="A2506" s="943" t="s">
        <v>6463</v>
      </c>
      <c r="B2506" t="s">
        <v>4346</v>
      </c>
      <c r="C2506" s="944">
        <v>0</v>
      </c>
    </row>
    <row r="2507" spans="1:3" x14ac:dyDescent="0.35">
      <c r="A2507" s="943" t="s">
        <v>6464</v>
      </c>
      <c r="B2507" t="s">
        <v>4112</v>
      </c>
      <c r="C2507" s="944">
        <v>0</v>
      </c>
    </row>
    <row r="2508" spans="1:3" x14ac:dyDescent="0.35">
      <c r="A2508" s="943" t="s">
        <v>6465</v>
      </c>
      <c r="B2508" t="s">
        <v>4347</v>
      </c>
      <c r="C2508" s="944">
        <v>0</v>
      </c>
    </row>
    <row r="2509" spans="1:3" x14ac:dyDescent="0.35">
      <c r="A2509" s="943" t="s">
        <v>6466</v>
      </c>
      <c r="B2509" t="s">
        <v>3648</v>
      </c>
      <c r="C2509" s="944">
        <v>3682000</v>
      </c>
    </row>
    <row r="2510" spans="1:3" x14ac:dyDescent="0.35">
      <c r="A2510" s="943" t="s">
        <v>6467</v>
      </c>
      <c r="B2510" t="s">
        <v>4024</v>
      </c>
      <c r="C2510" s="944">
        <v>1540000</v>
      </c>
    </row>
    <row r="2511" spans="1:3" x14ac:dyDescent="0.35">
      <c r="A2511" s="943" t="s">
        <v>6468</v>
      </c>
      <c r="B2511" t="s">
        <v>3654</v>
      </c>
      <c r="C2511" s="944">
        <v>0</v>
      </c>
    </row>
    <row r="2512" spans="1:3" x14ac:dyDescent="0.35">
      <c r="A2512" s="943" t="s">
        <v>6469</v>
      </c>
      <c r="B2512" t="s">
        <v>3671</v>
      </c>
      <c r="C2512" s="944">
        <v>0</v>
      </c>
    </row>
    <row r="2513" spans="1:3" x14ac:dyDescent="0.35">
      <c r="A2513" s="943" t="s">
        <v>6470</v>
      </c>
      <c r="B2513" t="s">
        <v>3675</v>
      </c>
      <c r="C2513" s="944">
        <v>0</v>
      </c>
    </row>
    <row r="2514" spans="1:3" x14ac:dyDescent="0.35">
      <c r="A2514" s="943" t="s">
        <v>6471</v>
      </c>
      <c r="B2514" t="s">
        <v>3679</v>
      </c>
      <c r="C2514" s="944">
        <v>0</v>
      </c>
    </row>
    <row r="2515" spans="1:3" x14ac:dyDescent="0.35">
      <c r="A2515" s="943" t="s">
        <v>6472</v>
      </c>
      <c r="B2515" t="s">
        <v>4348</v>
      </c>
      <c r="C2515" s="944">
        <v>0</v>
      </c>
    </row>
    <row r="2516" spans="1:3" x14ac:dyDescent="0.35">
      <c r="A2516" s="943" t="s">
        <v>6473</v>
      </c>
      <c r="B2516" t="s">
        <v>4349</v>
      </c>
      <c r="C2516" s="944">
        <v>0</v>
      </c>
    </row>
    <row r="2517" spans="1:3" x14ac:dyDescent="0.35">
      <c r="A2517" s="943" t="s">
        <v>6474</v>
      </c>
      <c r="B2517" t="s">
        <v>4350</v>
      </c>
      <c r="C2517" s="944">
        <v>0</v>
      </c>
    </row>
    <row r="2518" spans="1:3" x14ac:dyDescent="0.35">
      <c r="A2518" s="943" t="s">
        <v>6475</v>
      </c>
      <c r="B2518" t="s">
        <v>3685</v>
      </c>
      <c r="C2518" s="944">
        <v>0</v>
      </c>
    </row>
    <row r="2519" spans="1:3" x14ac:dyDescent="0.35">
      <c r="A2519" s="943" t="s">
        <v>6476</v>
      </c>
      <c r="B2519" t="s">
        <v>3687</v>
      </c>
      <c r="C2519" s="944">
        <v>0</v>
      </c>
    </row>
    <row r="2520" spans="1:3" x14ac:dyDescent="0.35">
      <c r="A2520" s="943" t="s">
        <v>6477</v>
      </c>
      <c r="B2520" t="s">
        <v>3689</v>
      </c>
      <c r="C2520" s="944">
        <v>0</v>
      </c>
    </row>
    <row r="2521" spans="1:3" x14ac:dyDescent="0.35">
      <c r="A2521" s="943" t="s">
        <v>6478</v>
      </c>
      <c r="B2521" t="s">
        <v>4351</v>
      </c>
      <c r="C2521" s="944">
        <v>0</v>
      </c>
    </row>
    <row r="2522" spans="1:3" x14ac:dyDescent="0.35">
      <c r="A2522" s="943" t="s">
        <v>6479</v>
      </c>
      <c r="B2522" t="s">
        <v>4387</v>
      </c>
      <c r="C2522" s="944">
        <v>0</v>
      </c>
    </row>
    <row r="2523" spans="1:3" x14ac:dyDescent="0.35">
      <c r="A2523" s="943" t="s">
        <v>6480</v>
      </c>
      <c r="B2523" t="s">
        <v>4388</v>
      </c>
      <c r="C2523" s="944">
        <v>0</v>
      </c>
    </row>
    <row r="2524" spans="1:3" x14ac:dyDescent="0.35">
      <c r="A2524" s="943" t="s">
        <v>6481</v>
      </c>
      <c r="B2524" t="s">
        <v>4389</v>
      </c>
      <c r="C2524" s="944">
        <v>0</v>
      </c>
    </row>
    <row r="2525" spans="1:3" x14ac:dyDescent="0.35">
      <c r="A2525" s="943" t="s">
        <v>6482</v>
      </c>
      <c r="B2525" t="s">
        <v>4390</v>
      </c>
      <c r="C2525" s="944">
        <v>0</v>
      </c>
    </row>
    <row r="2526" spans="1:3" x14ac:dyDescent="0.35">
      <c r="A2526" s="943" t="s">
        <v>6483</v>
      </c>
      <c r="B2526" t="s">
        <v>4391</v>
      </c>
      <c r="C2526" s="944">
        <v>0</v>
      </c>
    </row>
    <row r="2527" spans="1:3" x14ac:dyDescent="0.35">
      <c r="A2527" s="943" t="s">
        <v>6484</v>
      </c>
      <c r="B2527" t="s">
        <v>3115</v>
      </c>
      <c r="C2527" s="944">
        <v>0</v>
      </c>
    </row>
    <row r="2528" spans="1:3" x14ac:dyDescent="0.35">
      <c r="A2528" s="943" t="s">
        <v>6485</v>
      </c>
      <c r="B2528" t="s">
        <v>4392</v>
      </c>
      <c r="C2528" s="944">
        <v>0</v>
      </c>
    </row>
    <row r="2529" spans="1:5" x14ac:dyDescent="0.35">
      <c r="A2529" s="943" t="s">
        <v>6486</v>
      </c>
      <c r="B2529" t="s">
        <v>4393</v>
      </c>
      <c r="C2529" s="944">
        <v>0</v>
      </c>
    </row>
    <row r="2530" spans="1:5" x14ac:dyDescent="0.35">
      <c r="A2530" s="943" t="s">
        <v>6487</v>
      </c>
      <c r="B2530" t="s">
        <v>4394</v>
      </c>
      <c r="C2530" s="944">
        <v>0</v>
      </c>
    </row>
    <row r="2531" spans="1:5" x14ac:dyDescent="0.35">
      <c r="A2531" s="943" t="s">
        <v>6488</v>
      </c>
      <c r="B2531" t="s">
        <v>350</v>
      </c>
      <c r="C2531" s="944">
        <v>0</v>
      </c>
    </row>
    <row r="2532" spans="1:5" x14ac:dyDescent="0.35">
      <c r="A2532" s="943" t="s">
        <v>6489</v>
      </c>
      <c r="B2532" t="s">
        <v>350</v>
      </c>
      <c r="C2532" s="944">
        <v>0</v>
      </c>
    </row>
    <row r="2533" spans="1:5" x14ac:dyDescent="0.35">
      <c r="A2533" s="943" t="s">
        <v>6490</v>
      </c>
      <c r="B2533" t="s">
        <v>4395</v>
      </c>
      <c r="C2533" s="944">
        <v>0</v>
      </c>
    </row>
    <row r="2534" spans="1:5" x14ac:dyDescent="0.35">
      <c r="B2534" t="s">
        <v>4396</v>
      </c>
      <c r="C2534" s="944">
        <v>5222000</v>
      </c>
    </row>
    <row r="2535" spans="1:5" x14ac:dyDescent="0.35">
      <c r="B2535" t="s">
        <v>4397</v>
      </c>
      <c r="C2535" s="944">
        <v>105573243</v>
      </c>
    </row>
    <row r="2536" spans="1:5" x14ac:dyDescent="0.35">
      <c r="B2536" t="s">
        <v>4398</v>
      </c>
      <c r="C2536" s="944">
        <v>592181856.65999997</v>
      </c>
    </row>
    <row r="2538" spans="1:5" x14ac:dyDescent="0.35">
      <c r="B2538" t="s">
        <v>4399</v>
      </c>
      <c r="C2538" s="944">
        <v>-33603556.659999996</v>
      </c>
    </row>
    <row r="2540" spans="1:5" x14ac:dyDescent="0.35">
      <c r="A2540" s="943" t="s">
        <v>7832</v>
      </c>
      <c r="B2540" t="s">
        <v>4400</v>
      </c>
      <c r="D2540" s="2898">
        <f>'11'!R153</f>
        <v>669874218.37666678</v>
      </c>
      <c r="E2540" s="2898">
        <f>C2540-D2540</f>
        <v>-669874218.37666678</v>
      </c>
    </row>
    <row r="2541" spans="1:5" x14ac:dyDescent="0.35">
      <c r="A2541" s="943" t="s">
        <v>7833</v>
      </c>
      <c r="B2541" t="s">
        <v>4401</v>
      </c>
    </row>
    <row r="2542" spans="1:5" x14ac:dyDescent="0.35">
      <c r="A2542" s="943" t="s">
        <v>7834</v>
      </c>
      <c r="B2542" t="s">
        <v>4402</v>
      </c>
    </row>
    <row r="2543" spans="1:5" x14ac:dyDescent="0.35">
      <c r="A2543" s="943" t="s">
        <v>4403</v>
      </c>
      <c r="B2543" t="s">
        <v>4404</v>
      </c>
      <c r="C2543" s="944">
        <v>0</v>
      </c>
    </row>
    <row r="2544" spans="1:5" x14ac:dyDescent="0.35">
      <c r="A2544" s="943" t="s">
        <v>4405</v>
      </c>
      <c r="B2544" t="s">
        <v>4406</v>
      </c>
      <c r="C2544" s="944">
        <v>0</v>
      </c>
    </row>
    <row r="2545" spans="1:3" x14ac:dyDescent="0.35">
      <c r="A2545" s="943" t="s">
        <v>4407</v>
      </c>
      <c r="B2545" t="s">
        <v>4408</v>
      </c>
      <c r="C2545" s="944">
        <v>0</v>
      </c>
    </row>
    <row r="2546" spans="1:3" x14ac:dyDescent="0.35">
      <c r="A2546" s="943" t="s">
        <v>4409</v>
      </c>
      <c r="B2546" t="s">
        <v>4410</v>
      </c>
      <c r="C2546" s="944">
        <v>0</v>
      </c>
    </row>
    <row r="2547" spans="1:3" x14ac:dyDescent="0.35">
      <c r="A2547" s="943" t="s">
        <v>4411</v>
      </c>
      <c r="B2547" t="s">
        <v>4412</v>
      </c>
      <c r="C2547" s="944">
        <v>0</v>
      </c>
    </row>
    <row r="2548" spans="1:3" x14ac:dyDescent="0.35">
      <c r="A2548" s="943" t="s">
        <v>4413</v>
      </c>
      <c r="B2548" t="s">
        <v>4414</v>
      </c>
      <c r="C2548" s="944">
        <v>0</v>
      </c>
    </row>
    <row r="2549" spans="1:3" x14ac:dyDescent="0.35">
      <c r="A2549" s="943" t="s">
        <v>4415</v>
      </c>
      <c r="B2549" t="s">
        <v>4416</v>
      </c>
      <c r="C2549" s="944">
        <v>0</v>
      </c>
    </row>
    <row r="2550" spans="1:3" x14ac:dyDescent="0.35">
      <c r="A2550" s="943" t="s">
        <v>4417</v>
      </c>
      <c r="B2550" t="s">
        <v>4418</v>
      </c>
      <c r="C2550" s="944">
        <v>0</v>
      </c>
    </row>
    <row r="2551" spans="1:3" x14ac:dyDescent="0.35">
      <c r="A2551" s="943" t="s">
        <v>4419</v>
      </c>
      <c r="B2551" t="s">
        <v>4420</v>
      </c>
      <c r="C2551" s="944">
        <v>0</v>
      </c>
    </row>
    <row r="2552" spans="1:3" x14ac:dyDescent="0.35">
      <c r="A2552" s="943" t="s">
        <v>4421</v>
      </c>
      <c r="B2552" t="s">
        <v>4422</v>
      </c>
      <c r="C2552" s="944">
        <v>0</v>
      </c>
    </row>
    <row r="2553" spans="1:3" x14ac:dyDescent="0.35">
      <c r="A2553" s="943" t="s">
        <v>4423</v>
      </c>
      <c r="B2553" t="s">
        <v>4424</v>
      </c>
      <c r="C2553" s="944">
        <v>0</v>
      </c>
    </row>
    <row r="2554" spans="1:3" x14ac:dyDescent="0.35">
      <c r="B2554" t="s">
        <v>4425</v>
      </c>
      <c r="C2554" s="944">
        <v>0</v>
      </c>
    </row>
    <row r="2555" spans="1:3" x14ac:dyDescent="0.35">
      <c r="A2555" s="943" t="s">
        <v>7835</v>
      </c>
      <c r="B2555" t="s">
        <v>4426</v>
      </c>
      <c r="C2555" s="944"/>
    </row>
    <row r="2556" spans="1:3" x14ac:dyDescent="0.35">
      <c r="A2556" s="943" t="s">
        <v>4427</v>
      </c>
      <c r="B2556" t="s">
        <v>4428</v>
      </c>
      <c r="C2556" s="944">
        <v>0</v>
      </c>
    </row>
    <row r="2557" spans="1:3" x14ac:dyDescent="0.35">
      <c r="A2557" s="943" t="s">
        <v>4429</v>
      </c>
      <c r="B2557" t="s">
        <v>4430</v>
      </c>
      <c r="C2557" s="944">
        <v>0</v>
      </c>
    </row>
    <row r="2558" spans="1:3" x14ac:dyDescent="0.35">
      <c r="A2558" s="943" t="s">
        <v>4431</v>
      </c>
      <c r="B2558" t="s">
        <v>4432</v>
      </c>
      <c r="C2558" s="944">
        <v>0</v>
      </c>
    </row>
    <row r="2559" spans="1:3" x14ac:dyDescent="0.35">
      <c r="A2559" s="943" t="s">
        <v>4433</v>
      </c>
      <c r="B2559" t="s">
        <v>4422</v>
      </c>
      <c r="C2559" s="944">
        <v>0</v>
      </c>
    </row>
    <row r="2560" spans="1:3" x14ac:dyDescent="0.35">
      <c r="B2560" t="s">
        <v>4434</v>
      </c>
      <c r="C2560" s="944">
        <v>0</v>
      </c>
    </row>
    <row r="2561" spans="1:3" x14ac:dyDescent="0.35">
      <c r="B2561" t="s">
        <v>4435</v>
      </c>
      <c r="C2561" s="944">
        <v>0</v>
      </c>
    </row>
    <row r="2562" spans="1:3" x14ac:dyDescent="0.35">
      <c r="B2562" t="s">
        <v>4436</v>
      </c>
      <c r="C2562" s="944">
        <v>0</v>
      </c>
    </row>
    <row r="2563" spans="1:3" x14ac:dyDescent="0.35">
      <c r="C2563" s="944"/>
    </row>
    <row r="2564" spans="1:3" x14ac:dyDescent="0.35">
      <c r="B2564" t="s">
        <v>4437</v>
      </c>
      <c r="C2564" s="944">
        <v>-33603556.659999996</v>
      </c>
    </row>
    <row r="2565" spans="1:3" x14ac:dyDescent="0.35">
      <c r="C2565" s="944"/>
    </row>
    <row r="2566" spans="1:3" x14ac:dyDescent="0.35">
      <c r="A2566" s="943" t="s">
        <v>7836</v>
      </c>
      <c r="B2566" t="s">
        <v>3532</v>
      </c>
      <c r="C2566" s="944"/>
    </row>
    <row r="2567" spans="1:3" x14ac:dyDescent="0.35">
      <c r="A2567" s="943" t="s">
        <v>7837</v>
      </c>
      <c r="B2567" t="s">
        <v>4438</v>
      </c>
      <c r="C2567" s="944"/>
    </row>
    <row r="2568" spans="1:3" x14ac:dyDescent="0.35">
      <c r="A2568" s="943" t="s">
        <v>4439</v>
      </c>
      <c r="B2568" t="s">
        <v>4440</v>
      </c>
      <c r="C2568" s="944">
        <v>0</v>
      </c>
    </row>
    <row r="2569" spans="1:3" x14ac:dyDescent="0.35">
      <c r="B2569" t="s">
        <v>4441</v>
      </c>
      <c r="C2569" s="944">
        <v>0</v>
      </c>
    </row>
    <row r="2570" spans="1:3" x14ac:dyDescent="0.35">
      <c r="B2570" t="s">
        <v>3560</v>
      </c>
      <c r="C2570" s="944">
        <v>0</v>
      </c>
    </row>
    <row r="2571" spans="1:3" x14ac:dyDescent="0.35">
      <c r="C2571" s="944"/>
    </row>
    <row r="2572" spans="1:3" x14ac:dyDescent="0.35">
      <c r="A2572" s="943" t="s">
        <v>7838</v>
      </c>
      <c r="B2572" t="s">
        <v>4442</v>
      </c>
      <c r="C2572" s="944"/>
    </row>
    <row r="2573" spans="1:3" x14ac:dyDescent="0.35">
      <c r="A2573" s="943" t="s">
        <v>7839</v>
      </c>
      <c r="B2573" t="s">
        <v>4443</v>
      </c>
      <c r="C2573" s="944"/>
    </row>
    <row r="2574" spans="1:3" x14ac:dyDescent="0.35">
      <c r="A2574" s="943" t="s">
        <v>4444</v>
      </c>
      <c r="B2574" t="s">
        <v>4445</v>
      </c>
      <c r="C2574" s="944">
        <v>0</v>
      </c>
    </row>
    <row r="2575" spans="1:3" x14ac:dyDescent="0.35">
      <c r="B2575" t="s">
        <v>4446</v>
      </c>
      <c r="C2575" s="944">
        <v>0</v>
      </c>
    </row>
    <row r="2576" spans="1:3" x14ac:dyDescent="0.35">
      <c r="B2576" t="s">
        <v>4447</v>
      </c>
      <c r="C2576" s="944">
        <v>0</v>
      </c>
    </row>
    <row r="2577" spans="2:5" x14ac:dyDescent="0.35">
      <c r="C2577" s="944"/>
    </row>
    <row r="2578" spans="2:5" x14ac:dyDescent="0.35">
      <c r="B2578" t="s">
        <v>4448</v>
      </c>
      <c r="C2578" s="944">
        <v>-33603556.659999996</v>
      </c>
      <c r="D2578" s="2898">
        <f>LR!E78</f>
        <v>-28723668.376666784</v>
      </c>
      <c r="E2578" s="944">
        <f>C2578-D2578</f>
        <v>-4879888.2833332121</v>
      </c>
    </row>
    <row r="2579" spans="2:5" x14ac:dyDescent="0.35">
      <c r="E2579" s="944"/>
    </row>
    <row r="2582" spans="2:5" x14ac:dyDescent="0.35">
      <c r="E2582" s="944"/>
    </row>
    <row r="2583" spans="2:5" x14ac:dyDescent="0.35">
      <c r="E2583" s="944"/>
    </row>
  </sheetData>
  <phoneticPr fontId="174"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258"/>
  <sheetViews>
    <sheetView topLeftCell="A4" zoomScale="90" zoomScaleNormal="90" workbookViewId="0">
      <pane ySplit="8" topLeftCell="A3056" activePane="bottomLeft" state="frozen"/>
      <selection activeCell="I81" sqref="I81"/>
      <selection pane="bottomLeft" activeCell="G3063" sqref="G3063"/>
    </sheetView>
  </sheetViews>
  <sheetFormatPr defaultColWidth="9" defaultRowHeight="14" x14ac:dyDescent="0.3"/>
  <cols>
    <col min="1" max="1" width="10.81640625" style="81" customWidth="1"/>
    <col min="2" max="2" width="40.26953125" style="2445" customWidth="1"/>
    <col min="3" max="3" width="19.7265625" style="2446" customWidth="1"/>
    <col min="4" max="4" width="4.7265625" style="2446" customWidth="1"/>
    <col min="5" max="5" width="24.1796875" style="2446" customWidth="1"/>
    <col min="6" max="6" width="20.81640625" style="2446" customWidth="1"/>
    <col min="7" max="7" width="18.81640625" style="2446" customWidth="1"/>
    <col min="8" max="8" width="22.7265625" style="2446" customWidth="1"/>
    <col min="9" max="9" width="2.1796875" style="77" customWidth="1"/>
    <col min="10" max="10" width="14.1796875" style="77" customWidth="1"/>
    <col min="11" max="11" width="7.54296875" style="2454" customWidth="1"/>
    <col min="12" max="12" width="4.7265625" style="2454" customWidth="1"/>
    <col min="13" max="13" width="18.453125" style="77" customWidth="1"/>
    <col min="14" max="47" width="12.7265625" style="77" customWidth="1"/>
    <col min="48" max="257" width="9" style="77"/>
    <col min="258" max="258" width="4" style="77" customWidth="1"/>
    <col min="259" max="259" width="10.81640625" style="77" customWidth="1"/>
    <col min="260" max="260" width="25.7265625" style="77" customWidth="1"/>
    <col min="261" max="261" width="17.1796875" style="77" customWidth="1"/>
    <col min="262" max="262" width="4.7265625" style="77" customWidth="1"/>
    <col min="263" max="265" width="12.7265625" style="77" customWidth="1"/>
    <col min="266" max="266" width="4.7265625" style="77" customWidth="1"/>
    <col min="267" max="267" width="12.7265625" style="77" customWidth="1"/>
    <col min="268" max="268" width="4.7265625" style="77" customWidth="1"/>
    <col min="269" max="303" width="12.7265625" style="77" customWidth="1"/>
    <col min="304" max="513" width="9" style="77"/>
    <col min="514" max="514" width="4" style="77" customWidth="1"/>
    <col min="515" max="515" width="10.81640625" style="77" customWidth="1"/>
    <col min="516" max="516" width="25.7265625" style="77" customWidth="1"/>
    <col min="517" max="517" width="17.1796875" style="77" customWidth="1"/>
    <col min="518" max="518" width="4.7265625" style="77" customWidth="1"/>
    <col min="519" max="521" width="12.7265625" style="77" customWidth="1"/>
    <col min="522" max="522" width="4.7265625" style="77" customWidth="1"/>
    <col min="523" max="523" width="12.7265625" style="77" customWidth="1"/>
    <col min="524" max="524" width="4.7265625" style="77" customWidth="1"/>
    <col min="525" max="559" width="12.7265625" style="77" customWidth="1"/>
    <col min="560" max="769" width="9" style="77"/>
    <col min="770" max="770" width="4" style="77" customWidth="1"/>
    <col min="771" max="771" width="10.81640625" style="77" customWidth="1"/>
    <col min="772" max="772" width="25.7265625" style="77" customWidth="1"/>
    <col min="773" max="773" width="17.1796875" style="77" customWidth="1"/>
    <col min="774" max="774" width="4.7265625" style="77" customWidth="1"/>
    <col min="775" max="777" width="12.7265625" style="77" customWidth="1"/>
    <col min="778" max="778" width="4.7265625" style="77" customWidth="1"/>
    <col min="779" max="779" width="12.7265625" style="77" customWidth="1"/>
    <col min="780" max="780" width="4.7265625" style="77" customWidth="1"/>
    <col min="781" max="815" width="12.7265625" style="77" customWidth="1"/>
    <col min="816" max="1025" width="9" style="77"/>
    <col min="1026" max="1026" width="4" style="77" customWidth="1"/>
    <col min="1027" max="1027" width="10.81640625" style="77" customWidth="1"/>
    <col min="1028" max="1028" width="25.7265625" style="77" customWidth="1"/>
    <col min="1029" max="1029" width="17.1796875" style="77" customWidth="1"/>
    <col min="1030" max="1030" width="4.7265625" style="77" customWidth="1"/>
    <col min="1031" max="1033" width="12.7265625" style="77" customWidth="1"/>
    <col min="1034" max="1034" width="4.7265625" style="77" customWidth="1"/>
    <col min="1035" max="1035" width="12.7265625" style="77" customWidth="1"/>
    <col min="1036" max="1036" width="4.7265625" style="77" customWidth="1"/>
    <col min="1037" max="1071" width="12.7265625" style="77" customWidth="1"/>
    <col min="1072" max="1281" width="9" style="77"/>
    <col min="1282" max="1282" width="4" style="77" customWidth="1"/>
    <col min="1283" max="1283" width="10.81640625" style="77" customWidth="1"/>
    <col min="1284" max="1284" width="25.7265625" style="77" customWidth="1"/>
    <col min="1285" max="1285" width="17.1796875" style="77" customWidth="1"/>
    <col min="1286" max="1286" width="4.7265625" style="77" customWidth="1"/>
    <col min="1287" max="1289" width="12.7265625" style="77" customWidth="1"/>
    <col min="1290" max="1290" width="4.7265625" style="77" customWidth="1"/>
    <col min="1291" max="1291" width="12.7265625" style="77" customWidth="1"/>
    <col min="1292" max="1292" width="4.7265625" style="77" customWidth="1"/>
    <col min="1293" max="1327" width="12.7265625" style="77" customWidth="1"/>
    <col min="1328" max="1537" width="9" style="77"/>
    <col min="1538" max="1538" width="4" style="77" customWidth="1"/>
    <col min="1539" max="1539" width="10.81640625" style="77" customWidth="1"/>
    <col min="1540" max="1540" width="25.7265625" style="77" customWidth="1"/>
    <col min="1541" max="1541" width="17.1796875" style="77" customWidth="1"/>
    <col min="1542" max="1542" width="4.7265625" style="77" customWidth="1"/>
    <col min="1543" max="1545" width="12.7265625" style="77" customWidth="1"/>
    <col min="1546" max="1546" width="4.7265625" style="77" customWidth="1"/>
    <col min="1547" max="1547" width="12.7265625" style="77" customWidth="1"/>
    <col min="1548" max="1548" width="4.7265625" style="77" customWidth="1"/>
    <col min="1549" max="1583" width="12.7265625" style="77" customWidth="1"/>
    <col min="1584" max="1793" width="9" style="77"/>
    <col min="1794" max="1794" width="4" style="77" customWidth="1"/>
    <col min="1795" max="1795" width="10.81640625" style="77" customWidth="1"/>
    <col min="1796" max="1796" width="25.7265625" style="77" customWidth="1"/>
    <col min="1797" max="1797" width="17.1796875" style="77" customWidth="1"/>
    <col min="1798" max="1798" width="4.7265625" style="77" customWidth="1"/>
    <col min="1799" max="1801" width="12.7265625" style="77" customWidth="1"/>
    <col min="1802" max="1802" width="4.7265625" style="77" customWidth="1"/>
    <col min="1803" max="1803" width="12.7265625" style="77" customWidth="1"/>
    <col min="1804" max="1804" width="4.7265625" style="77" customWidth="1"/>
    <col min="1805" max="1839" width="12.7265625" style="77" customWidth="1"/>
    <col min="1840" max="2049" width="9" style="77"/>
    <col min="2050" max="2050" width="4" style="77" customWidth="1"/>
    <col min="2051" max="2051" width="10.81640625" style="77" customWidth="1"/>
    <col min="2052" max="2052" width="25.7265625" style="77" customWidth="1"/>
    <col min="2053" max="2053" width="17.1796875" style="77" customWidth="1"/>
    <col min="2054" max="2054" width="4.7265625" style="77" customWidth="1"/>
    <col min="2055" max="2057" width="12.7265625" style="77" customWidth="1"/>
    <col min="2058" max="2058" width="4.7265625" style="77" customWidth="1"/>
    <col min="2059" max="2059" width="12.7265625" style="77" customWidth="1"/>
    <col min="2060" max="2060" width="4.7265625" style="77" customWidth="1"/>
    <col min="2061" max="2095" width="12.7265625" style="77" customWidth="1"/>
    <col min="2096" max="2305" width="9" style="77"/>
    <col min="2306" max="2306" width="4" style="77" customWidth="1"/>
    <col min="2307" max="2307" width="10.81640625" style="77" customWidth="1"/>
    <col min="2308" max="2308" width="25.7265625" style="77" customWidth="1"/>
    <col min="2309" max="2309" width="17.1796875" style="77" customWidth="1"/>
    <col min="2310" max="2310" width="4.7265625" style="77" customWidth="1"/>
    <col min="2311" max="2313" width="12.7265625" style="77" customWidth="1"/>
    <col min="2314" max="2314" width="4.7265625" style="77" customWidth="1"/>
    <col min="2315" max="2315" width="12.7265625" style="77" customWidth="1"/>
    <col min="2316" max="2316" width="4.7265625" style="77" customWidth="1"/>
    <col min="2317" max="2351" width="12.7265625" style="77" customWidth="1"/>
    <col min="2352" max="2561" width="9" style="77"/>
    <col min="2562" max="2562" width="4" style="77" customWidth="1"/>
    <col min="2563" max="2563" width="10.81640625" style="77" customWidth="1"/>
    <col min="2564" max="2564" width="25.7265625" style="77" customWidth="1"/>
    <col min="2565" max="2565" width="17.1796875" style="77" customWidth="1"/>
    <col min="2566" max="2566" width="4.7265625" style="77" customWidth="1"/>
    <col min="2567" max="2569" width="12.7265625" style="77" customWidth="1"/>
    <col min="2570" max="2570" width="4.7265625" style="77" customWidth="1"/>
    <col min="2571" max="2571" width="12.7265625" style="77" customWidth="1"/>
    <col min="2572" max="2572" width="4.7265625" style="77" customWidth="1"/>
    <col min="2573" max="2607" width="12.7265625" style="77" customWidth="1"/>
    <col min="2608" max="2817" width="9" style="77"/>
    <col min="2818" max="2818" width="4" style="77" customWidth="1"/>
    <col min="2819" max="2819" width="10.81640625" style="77" customWidth="1"/>
    <col min="2820" max="2820" width="25.7265625" style="77" customWidth="1"/>
    <col min="2821" max="2821" width="17.1796875" style="77" customWidth="1"/>
    <col min="2822" max="2822" width="4.7265625" style="77" customWidth="1"/>
    <col min="2823" max="2825" width="12.7265625" style="77" customWidth="1"/>
    <col min="2826" max="2826" width="4.7265625" style="77" customWidth="1"/>
    <col min="2827" max="2827" width="12.7265625" style="77" customWidth="1"/>
    <col min="2828" max="2828" width="4.7265625" style="77" customWidth="1"/>
    <col min="2829" max="2863" width="12.7265625" style="77" customWidth="1"/>
    <col min="2864" max="3073" width="9" style="77"/>
    <col min="3074" max="3074" width="4" style="77" customWidth="1"/>
    <col min="3075" max="3075" width="10.81640625" style="77" customWidth="1"/>
    <col min="3076" max="3076" width="25.7265625" style="77" customWidth="1"/>
    <col min="3077" max="3077" width="17.1796875" style="77" customWidth="1"/>
    <col min="3078" max="3078" width="4.7265625" style="77" customWidth="1"/>
    <col min="3079" max="3081" width="12.7265625" style="77" customWidth="1"/>
    <col min="3082" max="3082" width="4.7265625" style="77" customWidth="1"/>
    <col min="3083" max="3083" width="12.7265625" style="77" customWidth="1"/>
    <col min="3084" max="3084" width="4.7265625" style="77" customWidth="1"/>
    <col min="3085" max="3119" width="12.7265625" style="77" customWidth="1"/>
    <col min="3120" max="3329" width="9" style="77"/>
    <col min="3330" max="3330" width="4" style="77" customWidth="1"/>
    <col min="3331" max="3331" width="10.81640625" style="77" customWidth="1"/>
    <col min="3332" max="3332" width="25.7265625" style="77" customWidth="1"/>
    <col min="3333" max="3333" width="17.1796875" style="77" customWidth="1"/>
    <col min="3334" max="3334" width="4.7265625" style="77" customWidth="1"/>
    <col min="3335" max="3337" width="12.7265625" style="77" customWidth="1"/>
    <col min="3338" max="3338" width="4.7265625" style="77" customWidth="1"/>
    <col min="3339" max="3339" width="12.7265625" style="77" customWidth="1"/>
    <col min="3340" max="3340" width="4.7265625" style="77" customWidth="1"/>
    <col min="3341" max="3375" width="12.7265625" style="77" customWidth="1"/>
    <col min="3376" max="3585" width="9" style="77"/>
    <col min="3586" max="3586" width="4" style="77" customWidth="1"/>
    <col min="3587" max="3587" width="10.81640625" style="77" customWidth="1"/>
    <col min="3588" max="3588" width="25.7265625" style="77" customWidth="1"/>
    <col min="3589" max="3589" width="17.1796875" style="77" customWidth="1"/>
    <col min="3590" max="3590" width="4.7265625" style="77" customWidth="1"/>
    <col min="3591" max="3593" width="12.7265625" style="77" customWidth="1"/>
    <col min="3594" max="3594" width="4.7265625" style="77" customWidth="1"/>
    <col min="3595" max="3595" width="12.7265625" style="77" customWidth="1"/>
    <col min="3596" max="3596" width="4.7265625" style="77" customWidth="1"/>
    <col min="3597" max="3631" width="12.7265625" style="77" customWidth="1"/>
    <col min="3632" max="3841" width="9" style="77"/>
    <col min="3842" max="3842" width="4" style="77" customWidth="1"/>
    <col min="3843" max="3843" width="10.81640625" style="77" customWidth="1"/>
    <col min="3844" max="3844" width="25.7265625" style="77" customWidth="1"/>
    <col min="3845" max="3845" width="17.1796875" style="77" customWidth="1"/>
    <col min="3846" max="3846" width="4.7265625" style="77" customWidth="1"/>
    <col min="3847" max="3849" width="12.7265625" style="77" customWidth="1"/>
    <col min="3850" max="3850" width="4.7265625" style="77" customWidth="1"/>
    <col min="3851" max="3851" width="12.7265625" style="77" customWidth="1"/>
    <col min="3852" max="3852" width="4.7265625" style="77" customWidth="1"/>
    <col min="3853" max="3887" width="12.7265625" style="77" customWidth="1"/>
    <col min="3888" max="4097" width="9" style="77"/>
    <col min="4098" max="4098" width="4" style="77" customWidth="1"/>
    <col min="4099" max="4099" width="10.81640625" style="77" customWidth="1"/>
    <col min="4100" max="4100" width="25.7265625" style="77" customWidth="1"/>
    <col min="4101" max="4101" width="17.1796875" style="77" customWidth="1"/>
    <col min="4102" max="4102" width="4.7265625" style="77" customWidth="1"/>
    <col min="4103" max="4105" width="12.7265625" style="77" customWidth="1"/>
    <col min="4106" max="4106" width="4.7265625" style="77" customWidth="1"/>
    <col min="4107" max="4107" width="12.7265625" style="77" customWidth="1"/>
    <col min="4108" max="4108" width="4.7265625" style="77" customWidth="1"/>
    <col min="4109" max="4143" width="12.7265625" style="77" customWidth="1"/>
    <col min="4144" max="4353" width="9" style="77"/>
    <col min="4354" max="4354" width="4" style="77" customWidth="1"/>
    <col min="4355" max="4355" width="10.81640625" style="77" customWidth="1"/>
    <col min="4356" max="4356" width="25.7265625" style="77" customWidth="1"/>
    <col min="4357" max="4357" width="17.1796875" style="77" customWidth="1"/>
    <col min="4358" max="4358" width="4.7265625" style="77" customWidth="1"/>
    <col min="4359" max="4361" width="12.7265625" style="77" customWidth="1"/>
    <col min="4362" max="4362" width="4.7265625" style="77" customWidth="1"/>
    <col min="4363" max="4363" width="12.7265625" style="77" customWidth="1"/>
    <col min="4364" max="4364" width="4.7265625" style="77" customWidth="1"/>
    <col min="4365" max="4399" width="12.7265625" style="77" customWidth="1"/>
    <col min="4400" max="4609" width="9" style="77"/>
    <col min="4610" max="4610" width="4" style="77" customWidth="1"/>
    <col min="4611" max="4611" width="10.81640625" style="77" customWidth="1"/>
    <col min="4612" max="4612" width="25.7265625" style="77" customWidth="1"/>
    <col min="4613" max="4613" width="17.1796875" style="77" customWidth="1"/>
    <col min="4614" max="4614" width="4.7265625" style="77" customWidth="1"/>
    <col min="4615" max="4617" width="12.7265625" style="77" customWidth="1"/>
    <col min="4618" max="4618" width="4.7265625" style="77" customWidth="1"/>
    <col min="4619" max="4619" width="12.7265625" style="77" customWidth="1"/>
    <col min="4620" max="4620" width="4.7265625" style="77" customWidth="1"/>
    <col min="4621" max="4655" width="12.7265625" style="77" customWidth="1"/>
    <col min="4656" max="4865" width="9" style="77"/>
    <col min="4866" max="4866" width="4" style="77" customWidth="1"/>
    <col min="4867" max="4867" width="10.81640625" style="77" customWidth="1"/>
    <col min="4868" max="4868" width="25.7265625" style="77" customWidth="1"/>
    <col min="4869" max="4869" width="17.1796875" style="77" customWidth="1"/>
    <col min="4870" max="4870" width="4.7265625" style="77" customWidth="1"/>
    <col min="4871" max="4873" width="12.7265625" style="77" customWidth="1"/>
    <col min="4874" max="4874" width="4.7265625" style="77" customWidth="1"/>
    <col min="4875" max="4875" width="12.7265625" style="77" customWidth="1"/>
    <col min="4876" max="4876" width="4.7265625" style="77" customWidth="1"/>
    <col min="4877" max="4911" width="12.7265625" style="77" customWidth="1"/>
    <col min="4912" max="5121" width="9" style="77"/>
    <col min="5122" max="5122" width="4" style="77" customWidth="1"/>
    <col min="5123" max="5123" width="10.81640625" style="77" customWidth="1"/>
    <col min="5124" max="5124" width="25.7265625" style="77" customWidth="1"/>
    <col min="5125" max="5125" width="17.1796875" style="77" customWidth="1"/>
    <col min="5126" max="5126" width="4.7265625" style="77" customWidth="1"/>
    <col min="5127" max="5129" width="12.7265625" style="77" customWidth="1"/>
    <col min="5130" max="5130" width="4.7265625" style="77" customWidth="1"/>
    <col min="5131" max="5131" width="12.7265625" style="77" customWidth="1"/>
    <col min="5132" max="5132" width="4.7265625" style="77" customWidth="1"/>
    <col min="5133" max="5167" width="12.7265625" style="77" customWidth="1"/>
    <col min="5168" max="5377" width="9" style="77"/>
    <col min="5378" max="5378" width="4" style="77" customWidth="1"/>
    <col min="5379" max="5379" width="10.81640625" style="77" customWidth="1"/>
    <col min="5380" max="5380" width="25.7265625" style="77" customWidth="1"/>
    <col min="5381" max="5381" width="17.1796875" style="77" customWidth="1"/>
    <col min="5382" max="5382" width="4.7265625" style="77" customWidth="1"/>
    <col min="5383" max="5385" width="12.7265625" style="77" customWidth="1"/>
    <col min="5386" max="5386" width="4.7265625" style="77" customWidth="1"/>
    <col min="5387" max="5387" width="12.7265625" style="77" customWidth="1"/>
    <col min="5388" max="5388" width="4.7265625" style="77" customWidth="1"/>
    <col min="5389" max="5423" width="12.7265625" style="77" customWidth="1"/>
    <col min="5424" max="5633" width="9" style="77"/>
    <col min="5634" max="5634" width="4" style="77" customWidth="1"/>
    <col min="5635" max="5635" width="10.81640625" style="77" customWidth="1"/>
    <col min="5636" max="5636" width="25.7265625" style="77" customWidth="1"/>
    <col min="5637" max="5637" width="17.1796875" style="77" customWidth="1"/>
    <col min="5638" max="5638" width="4.7265625" style="77" customWidth="1"/>
    <col min="5639" max="5641" width="12.7265625" style="77" customWidth="1"/>
    <col min="5642" max="5642" width="4.7265625" style="77" customWidth="1"/>
    <col min="5643" max="5643" width="12.7265625" style="77" customWidth="1"/>
    <col min="5644" max="5644" width="4.7265625" style="77" customWidth="1"/>
    <col min="5645" max="5679" width="12.7265625" style="77" customWidth="1"/>
    <col min="5680" max="5889" width="9" style="77"/>
    <col min="5890" max="5890" width="4" style="77" customWidth="1"/>
    <col min="5891" max="5891" width="10.81640625" style="77" customWidth="1"/>
    <col min="5892" max="5892" width="25.7265625" style="77" customWidth="1"/>
    <col min="5893" max="5893" width="17.1796875" style="77" customWidth="1"/>
    <col min="5894" max="5894" width="4.7265625" style="77" customWidth="1"/>
    <col min="5895" max="5897" width="12.7265625" style="77" customWidth="1"/>
    <col min="5898" max="5898" width="4.7265625" style="77" customWidth="1"/>
    <col min="5899" max="5899" width="12.7265625" style="77" customWidth="1"/>
    <col min="5900" max="5900" width="4.7265625" style="77" customWidth="1"/>
    <col min="5901" max="5935" width="12.7265625" style="77" customWidth="1"/>
    <col min="5936" max="6145" width="9" style="77"/>
    <col min="6146" max="6146" width="4" style="77" customWidth="1"/>
    <col min="6147" max="6147" width="10.81640625" style="77" customWidth="1"/>
    <col min="6148" max="6148" width="25.7265625" style="77" customWidth="1"/>
    <col min="6149" max="6149" width="17.1796875" style="77" customWidth="1"/>
    <col min="6150" max="6150" width="4.7265625" style="77" customWidth="1"/>
    <col min="6151" max="6153" width="12.7265625" style="77" customWidth="1"/>
    <col min="6154" max="6154" width="4.7265625" style="77" customWidth="1"/>
    <col min="6155" max="6155" width="12.7265625" style="77" customWidth="1"/>
    <col min="6156" max="6156" width="4.7265625" style="77" customWidth="1"/>
    <col min="6157" max="6191" width="12.7265625" style="77" customWidth="1"/>
    <col min="6192" max="6401" width="9" style="77"/>
    <col min="6402" max="6402" width="4" style="77" customWidth="1"/>
    <col min="6403" max="6403" width="10.81640625" style="77" customWidth="1"/>
    <col min="6404" max="6404" width="25.7265625" style="77" customWidth="1"/>
    <col min="6405" max="6405" width="17.1796875" style="77" customWidth="1"/>
    <col min="6406" max="6406" width="4.7265625" style="77" customWidth="1"/>
    <col min="6407" max="6409" width="12.7265625" style="77" customWidth="1"/>
    <col min="6410" max="6410" width="4.7265625" style="77" customWidth="1"/>
    <col min="6411" max="6411" width="12.7265625" style="77" customWidth="1"/>
    <col min="6412" max="6412" width="4.7265625" style="77" customWidth="1"/>
    <col min="6413" max="6447" width="12.7265625" style="77" customWidth="1"/>
    <col min="6448" max="6657" width="9" style="77"/>
    <col min="6658" max="6658" width="4" style="77" customWidth="1"/>
    <col min="6659" max="6659" width="10.81640625" style="77" customWidth="1"/>
    <col min="6660" max="6660" width="25.7265625" style="77" customWidth="1"/>
    <col min="6661" max="6661" width="17.1796875" style="77" customWidth="1"/>
    <col min="6662" max="6662" width="4.7265625" style="77" customWidth="1"/>
    <col min="6663" max="6665" width="12.7265625" style="77" customWidth="1"/>
    <col min="6666" max="6666" width="4.7265625" style="77" customWidth="1"/>
    <col min="6667" max="6667" width="12.7265625" style="77" customWidth="1"/>
    <col min="6668" max="6668" width="4.7265625" style="77" customWidth="1"/>
    <col min="6669" max="6703" width="12.7265625" style="77" customWidth="1"/>
    <col min="6704" max="6913" width="9" style="77"/>
    <col min="6914" max="6914" width="4" style="77" customWidth="1"/>
    <col min="6915" max="6915" width="10.81640625" style="77" customWidth="1"/>
    <col min="6916" max="6916" width="25.7265625" style="77" customWidth="1"/>
    <col min="6917" max="6917" width="17.1796875" style="77" customWidth="1"/>
    <col min="6918" max="6918" width="4.7265625" style="77" customWidth="1"/>
    <col min="6919" max="6921" width="12.7265625" style="77" customWidth="1"/>
    <col min="6922" max="6922" width="4.7265625" style="77" customWidth="1"/>
    <col min="6923" max="6923" width="12.7265625" style="77" customWidth="1"/>
    <col min="6924" max="6924" width="4.7265625" style="77" customWidth="1"/>
    <col min="6925" max="6959" width="12.7265625" style="77" customWidth="1"/>
    <col min="6960" max="7169" width="9" style="77"/>
    <col min="7170" max="7170" width="4" style="77" customWidth="1"/>
    <col min="7171" max="7171" width="10.81640625" style="77" customWidth="1"/>
    <col min="7172" max="7172" width="25.7265625" style="77" customWidth="1"/>
    <col min="7173" max="7173" width="17.1796875" style="77" customWidth="1"/>
    <col min="7174" max="7174" width="4.7265625" style="77" customWidth="1"/>
    <col min="7175" max="7177" width="12.7265625" style="77" customWidth="1"/>
    <col min="7178" max="7178" width="4.7265625" style="77" customWidth="1"/>
    <col min="7179" max="7179" width="12.7265625" style="77" customWidth="1"/>
    <col min="7180" max="7180" width="4.7265625" style="77" customWidth="1"/>
    <col min="7181" max="7215" width="12.7265625" style="77" customWidth="1"/>
    <col min="7216" max="7425" width="9" style="77"/>
    <col min="7426" max="7426" width="4" style="77" customWidth="1"/>
    <col min="7427" max="7427" width="10.81640625" style="77" customWidth="1"/>
    <col min="7428" max="7428" width="25.7265625" style="77" customWidth="1"/>
    <col min="7429" max="7429" width="17.1796875" style="77" customWidth="1"/>
    <col min="7430" max="7430" width="4.7265625" style="77" customWidth="1"/>
    <col min="7431" max="7433" width="12.7265625" style="77" customWidth="1"/>
    <col min="7434" max="7434" width="4.7265625" style="77" customWidth="1"/>
    <col min="7435" max="7435" width="12.7265625" style="77" customWidth="1"/>
    <col min="7436" max="7436" width="4.7265625" style="77" customWidth="1"/>
    <col min="7437" max="7471" width="12.7265625" style="77" customWidth="1"/>
    <col min="7472" max="7681" width="9" style="77"/>
    <col min="7682" max="7682" width="4" style="77" customWidth="1"/>
    <col min="7683" max="7683" width="10.81640625" style="77" customWidth="1"/>
    <col min="7684" max="7684" width="25.7265625" style="77" customWidth="1"/>
    <col min="7685" max="7685" width="17.1796875" style="77" customWidth="1"/>
    <col min="7686" max="7686" width="4.7265625" style="77" customWidth="1"/>
    <col min="7687" max="7689" width="12.7265625" style="77" customWidth="1"/>
    <col min="7690" max="7690" width="4.7265625" style="77" customWidth="1"/>
    <col min="7691" max="7691" width="12.7265625" style="77" customWidth="1"/>
    <col min="7692" max="7692" width="4.7265625" style="77" customWidth="1"/>
    <col min="7693" max="7727" width="12.7265625" style="77" customWidth="1"/>
    <col min="7728" max="7937" width="9" style="77"/>
    <col min="7938" max="7938" width="4" style="77" customWidth="1"/>
    <col min="7939" max="7939" width="10.81640625" style="77" customWidth="1"/>
    <col min="7940" max="7940" width="25.7265625" style="77" customWidth="1"/>
    <col min="7941" max="7941" width="17.1796875" style="77" customWidth="1"/>
    <col min="7942" max="7942" width="4.7265625" style="77" customWidth="1"/>
    <col min="7943" max="7945" width="12.7265625" style="77" customWidth="1"/>
    <col min="7946" max="7946" width="4.7265625" style="77" customWidth="1"/>
    <col min="7947" max="7947" width="12.7265625" style="77" customWidth="1"/>
    <col min="7948" max="7948" width="4.7265625" style="77" customWidth="1"/>
    <col min="7949" max="7983" width="12.7265625" style="77" customWidth="1"/>
    <col min="7984" max="8193" width="9" style="77"/>
    <col min="8194" max="8194" width="4" style="77" customWidth="1"/>
    <col min="8195" max="8195" width="10.81640625" style="77" customWidth="1"/>
    <col min="8196" max="8196" width="25.7265625" style="77" customWidth="1"/>
    <col min="8197" max="8197" width="17.1796875" style="77" customWidth="1"/>
    <col min="8198" max="8198" width="4.7265625" style="77" customWidth="1"/>
    <col min="8199" max="8201" width="12.7265625" style="77" customWidth="1"/>
    <col min="8202" max="8202" width="4.7265625" style="77" customWidth="1"/>
    <col min="8203" max="8203" width="12.7265625" style="77" customWidth="1"/>
    <col min="8204" max="8204" width="4.7265625" style="77" customWidth="1"/>
    <col min="8205" max="8239" width="12.7265625" style="77" customWidth="1"/>
    <col min="8240" max="8449" width="9" style="77"/>
    <col min="8450" max="8450" width="4" style="77" customWidth="1"/>
    <col min="8451" max="8451" width="10.81640625" style="77" customWidth="1"/>
    <col min="8452" max="8452" width="25.7265625" style="77" customWidth="1"/>
    <col min="8453" max="8453" width="17.1796875" style="77" customWidth="1"/>
    <col min="8454" max="8454" width="4.7265625" style="77" customWidth="1"/>
    <col min="8455" max="8457" width="12.7265625" style="77" customWidth="1"/>
    <col min="8458" max="8458" width="4.7265625" style="77" customWidth="1"/>
    <col min="8459" max="8459" width="12.7265625" style="77" customWidth="1"/>
    <col min="8460" max="8460" width="4.7265625" style="77" customWidth="1"/>
    <col min="8461" max="8495" width="12.7265625" style="77" customWidth="1"/>
    <col min="8496" max="8705" width="9" style="77"/>
    <col min="8706" max="8706" width="4" style="77" customWidth="1"/>
    <col min="8707" max="8707" width="10.81640625" style="77" customWidth="1"/>
    <col min="8708" max="8708" width="25.7265625" style="77" customWidth="1"/>
    <col min="8709" max="8709" width="17.1796875" style="77" customWidth="1"/>
    <col min="8710" max="8710" width="4.7265625" style="77" customWidth="1"/>
    <col min="8711" max="8713" width="12.7265625" style="77" customWidth="1"/>
    <col min="8714" max="8714" width="4.7265625" style="77" customWidth="1"/>
    <col min="8715" max="8715" width="12.7265625" style="77" customWidth="1"/>
    <col min="8716" max="8716" width="4.7265625" style="77" customWidth="1"/>
    <col min="8717" max="8751" width="12.7265625" style="77" customWidth="1"/>
    <col min="8752" max="8961" width="9" style="77"/>
    <col min="8962" max="8962" width="4" style="77" customWidth="1"/>
    <col min="8963" max="8963" width="10.81640625" style="77" customWidth="1"/>
    <col min="8964" max="8964" width="25.7265625" style="77" customWidth="1"/>
    <col min="8965" max="8965" width="17.1796875" style="77" customWidth="1"/>
    <col min="8966" max="8966" width="4.7265625" style="77" customWidth="1"/>
    <col min="8967" max="8969" width="12.7265625" style="77" customWidth="1"/>
    <col min="8970" max="8970" width="4.7265625" style="77" customWidth="1"/>
    <col min="8971" max="8971" width="12.7265625" style="77" customWidth="1"/>
    <col min="8972" max="8972" width="4.7265625" style="77" customWidth="1"/>
    <col min="8973" max="9007" width="12.7265625" style="77" customWidth="1"/>
    <col min="9008" max="9217" width="9" style="77"/>
    <col min="9218" max="9218" width="4" style="77" customWidth="1"/>
    <col min="9219" max="9219" width="10.81640625" style="77" customWidth="1"/>
    <col min="9220" max="9220" width="25.7265625" style="77" customWidth="1"/>
    <col min="9221" max="9221" width="17.1796875" style="77" customWidth="1"/>
    <col min="9222" max="9222" width="4.7265625" style="77" customWidth="1"/>
    <col min="9223" max="9225" width="12.7265625" style="77" customWidth="1"/>
    <col min="9226" max="9226" width="4.7265625" style="77" customWidth="1"/>
    <col min="9227" max="9227" width="12.7265625" style="77" customWidth="1"/>
    <col min="9228" max="9228" width="4.7265625" style="77" customWidth="1"/>
    <col min="9229" max="9263" width="12.7265625" style="77" customWidth="1"/>
    <col min="9264" max="9473" width="9" style="77"/>
    <col min="9474" max="9474" width="4" style="77" customWidth="1"/>
    <col min="9475" max="9475" width="10.81640625" style="77" customWidth="1"/>
    <col min="9476" max="9476" width="25.7265625" style="77" customWidth="1"/>
    <col min="9477" max="9477" width="17.1796875" style="77" customWidth="1"/>
    <col min="9478" max="9478" width="4.7265625" style="77" customWidth="1"/>
    <col min="9479" max="9481" width="12.7265625" style="77" customWidth="1"/>
    <col min="9482" max="9482" width="4.7265625" style="77" customWidth="1"/>
    <col min="9483" max="9483" width="12.7265625" style="77" customWidth="1"/>
    <col min="9484" max="9484" width="4.7265625" style="77" customWidth="1"/>
    <col min="9485" max="9519" width="12.7265625" style="77" customWidth="1"/>
    <col min="9520" max="9729" width="9" style="77"/>
    <col min="9730" max="9730" width="4" style="77" customWidth="1"/>
    <col min="9731" max="9731" width="10.81640625" style="77" customWidth="1"/>
    <col min="9732" max="9732" width="25.7265625" style="77" customWidth="1"/>
    <col min="9733" max="9733" width="17.1796875" style="77" customWidth="1"/>
    <col min="9734" max="9734" width="4.7265625" style="77" customWidth="1"/>
    <col min="9735" max="9737" width="12.7265625" style="77" customWidth="1"/>
    <col min="9738" max="9738" width="4.7265625" style="77" customWidth="1"/>
    <col min="9739" max="9739" width="12.7265625" style="77" customWidth="1"/>
    <col min="9740" max="9740" width="4.7265625" style="77" customWidth="1"/>
    <col min="9741" max="9775" width="12.7265625" style="77" customWidth="1"/>
    <col min="9776" max="9985" width="9" style="77"/>
    <col min="9986" max="9986" width="4" style="77" customWidth="1"/>
    <col min="9987" max="9987" width="10.81640625" style="77" customWidth="1"/>
    <col min="9988" max="9988" width="25.7265625" style="77" customWidth="1"/>
    <col min="9989" max="9989" width="17.1796875" style="77" customWidth="1"/>
    <col min="9990" max="9990" width="4.7265625" style="77" customWidth="1"/>
    <col min="9991" max="9993" width="12.7265625" style="77" customWidth="1"/>
    <col min="9994" max="9994" width="4.7265625" style="77" customWidth="1"/>
    <col min="9995" max="9995" width="12.7265625" style="77" customWidth="1"/>
    <col min="9996" max="9996" width="4.7265625" style="77" customWidth="1"/>
    <col min="9997" max="10031" width="12.7265625" style="77" customWidth="1"/>
    <col min="10032" max="10241" width="9" style="77"/>
    <col min="10242" max="10242" width="4" style="77" customWidth="1"/>
    <col min="10243" max="10243" width="10.81640625" style="77" customWidth="1"/>
    <col min="10244" max="10244" width="25.7265625" style="77" customWidth="1"/>
    <col min="10245" max="10245" width="17.1796875" style="77" customWidth="1"/>
    <col min="10246" max="10246" width="4.7265625" style="77" customWidth="1"/>
    <col min="10247" max="10249" width="12.7265625" style="77" customWidth="1"/>
    <col min="10250" max="10250" width="4.7265625" style="77" customWidth="1"/>
    <col min="10251" max="10251" width="12.7265625" style="77" customWidth="1"/>
    <col min="10252" max="10252" width="4.7265625" style="77" customWidth="1"/>
    <col min="10253" max="10287" width="12.7265625" style="77" customWidth="1"/>
    <col min="10288" max="10497" width="9" style="77"/>
    <col min="10498" max="10498" width="4" style="77" customWidth="1"/>
    <col min="10499" max="10499" width="10.81640625" style="77" customWidth="1"/>
    <col min="10500" max="10500" width="25.7265625" style="77" customWidth="1"/>
    <col min="10501" max="10501" width="17.1796875" style="77" customWidth="1"/>
    <col min="10502" max="10502" width="4.7265625" style="77" customWidth="1"/>
    <col min="10503" max="10505" width="12.7265625" style="77" customWidth="1"/>
    <col min="10506" max="10506" width="4.7265625" style="77" customWidth="1"/>
    <col min="10507" max="10507" width="12.7265625" style="77" customWidth="1"/>
    <col min="10508" max="10508" width="4.7265625" style="77" customWidth="1"/>
    <col min="10509" max="10543" width="12.7265625" style="77" customWidth="1"/>
    <col min="10544" max="10753" width="9" style="77"/>
    <col min="10754" max="10754" width="4" style="77" customWidth="1"/>
    <col min="10755" max="10755" width="10.81640625" style="77" customWidth="1"/>
    <col min="10756" max="10756" width="25.7265625" style="77" customWidth="1"/>
    <col min="10757" max="10757" width="17.1796875" style="77" customWidth="1"/>
    <col min="10758" max="10758" width="4.7265625" style="77" customWidth="1"/>
    <col min="10759" max="10761" width="12.7265625" style="77" customWidth="1"/>
    <col min="10762" max="10762" width="4.7265625" style="77" customWidth="1"/>
    <col min="10763" max="10763" width="12.7265625" style="77" customWidth="1"/>
    <col min="10764" max="10764" width="4.7265625" style="77" customWidth="1"/>
    <col min="10765" max="10799" width="12.7265625" style="77" customWidth="1"/>
    <col min="10800" max="11009" width="9" style="77"/>
    <col min="11010" max="11010" width="4" style="77" customWidth="1"/>
    <col min="11011" max="11011" width="10.81640625" style="77" customWidth="1"/>
    <col min="11012" max="11012" width="25.7265625" style="77" customWidth="1"/>
    <col min="11013" max="11013" width="17.1796875" style="77" customWidth="1"/>
    <col min="11014" max="11014" width="4.7265625" style="77" customWidth="1"/>
    <col min="11015" max="11017" width="12.7265625" style="77" customWidth="1"/>
    <col min="11018" max="11018" width="4.7265625" style="77" customWidth="1"/>
    <col min="11019" max="11019" width="12.7265625" style="77" customWidth="1"/>
    <col min="11020" max="11020" width="4.7265625" style="77" customWidth="1"/>
    <col min="11021" max="11055" width="12.7265625" style="77" customWidth="1"/>
    <col min="11056" max="11265" width="9" style="77"/>
    <col min="11266" max="11266" width="4" style="77" customWidth="1"/>
    <col min="11267" max="11267" width="10.81640625" style="77" customWidth="1"/>
    <col min="11268" max="11268" width="25.7265625" style="77" customWidth="1"/>
    <col min="11269" max="11269" width="17.1796875" style="77" customWidth="1"/>
    <col min="11270" max="11270" width="4.7265625" style="77" customWidth="1"/>
    <col min="11271" max="11273" width="12.7265625" style="77" customWidth="1"/>
    <col min="11274" max="11274" width="4.7265625" style="77" customWidth="1"/>
    <col min="11275" max="11275" width="12.7265625" style="77" customWidth="1"/>
    <col min="11276" max="11276" width="4.7265625" style="77" customWidth="1"/>
    <col min="11277" max="11311" width="12.7265625" style="77" customWidth="1"/>
    <col min="11312" max="11521" width="9" style="77"/>
    <col min="11522" max="11522" width="4" style="77" customWidth="1"/>
    <col min="11523" max="11523" width="10.81640625" style="77" customWidth="1"/>
    <col min="11524" max="11524" width="25.7265625" style="77" customWidth="1"/>
    <col min="11525" max="11525" width="17.1796875" style="77" customWidth="1"/>
    <col min="11526" max="11526" width="4.7265625" style="77" customWidth="1"/>
    <col min="11527" max="11529" width="12.7265625" style="77" customWidth="1"/>
    <col min="11530" max="11530" width="4.7265625" style="77" customWidth="1"/>
    <col min="11531" max="11531" width="12.7265625" style="77" customWidth="1"/>
    <col min="11532" max="11532" width="4.7265625" style="77" customWidth="1"/>
    <col min="11533" max="11567" width="12.7265625" style="77" customWidth="1"/>
    <col min="11568" max="11777" width="9" style="77"/>
    <col min="11778" max="11778" width="4" style="77" customWidth="1"/>
    <col min="11779" max="11779" width="10.81640625" style="77" customWidth="1"/>
    <col min="11780" max="11780" width="25.7265625" style="77" customWidth="1"/>
    <col min="11781" max="11781" width="17.1796875" style="77" customWidth="1"/>
    <col min="11782" max="11782" width="4.7265625" style="77" customWidth="1"/>
    <col min="11783" max="11785" width="12.7265625" style="77" customWidth="1"/>
    <col min="11786" max="11786" width="4.7265625" style="77" customWidth="1"/>
    <col min="11787" max="11787" width="12.7265625" style="77" customWidth="1"/>
    <col min="11788" max="11788" width="4.7265625" style="77" customWidth="1"/>
    <col min="11789" max="11823" width="12.7265625" style="77" customWidth="1"/>
    <col min="11824" max="12033" width="9" style="77"/>
    <col min="12034" max="12034" width="4" style="77" customWidth="1"/>
    <col min="12035" max="12035" width="10.81640625" style="77" customWidth="1"/>
    <col min="12036" max="12036" width="25.7265625" style="77" customWidth="1"/>
    <col min="12037" max="12037" width="17.1796875" style="77" customWidth="1"/>
    <col min="12038" max="12038" width="4.7265625" style="77" customWidth="1"/>
    <col min="12039" max="12041" width="12.7265625" style="77" customWidth="1"/>
    <col min="12042" max="12042" width="4.7265625" style="77" customWidth="1"/>
    <col min="12043" max="12043" width="12.7265625" style="77" customWidth="1"/>
    <col min="12044" max="12044" width="4.7265625" style="77" customWidth="1"/>
    <col min="12045" max="12079" width="12.7265625" style="77" customWidth="1"/>
    <col min="12080" max="12289" width="9" style="77"/>
    <col min="12290" max="12290" width="4" style="77" customWidth="1"/>
    <col min="12291" max="12291" width="10.81640625" style="77" customWidth="1"/>
    <col min="12292" max="12292" width="25.7265625" style="77" customWidth="1"/>
    <col min="12293" max="12293" width="17.1796875" style="77" customWidth="1"/>
    <col min="12294" max="12294" width="4.7265625" style="77" customWidth="1"/>
    <col min="12295" max="12297" width="12.7265625" style="77" customWidth="1"/>
    <col min="12298" max="12298" width="4.7265625" style="77" customWidth="1"/>
    <col min="12299" max="12299" width="12.7265625" style="77" customWidth="1"/>
    <col min="12300" max="12300" width="4.7265625" style="77" customWidth="1"/>
    <col min="12301" max="12335" width="12.7265625" style="77" customWidth="1"/>
    <col min="12336" max="12545" width="9" style="77"/>
    <col min="12546" max="12546" width="4" style="77" customWidth="1"/>
    <col min="12547" max="12547" width="10.81640625" style="77" customWidth="1"/>
    <col min="12548" max="12548" width="25.7265625" style="77" customWidth="1"/>
    <col min="12549" max="12549" width="17.1796875" style="77" customWidth="1"/>
    <col min="12550" max="12550" width="4.7265625" style="77" customWidth="1"/>
    <col min="12551" max="12553" width="12.7265625" style="77" customWidth="1"/>
    <col min="12554" max="12554" width="4.7265625" style="77" customWidth="1"/>
    <col min="12555" max="12555" width="12.7265625" style="77" customWidth="1"/>
    <col min="12556" max="12556" width="4.7265625" style="77" customWidth="1"/>
    <col min="12557" max="12591" width="12.7265625" style="77" customWidth="1"/>
    <col min="12592" max="12801" width="9" style="77"/>
    <col min="12802" max="12802" width="4" style="77" customWidth="1"/>
    <col min="12803" max="12803" width="10.81640625" style="77" customWidth="1"/>
    <col min="12804" max="12804" width="25.7265625" style="77" customWidth="1"/>
    <col min="12805" max="12805" width="17.1796875" style="77" customWidth="1"/>
    <col min="12806" max="12806" width="4.7265625" style="77" customWidth="1"/>
    <col min="12807" max="12809" width="12.7265625" style="77" customWidth="1"/>
    <col min="12810" max="12810" width="4.7265625" style="77" customWidth="1"/>
    <col min="12811" max="12811" width="12.7265625" style="77" customWidth="1"/>
    <col min="12812" max="12812" width="4.7265625" style="77" customWidth="1"/>
    <col min="12813" max="12847" width="12.7265625" style="77" customWidth="1"/>
    <col min="12848" max="13057" width="9" style="77"/>
    <col min="13058" max="13058" width="4" style="77" customWidth="1"/>
    <col min="13059" max="13059" width="10.81640625" style="77" customWidth="1"/>
    <col min="13060" max="13060" width="25.7265625" style="77" customWidth="1"/>
    <col min="13061" max="13061" width="17.1796875" style="77" customWidth="1"/>
    <col min="13062" max="13062" width="4.7265625" style="77" customWidth="1"/>
    <col min="13063" max="13065" width="12.7265625" style="77" customWidth="1"/>
    <col min="13066" max="13066" width="4.7265625" style="77" customWidth="1"/>
    <col min="13067" max="13067" width="12.7265625" style="77" customWidth="1"/>
    <col min="13068" max="13068" width="4.7265625" style="77" customWidth="1"/>
    <col min="13069" max="13103" width="12.7265625" style="77" customWidth="1"/>
    <col min="13104" max="13313" width="9" style="77"/>
    <col min="13314" max="13314" width="4" style="77" customWidth="1"/>
    <col min="13315" max="13315" width="10.81640625" style="77" customWidth="1"/>
    <col min="13316" max="13316" width="25.7265625" style="77" customWidth="1"/>
    <col min="13317" max="13317" width="17.1796875" style="77" customWidth="1"/>
    <col min="13318" max="13318" width="4.7265625" style="77" customWidth="1"/>
    <col min="13319" max="13321" width="12.7265625" style="77" customWidth="1"/>
    <col min="13322" max="13322" width="4.7265625" style="77" customWidth="1"/>
    <col min="13323" max="13323" width="12.7265625" style="77" customWidth="1"/>
    <col min="13324" max="13324" width="4.7265625" style="77" customWidth="1"/>
    <col min="13325" max="13359" width="12.7265625" style="77" customWidth="1"/>
    <col min="13360" max="13569" width="9" style="77"/>
    <col min="13570" max="13570" width="4" style="77" customWidth="1"/>
    <col min="13571" max="13571" width="10.81640625" style="77" customWidth="1"/>
    <col min="13572" max="13572" width="25.7265625" style="77" customWidth="1"/>
    <col min="13573" max="13573" width="17.1796875" style="77" customWidth="1"/>
    <col min="13574" max="13574" width="4.7265625" style="77" customWidth="1"/>
    <col min="13575" max="13577" width="12.7265625" style="77" customWidth="1"/>
    <col min="13578" max="13578" width="4.7265625" style="77" customWidth="1"/>
    <col min="13579" max="13579" width="12.7265625" style="77" customWidth="1"/>
    <col min="13580" max="13580" width="4.7265625" style="77" customWidth="1"/>
    <col min="13581" max="13615" width="12.7265625" style="77" customWidth="1"/>
    <col min="13616" max="13825" width="9" style="77"/>
    <col min="13826" max="13826" width="4" style="77" customWidth="1"/>
    <col min="13827" max="13827" width="10.81640625" style="77" customWidth="1"/>
    <col min="13828" max="13828" width="25.7265625" style="77" customWidth="1"/>
    <col min="13829" max="13829" width="17.1796875" style="77" customWidth="1"/>
    <col min="13830" max="13830" width="4.7265625" style="77" customWidth="1"/>
    <col min="13831" max="13833" width="12.7265625" style="77" customWidth="1"/>
    <col min="13834" max="13834" width="4.7265625" style="77" customWidth="1"/>
    <col min="13835" max="13835" width="12.7265625" style="77" customWidth="1"/>
    <col min="13836" max="13836" width="4.7265625" style="77" customWidth="1"/>
    <col min="13837" max="13871" width="12.7265625" style="77" customWidth="1"/>
    <col min="13872" max="14081" width="9" style="77"/>
    <col min="14082" max="14082" width="4" style="77" customWidth="1"/>
    <col min="14083" max="14083" width="10.81640625" style="77" customWidth="1"/>
    <col min="14084" max="14084" width="25.7265625" style="77" customWidth="1"/>
    <col min="14085" max="14085" width="17.1796875" style="77" customWidth="1"/>
    <col min="14086" max="14086" width="4.7265625" style="77" customWidth="1"/>
    <col min="14087" max="14089" width="12.7265625" style="77" customWidth="1"/>
    <col min="14090" max="14090" width="4.7265625" style="77" customWidth="1"/>
    <col min="14091" max="14091" width="12.7265625" style="77" customWidth="1"/>
    <col min="14092" max="14092" width="4.7265625" style="77" customWidth="1"/>
    <col min="14093" max="14127" width="12.7265625" style="77" customWidth="1"/>
    <col min="14128" max="14337" width="9" style="77"/>
    <col min="14338" max="14338" width="4" style="77" customWidth="1"/>
    <col min="14339" max="14339" width="10.81640625" style="77" customWidth="1"/>
    <col min="14340" max="14340" width="25.7265625" style="77" customWidth="1"/>
    <col min="14341" max="14341" width="17.1796875" style="77" customWidth="1"/>
    <col min="14342" max="14342" width="4.7265625" style="77" customWidth="1"/>
    <col min="14343" max="14345" width="12.7265625" style="77" customWidth="1"/>
    <col min="14346" max="14346" width="4.7265625" style="77" customWidth="1"/>
    <col min="14347" max="14347" width="12.7265625" style="77" customWidth="1"/>
    <col min="14348" max="14348" width="4.7265625" style="77" customWidth="1"/>
    <col min="14349" max="14383" width="12.7265625" style="77" customWidth="1"/>
    <col min="14384" max="14593" width="9" style="77"/>
    <col min="14594" max="14594" width="4" style="77" customWidth="1"/>
    <col min="14595" max="14595" width="10.81640625" style="77" customWidth="1"/>
    <col min="14596" max="14596" width="25.7265625" style="77" customWidth="1"/>
    <col min="14597" max="14597" width="17.1796875" style="77" customWidth="1"/>
    <col min="14598" max="14598" width="4.7265625" style="77" customWidth="1"/>
    <col min="14599" max="14601" width="12.7265625" style="77" customWidth="1"/>
    <col min="14602" max="14602" width="4.7265625" style="77" customWidth="1"/>
    <col min="14603" max="14603" width="12.7265625" style="77" customWidth="1"/>
    <col min="14604" max="14604" width="4.7265625" style="77" customWidth="1"/>
    <col min="14605" max="14639" width="12.7265625" style="77" customWidth="1"/>
    <col min="14640" max="14849" width="9" style="77"/>
    <col min="14850" max="14850" width="4" style="77" customWidth="1"/>
    <col min="14851" max="14851" width="10.81640625" style="77" customWidth="1"/>
    <col min="14852" max="14852" width="25.7265625" style="77" customWidth="1"/>
    <col min="14853" max="14853" width="17.1796875" style="77" customWidth="1"/>
    <col min="14854" max="14854" width="4.7265625" style="77" customWidth="1"/>
    <col min="14855" max="14857" width="12.7265625" style="77" customWidth="1"/>
    <col min="14858" max="14858" width="4.7265625" style="77" customWidth="1"/>
    <col min="14859" max="14859" width="12.7265625" style="77" customWidth="1"/>
    <col min="14860" max="14860" width="4.7265625" style="77" customWidth="1"/>
    <col min="14861" max="14895" width="12.7265625" style="77" customWidth="1"/>
    <col min="14896" max="15105" width="9" style="77"/>
    <col min="15106" max="15106" width="4" style="77" customWidth="1"/>
    <col min="15107" max="15107" width="10.81640625" style="77" customWidth="1"/>
    <col min="15108" max="15108" width="25.7265625" style="77" customWidth="1"/>
    <col min="15109" max="15109" width="17.1796875" style="77" customWidth="1"/>
    <col min="15110" max="15110" width="4.7265625" style="77" customWidth="1"/>
    <col min="15111" max="15113" width="12.7265625" style="77" customWidth="1"/>
    <col min="15114" max="15114" width="4.7265625" style="77" customWidth="1"/>
    <col min="15115" max="15115" width="12.7265625" style="77" customWidth="1"/>
    <col min="15116" max="15116" width="4.7265625" style="77" customWidth="1"/>
    <col min="15117" max="15151" width="12.7265625" style="77" customWidth="1"/>
    <col min="15152" max="15361" width="9" style="77"/>
    <col min="15362" max="15362" width="4" style="77" customWidth="1"/>
    <col min="15363" max="15363" width="10.81640625" style="77" customWidth="1"/>
    <col min="15364" max="15364" width="25.7265625" style="77" customWidth="1"/>
    <col min="15365" max="15365" width="17.1796875" style="77" customWidth="1"/>
    <col min="15366" max="15366" width="4.7265625" style="77" customWidth="1"/>
    <col min="15367" max="15369" width="12.7265625" style="77" customWidth="1"/>
    <col min="15370" max="15370" width="4.7265625" style="77" customWidth="1"/>
    <col min="15371" max="15371" width="12.7265625" style="77" customWidth="1"/>
    <col min="15372" max="15372" width="4.7265625" style="77" customWidth="1"/>
    <col min="15373" max="15407" width="12.7265625" style="77" customWidth="1"/>
    <col min="15408" max="15617" width="9" style="77"/>
    <col min="15618" max="15618" width="4" style="77" customWidth="1"/>
    <col min="15619" max="15619" width="10.81640625" style="77" customWidth="1"/>
    <col min="15620" max="15620" width="25.7265625" style="77" customWidth="1"/>
    <col min="15621" max="15621" width="17.1796875" style="77" customWidth="1"/>
    <col min="15622" max="15622" width="4.7265625" style="77" customWidth="1"/>
    <col min="15623" max="15625" width="12.7265625" style="77" customWidth="1"/>
    <col min="15626" max="15626" width="4.7265625" style="77" customWidth="1"/>
    <col min="15627" max="15627" width="12.7265625" style="77" customWidth="1"/>
    <col min="15628" max="15628" width="4.7265625" style="77" customWidth="1"/>
    <col min="15629" max="15663" width="12.7265625" style="77" customWidth="1"/>
    <col min="15664" max="15873" width="9" style="77"/>
    <col min="15874" max="15874" width="4" style="77" customWidth="1"/>
    <col min="15875" max="15875" width="10.81640625" style="77" customWidth="1"/>
    <col min="15876" max="15876" width="25.7265625" style="77" customWidth="1"/>
    <col min="15877" max="15877" width="17.1796875" style="77" customWidth="1"/>
    <col min="15878" max="15878" width="4.7265625" style="77" customWidth="1"/>
    <col min="15879" max="15881" width="12.7265625" style="77" customWidth="1"/>
    <col min="15882" max="15882" width="4.7265625" style="77" customWidth="1"/>
    <col min="15883" max="15883" width="12.7265625" style="77" customWidth="1"/>
    <col min="15884" max="15884" width="4.7265625" style="77" customWidth="1"/>
    <col min="15885" max="15919" width="12.7265625" style="77" customWidth="1"/>
    <col min="15920" max="16129" width="9" style="77"/>
    <col min="16130" max="16130" width="4" style="77" customWidth="1"/>
    <col min="16131" max="16131" width="10.81640625" style="77" customWidth="1"/>
    <col min="16132" max="16132" width="25.7265625" style="77" customWidth="1"/>
    <col min="16133" max="16133" width="17.1796875" style="77" customWidth="1"/>
    <col min="16134" max="16134" width="4.7265625" style="77" customWidth="1"/>
    <col min="16135" max="16137" width="12.7265625" style="77" customWidth="1"/>
    <col min="16138" max="16138" width="4.7265625" style="77" customWidth="1"/>
    <col min="16139" max="16139" width="12.7265625" style="77" customWidth="1"/>
    <col min="16140" max="16140" width="4.7265625" style="77" customWidth="1"/>
    <col min="16141" max="16175" width="12.7265625" style="77" customWidth="1"/>
    <col min="16176" max="16384" width="9" style="77"/>
  </cols>
  <sheetData>
    <row r="1" spans="1:13" ht="14.5" thickBot="1" x14ac:dyDescent="0.35">
      <c r="A1" s="2352"/>
      <c r="B1" s="2353"/>
      <c r="C1" s="2369"/>
      <c r="D1" s="2369"/>
      <c r="E1" s="2369"/>
      <c r="F1" s="2369"/>
      <c r="G1" s="2369"/>
      <c r="H1" s="2369"/>
      <c r="I1" s="2370"/>
      <c r="J1" s="2370"/>
      <c r="K1" s="2371"/>
      <c r="L1" s="2371"/>
      <c r="M1" s="2370"/>
    </row>
    <row r="2" spans="1:13" ht="20.25" customHeight="1" thickTop="1" x14ac:dyDescent="0.3">
      <c r="A2" s="2354" t="s">
        <v>1051</v>
      </c>
      <c r="B2" s="2355"/>
      <c r="C2" s="2372"/>
      <c r="D2" s="2373"/>
      <c r="E2" s="2373"/>
      <c r="F2" s="2373"/>
      <c r="G2" s="2373"/>
      <c r="H2" s="2373"/>
      <c r="I2" s="2374"/>
      <c r="J2" s="2375"/>
      <c r="K2" s="2374"/>
      <c r="L2" s="2376"/>
    </row>
    <row r="3" spans="1:13" x14ac:dyDescent="0.3">
      <c r="A3" s="2356" t="s">
        <v>1052</v>
      </c>
      <c r="B3" s="2357"/>
      <c r="C3" s="2377"/>
      <c r="D3" s="2378"/>
      <c r="E3" s="2378"/>
      <c r="F3" s="2378"/>
      <c r="G3" s="2378"/>
      <c r="H3" s="2378"/>
      <c r="I3" s="2379"/>
      <c r="J3" s="2380"/>
      <c r="K3" s="2379"/>
      <c r="L3" s="2381"/>
    </row>
    <row r="4" spans="1:13" x14ac:dyDescent="0.3">
      <c r="A4" s="3368" t="s">
        <v>1053</v>
      </c>
      <c r="B4" s="3369"/>
      <c r="C4" s="2377"/>
      <c r="D4" s="2378"/>
      <c r="E4" s="2378"/>
      <c r="F4" s="2378"/>
      <c r="G4" s="2378"/>
      <c r="H4" s="2378"/>
      <c r="I4" s="2379"/>
      <c r="J4" s="2380"/>
      <c r="K4" s="2379"/>
      <c r="L4" s="2381"/>
    </row>
    <row r="5" spans="1:13" x14ac:dyDescent="0.3">
      <c r="A5" s="3368"/>
      <c r="B5" s="3369"/>
      <c r="C5" s="2377"/>
      <c r="D5" s="2378"/>
      <c r="E5" s="2378"/>
      <c r="F5" s="2378"/>
      <c r="G5" s="2378"/>
      <c r="H5" s="2378"/>
      <c r="I5" s="2379"/>
      <c r="J5" s="2380"/>
      <c r="K5" s="2379"/>
      <c r="L5" s="2381"/>
    </row>
    <row r="6" spans="1:13" ht="12.75" customHeight="1" x14ac:dyDescent="0.3">
      <c r="A6" s="3368" t="s">
        <v>6491</v>
      </c>
      <c r="B6" s="3369"/>
      <c r="C6" s="2377"/>
      <c r="D6" s="2378"/>
      <c r="E6" s="2378"/>
      <c r="F6" s="2378"/>
      <c r="G6" s="2378"/>
      <c r="H6" s="2378"/>
      <c r="I6" s="2379"/>
      <c r="J6" s="2380"/>
      <c r="K6" s="2379"/>
      <c r="L6" s="2381"/>
    </row>
    <row r="7" spans="1:13" ht="19.5" customHeight="1" x14ac:dyDescent="0.35">
      <c r="A7" s="3370" t="s">
        <v>8319</v>
      </c>
      <c r="B7" s="3367"/>
      <c r="C7" s="2377"/>
      <c r="D7" s="2382"/>
      <c r="E7" s="2382"/>
      <c r="F7" s="2382"/>
      <c r="G7" s="2382"/>
      <c r="H7" s="2382"/>
      <c r="I7" s="2358"/>
      <c r="J7" s="2359"/>
      <c r="K7" s="2358"/>
      <c r="L7" s="2360"/>
    </row>
    <row r="8" spans="1:13" ht="19.5" customHeight="1" x14ac:dyDescent="0.35">
      <c r="A8" s="3370" t="s">
        <v>8511</v>
      </c>
      <c r="B8" s="3367"/>
      <c r="C8" s="2377"/>
      <c r="D8" s="2382"/>
      <c r="E8" s="2382"/>
      <c r="F8" s="2382"/>
      <c r="G8" s="2382"/>
      <c r="H8" s="2382"/>
      <c r="I8" s="2358"/>
      <c r="J8" s="2383"/>
      <c r="K8" s="2358"/>
      <c r="L8" s="2384"/>
    </row>
    <row r="9" spans="1:13" ht="19.5" customHeight="1" x14ac:dyDescent="0.3">
      <c r="A9" s="3371" t="s">
        <v>7664</v>
      </c>
      <c r="B9" s="3367" t="s">
        <v>6575</v>
      </c>
      <c r="C9" s="2377"/>
      <c r="D9" s="2377"/>
      <c r="E9" s="2377"/>
      <c r="F9" s="2377"/>
      <c r="G9" s="2377"/>
      <c r="H9" s="2377"/>
      <c r="I9" s="2385"/>
      <c r="J9" s="2383"/>
      <c r="K9" s="2385"/>
      <c r="L9" s="2384"/>
    </row>
    <row r="10" spans="1:13" s="73" customFormat="1" ht="11.25" customHeight="1" x14ac:dyDescent="0.3">
      <c r="A10" s="2386"/>
      <c r="B10" s="2387"/>
      <c r="C10" s="2388"/>
      <c r="D10" s="2388"/>
      <c r="E10" s="2388"/>
      <c r="F10" s="2388"/>
      <c r="G10" s="2388"/>
      <c r="H10" s="2388"/>
      <c r="I10" s="2389"/>
      <c r="J10" s="2390"/>
      <c r="K10" s="2391"/>
      <c r="L10" s="2392"/>
      <c r="M10" s="2393"/>
    </row>
    <row r="11" spans="1:13" s="2402" customFormat="1" ht="12.75" customHeight="1" x14ac:dyDescent="0.35">
      <c r="A11" s="2394" t="s">
        <v>6492</v>
      </c>
      <c r="B11" s="2395" t="s">
        <v>6493</v>
      </c>
      <c r="C11" s="2396" t="s">
        <v>6494</v>
      </c>
      <c r="D11" s="2396"/>
      <c r="E11" s="2396" t="s">
        <v>6495</v>
      </c>
      <c r="F11" s="2396" t="s">
        <v>6496</v>
      </c>
      <c r="G11" s="2397" t="s">
        <v>6497</v>
      </c>
      <c r="H11" s="2397" t="s">
        <v>6498</v>
      </c>
      <c r="I11" s="2398"/>
      <c r="J11" s="2399"/>
      <c r="K11" s="2398"/>
      <c r="L11" s="2400"/>
      <c r="M11" s="2401"/>
    </row>
    <row r="12" spans="1:13" ht="12.75" customHeight="1" x14ac:dyDescent="0.3">
      <c r="A12" s="2394"/>
      <c r="B12" s="2395"/>
      <c r="C12" s="2396"/>
      <c r="D12" s="2396"/>
      <c r="E12" s="2396"/>
      <c r="F12" s="2396"/>
      <c r="G12" s="2397"/>
      <c r="H12" s="2397"/>
      <c r="I12" s="2403"/>
      <c r="J12" s="2403"/>
      <c r="K12" s="2403"/>
      <c r="L12" s="2404"/>
      <c r="M12" s="2405"/>
    </row>
    <row r="13" spans="1:13" ht="12.75" customHeight="1" x14ac:dyDescent="0.3">
      <c r="A13" s="2394" t="s">
        <v>1177</v>
      </c>
      <c r="B13" s="2395" t="s">
        <v>1178</v>
      </c>
      <c r="C13" s="2406">
        <v>0</v>
      </c>
      <c r="D13" s="2396"/>
      <c r="E13" s="2406">
        <v>0</v>
      </c>
      <c r="F13" s="2406">
        <v>0</v>
      </c>
      <c r="G13" s="2407">
        <v>0</v>
      </c>
      <c r="H13" s="2407">
        <v>0</v>
      </c>
      <c r="I13" s="2408"/>
      <c r="J13" s="2408"/>
      <c r="K13" s="2408"/>
      <c r="L13" s="2409"/>
    </row>
    <row r="14" spans="1:13" s="75" customFormat="1" ht="12.75" customHeight="1" x14ac:dyDescent="0.3">
      <c r="A14" s="2394" t="s">
        <v>585</v>
      </c>
      <c r="B14" s="2395" t="s">
        <v>1060</v>
      </c>
      <c r="C14" s="2406">
        <v>1885900</v>
      </c>
      <c r="D14" s="2396"/>
      <c r="E14" s="2900">
        <v>46147400</v>
      </c>
      <c r="F14" s="2900">
        <v>47113500</v>
      </c>
      <c r="G14" s="2900" t="s">
        <v>8515</v>
      </c>
      <c r="H14" s="2407">
        <v>919800</v>
      </c>
      <c r="I14" s="2410"/>
      <c r="J14" s="2410"/>
      <c r="K14" s="2410"/>
      <c r="L14" s="2411"/>
      <c r="M14" s="2864">
        <f>E14-F14</f>
        <v>-966100</v>
      </c>
    </row>
    <row r="15" spans="1:13" ht="15" customHeight="1" x14ac:dyDescent="0.3">
      <c r="A15" s="2394" t="s">
        <v>588</v>
      </c>
      <c r="B15" s="2395" t="s">
        <v>1061</v>
      </c>
      <c r="C15" s="2406">
        <v>101107200</v>
      </c>
      <c r="D15" s="2396"/>
      <c r="E15" s="2900">
        <v>21301100</v>
      </c>
      <c r="F15" s="2900">
        <v>122322700</v>
      </c>
      <c r="G15" s="2900" t="s">
        <v>8260</v>
      </c>
      <c r="H15" s="2407">
        <v>85600</v>
      </c>
      <c r="I15" s="2361"/>
      <c r="J15" s="2361"/>
      <c r="K15" s="2361"/>
      <c r="L15" s="2362"/>
      <c r="M15" s="2865">
        <f>E15-F15</f>
        <v>-101021600</v>
      </c>
    </row>
    <row r="16" spans="1:13" ht="12" customHeight="1" x14ac:dyDescent="0.3">
      <c r="A16" s="2394" t="s">
        <v>1179</v>
      </c>
      <c r="B16" s="2395" t="s">
        <v>1180</v>
      </c>
      <c r="C16" s="2406">
        <v>0</v>
      </c>
      <c r="D16" s="2396"/>
      <c r="E16" s="2406">
        <v>0</v>
      </c>
      <c r="F16" s="2406">
        <v>0</v>
      </c>
      <c r="G16" s="2407">
        <v>0</v>
      </c>
      <c r="H16" s="2407">
        <v>0</v>
      </c>
      <c r="I16" s="2412"/>
      <c r="J16" s="2413"/>
      <c r="K16" s="2412"/>
      <c r="L16" s="2414"/>
    </row>
    <row r="17" spans="1:13" ht="12" customHeight="1" x14ac:dyDescent="0.3">
      <c r="A17" s="2394" t="s">
        <v>1181</v>
      </c>
      <c r="B17" s="2395" t="s">
        <v>1182</v>
      </c>
      <c r="C17" s="2406">
        <v>183016600</v>
      </c>
      <c r="D17" s="2396"/>
      <c r="E17" s="2406">
        <v>0</v>
      </c>
      <c r="F17" s="2730">
        <v>7361800</v>
      </c>
      <c r="G17" s="2407" t="s">
        <v>8517</v>
      </c>
      <c r="H17" s="2407">
        <v>175654800</v>
      </c>
      <c r="I17" s="2412"/>
      <c r="J17" s="2413"/>
      <c r="K17" s="2412"/>
      <c r="L17" s="2414"/>
      <c r="M17" s="2865">
        <f>-F17</f>
        <v>-7361800</v>
      </c>
    </row>
    <row r="18" spans="1:13" ht="12" customHeight="1" x14ac:dyDescent="0.3">
      <c r="A18" s="2394" t="s">
        <v>1183</v>
      </c>
      <c r="B18" s="2395" t="s">
        <v>1184</v>
      </c>
      <c r="C18" s="2406">
        <v>168205300</v>
      </c>
      <c r="D18" s="2396"/>
      <c r="E18" s="2406">
        <v>0</v>
      </c>
      <c r="F18" s="2730">
        <v>6216400</v>
      </c>
      <c r="G18" s="2407" t="s">
        <v>8518</v>
      </c>
      <c r="H18" s="2407">
        <v>161988900</v>
      </c>
      <c r="I18" s="2412"/>
      <c r="J18" s="2413"/>
      <c r="K18" s="2412"/>
      <c r="L18" s="2414"/>
      <c r="M18" s="2865">
        <f>-F18</f>
        <v>-6216400</v>
      </c>
    </row>
    <row r="19" spans="1:13" ht="15" customHeight="1" x14ac:dyDescent="0.3">
      <c r="A19" s="2394" t="s">
        <v>1185</v>
      </c>
      <c r="B19" s="2395" t="s">
        <v>1186</v>
      </c>
      <c r="C19" s="2406">
        <v>0</v>
      </c>
      <c r="D19" s="2396"/>
      <c r="E19" s="2406">
        <v>0</v>
      </c>
      <c r="F19" s="2406">
        <v>0</v>
      </c>
      <c r="G19" s="2407">
        <v>0</v>
      </c>
      <c r="H19" s="2407">
        <v>0</v>
      </c>
      <c r="I19" s="2363"/>
      <c r="J19" s="2361"/>
      <c r="K19" s="2363"/>
      <c r="L19" s="2362"/>
    </row>
    <row r="20" spans="1:13" ht="15" customHeight="1" x14ac:dyDescent="0.3">
      <c r="A20" s="2394" t="s">
        <v>1187</v>
      </c>
      <c r="B20" s="2395" t="s">
        <v>1188</v>
      </c>
      <c r="C20" s="2406">
        <v>0</v>
      </c>
      <c r="D20" s="2396"/>
      <c r="E20" s="2406">
        <v>0</v>
      </c>
      <c r="F20" s="2406">
        <v>0</v>
      </c>
      <c r="G20" s="2407">
        <v>0</v>
      </c>
      <c r="H20" s="2407">
        <v>0</v>
      </c>
      <c r="I20" s="2363"/>
      <c r="J20" s="2361"/>
      <c r="K20" s="2363"/>
      <c r="L20" s="2362"/>
    </row>
    <row r="21" spans="1:13" ht="15" customHeight="1" x14ac:dyDescent="0.3">
      <c r="A21" s="2394" t="s">
        <v>1189</v>
      </c>
      <c r="B21" s="2395" t="s">
        <v>7134</v>
      </c>
      <c r="C21" s="2406">
        <v>0</v>
      </c>
      <c r="D21" s="2396"/>
      <c r="E21" s="2406">
        <v>0</v>
      </c>
      <c r="F21" s="2406">
        <v>0</v>
      </c>
      <c r="G21" s="2407">
        <v>0</v>
      </c>
      <c r="H21" s="2407">
        <v>0</v>
      </c>
      <c r="I21" s="2363"/>
      <c r="J21" s="2361"/>
      <c r="K21" s="2363"/>
      <c r="L21" s="2362"/>
    </row>
    <row r="22" spans="1:13" ht="15" customHeight="1" x14ac:dyDescent="0.3">
      <c r="A22" s="2394" t="s">
        <v>1190</v>
      </c>
      <c r="B22" s="2395" t="s">
        <v>1191</v>
      </c>
      <c r="C22" s="2406">
        <v>0</v>
      </c>
      <c r="D22" s="2396"/>
      <c r="E22" s="2406">
        <v>0</v>
      </c>
      <c r="F22" s="2406">
        <v>0</v>
      </c>
      <c r="G22" s="2407">
        <v>0</v>
      </c>
      <c r="H22" s="2407">
        <v>0</v>
      </c>
      <c r="I22" s="2363"/>
      <c r="J22" s="2361"/>
      <c r="K22" s="2363"/>
      <c r="L22" s="2362"/>
    </row>
    <row r="23" spans="1:13" ht="15" customHeight="1" x14ac:dyDescent="0.3">
      <c r="A23" s="2394" t="s">
        <v>1192</v>
      </c>
      <c r="B23" s="2395" t="s">
        <v>1193</v>
      </c>
      <c r="C23" s="2406">
        <v>0</v>
      </c>
      <c r="D23" s="2396"/>
      <c r="E23" s="2406">
        <v>0</v>
      </c>
      <c r="F23" s="2406">
        <v>0</v>
      </c>
      <c r="G23" s="2407">
        <v>0</v>
      </c>
      <c r="H23" s="2407">
        <v>0</v>
      </c>
      <c r="I23" s="2363"/>
      <c r="J23" s="2361"/>
      <c r="K23" s="2363"/>
      <c r="L23" s="2362"/>
    </row>
    <row r="24" spans="1:13" ht="15" customHeight="1" x14ac:dyDescent="0.3">
      <c r="A24" s="2394" t="s">
        <v>1062</v>
      </c>
      <c r="B24" s="2395" t="s">
        <v>7135</v>
      </c>
      <c r="C24" s="2406">
        <v>1998607680</v>
      </c>
      <c r="D24" s="2396"/>
      <c r="E24" s="2730">
        <v>660672000</v>
      </c>
      <c r="F24" s="2730">
        <v>290914416</v>
      </c>
      <c r="G24" s="2407">
        <v>369757584</v>
      </c>
      <c r="H24" s="2407">
        <v>2368365264</v>
      </c>
      <c r="I24" s="2363"/>
      <c r="J24" s="2361"/>
      <c r="K24" s="2363"/>
      <c r="L24" s="2362"/>
      <c r="M24" s="2864">
        <f t="shared" ref="M24:M26" si="0">E24-F24</f>
        <v>369757584</v>
      </c>
    </row>
    <row r="25" spans="1:13" x14ac:dyDescent="0.3">
      <c r="A25" s="2394" t="s">
        <v>593</v>
      </c>
      <c r="B25" s="2395" t="s">
        <v>7177</v>
      </c>
      <c r="C25" s="2406">
        <v>94823535</v>
      </c>
      <c r="D25" s="2396"/>
      <c r="E25" s="2406">
        <v>293423036</v>
      </c>
      <c r="F25" s="2406">
        <v>252031661</v>
      </c>
      <c r="G25" s="2407">
        <v>41391375</v>
      </c>
      <c r="H25" s="2407">
        <v>136214910</v>
      </c>
      <c r="I25" s="2363"/>
      <c r="J25" s="2361"/>
      <c r="K25" s="2363"/>
      <c r="L25" s="2362"/>
      <c r="M25" s="2864">
        <f t="shared" si="0"/>
        <v>41391375</v>
      </c>
    </row>
    <row r="26" spans="1:13" x14ac:dyDescent="0.3">
      <c r="A26" s="2394" t="s">
        <v>1063</v>
      </c>
      <c r="B26" s="2395" t="s">
        <v>7178</v>
      </c>
      <c r="C26" s="2406">
        <v>61760328</v>
      </c>
      <c r="D26" s="2396"/>
      <c r="E26" s="2406">
        <v>0</v>
      </c>
      <c r="F26" s="2406">
        <v>0</v>
      </c>
      <c r="G26" s="2407">
        <v>0</v>
      </c>
      <c r="H26" s="2407">
        <v>61760328</v>
      </c>
      <c r="I26" s="2363"/>
      <c r="J26" s="2361"/>
      <c r="K26" s="2363"/>
      <c r="L26" s="2362"/>
      <c r="M26" s="2864">
        <f t="shared" si="0"/>
        <v>0</v>
      </c>
    </row>
    <row r="27" spans="1:13" ht="15" customHeight="1" x14ac:dyDescent="0.3">
      <c r="A27" s="2394" t="s">
        <v>1064</v>
      </c>
      <c r="B27" s="2395" t="s">
        <v>7179</v>
      </c>
      <c r="C27" s="2406">
        <v>129928103</v>
      </c>
      <c r="D27" s="2396"/>
      <c r="E27" s="2406">
        <v>0</v>
      </c>
      <c r="F27" s="2406">
        <v>129553103</v>
      </c>
      <c r="G27" s="2407" t="s">
        <v>8261</v>
      </c>
      <c r="H27" s="2407">
        <v>375000</v>
      </c>
      <c r="I27" s="2363"/>
      <c r="J27" s="2361"/>
      <c r="K27" s="2363"/>
      <c r="L27" s="2362"/>
    </row>
    <row r="28" spans="1:13" ht="15" customHeight="1" x14ac:dyDescent="0.3">
      <c r="A28" s="2394" t="s">
        <v>1065</v>
      </c>
      <c r="B28" s="2395" t="s">
        <v>7180</v>
      </c>
      <c r="C28" s="2406">
        <v>0</v>
      </c>
      <c r="D28" s="2396"/>
      <c r="E28" s="2406">
        <v>0</v>
      </c>
      <c r="F28" s="2406">
        <v>0</v>
      </c>
      <c r="G28" s="2407">
        <v>0</v>
      </c>
      <c r="H28" s="2407">
        <v>0</v>
      </c>
      <c r="I28" s="2363"/>
      <c r="J28" s="2361"/>
      <c r="K28" s="2363"/>
      <c r="L28" s="2362"/>
    </row>
    <row r="29" spans="1:13" ht="15" customHeight="1" x14ac:dyDescent="0.3">
      <c r="A29" s="2394" t="s">
        <v>1066</v>
      </c>
      <c r="B29" s="2395" t="s">
        <v>7181</v>
      </c>
      <c r="C29" s="2406">
        <v>0</v>
      </c>
      <c r="D29" s="2396"/>
      <c r="E29" s="2406">
        <v>0</v>
      </c>
      <c r="F29" s="2406">
        <v>0</v>
      </c>
      <c r="G29" s="2407">
        <v>0</v>
      </c>
      <c r="H29" s="2407">
        <v>0</v>
      </c>
      <c r="I29" s="2363"/>
      <c r="J29" s="2361"/>
      <c r="K29" s="2363"/>
      <c r="L29" s="2362"/>
    </row>
    <row r="30" spans="1:13" ht="15" customHeight="1" x14ac:dyDescent="0.3">
      <c r="A30" s="2394" t="s">
        <v>1067</v>
      </c>
      <c r="B30" s="2395" t="s">
        <v>7182</v>
      </c>
      <c r="C30" s="2406">
        <v>0</v>
      </c>
      <c r="D30" s="2396"/>
      <c r="E30" s="2406">
        <v>0</v>
      </c>
      <c r="F30" s="2406">
        <v>0</v>
      </c>
      <c r="G30" s="2407">
        <v>0</v>
      </c>
      <c r="H30" s="2407">
        <v>0</v>
      </c>
      <c r="I30" s="2363"/>
      <c r="J30" s="2361"/>
      <c r="K30" s="2363"/>
      <c r="L30" s="2362"/>
    </row>
    <row r="31" spans="1:13" ht="15" customHeight="1" x14ac:dyDescent="0.3">
      <c r="A31" s="2394" t="s">
        <v>1194</v>
      </c>
      <c r="B31" s="2395" t="s">
        <v>1195</v>
      </c>
      <c r="C31" s="2406">
        <v>0</v>
      </c>
      <c r="D31" s="2396"/>
      <c r="E31" s="2406">
        <v>0</v>
      </c>
      <c r="F31" s="2406">
        <v>0</v>
      </c>
      <c r="G31" s="2407">
        <v>0</v>
      </c>
      <c r="H31" s="2407">
        <v>0</v>
      </c>
      <c r="I31" s="2363"/>
      <c r="J31" s="2361"/>
      <c r="K31" s="2363"/>
      <c r="L31" s="2362"/>
    </row>
    <row r="32" spans="1:13" ht="15" customHeight="1" x14ac:dyDescent="0.3">
      <c r="A32" s="2394" t="s">
        <v>1196</v>
      </c>
      <c r="B32" s="2395" t="s">
        <v>1197</v>
      </c>
      <c r="C32" s="2406">
        <v>0</v>
      </c>
      <c r="D32" s="2396"/>
      <c r="E32" s="2406">
        <v>0</v>
      </c>
      <c r="F32" s="2406">
        <v>0</v>
      </c>
      <c r="G32" s="2407">
        <v>0</v>
      </c>
      <c r="H32" s="2407">
        <v>0</v>
      </c>
      <c r="I32" s="2361"/>
      <c r="J32" s="2361"/>
      <c r="K32" s="2361"/>
      <c r="L32" s="2362"/>
    </row>
    <row r="33" spans="1:12" ht="15" customHeight="1" x14ac:dyDescent="0.3">
      <c r="A33" s="2394" t="s">
        <v>1198</v>
      </c>
      <c r="B33" s="2395" t="s">
        <v>1193</v>
      </c>
      <c r="C33" s="2406">
        <v>0</v>
      </c>
      <c r="D33" s="2396"/>
      <c r="E33" s="2406">
        <v>0</v>
      </c>
      <c r="F33" s="2406">
        <v>0</v>
      </c>
      <c r="G33" s="2407">
        <v>0</v>
      </c>
      <c r="H33" s="2407">
        <v>0</v>
      </c>
      <c r="I33" s="2361"/>
      <c r="J33" s="2361"/>
      <c r="K33" s="2361"/>
      <c r="L33" s="2362"/>
    </row>
    <row r="34" spans="1:12" ht="12" customHeight="1" x14ac:dyDescent="0.3">
      <c r="A34" s="2394" t="s">
        <v>1199</v>
      </c>
      <c r="B34" s="2395" t="s">
        <v>1200</v>
      </c>
      <c r="C34" s="2406">
        <v>0</v>
      </c>
      <c r="D34" s="2396"/>
      <c r="E34" s="2406">
        <v>0</v>
      </c>
      <c r="F34" s="2406">
        <v>0</v>
      </c>
      <c r="G34" s="2407">
        <v>0</v>
      </c>
      <c r="H34" s="2407">
        <v>0</v>
      </c>
      <c r="I34" s="2408"/>
      <c r="J34" s="2408"/>
      <c r="K34" s="2408"/>
      <c r="L34" s="2409"/>
    </row>
    <row r="35" spans="1:12" ht="12" customHeight="1" x14ac:dyDescent="0.3">
      <c r="A35" s="2394" t="s">
        <v>1201</v>
      </c>
      <c r="B35" s="2395" t="s">
        <v>1202</v>
      </c>
      <c r="C35" s="2406">
        <v>0</v>
      </c>
      <c r="D35" s="2396"/>
      <c r="E35" s="2406">
        <v>0</v>
      </c>
      <c r="F35" s="2406">
        <v>0</v>
      </c>
      <c r="G35" s="2407">
        <v>0</v>
      </c>
      <c r="H35" s="2407">
        <v>0</v>
      </c>
      <c r="I35" s="2408"/>
      <c r="J35" s="2408"/>
      <c r="K35" s="2408"/>
      <c r="L35" s="2409"/>
    </row>
    <row r="36" spans="1:12" ht="12" customHeight="1" x14ac:dyDescent="0.3">
      <c r="A36" s="2394" t="s">
        <v>1203</v>
      </c>
      <c r="B36" s="2395" t="s">
        <v>1204</v>
      </c>
      <c r="C36" s="2406">
        <v>0</v>
      </c>
      <c r="D36" s="2396"/>
      <c r="E36" s="2406">
        <v>0</v>
      </c>
      <c r="F36" s="2406">
        <v>0</v>
      </c>
      <c r="G36" s="2407">
        <v>0</v>
      </c>
      <c r="H36" s="2407">
        <v>0</v>
      </c>
      <c r="I36" s="2408"/>
      <c r="J36" s="2408"/>
      <c r="K36" s="2408"/>
      <c r="L36" s="2409"/>
    </row>
    <row r="37" spans="1:12" ht="12" customHeight="1" x14ac:dyDescent="0.3">
      <c r="A37" s="2394" t="s">
        <v>1205</v>
      </c>
      <c r="B37" s="2395" t="s">
        <v>1206</v>
      </c>
      <c r="C37" s="2406">
        <v>0</v>
      </c>
      <c r="D37" s="2396"/>
      <c r="E37" s="2406">
        <v>0</v>
      </c>
      <c r="F37" s="2406">
        <v>0</v>
      </c>
      <c r="G37" s="2407">
        <v>0</v>
      </c>
      <c r="H37" s="2407">
        <v>0</v>
      </c>
      <c r="I37" s="2408"/>
      <c r="J37" s="2408"/>
      <c r="K37" s="2408"/>
      <c r="L37" s="2409"/>
    </row>
    <row r="38" spans="1:12" ht="12" customHeight="1" x14ac:dyDescent="0.3">
      <c r="A38" s="2394" t="s">
        <v>1207</v>
      </c>
      <c r="B38" s="2395" t="s">
        <v>1208</v>
      </c>
      <c r="C38" s="2406">
        <v>0</v>
      </c>
      <c r="D38" s="2396"/>
      <c r="E38" s="2406">
        <v>0</v>
      </c>
      <c r="F38" s="2406">
        <v>0</v>
      </c>
      <c r="G38" s="2407">
        <v>0</v>
      </c>
      <c r="H38" s="2407">
        <v>0</v>
      </c>
      <c r="I38" s="2408"/>
      <c r="J38" s="2408"/>
      <c r="K38" s="2408"/>
      <c r="L38" s="2409"/>
    </row>
    <row r="39" spans="1:12" ht="12" customHeight="1" x14ac:dyDescent="0.3">
      <c r="A39" s="2394" t="s">
        <v>1209</v>
      </c>
      <c r="B39" s="2395" t="s">
        <v>1210</v>
      </c>
      <c r="C39" s="2406">
        <v>0</v>
      </c>
      <c r="D39" s="2396"/>
      <c r="E39" s="2406">
        <v>0</v>
      </c>
      <c r="F39" s="2406">
        <v>0</v>
      </c>
      <c r="G39" s="2407">
        <v>0</v>
      </c>
      <c r="H39" s="2407">
        <v>0</v>
      </c>
      <c r="I39" s="2408"/>
      <c r="J39" s="2408"/>
      <c r="K39" s="2408"/>
      <c r="L39" s="2409"/>
    </row>
    <row r="40" spans="1:12" ht="12" customHeight="1" x14ac:dyDescent="0.3">
      <c r="A40" s="2394" t="s">
        <v>1211</v>
      </c>
      <c r="B40" s="2395" t="s">
        <v>1186</v>
      </c>
      <c r="C40" s="2406">
        <v>0</v>
      </c>
      <c r="D40" s="2396"/>
      <c r="E40" s="2406">
        <v>0</v>
      </c>
      <c r="F40" s="2406">
        <v>0</v>
      </c>
      <c r="G40" s="2407">
        <v>0</v>
      </c>
      <c r="H40" s="2407">
        <v>0</v>
      </c>
      <c r="I40" s="2408"/>
      <c r="J40" s="2408"/>
      <c r="K40" s="2408"/>
      <c r="L40" s="2409"/>
    </row>
    <row r="41" spans="1:12" ht="12" customHeight="1" x14ac:dyDescent="0.3">
      <c r="A41" s="2394" t="s">
        <v>1212</v>
      </c>
      <c r="B41" s="2395" t="s">
        <v>1188</v>
      </c>
      <c r="C41" s="2406">
        <v>0</v>
      </c>
      <c r="D41" s="2396"/>
      <c r="E41" s="2406">
        <v>0</v>
      </c>
      <c r="F41" s="2406">
        <v>0</v>
      </c>
      <c r="G41" s="2407">
        <v>0</v>
      </c>
      <c r="H41" s="2407">
        <v>0</v>
      </c>
      <c r="I41" s="2408"/>
      <c r="J41" s="2408"/>
      <c r="K41" s="2408"/>
      <c r="L41" s="2409"/>
    </row>
    <row r="42" spans="1:12" ht="12" customHeight="1" x14ac:dyDescent="0.3">
      <c r="A42" s="2394" t="s">
        <v>1215</v>
      </c>
      <c r="B42" s="2395" t="s">
        <v>1216</v>
      </c>
      <c r="C42" s="2406">
        <v>0</v>
      </c>
      <c r="D42" s="2396"/>
      <c r="E42" s="2406">
        <v>0</v>
      </c>
      <c r="F42" s="2406">
        <v>0</v>
      </c>
      <c r="G42" s="2407">
        <v>0</v>
      </c>
      <c r="H42" s="2407">
        <v>0</v>
      </c>
      <c r="I42" s="2408"/>
      <c r="J42" s="2408"/>
      <c r="K42" s="2408"/>
      <c r="L42" s="2409"/>
    </row>
    <row r="43" spans="1:12" ht="12" customHeight="1" x14ac:dyDescent="0.3">
      <c r="A43" s="2394" t="s">
        <v>1217</v>
      </c>
      <c r="B43" s="2395" t="s">
        <v>1218</v>
      </c>
      <c r="C43" s="2406">
        <v>0</v>
      </c>
      <c r="D43" s="2396"/>
      <c r="E43" s="2406">
        <v>0</v>
      </c>
      <c r="F43" s="2406">
        <v>0</v>
      </c>
      <c r="G43" s="2407">
        <v>0</v>
      </c>
      <c r="H43" s="2407">
        <v>0</v>
      </c>
      <c r="I43" s="2408"/>
      <c r="J43" s="2408"/>
      <c r="K43" s="2408"/>
      <c r="L43" s="2409"/>
    </row>
    <row r="44" spans="1:12" ht="12" customHeight="1" x14ac:dyDescent="0.3">
      <c r="A44" s="2394" t="s">
        <v>1219</v>
      </c>
      <c r="B44" s="2395" t="s">
        <v>1220</v>
      </c>
      <c r="C44" s="2406">
        <v>0</v>
      </c>
      <c r="D44" s="2396"/>
      <c r="E44" s="2406">
        <v>0</v>
      </c>
      <c r="F44" s="2406">
        <v>0</v>
      </c>
      <c r="G44" s="2407">
        <v>0</v>
      </c>
      <c r="H44" s="2407">
        <v>0</v>
      </c>
      <c r="I44" s="2408"/>
      <c r="J44" s="2408"/>
      <c r="K44" s="2408"/>
      <c r="L44" s="2409"/>
    </row>
    <row r="45" spans="1:12" ht="12" customHeight="1" x14ac:dyDescent="0.3">
      <c r="A45" s="2394" t="s">
        <v>1221</v>
      </c>
      <c r="B45" s="2395" t="s">
        <v>1222</v>
      </c>
      <c r="C45" s="2406">
        <v>0</v>
      </c>
      <c r="D45" s="2396"/>
      <c r="E45" s="2406">
        <v>0</v>
      </c>
      <c r="F45" s="2406">
        <v>0</v>
      </c>
      <c r="G45" s="2407">
        <v>0</v>
      </c>
      <c r="H45" s="2407">
        <v>0</v>
      </c>
      <c r="I45" s="2408"/>
      <c r="J45" s="2408"/>
      <c r="K45" s="2408"/>
      <c r="L45" s="2409"/>
    </row>
    <row r="46" spans="1:12" ht="12" customHeight="1" x14ac:dyDescent="0.3">
      <c r="A46" s="2394" t="s">
        <v>1223</v>
      </c>
      <c r="B46" s="2395" t="s">
        <v>1224</v>
      </c>
      <c r="C46" s="2406">
        <v>0</v>
      </c>
      <c r="D46" s="2396"/>
      <c r="E46" s="2406">
        <v>0</v>
      </c>
      <c r="F46" s="2406">
        <v>0</v>
      </c>
      <c r="G46" s="2407">
        <v>0</v>
      </c>
      <c r="H46" s="2407">
        <v>0</v>
      </c>
      <c r="I46" s="2408"/>
      <c r="J46" s="2408"/>
      <c r="K46" s="2408"/>
      <c r="L46" s="2409"/>
    </row>
    <row r="47" spans="1:12" ht="12" customHeight="1" x14ac:dyDescent="0.3">
      <c r="A47" s="2394" t="s">
        <v>1226</v>
      </c>
      <c r="B47" s="2395" t="s">
        <v>1227</v>
      </c>
      <c r="C47" s="2406">
        <v>0</v>
      </c>
      <c r="D47" s="2396"/>
      <c r="E47" s="2406">
        <v>0</v>
      </c>
      <c r="F47" s="2406">
        <v>0</v>
      </c>
      <c r="G47" s="2407">
        <v>0</v>
      </c>
      <c r="H47" s="2407">
        <v>0</v>
      </c>
      <c r="I47" s="2408"/>
      <c r="J47" s="2408"/>
      <c r="K47" s="2408"/>
      <c r="L47" s="2409"/>
    </row>
    <row r="48" spans="1:12" ht="12" customHeight="1" x14ac:dyDescent="0.3">
      <c r="A48" s="2394" t="s">
        <v>1228</v>
      </c>
      <c r="B48" s="2395" t="s">
        <v>1229</v>
      </c>
      <c r="C48" s="2406">
        <v>0</v>
      </c>
      <c r="D48" s="2396"/>
      <c r="E48" s="2406">
        <v>0</v>
      </c>
      <c r="F48" s="2406">
        <v>0</v>
      </c>
      <c r="G48" s="2407">
        <v>0</v>
      </c>
      <c r="H48" s="2407">
        <v>0</v>
      </c>
      <c r="I48" s="2408"/>
      <c r="J48" s="2408"/>
      <c r="K48" s="2408"/>
      <c r="L48" s="2409"/>
    </row>
    <row r="49" spans="1:12" ht="12" customHeight="1" x14ac:dyDescent="0.3">
      <c r="A49" s="2394" t="s">
        <v>1071</v>
      </c>
      <c r="B49" s="2395" t="s">
        <v>1072</v>
      </c>
      <c r="C49" s="2406">
        <v>252039000</v>
      </c>
      <c r="D49" s="2396"/>
      <c r="E49" s="2406">
        <v>256700000</v>
      </c>
      <c r="F49" s="2406">
        <v>256982000</v>
      </c>
      <c r="G49" s="2407" t="s">
        <v>8262</v>
      </c>
      <c r="H49" s="2407">
        <v>251757000</v>
      </c>
      <c r="I49" s="2408"/>
      <c r="J49" s="2408"/>
      <c r="K49" s="2408"/>
      <c r="L49" s="2409"/>
    </row>
    <row r="50" spans="1:12" ht="12" customHeight="1" x14ac:dyDescent="0.3">
      <c r="A50" s="2394" t="s">
        <v>1073</v>
      </c>
      <c r="B50" s="2395" t="s">
        <v>1074</v>
      </c>
      <c r="C50" s="2406">
        <v>360066000</v>
      </c>
      <c r="D50" s="2396"/>
      <c r="E50" s="2406">
        <v>266900000</v>
      </c>
      <c r="F50" s="2406">
        <v>248050000</v>
      </c>
      <c r="G50" s="2407">
        <v>18850000</v>
      </c>
      <c r="H50" s="2407">
        <v>378916000</v>
      </c>
      <c r="I50" s="2408"/>
      <c r="J50" s="2408"/>
      <c r="K50" s="2408"/>
      <c r="L50" s="2409"/>
    </row>
    <row r="51" spans="1:12" ht="12" customHeight="1" x14ac:dyDescent="0.3">
      <c r="A51" s="2394" t="s">
        <v>1075</v>
      </c>
      <c r="B51" s="2395" t="s">
        <v>1076</v>
      </c>
      <c r="C51" s="2406">
        <v>35150000</v>
      </c>
      <c r="D51" s="2396"/>
      <c r="E51" s="2406">
        <v>23800000</v>
      </c>
      <c r="F51" s="2406">
        <v>24800000</v>
      </c>
      <c r="G51" s="2407" t="s">
        <v>8263</v>
      </c>
      <c r="H51" s="2407">
        <v>34150000</v>
      </c>
      <c r="I51" s="2408"/>
      <c r="J51" s="2408"/>
      <c r="K51" s="2408"/>
      <c r="L51" s="2409"/>
    </row>
    <row r="52" spans="1:12" ht="12" customHeight="1" x14ac:dyDescent="0.3">
      <c r="A52" s="2394" t="s">
        <v>1230</v>
      </c>
      <c r="B52" s="2395" t="s">
        <v>1231</v>
      </c>
      <c r="C52" s="2406">
        <v>0</v>
      </c>
      <c r="D52" s="2396"/>
      <c r="E52" s="2406">
        <v>0</v>
      </c>
      <c r="F52" s="2406">
        <v>0</v>
      </c>
      <c r="G52" s="2407">
        <v>0</v>
      </c>
      <c r="H52" s="2407">
        <v>0</v>
      </c>
      <c r="I52" s="2408"/>
      <c r="J52" s="2408"/>
      <c r="K52" s="2408"/>
      <c r="L52" s="2409"/>
    </row>
    <row r="53" spans="1:12" ht="12" customHeight="1" x14ac:dyDescent="0.3">
      <c r="A53" s="2394" t="s">
        <v>1232</v>
      </c>
      <c r="B53" s="2395" t="s">
        <v>1233</v>
      </c>
      <c r="C53" s="2406">
        <v>0</v>
      </c>
      <c r="D53" s="2396"/>
      <c r="E53" s="2406">
        <v>0</v>
      </c>
      <c r="F53" s="2406">
        <v>0</v>
      </c>
      <c r="G53" s="2407">
        <v>0</v>
      </c>
      <c r="H53" s="2407">
        <v>0</v>
      </c>
      <c r="I53" s="2408"/>
      <c r="J53" s="2408"/>
      <c r="K53" s="2408"/>
      <c r="L53" s="2409"/>
    </row>
    <row r="54" spans="1:12" ht="12" customHeight="1" x14ac:dyDescent="0.3">
      <c r="A54" s="2394" t="s">
        <v>1234</v>
      </c>
      <c r="B54" s="2395" t="s">
        <v>1235</v>
      </c>
      <c r="C54" s="2406">
        <v>0</v>
      </c>
      <c r="D54" s="2396"/>
      <c r="E54" s="2406">
        <v>70750000</v>
      </c>
      <c r="F54" s="2406">
        <v>70750000</v>
      </c>
      <c r="G54" s="2407">
        <v>0</v>
      </c>
      <c r="H54" s="2407">
        <v>0</v>
      </c>
      <c r="I54" s="2408"/>
      <c r="J54" s="2408"/>
      <c r="K54" s="2408"/>
      <c r="L54" s="2409"/>
    </row>
    <row r="55" spans="1:12" ht="12" customHeight="1" x14ac:dyDescent="0.3">
      <c r="A55" s="2394" t="s">
        <v>1236</v>
      </c>
      <c r="B55" s="2395" t="s">
        <v>1237</v>
      </c>
      <c r="C55" s="2406">
        <v>0</v>
      </c>
      <c r="D55" s="2396"/>
      <c r="E55" s="2406">
        <v>0</v>
      </c>
      <c r="F55" s="2406">
        <v>0</v>
      </c>
      <c r="G55" s="2407">
        <v>0</v>
      </c>
      <c r="H55" s="2407">
        <v>0</v>
      </c>
      <c r="I55" s="2408"/>
      <c r="J55" s="2408"/>
      <c r="K55" s="2408"/>
      <c r="L55" s="2409"/>
    </row>
    <row r="56" spans="1:12" ht="12" customHeight="1" x14ac:dyDescent="0.3">
      <c r="A56" s="2394" t="s">
        <v>1238</v>
      </c>
      <c r="B56" s="2395" t="s">
        <v>1239</v>
      </c>
      <c r="C56" s="2406">
        <v>0</v>
      </c>
      <c r="D56" s="2396"/>
      <c r="E56" s="2406">
        <v>0</v>
      </c>
      <c r="F56" s="2406">
        <v>0</v>
      </c>
      <c r="G56" s="2407">
        <v>0</v>
      </c>
      <c r="H56" s="2407">
        <v>0</v>
      </c>
      <c r="I56" s="2408"/>
      <c r="J56" s="2408"/>
      <c r="K56" s="2408"/>
      <c r="L56" s="2409"/>
    </row>
    <row r="57" spans="1:12" ht="12" customHeight="1" x14ac:dyDescent="0.3">
      <c r="A57" s="2394" t="s">
        <v>1240</v>
      </c>
      <c r="B57" s="2395" t="s">
        <v>1241</v>
      </c>
      <c r="C57" s="2406">
        <v>0</v>
      </c>
      <c r="D57" s="2396"/>
      <c r="E57" s="2406">
        <v>0</v>
      </c>
      <c r="F57" s="2406">
        <v>0</v>
      </c>
      <c r="G57" s="2407">
        <v>0</v>
      </c>
      <c r="H57" s="2407">
        <v>0</v>
      </c>
      <c r="I57" s="2408"/>
      <c r="J57" s="2408"/>
      <c r="K57" s="2408"/>
      <c r="L57" s="2409"/>
    </row>
    <row r="58" spans="1:12" ht="12" customHeight="1" x14ac:dyDescent="0.3">
      <c r="A58" s="2394" t="s">
        <v>1242</v>
      </c>
      <c r="B58" s="2395" t="s">
        <v>1078</v>
      </c>
      <c r="C58" s="2406">
        <v>0</v>
      </c>
      <c r="D58" s="2396"/>
      <c r="E58" s="2406">
        <v>0</v>
      </c>
      <c r="F58" s="2406">
        <v>0</v>
      </c>
      <c r="G58" s="2407">
        <v>0</v>
      </c>
      <c r="H58" s="2407">
        <v>0</v>
      </c>
      <c r="I58" s="2408"/>
      <c r="J58" s="2408"/>
      <c r="K58" s="2408"/>
      <c r="L58" s="2409"/>
    </row>
    <row r="59" spans="1:12" ht="12" customHeight="1" x14ac:dyDescent="0.3">
      <c r="A59" s="2394" t="s">
        <v>1077</v>
      </c>
      <c r="B59" s="2395" t="s">
        <v>1078</v>
      </c>
      <c r="C59" s="2406">
        <v>182951000</v>
      </c>
      <c r="D59" s="2396"/>
      <c r="E59" s="2406">
        <v>0</v>
      </c>
      <c r="F59" s="2406">
        <v>0</v>
      </c>
      <c r="G59" s="2407">
        <v>0</v>
      </c>
      <c r="H59" s="2407">
        <v>182951000</v>
      </c>
      <c r="I59" s="2408"/>
      <c r="J59" s="2408"/>
      <c r="K59" s="2408"/>
      <c r="L59" s="2409"/>
    </row>
    <row r="60" spans="1:12" ht="12" customHeight="1" x14ac:dyDescent="0.3">
      <c r="A60" s="2394" t="s">
        <v>1243</v>
      </c>
      <c r="B60" s="2395" t="s">
        <v>1244</v>
      </c>
      <c r="C60" s="2406">
        <v>0</v>
      </c>
      <c r="D60" s="2396"/>
      <c r="E60" s="2406">
        <v>0</v>
      </c>
      <c r="F60" s="2406">
        <v>0</v>
      </c>
      <c r="G60" s="2407">
        <v>0</v>
      </c>
      <c r="H60" s="2407">
        <v>0</v>
      </c>
      <c r="I60" s="2408"/>
      <c r="J60" s="2408"/>
      <c r="K60" s="2408"/>
      <c r="L60" s="2409"/>
    </row>
    <row r="61" spans="1:12" ht="12" customHeight="1" x14ac:dyDescent="0.3">
      <c r="A61" s="2394" t="s">
        <v>1245</v>
      </c>
      <c r="B61" s="2395" t="s">
        <v>1246</v>
      </c>
      <c r="C61" s="2406">
        <v>0</v>
      </c>
      <c r="D61" s="2396"/>
      <c r="E61" s="2406">
        <v>0</v>
      </c>
      <c r="F61" s="2406">
        <v>0</v>
      </c>
      <c r="G61" s="2407">
        <v>0</v>
      </c>
      <c r="H61" s="2407">
        <v>0</v>
      </c>
      <c r="I61" s="2408"/>
      <c r="J61" s="2408"/>
      <c r="K61" s="2408"/>
      <c r="L61" s="2409"/>
    </row>
    <row r="62" spans="1:12" ht="12" customHeight="1" x14ac:dyDescent="0.3">
      <c r="A62" s="2394" t="s">
        <v>1247</v>
      </c>
      <c r="B62" s="2395" t="s">
        <v>1248</v>
      </c>
      <c r="C62" s="2406">
        <v>0</v>
      </c>
      <c r="D62" s="2396"/>
      <c r="E62" s="2406">
        <v>0</v>
      </c>
      <c r="F62" s="2406">
        <v>0</v>
      </c>
      <c r="G62" s="2407">
        <v>0</v>
      </c>
      <c r="H62" s="2407">
        <v>0</v>
      </c>
      <c r="I62" s="2408"/>
      <c r="J62" s="2408"/>
      <c r="K62" s="2408"/>
      <c r="L62" s="2409"/>
    </row>
    <row r="63" spans="1:12" ht="12" customHeight="1" x14ac:dyDescent="0.3">
      <c r="A63" s="2394" t="s">
        <v>1249</v>
      </c>
      <c r="B63" s="2395" t="s">
        <v>1250</v>
      </c>
      <c r="C63" s="2406">
        <v>0</v>
      </c>
      <c r="D63" s="2396"/>
      <c r="E63" s="2406">
        <v>0</v>
      </c>
      <c r="F63" s="2406">
        <v>0</v>
      </c>
      <c r="G63" s="2407">
        <v>0</v>
      </c>
      <c r="H63" s="2407">
        <v>0</v>
      </c>
      <c r="I63" s="2408"/>
      <c r="J63" s="2408"/>
      <c r="K63" s="2408"/>
      <c r="L63" s="2409"/>
    </row>
    <row r="64" spans="1:12" ht="12" customHeight="1" x14ac:dyDescent="0.3">
      <c r="A64" s="2394" t="s">
        <v>1251</v>
      </c>
      <c r="B64" s="2395" t="s">
        <v>1252</v>
      </c>
      <c r="C64" s="2406">
        <v>0</v>
      </c>
      <c r="D64" s="2396"/>
      <c r="E64" s="2406">
        <v>0</v>
      </c>
      <c r="F64" s="2406">
        <v>0</v>
      </c>
      <c r="G64" s="2407">
        <v>0</v>
      </c>
      <c r="H64" s="2407">
        <v>0</v>
      </c>
      <c r="I64" s="2408"/>
      <c r="J64" s="2408"/>
      <c r="K64" s="2408"/>
      <c r="L64" s="2409"/>
    </row>
    <row r="65" spans="1:12" ht="12" customHeight="1" x14ac:dyDescent="0.3">
      <c r="A65" s="2394" t="s">
        <v>1253</v>
      </c>
      <c r="B65" s="2395" t="s">
        <v>1254</v>
      </c>
      <c r="C65" s="2406">
        <v>0</v>
      </c>
      <c r="D65" s="2396"/>
      <c r="E65" s="2406">
        <v>0</v>
      </c>
      <c r="F65" s="2406">
        <v>0</v>
      </c>
      <c r="G65" s="2407">
        <v>0</v>
      </c>
      <c r="H65" s="2407">
        <v>0</v>
      </c>
      <c r="I65" s="2408"/>
      <c r="J65" s="2408"/>
      <c r="K65" s="2408"/>
      <c r="L65" s="2409"/>
    </row>
    <row r="66" spans="1:12" ht="12" customHeight="1" x14ac:dyDescent="0.3">
      <c r="A66" s="2394" t="s">
        <v>1255</v>
      </c>
      <c r="B66" s="2395" t="s">
        <v>1256</v>
      </c>
      <c r="C66" s="2406">
        <v>0</v>
      </c>
      <c r="D66" s="2396"/>
      <c r="E66" s="2406">
        <v>0</v>
      </c>
      <c r="F66" s="2406">
        <v>0</v>
      </c>
      <c r="G66" s="2407">
        <v>0</v>
      </c>
      <c r="H66" s="2407">
        <v>0</v>
      </c>
      <c r="I66" s="2408"/>
      <c r="J66" s="2408"/>
      <c r="K66" s="2408"/>
      <c r="L66" s="2409"/>
    </row>
    <row r="67" spans="1:12" ht="12" customHeight="1" x14ac:dyDescent="0.3">
      <c r="A67" s="2394" t="s">
        <v>1257</v>
      </c>
      <c r="B67" s="2395" t="s">
        <v>1258</v>
      </c>
      <c r="C67" s="2406">
        <v>0</v>
      </c>
      <c r="D67" s="2396"/>
      <c r="E67" s="2406">
        <v>0</v>
      </c>
      <c r="F67" s="2406">
        <v>0</v>
      </c>
      <c r="G67" s="2407">
        <v>0</v>
      </c>
      <c r="H67" s="2407">
        <v>0</v>
      </c>
      <c r="I67" s="2408"/>
      <c r="J67" s="2408"/>
      <c r="K67" s="2408"/>
      <c r="L67" s="2409"/>
    </row>
    <row r="68" spans="1:12" ht="12" customHeight="1" x14ac:dyDescent="0.3">
      <c r="A68" s="2394" t="s">
        <v>1259</v>
      </c>
      <c r="B68" s="2395" t="s">
        <v>1260</v>
      </c>
      <c r="C68" s="2406">
        <v>0</v>
      </c>
      <c r="D68" s="2396"/>
      <c r="E68" s="2406">
        <v>0</v>
      </c>
      <c r="F68" s="2406">
        <v>0</v>
      </c>
      <c r="G68" s="2407">
        <v>0</v>
      </c>
      <c r="H68" s="2407">
        <v>0</v>
      </c>
      <c r="I68" s="2408"/>
      <c r="J68" s="2408"/>
      <c r="K68" s="2408"/>
      <c r="L68" s="2409"/>
    </row>
    <row r="69" spans="1:12" ht="12" customHeight="1" x14ac:dyDescent="0.3">
      <c r="A69" s="2394" t="s">
        <v>1261</v>
      </c>
      <c r="B69" s="2395" t="s">
        <v>1262</v>
      </c>
      <c r="C69" s="2406">
        <v>0</v>
      </c>
      <c r="D69" s="2396"/>
      <c r="E69" s="2406">
        <v>0</v>
      </c>
      <c r="F69" s="2406">
        <v>0</v>
      </c>
      <c r="G69" s="2407">
        <v>0</v>
      </c>
      <c r="H69" s="2407">
        <v>0</v>
      </c>
      <c r="I69" s="2408"/>
      <c r="J69" s="2408"/>
      <c r="K69" s="2408"/>
      <c r="L69" s="2409"/>
    </row>
    <row r="70" spans="1:12" ht="12" customHeight="1" x14ac:dyDescent="0.3">
      <c r="A70" s="2394" t="s">
        <v>1263</v>
      </c>
      <c r="B70" s="2395" t="s">
        <v>1264</v>
      </c>
      <c r="C70" s="2406">
        <v>0</v>
      </c>
      <c r="D70" s="2396"/>
      <c r="E70" s="2406">
        <v>0</v>
      </c>
      <c r="F70" s="2406">
        <v>0</v>
      </c>
      <c r="G70" s="2407">
        <v>0</v>
      </c>
      <c r="H70" s="2407">
        <v>0</v>
      </c>
      <c r="I70" s="2408"/>
      <c r="J70" s="2408"/>
      <c r="K70" s="2408"/>
      <c r="L70" s="2409"/>
    </row>
    <row r="71" spans="1:12" ht="12" customHeight="1" x14ac:dyDescent="0.3">
      <c r="A71" s="2394" t="s">
        <v>1265</v>
      </c>
      <c r="B71" s="2395" t="s">
        <v>1266</v>
      </c>
      <c r="C71" s="2406">
        <v>0</v>
      </c>
      <c r="D71" s="2396"/>
      <c r="E71" s="2406">
        <v>0</v>
      </c>
      <c r="F71" s="2406">
        <v>0</v>
      </c>
      <c r="G71" s="2407">
        <v>0</v>
      </c>
      <c r="H71" s="2407">
        <v>0</v>
      </c>
      <c r="I71" s="2408"/>
      <c r="J71" s="2408"/>
      <c r="K71" s="2408"/>
      <c r="L71" s="2409"/>
    </row>
    <row r="72" spans="1:12" ht="12" customHeight="1" x14ac:dyDescent="0.3">
      <c r="A72" s="2394" t="s">
        <v>1267</v>
      </c>
      <c r="B72" s="2395" t="s">
        <v>1268</v>
      </c>
      <c r="C72" s="2406">
        <v>0</v>
      </c>
      <c r="D72" s="2396"/>
      <c r="E72" s="2406">
        <v>0</v>
      </c>
      <c r="F72" s="2406">
        <v>0</v>
      </c>
      <c r="G72" s="2407">
        <v>0</v>
      </c>
      <c r="H72" s="2407">
        <v>0</v>
      </c>
      <c r="I72" s="2408"/>
      <c r="J72" s="2408"/>
      <c r="K72" s="2408"/>
      <c r="L72" s="2409"/>
    </row>
    <row r="73" spans="1:12" ht="12" customHeight="1" x14ac:dyDescent="0.3">
      <c r="A73" s="2394" t="s">
        <v>1269</v>
      </c>
      <c r="B73" s="2395" t="s">
        <v>1268</v>
      </c>
      <c r="C73" s="2406">
        <v>0</v>
      </c>
      <c r="D73" s="2396"/>
      <c r="E73" s="2406">
        <v>0</v>
      </c>
      <c r="F73" s="2406">
        <v>0</v>
      </c>
      <c r="G73" s="2407">
        <v>0</v>
      </c>
      <c r="H73" s="2407">
        <v>0</v>
      </c>
      <c r="I73" s="2408"/>
      <c r="J73" s="2408"/>
      <c r="K73" s="2408"/>
      <c r="L73" s="2409"/>
    </row>
    <row r="74" spans="1:12" ht="12" customHeight="1" x14ac:dyDescent="0.3">
      <c r="A74" s="2394" t="s">
        <v>1270</v>
      </c>
      <c r="B74" s="2395" t="s">
        <v>1268</v>
      </c>
      <c r="C74" s="2406">
        <v>0</v>
      </c>
      <c r="D74" s="2396"/>
      <c r="E74" s="2406">
        <v>0</v>
      </c>
      <c r="F74" s="2406">
        <v>0</v>
      </c>
      <c r="G74" s="2407">
        <v>0</v>
      </c>
      <c r="H74" s="2407">
        <v>0</v>
      </c>
      <c r="I74" s="2408"/>
      <c r="J74" s="2408"/>
      <c r="K74" s="2408"/>
      <c r="L74" s="2409"/>
    </row>
    <row r="75" spans="1:12" ht="12" customHeight="1" x14ac:dyDescent="0.3">
      <c r="A75" s="2394" t="s">
        <v>1271</v>
      </c>
      <c r="B75" s="2395" t="s">
        <v>1256</v>
      </c>
      <c r="C75" s="2406">
        <v>0</v>
      </c>
      <c r="D75" s="2396"/>
      <c r="E75" s="2406">
        <v>0</v>
      </c>
      <c r="F75" s="2406">
        <v>0</v>
      </c>
      <c r="G75" s="2407">
        <v>0</v>
      </c>
      <c r="H75" s="2407">
        <v>0</v>
      </c>
      <c r="I75" s="2408"/>
      <c r="J75" s="2408"/>
      <c r="K75" s="2408"/>
      <c r="L75" s="2409"/>
    </row>
    <row r="76" spans="1:12" ht="12" customHeight="1" x14ac:dyDescent="0.3">
      <c r="A76" s="2394" t="s">
        <v>1272</v>
      </c>
      <c r="B76" s="2395" t="s">
        <v>1273</v>
      </c>
      <c r="C76" s="2406">
        <v>0</v>
      </c>
      <c r="D76" s="2396"/>
      <c r="E76" s="2406">
        <v>0</v>
      </c>
      <c r="F76" s="2406">
        <v>0</v>
      </c>
      <c r="G76" s="2407">
        <v>0</v>
      </c>
      <c r="H76" s="2407">
        <v>0</v>
      </c>
      <c r="I76" s="2408"/>
      <c r="J76" s="2408"/>
      <c r="K76" s="2408"/>
      <c r="L76" s="2409"/>
    </row>
    <row r="77" spans="1:12" ht="12" customHeight="1" x14ac:dyDescent="0.3">
      <c r="A77" s="2394" t="s">
        <v>1274</v>
      </c>
      <c r="B77" s="2395" t="s">
        <v>1275</v>
      </c>
      <c r="C77" s="2406">
        <v>0</v>
      </c>
      <c r="D77" s="2396"/>
      <c r="E77" s="2406">
        <v>0</v>
      </c>
      <c r="F77" s="2406">
        <v>0</v>
      </c>
      <c r="G77" s="2407">
        <v>0</v>
      </c>
      <c r="H77" s="2407">
        <v>0</v>
      </c>
      <c r="I77" s="2408"/>
      <c r="J77" s="2408"/>
      <c r="K77" s="2408"/>
      <c r="L77" s="2409"/>
    </row>
    <row r="78" spans="1:12" ht="12" customHeight="1" x14ac:dyDescent="0.3">
      <c r="A78" s="2394" t="s">
        <v>1276</v>
      </c>
      <c r="B78" s="2395" t="s">
        <v>1275</v>
      </c>
      <c r="C78" s="2406">
        <v>0</v>
      </c>
      <c r="D78" s="2396"/>
      <c r="E78" s="2406">
        <v>0</v>
      </c>
      <c r="F78" s="2406">
        <v>0</v>
      </c>
      <c r="G78" s="2407">
        <v>0</v>
      </c>
      <c r="H78" s="2407">
        <v>0</v>
      </c>
      <c r="I78" s="2408"/>
      <c r="J78" s="2408"/>
      <c r="K78" s="2408"/>
      <c r="L78" s="2409"/>
    </row>
    <row r="79" spans="1:12" ht="12" customHeight="1" x14ac:dyDescent="0.3">
      <c r="A79" s="2394" t="s">
        <v>1277</v>
      </c>
      <c r="B79" s="2395" t="s">
        <v>1278</v>
      </c>
      <c r="C79" s="2406">
        <v>0</v>
      </c>
      <c r="D79" s="2396"/>
      <c r="E79" s="2406">
        <v>0</v>
      </c>
      <c r="F79" s="2406">
        <v>0</v>
      </c>
      <c r="G79" s="2407">
        <v>0</v>
      </c>
      <c r="H79" s="2407">
        <v>0</v>
      </c>
      <c r="I79" s="2408"/>
      <c r="J79" s="2408"/>
      <c r="K79" s="2408"/>
      <c r="L79" s="2409"/>
    </row>
    <row r="80" spans="1:12" ht="12" customHeight="1" x14ac:dyDescent="0.3">
      <c r="A80" s="2394" t="s">
        <v>1279</v>
      </c>
      <c r="B80" s="2395" t="s">
        <v>1280</v>
      </c>
      <c r="C80" s="2406">
        <v>0</v>
      </c>
      <c r="D80" s="2396"/>
      <c r="E80" s="2406">
        <v>0</v>
      </c>
      <c r="F80" s="2406">
        <v>0</v>
      </c>
      <c r="G80" s="2407">
        <v>0</v>
      </c>
      <c r="H80" s="2407">
        <v>0</v>
      </c>
      <c r="I80" s="2408"/>
      <c r="J80" s="2408"/>
      <c r="K80" s="2408"/>
      <c r="L80" s="2409"/>
    </row>
    <row r="81" spans="1:12" ht="12" customHeight="1" x14ac:dyDescent="0.3">
      <c r="A81" s="2394" t="s">
        <v>1281</v>
      </c>
      <c r="B81" s="2395" t="s">
        <v>1282</v>
      </c>
      <c r="C81" s="2406">
        <v>0</v>
      </c>
      <c r="D81" s="2396"/>
      <c r="E81" s="2406">
        <v>0</v>
      </c>
      <c r="F81" s="2406">
        <v>0</v>
      </c>
      <c r="G81" s="2407">
        <v>0</v>
      </c>
      <c r="H81" s="2407">
        <v>0</v>
      </c>
      <c r="I81" s="2408"/>
      <c r="J81" s="2408"/>
      <c r="K81" s="2408"/>
      <c r="L81" s="2409"/>
    </row>
    <row r="82" spans="1:12" ht="12" customHeight="1" x14ac:dyDescent="0.3">
      <c r="A82" s="2394" t="s">
        <v>1283</v>
      </c>
      <c r="B82" s="2395" t="s">
        <v>1284</v>
      </c>
      <c r="C82" s="2406">
        <v>0</v>
      </c>
      <c r="D82" s="2396"/>
      <c r="E82" s="2406">
        <v>0</v>
      </c>
      <c r="F82" s="2406">
        <v>0</v>
      </c>
      <c r="G82" s="2407">
        <v>0</v>
      </c>
      <c r="H82" s="2407">
        <v>0</v>
      </c>
      <c r="I82" s="2408"/>
      <c r="J82" s="2408"/>
      <c r="K82" s="2408"/>
      <c r="L82" s="2409"/>
    </row>
    <row r="83" spans="1:12" ht="12" customHeight="1" x14ac:dyDescent="0.3">
      <c r="A83" s="2394" t="s">
        <v>1285</v>
      </c>
      <c r="B83" s="2395" t="s">
        <v>1286</v>
      </c>
      <c r="C83" s="2406">
        <v>0</v>
      </c>
      <c r="D83" s="2396"/>
      <c r="E83" s="2406">
        <v>0</v>
      </c>
      <c r="F83" s="2406">
        <v>0</v>
      </c>
      <c r="G83" s="2407">
        <v>0</v>
      </c>
      <c r="H83" s="2407">
        <v>0</v>
      </c>
      <c r="I83" s="2408"/>
      <c r="J83" s="2408"/>
      <c r="K83" s="2408"/>
      <c r="L83" s="2409"/>
    </row>
    <row r="84" spans="1:12" ht="12" customHeight="1" x14ac:dyDescent="0.3">
      <c r="A84" s="2394" t="s">
        <v>1287</v>
      </c>
      <c r="B84" s="2395" t="s">
        <v>1288</v>
      </c>
      <c r="C84" s="2406">
        <v>0</v>
      </c>
      <c r="D84" s="2396"/>
      <c r="E84" s="2406">
        <v>0</v>
      </c>
      <c r="F84" s="2406">
        <v>0</v>
      </c>
      <c r="G84" s="2407">
        <v>0</v>
      </c>
      <c r="H84" s="2407">
        <v>0</v>
      </c>
      <c r="I84" s="2408"/>
      <c r="J84" s="2408"/>
      <c r="K84" s="2408"/>
      <c r="L84" s="2409"/>
    </row>
    <row r="85" spans="1:12" ht="12" customHeight="1" x14ac:dyDescent="0.3">
      <c r="A85" s="2394" t="s">
        <v>1289</v>
      </c>
      <c r="B85" s="2395" t="s">
        <v>1290</v>
      </c>
      <c r="C85" s="2406">
        <v>0</v>
      </c>
      <c r="D85" s="2396"/>
      <c r="E85" s="2406">
        <v>0</v>
      </c>
      <c r="F85" s="2406">
        <v>0</v>
      </c>
      <c r="G85" s="2407">
        <v>0</v>
      </c>
      <c r="H85" s="2407">
        <v>0</v>
      </c>
      <c r="I85" s="2408"/>
      <c r="J85" s="2408"/>
      <c r="K85" s="2408"/>
      <c r="L85" s="2409"/>
    </row>
    <row r="86" spans="1:12" ht="12" customHeight="1" x14ac:dyDescent="0.3">
      <c r="A86" s="2394" t="s">
        <v>1291</v>
      </c>
      <c r="B86" s="2395" t="s">
        <v>1292</v>
      </c>
      <c r="C86" s="2406">
        <v>0</v>
      </c>
      <c r="D86" s="2396"/>
      <c r="E86" s="2406">
        <v>0</v>
      </c>
      <c r="F86" s="2406">
        <v>0</v>
      </c>
      <c r="G86" s="2407">
        <v>0</v>
      </c>
      <c r="H86" s="2407">
        <v>0</v>
      </c>
      <c r="I86" s="2408"/>
      <c r="J86" s="2408"/>
      <c r="K86" s="2408"/>
      <c r="L86" s="2409"/>
    </row>
    <row r="87" spans="1:12" ht="12" customHeight="1" x14ac:dyDescent="0.3">
      <c r="A87" s="2394" t="s">
        <v>1293</v>
      </c>
      <c r="B87" s="2395" t="s">
        <v>1294</v>
      </c>
      <c r="C87" s="2406">
        <v>0</v>
      </c>
      <c r="D87" s="2396"/>
      <c r="E87" s="2406">
        <v>0</v>
      </c>
      <c r="F87" s="2406">
        <v>0</v>
      </c>
      <c r="G87" s="2407">
        <v>0</v>
      </c>
      <c r="H87" s="2407">
        <v>0</v>
      </c>
      <c r="I87" s="2408"/>
      <c r="J87" s="2408"/>
      <c r="K87" s="2408"/>
      <c r="L87" s="2409"/>
    </row>
    <row r="88" spans="1:12" ht="12" customHeight="1" x14ac:dyDescent="0.3">
      <c r="A88" s="2394" t="s">
        <v>1295</v>
      </c>
      <c r="B88" s="2395" t="s">
        <v>1296</v>
      </c>
      <c r="C88" s="2406">
        <v>0</v>
      </c>
      <c r="D88" s="2396"/>
      <c r="E88" s="2406">
        <v>0</v>
      </c>
      <c r="F88" s="2406">
        <v>0</v>
      </c>
      <c r="G88" s="2407">
        <v>0</v>
      </c>
      <c r="H88" s="2407">
        <v>0</v>
      </c>
      <c r="I88" s="2408"/>
      <c r="J88" s="2408"/>
      <c r="K88" s="2408"/>
      <c r="L88" s="2409"/>
    </row>
    <row r="89" spans="1:12" ht="12" customHeight="1" x14ac:dyDescent="0.3">
      <c r="A89" s="2394" t="s">
        <v>1297</v>
      </c>
      <c r="B89" s="2395" t="s">
        <v>1298</v>
      </c>
      <c r="C89" s="2406">
        <v>0</v>
      </c>
      <c r="D89" s="2396"/>
      <c r="E89" s="2406">
        <v>0</v>
      </c>
      <c r="F89" s="2406">
        <v>0</v>
      </c>
      <c r="G89" s="2407">
        <v>0</v>
      </c>
      <c r="H89" s="2407">
        <v>0</v>
      </c>
      <c r="I89" s="2408"/>
      <c r="J89" s="2408"/>
      <c r="K89" s="2408"/>
      <c r="L89" s="2409"/>
    </row>
    <row r="90" spans="1:12" ht="12" customHeight="1" x14ac:dyDescent="0.3">
      <c r="A90" s="2394" t="s">
        <v>1299</v>
      </c>
      <c r="B90" s="2395" t="s">
        <v>1222</v>
      </c>
      <c r="C90" s="2406">
        <v>0</v>
      </c>
      <c r="D90" s="2396"/>
      <c r="E90" s="2406">
        <v>0</v>
      </c>
      <c r="F90" s="2406">
        <v>0</v>
      </c>
      <c r="G90" s="2407">
        <v>0</v>
      </c>
      <c r="H90" s="2407">
        <v>0</v>
      </c>
      <c r="I90" s="2408"/>
      <c r="J90" s="2408"/>
      <c r="K90" s="2408"/>
      <c r="L90" s="2409"/>
    </row>
    <row r="91" spans="1:12" ht="12" customHeight="1" x14ac:dyDescent="0.3">
      <c r="A91" s="2394" t="s">
        <v>1300</v>
      </c>
      <c r="B91" s="2395" t="s">
        <v>1301</v>
      </c>
      <c r="C91" s="2406">
        <v>0</v>
      </c>
      <c r="D91" s="2396"/>
      <c r="E91" s="2406">
        <v>0</v>
      </c>
      <c r="F91" s="2406">
        <v>0</v>
      </c>
      <c r="G91" s="2407">
        <v>0</v>
      </c>
      <c r="H91" s="2407">
        <v>0</v>
      </c>
      <c r="I91" s="2408"/>
      <c r="J91" s="2408"/>
      <c r="K91" s="2408"/>
      <c r="L91" s="2409"/>
    </row>
    <row r="92" spans="1:12" ht="12" customHeight="1" x14ac:dyDescent="0.3">
      <c r="A92" s="2394" t="s">
        <v>1082</v>
      </c>
      <c r="B92" s="2395" t="s">
        <v>1083</v>
      </c>
      <c r="C92" s="2406">
        <v>69053504.069999993</v>
      </c>
      <c r="D92" s="2396"/>
      <c r="E92" s="2406">
        <v>21600000</v>
      </c>
      <c r="F92" s="2406">
        <v>14603701</v>
      </c>
      <c r="G92" s="2407">
        <v>6996299</v>
      </c>
      <c r="H92" s="2407">
        <v>76049803.069999993</v>
      </c>
      <c r="I92" s="2408"/>
      <c r="J92" s="2408"/>
      <c r="K92" s="2408"/>
      <c r="L92" s="2409"/>
    </row>
    <row r="93" spans="1:12" ht="12" customHeight="1" x14ac:dyDescent="0.3">
      <c r="A93" s="2394" t="s">
        <v>1302</v>
      </c>
      <c r="B93" s="2395" t="s">
        <v>1303</v>
      </c>
      <c r="C93" s="2406">
        <v>0</v>
      </c>
      <c r="D93" s="2396"/>
      <c r="E93" s="2406">
        <v>0</v>
      </c>
      <c r="F93" s="2406">
        <v>0</v>
      </c>
      <c r="G93" s="2407">
        <v>0</v>
      </c>
      <c r="H93" s="2407">
        <v>0</v>
      </c>
      <c r="I93" s="2408"/>
      <c r="J93" s="2408"/>
      <c r="K93" s="2408"/>
      <c r="L93" s="2409"/>
    </row>
    <row r="94" spans="1:12" ht="12" customHeight="1" x14ac:dyDescent="0.3">
      <c r="A94" s="2394" t="s">
        <v>1304</v>
      </c>
      <c r="B94" s="2395" t="s">
        <v>1305</v>
      </c>
      <c r="C94" s="2406">
        <v>0</v>
      </c>
      <c r="D94" s="2396"/>
      <c r="E94" s="2406">
        <v>0</v>
      </c>
      <c r="F94" s="2406">
        <v>0</v>
      </c>
      <c r="G94" s="2407">
        <v>0</v>
      </c>
      <c r="H94" s="2407">
        <v>0</v>
      </c>
      <c r="I94" s="2408"/>
      <c r="J94" s="2408"/>
      <c r="K94" s="2408"/>
      <c r="L94" s="2409"/>
    </row>
    <row r="95" spans="1:12" ht="12" customHeight="1" x14ac:dyDescent="0.3">
      <c r="A95" s="2394" t="s">
        <v>1306</v>
      </c>
      <c r="B95" s="2395" t="s">
        <v>1307</v>
      </c>
      <c r="C95" s="2406">
        <v>0</v>
      </c>
      <c r="D95" s="2396"/>
      <c r="E95" s="2406">
        <v>0</v>
      </c>
      <c r="F95" s="2406">
        <v>0</v>
      </c>
      <c r="G95" s="2407">
        <v>0</v>
      </c>
      <c r="H95" s="2407">
        <v>0</v>
      </c>
      <c r="I95" s="2408"/>
      <c r="J95" s="2408"/>
      <c r="K95" s="2408"/>
      <c r="L95" s="2409"/>
    </row>
    <row r="96" spans="1:12" ht="12" customHeight="1" x14ac:dyDescent="0.3">
      <c r="A96" s="2394" t="s">
        <v>1308</v>
      </c>
      <c r="B96" s="2395" t="s">
        <v>1309</v>
      </c>
      <c r="C96" s="2406">
        <v>0</v>
      </c>
      <c r="D96" s="2396"/>
      <c r="E96" s="2406">
        <v>0</v>
      </c>
      <c r="F96" s="2406">
        <v>0</v>
      </c>
      <c r="G96" s="2407">
        <v>0</v>
      </c>
      <c r="H96" s="2407">
        <v>0</v>
      </c>
      <c r="I96" s="2408"/>
      <c r="J96" s="2408"/>
      <c r="K96" s="2408"/>
      <c r="L96" s="2409"/>
    </row>
    <row r="97" spans="1:12" ht="12" customHeight="1" x14ac:dyDescent="0.3">
      <c r="A97" s="2394" t="s">
        <v>1310</v>
      </c>
      <c r="B97" s="2395" t="s">
        <v>1311</v>
      </c>
      <c r="C97" s="2406">
        <v>0</v>
      </c>
      <c r="D97" s="2396"/>
      <c r="E97" s="2406">
        <v>0</v>
      </c>
      <c r="F97" s="2406">
        <v>0</v>
      </c>
      <c r="G97" s="2407">
        <v>0</v>
      </c>
      <c r="H97" s="2407">
        <v>0</v>
      </c>
      <c r="I97" s="2408"/>
      <c r="J97" s="2408"/>
      <c r="K97" s="2408"/>
      <c r="L97" s="2409"/>
    </row>
    <row r="98" spans="1:12" ht="12" customHeight="1" x14ac:dyDescent="0.3">
      <c r="A98" s="2394" t="s">
        <v>1084</v>
      </c>
      <c r="B98" s="2395" t="s">
        <v>1085</v>
      </c>
      <c r="C98" s="2406">
        <v>0</v>
      </c>
      <c r="D98" s="2396"/>
      <c r="E98" s="2406">
        <v>0</v>
      </c>
      <c r="F98" s="2406">
        <v>0</v>
      </c>
      <c r="G98" s="2407">
        <v>0</v>
      </c>
      <c r="H98" s="2407">
        <v>0</v>
      </c>
      <c r="I98" s="2408"/>
      <c r="J98" s="2408"/>
      <c r="K98" s="2408"/>
      <c r="L98" s="2409"/>
    </row>
    <row r="99" spans="1:12" ht="12" customHeight="1" x14ac:dyDescent="0.3">
      <c r="A99" s="2394" t="s">
        <v>1312</v>
      </c>
      <c r="B99" s="2395" t="s">
        <v>1313</v>
      </c>
      <c r="C99" s="2406">
        <v>0</v>
      </c>
      <c r="D99" s="2396"/>
      <c r="E99" s="2406">
        <v>0</v>
      </c>
      <c r="F99" s="2406">
        <v>0</v>
      </c>
      <c r="G99" s="2407">
        <v>0</v>
      </c>
      <c r="H99" s="2407">
        <v>0</v>
      </c>
      <c r="I99" s="2408"/>
      <c r="J99" s="2408"/>
      <c r="K99" s="2408"/>
      <c r="L99" s="2409"/>
    </row>
    <row r="100" spans="1:12" ht="12" customHeight="1" x14ac:dyDescent="0.3">
      <c r="A100" s="2394" t="s">
        <v>1314</v>
      </c>
      <c r="B100" s="2395" t="s">
        <v>1315</v>
      </c>
      <c r="C100" s="2406">
        <v>0</v>
      </c>
      <c r="D100" s="2396"/>
      <c r="E100" s="2406">
        <v>0</v>
      </c>
      <c r="F100" s="2406">
        <v>0</v>
      </c>
      <c r="G100" s="2407">
        <v>0</v>
      </c>
      <c r="H100" s="2407">
        <v>0</v>
      </c>
      <c r="I100" s="2408"/>
      <c r="J100" s="2408"/>
      <c r="K100" s="2408"/>
      <c r="L100" s="2409"/>
    </row>
    <row r="101" spans="1:12" ht="12" customHeight="1" x14ac:dyDescent="0.3">
      <c r="A101" s="2394" t="s">
        <v>1316</v>
      </c>
      <c r="B101" s="2395" t="s">
        <v>1317</v>
      </c>
      <c r="C101" s="2406">
        <v>0</v>
      </c>
      <c r="D101" s="2396"/>
      <c r="E101" s="2406">
        <v>0</v>
      </c>
      <c r="F101" s="2406">
        <v>0</v>
      </c>
      <c r="G101" s="2407">
        <v>0</v>
      </c>
      <c r="H101" s="2407">
        <v>0</v>
      </c>
      <c r="I101" s="2408"/>
      <c r="J101" s="2408"/>
      <c r="K101" s="2408"/>
      <c r="L101" s="2409"/>
    </row>
    <row r="102" spans="1:12" ht="12" customHeight="1" x14ac:dyDescent="0.3">
      <c r="A102" s="2394" t="s">
        <v>1318</v>
      </c>
      <c r="B102" s="2395" t="s">
        <v>1319</v>
      </c>
      <c r="C102" s="2406">
        <v>0</v>
      </c>
      <c r="D102" s="2396"/>
      <c r="E102" s="2406">
        <v>0</v>
      </c>
      <c r="F102" s="2406">
        <v>0</v>
      </c>
      <c r="G102" s="2407">
        <v>0</v>
      </c>
      <c r="H102" s="2407">
        <v>0</v>
      </c>
      <c r="I102" s="2408"/>
      <c r="J102" s="2408"/>
      <c r="K102" s="2408"/>
      <c r="L102" s="2409"/>
    </row>
    <row r="103" spans="1:12" ht="12" customHeight="1" x14ac:dyDescent="0.3">
      <c r="A103" s="2394" t="s">
        <v>1320</v>
      </c>
      <c r="B103" s="2395" t="s">
        <v>1321</v>
      </c>
      <c r="C103" s="2406">
        <v>0</v>
      </c>
      <c r="D103" s="2396"/>
      <c r="E103" s="2406">
        <v>0</v>
      </c>
      <c r="F103" s="2406">
        <v>0</v>
      </c>
      <c r="G103" s="2407">
        <v>0</v>
      </c>
      <c r="H103" s="2407">
        <v>0</v>
      </c>
      <c r="I103" s="2408"/>
      <c r="J103" s="2408"/>
      <c r="K103" s="2408"/>
      <c r="L103" s="2409"/>
    </row>
    <row r="104" spans="1:12" ht="12" customHeight="1" x14ac:dyDescent="0.3">
      <c r="A104" s="2394" t="s">
        <v>1322</v>
      </c>
      <c r="B104" s="2395" t="s">
        <v>1323</v>
      </c>
      <c r="C104" s="2406">
        <v>0</v>
      </c>
      <c r="D104" s="2396"/>
      <c r="E104" s="2406">
        <v>0</v>
      </c>
      <c r="F104" s="2406">
        <v>0</v>
      </c>
      <c r="G104" s="2407">
        <v>0</v>
      </c>
      <c r="H104" s="2407">
        <v>0</v>
      </c>
      <c r="I104" s="2408"/>
      <c r="J104" s="2408"/>
      <c r="K104" s="2408"/>
      <c r="L104" s="2409"/>
    </row>
    <row r="105" spans="1:12" ht="12" customHeight="1" x14ac:dyDescent="0.3">
      <c r="A105" s="2394" t="s">
        <v>1324</v>
      </c>
      <c r="B105" s="2395" t="s">
        <v>1325</v>
      </c>
      <c r="C105" s="2406">
        <v>0</v>
      </c>
      <c r="D105" s="2396"/>
      <c r="E105" s="2406">
        <v>0</v>
      </c>
      <c r="F105" s="2406">
        <v>0</v>
      </c>
      <c r="G105" s="2407">
        <v>0</v>
      </c>
      <c r="H105" s="2407">
        <v>0</v>
      </c>
      <c r="I105" s="2408"/>
      <c r="J105" s="2408"/>
      <c r="K105" s="2408"/>
      <c r="L105" s="2409"/>
    </row>
    <row r="106" spans="1:12" ht="12" customHeight="1" x14ac:dyDescent="0.3">
      <c r="A106" s="2394" t="s">
        <v>1326</v>
      </c>
      <c r="B106" s="2395" t="s">
        <v>1327</v>
      </c>
      <c r="C106" s="2406">
        <v>0</v>
      </c>
      <c r="D106" s="2396"/>
      <c r="E106" s="2406">
        <v>0</v>
      </c>
      <c r="F106" s="2406">
        <v>0</v>
      </c>
      <c r="G106" s="2407">
        <v>0</v>
      </c>
      <c r="H106" s="2407">
        <v>0</v>
      </c>
      <c r="I106" s="2408"/>
      <c r="J106" s="2408"/>
      <c r="K106" s="2408"/>
      <c r="L106" s="2409"/>
    </row>
    <row r="107" spans="1:12" ht="12" customHeight="1" x14ac:dyDescent="0.3">
      <c r="A107" s="2394" t="s">
        <v>1328</v>
      </c>
      <c r="B107" s="2395" t="s">
        <v>1329</v>
      </c>
      <c r="C107" s="2406">
        <v>0</v>
      </c>
      <c r="D107" s="2396"/>
      <c r="E107" s="2406">
        <v>0</v>
      </c>
      <c r="F107" s="2406">
        <v>0</v>
      </c>
      <c r="G107" s="2407">
        <v>0</v>
      </c>
      <c r="H107" s="2407">
        <v>0</v>
      </c>
      <c r="I107" s="2408"/>
      <c r="J107" s="2408"/>
      <c r="K107" s="2408"/>
      <c r="L107" s="2409"/>
    </row>
    <row r="108" spans="1:12" ht="12" customHeight="1" x14ac:dyDescent="0.3">
      <c r="A108" s="2394" t="s">
        <v>1330</v>
      </c>
      <c r="B108" s="2395" t="s">
        <v>1331</v>
      </c>
      <c r="C108" s="2406">
        <v>0</v>
      </c>
      <c r="D108" s="2396"/>
      <c r="E108" s="2406">
        <v>0</v>
      </c>
      <c r="F108" s="2406">
        <v>0</v>
      </c>
      <c r="G108" s="2407">
        <v>0</v>
      </c>
      <c r="H108" s="2407">
        <v>0</v>
      </c>
      <c r="I108" s="2408"/>
      <c r="J108" s="2408"/>
      <c r="K108" s="2408"/>
      <c r="L108" s="2409"/>
    </row>
    <row r="109" spans="1:12" ht="12" customHeight="1" x14ac:dyDescent="0.3">
      <c r="A109" s="2394" t="s">
        <v>1332</v>
      </c>
      <c r="B109" s="2395" t="s">
        <v>1333</v>
      </c>
      <c r="C109" s="2406">
        <v>0</v>
      </c>
      <c r="D109" s="2396"/>
      <c r="E109" s="2406">
        <v>0</v>
      </c>
      <c r="F109" s="2406">
        <v>0</v>
      </c>
      <c r="G109" s="2407">
        <v>0</v>
      </c>
      <c r="H109" s="2407">
        <v>0</v>
      </c>
      <c r="I109" s="2408"/>
      <c r="J109" s="2408"/>
      <c r="K109" s="2408"/>
      <c r="L109" s="2409"/>
    </row>
    <row r="110" spans="1:12" ht="12" customHeight="1" x14ac:dyDescent="0.3">
      <c r="A110" s="2394" t="s">
        <v>1334</v>
      </c>
      <c r="B110" s="2395" t="s">
        <v>1335</v>
      </c>
      <c r="C110" s="2406">
        <v>0</v>
      </c>
      <c r="D110" s="2396"/>
      <c r="E110" s="2406">
        <v>0</v>
      </c>
      <c r="F110" s="2406">
        <v>0</v>
      </c>
      <c r="G110" s="2407">
        <v>0</v>
      </c>
      <c r="H110" s="2407">
        <v>0</v>
      </c>
      <c r="I110" s="2408"/>
      <c r="J110" s="2408"/>
      <c r="K110" s="2408"/>
      <c r="L110" s="2409"/>
    </row>
    <row r="111" spans="1:12" ht="12" customHeight="1" x14ac:dyDescent="0.3">
      <c r="A111" s="2394" t="s">
        <v>1336</v>
      </c>
      <c r="B111" s="2395" t="s">
        <v>1337</v>
      </c>
      <c r="C111" s="2406">
        <v>0</v>
      </c>
      <c r="D111" s="2396"/>
      <c r="E111" s="2406">
        <v>0</v>
      </c>
      <c r="F111" s="2406">
        <v>0</v>
      </c>
      <c r="G111" s="2407">
        <v>0</v>
      </c>
      <c r="H111" s="2407">
        <v>0</v>
      </c>
      <c r="I111" s="2408"/>
      <c r="J111" s="2408"/>
      <c r="K111" s="2408"/>
      <c r="L111" s="2409"/>
    </row>
    <row r="112" spans="1:12" ht="12" customHeight="1" x14ac:dyDescent="0.3">
      <c r="A112" s="2394" t="s">
        <v>1338</v>
      </c>
      <c r="B112" s="2395" t="s">
        <v>1339</v>
      </c>
      <c r="C112" s="2406">
        <v>0</v>
      </c>
      <c r="D112" s="2396"/>
      <c r="E112" s="2406">
        <v>0</v>
      </c>
      <c r="F112" s="2406">
        <v>0</v>
      </c>
      <c r="G112" s="2407">
        <v>0</v>
      </c>
      <c r="H112" s="2407">
        <v>0</v>
      </c>
      <c r="I112" s="2408"/>
      <c r="J112" s="2408"/>
      <c r="K112" s="2408"/>
      <c r="L112" s="2409"/>
    </row>
    <row r="113" spans="1:12" ht="12" customHeight="1" x14ac:dyDescent="0.3">
      <c r="A113" s="2394" t="s">
        <v>1340</v>
      </c>
      <c r="B113" s="2395" t="s">
        <v>1341</v>
      </c>
      <c r="C113" s="2406">
        <v>0</v>
      </c>
      <c r="D113" s="2396"/>
      <c r="E113" s="2406">
        <v>0</v>
      </c>
      <c r="F113" s="2406">
        <v>0</v>
      </c>
      <c r="G113" s="2407">
        <v>0</v>
      </c>
      <c r="H113" s="2407">
        <v>0</v>
      </c>
      <c r="I113" s="2408"/>
      <c r="J113" s="2408"/>
      <c r="K113" s="2408"/>
      <c r="L113" s="2409"/>
    </row>
    <row r="114" spans="1:12" ht="12" customHeight="1" x14ac:dyDescent="0.3">
      <c r="A114" s="2394" t="s">
        <v>1342</v>
      </c>
      <c r="B114" s="2395" t="s">
        <v>1343</v>
      </c>
      <c r="C114" s="2406">
        <v>0</v>
      </c>
      <c r="D114" s="2396"/>
      <c r="E114" s="2406">
        <v>0</v>
      </c>
      <c r="F114" s="2406">
        <v>0</v>
      </c>
      <c r="G114" s="2407">
        <v>0</v>
      </c>
      <c r="H114" s="2407">
        <v>0</v>
      </c>
      <c r="I114" s="2408"/>
      <c r="J114" s="2408"/>
      <c r="K114" s="2408"/>
      <c r="L114" s="2409"/>
    </row>
    <row r="115" spans="1:12" ht="12" customHeight="1" x14ac:dyDescent="0.3">
      <c r="A115" s="2394" t="s">
        <v>1344</v>
      </c>
      <c r="B115" s="2395" t="s">
        <v>1345</v>
      </c>
      <c r="C115" s="2406">
        <v>0</v>
      </c>
      <c r="D115" s="2396"/>
      <c r="E115" s="2406">
        <v>0</v>
      </c>
      <c r="F115" s="2406">
        <v>0</v>
      </c>
      <c r="G115" s="2407">
        <v>0</v>
      </c>
      <c r="H115" s="2407">
        <v>0</v>
      </c>
      <c r="I115" s="2408"/>
      <c r="J115" s="2408"/>
      <c r="K115" s="2408"/>
      <c r="L115" s="2409"/>
    </row>
    <row r="116" spans="1:12" ht="12" customHeight="1" x14ac:dyDescent="0.3">
      <c r="A116" s="2394" t="s">
        <v>1346</v>
      </c>
      <c r="B116" s="2395" t="s">
        <v>1347</v>
      </c>
      <c r="C116" s="2406">
        <v>0</v>
      </c>
      <c r="D116" s="2396"/>
      <c r="E116" s="2406">
        <v>0</v>
      </c>
      <c r="F116" s="2406">
        <v>0</v>
      </c>
      <c r="G116" s="2407">
        <v>0</v>
      </c>
      <c r="H116" s="2407">
        <v>0</v>
      </c>
      <c r="I116" s="2408"/>
      <c r="J116" s="2408"/>
      <c r="K116" s="2408"/>
      <c r="L116" s="2409"/>
    </row>
    <row r="117" spans="1:12" ht="12" customHeight="1" x14ac:dyDescent="0.3">
      <c r="A117" s="2394" t="s">
        <v>1348</v>
      </c>
      <c r="B117" s="2395" t="s">
        <v>1349</v>
      </c>
      <c r="C117" s="2406">
        <v>0</v>
      </c>
      <c r="D117" s="2396"/>
      <c r="E117" s="2406">
        <v>0</v>
      </c>
      <c r="F117" s="2406">
        <v>0</v>
      </c>
      <c r="G117" s="2407">
        <v>0</v>
      </c>
      <c r="H117" s="2407">
        <v>0</v>
      </c>
      <c r="I117" s="2408"/>
      <c r="J117" s="2408"/>
      <c r="K117" s="2408"/>
      <c r="L117" s="2409"/>
    </row>
    <row r="118" spans="1:12" ht="12" customHeight="1" x14ac:dyDescent="0.3">
      <c r="A118" s="2394" t="s">
        <v>1350</v>
      </c>
      <c r="B118" s="2395" t="s">
        <v>1351</v>
      </c>
      <c r="C118" s="2406">
        <v>0</v>
      </c>
      <c r="D118" s="2396"/>
      <c r="E118" s="2406">
        <v>0</v>
      </c>
      <c r="F118" s="2406">
        <v>0</v>
      </c>
      <c r="G118" s="2407">
        <v>0</v>
      </c>
      <c r="H118" s="2407">
        <v>0</v>
      </c>
      <c r="I118" s="2408"/>
      <c r="J118" s="2408"/>
      <c r="K118" s="2408"/>
      <c r="L118" s="2409"/>
    </row>
    <row r="119" spans="1:12" ht="12" customHeight="1" x14ac:dyDescent="0.3">
      <c r="A119" s="2394" t="s">
        <v>1352</v>
      </c>
      <c r="B119" s="2395" t="s">
        <v>1353</v>
      </c>
      <c r="C119" s="2406">
        <v>0</v>
      </c>
      <c r="D119" s="2396"/>
      <c r="E119" s="2406">
        <v>0</v>
      </c>
      <c r="F119" s="2406">
        <v>0</v>
      </c>
      <c r="G119" s="2407">
        <v>0</v>
      </c>
      <c r="H119" s="2407">
        <v>0</v>
      </c>
      <c r="I119" s="2408"/>
      <c r="J119" s="2408"/>
      <c r="K119" s="2408"/>
      <c r="L119" s="2409"/>
    </row>
    <row r="120" spans="1:12" ht="12" customHeight="1" x14ac:dyDescent="0.3">
      <c r="A120" s="2394" t="s">
        <v>1354</v>
      </c>
      <c r="B120" s="2395" t="s">
        <v>1355</v>
      </c>
      <c r="C120" s="2406">
        <v>0</v>
      </c>
      <c r="D120" s="2396"/>
      <c r="E120" s="2406">
        <v>0</v>
      </c>
      <c r="F120" s="2406">
        <v>0</v>
      </c>
      <c r="G120" s="2407">
        <v>0</v>
      </c>
      <c r="H120" s="2407">
        <v>0</v>
      </c>
      <c r="I120" s="2408"/>
      <c r="J120" s="2408"/>
      <c r="K120" s="2408"/>
      <c r="L120" s="2409"/>
    </row>
    <row r="121" spans="1:12" ht="12" customHeight="1" x14ac:dyDescent="0.3">
      <c r="A121" s="2394" t="s">
        <v>1356</v>
      </c>
      <c r="B121" s="2395" t="s">
        <v>1357</v>
      </c>
      <c r="C121" s="2406">
        <v>0</v>
      </c>
      <c r="D121" s="2396"/>
      <c r="E121" s="2406">
        <v>0</v>
      </c>
      <c r="F121" s="2406">
        <v>0</v>
      </c>
      <c r="G121" s="2407">
        <v>0</v>
      </c>
      <c r="H121" s="2407">
        <v>0</v>
      </c>
      <c r="I121" s="2408"/>
      <c r="J121" s="2408"/>
      <c r="K121" s="2408"/>
      <c r="L121" s="2409"/>
    </row>
    <row r="122" spans="1:12" ht="12" customHeight="1" x14ac:dyDescent="0.3">
      <c r="A122" s="2394" t="s">
        <v>1358</v>
      </c>
      <c r="B122" s="2395" t="s">
        <v>1359</v>
      </c>
      <c r="C122" s="2406">
        <v>0</v>
      </c>
      <c r="D122" s="2396"/>
      <c r="E122" s="2406">
        <v>0</v>
      </c>
      <c r="F122" s="2406">
        <v>0</v>
      </c>
      <c r="G122" s="2407">
        <v>0</v>
      </c>
      <c r="H122" s="2407">
        <v>0</v>
      </c>
      <c r="I122" s="2408"/>
      <c r="J122" s="2408"/>
      <c r="K122" s="2408"/>
      <c r="L122" s="2409"/>
    </row>
    <row r="123" spans="1:12" ht="12" customHeight="1" x14ac:dyDescent="0.3">
      <c r="A123" s="2394" t="s">
        <v>1360</v>
      </c>
      <c r="B123" s="2395" t="s">
        <v>1361</v>
      </c>
      <c r="C123" s="2406">
        <v>0</v>
      </c>
      <c r="D123" s="2396"/>
      <c r="E123" s="2406">
        <v>0</v>
      </c>
      <c r="F123" s="2406">
        <v>0</v>
      </c>
      <c r="G123" s="2407">
        <v>0</v>
      </c>
      <c r="H123" s="2407">
        <v>0</v>
      </c>
      <c r="I123" s="2408"/>
      <c r="J123" s="2408"/>
      <c r="K123" s="2408"/>
      <c r="L123" s="2409"/>
    </row>
    <row r="124" spans="1:12" ht="12" customHeight="1" x14ac:dyDescent="0.3">
      <c r="A124" s="2394" t="s">
        <v>1362</v>
      </c>
      <c r="B124" s="2395" t="s">
        <v>1363</v>
      </c>
      <c r="C124" s="2406">
        <v>0</v>
      </c>
      <c r="D124" s="2396"/>
      <c r="E124" s="2406">
        <v>0</v>
      </c>
      <c r="F124" s="2406">
        <v>0</v>
      </c>
      <c r="G124" s="2407">
        <v>0</v>
      </c>
      <c r="H124" s="2407">
        <v>0</v>
      </c>
      <c r="I124" s="2408"/>
      <c r="J124" s="2408"/>
      <c r="K124" s="2408"/>
      <c r="L124" s="2409"/>
    </row>
    <row r="125" spans="1:12" ht="12" customHeight="1" x14ac:dyDescent="0.3">
      <c r="A125" s="2394" t="s">
        <v>1364</v>
      </c>
      <c r="B125" s="2395" t="s">
        <v>1284</v>
      </c>
      <c r="C125" s="2406">
        <v>0</v>
      </c>
      <c r="D125" s="2396"/>
      <c r="E125" s="2406">
        <v>0</v>
      </c>
      <c r="F125" s="2406">
        <v>0</v>
      </c>
      <c r="G125" s="2407">
        <v>0</v>
      </c>
      <c r="H125" s="2407">
        <v>0</v>
      </c>
      <c r="I125" s="2408"/>
      <c r="J125" s="2408"/>
      <c r="K125" s="2408"/>
      <c r="L125" s="2409"/>
    </row>
    <row r="126" spans="1:12" ht="12" customHeight="1" x14ac:dyDescent="0.3">
      <c r="A126" s="2394" t="s">
        <v>1365</v>
      </c>
      <c r="B126" s="2395" t="s">
        <v>1366</v>
      </c>
      <c r="C126" s="2406">
        <v>0</v>
      </c>
      <c r="D126" s="2396"/>
      <c r="E126" s="2406">
        <v>0</v>
      </c>
      <c r="F126" s="2406">
        <v>0</v>
      </c>
      <c r="G126" s="2407">
        <v>0</v>
      </c>
      <c r="H126" s="2407">
        <v>0</v>
      </c>
      <c r="I126" s="2408"/>
      <c r="J126" s="2408"/>
      <c r="K126" s="2408"/>
      <c r="L126" s="2409"/>
    </row>
    <row r="127" spans="1:12" ht="12" customHeight="1" x14ac:dyDescent="0.3">
      <c r="A127" s="2394" t="s">
        <v>1367</v>
      </c>
      <c r="B127" s="2395" t="s">
        <v>7183</v>
      </c>
      <c r="C127" s="2406">
        <v>0</v>
      </c>
      <c r="D127" s="2396"/>
      <c r="E127" s="2406">
        <v>0</v>
      </c>
      <c r="F127" s="2406">
        <v>0</v>
      </c>
      <c r="G127" s="2407">
        <v>0</v>
      </c>
      <c r="H127" s="2407">
        <v>0</v>
      </c>
      <c r="I127" s="2408"/>
      <c r="J127" s="2408"/>
      <c r="K127" s="2408"/>
      <c r="L127" s="2409"/>
    </row>
    <row r="128" spans="1:12" ht="12" customHeight="1" x14ac:dyDescent="0.3">
      <c r="A128" s="2394" t="s">
        <v>1368</v>
      </c>
      <c r="B128" s="2395" t="s">
        <v>1369</v>
      </c>
      <c r="C128" s="2406">
        <v>0</v>
      </c>
      <c r="D128" s="2396"/>
      <c r="E128" s="2406">
        <v>0</v>
      </c>
      <c r="F128" s="2406">
        <v>0</v>
      </c>
      <c r="G128" s="2407">
        <v>0</v>
      </c>
      <c r="H128" s="2407">
        <v>0</v>
      </c>
      <c r="I128" s="2408"/>
      <c r="J128" s="2408"/>
      <c r="K128" s="2408"/>
      <c r="L128" s="2409"/>
    </row>
    <row r="129" spans="1:12" ht="12" customHeight="1" x14ac:dyDescent="0.3">
      <c r="A129" s="2394" t="s">
        <v>1370</v>
      </c>
      <c r="B129" s="2395" t="s">
        <v>1371</v>
      </c>
      <c r="C129" s="2406">
        <v>0</v>
      </c>
      <c r="D129" s="2396"/>
      <c r="E129" s="2406">
        <v>0</v>
      </c>
      <c r="F129" s="2406">
        <v>0</v>
      </c>
      <c r="G129" s="2407">
        <v>0</v>
      </c>
      <c r="H129" s="2407">
        <v>0</v>
      </c>
      <c r="I129" s="2408"/>
      <c r="J129" s="2408"/>
      <c r="K129" s="2408"/>
      <c r="L129" s="2409"/>
    </row>
    <row r="130" spans="1:12" ht="12" customHeight="1" x14ac:dyDescent="0.3">
      <c r="A130" s="2394" t="s">
        <v>1372</v>
      </c>
      <c r="B130" s="2395" t="s">
        <v>1373</v>
      </c>
      <c r="C130" s="2406">
        <v>0</v>
      </c>
      <c r="D130" s="2396"/>
      <c r="E130" s="2406">
        <v>0</v>
      </c>
      <c r="F130" s="2406">
        <v>0</v>
      </c>
      <c r="G130" s="2407">
        <v>0</v>
      </c>
      <c r="H130" s="2407">
        <v>0</v>
      </c>
      <c r="I130" s="2408"/>
      <c r="J130" s="2408"/>
      <c r="K130" s="2408"/>
      <c r="L130" s="2409"/>
    </row>
    <row r="131" spans="1:12" ht="12" customHeight="1" x14ac:dyDescent="0.3">
      <c r="A131" s="2394" t="s">
        <v>1374</v>
      </c>
      <c r="B131" s="2395" t="s">
        <v>7184</v>
      </c>
      <c r="C131" s="2406">
        <v>1974000</v>
      </c>
      <c r="D131" s="2396"/>
      <c r="E131" s="2406">
        <v>0</v>
      </c>
      <c r="F131" s="2406">
        <v>0</v>
      </c>
      <c r="G131" s="2407">
        <v>0</v>
      </c>
      <c r="H131" s="2407">
        <v>1974000</v>
      </c>
      <c r="I131" s="2408"/>
      <c r="J131" s="2408"/>
      <c r="K131" s="2408"/>
      <c r="L131" s="2409"/>
    </row>
    <row r="132" spans="1:12" ht="12" customHeight="1" x14ac:dyDescent="0.3">
      <c r="A132" s="2394" t="s">
        <v>1375</v>
      </c>
      <c r="B132" s="2395" t="s">
        <v>1376</v>
      </c>
      <c r="C132" s="2406">
        <v>0</v>
      </c>
      <c r="D132" s="2396"/>
      <c r="E132" s="2406">
        <v>0</v>
      </c>
      <c r="F132" s="2406">
        <v>0</v>
      </c>
      <c r="G132" s="2407">
        <v>0</v>
      </c>
      <c r="H132" s="2407">
        <v>0</v>
      </c>
      <c r="I132" s="2408"/>
      <c r="J132" s="2408"/>
      <c r="K132" s="2408"/>
      <c r="L132" s="2409"/>
    </row>
    <row r="133" spans="1:12" ht="12" customHeight="1" x14ac:dyDescent="0.3">
      <c r="A133" s="2394" t="s">
        <v>1377</v>
      </c>
      <c r="B133" s="2395" t="s">
        <v>350</v>
      </c>
      <c r="C133" s="2406">
        <v>0</v>
      </c>
      <c r="D133" s="2396"/>
      <c r="E133" s="2406">
        <v>0</v>
      </c>
      <c r="F133" s="2406">
        <v>0</v>
      </c>
      <c r="G133" s="2407">
        <v>0</v>
      </c>
      <c r="H133" s="2407">
        <v>0</v>
      </c>
      <c r="I133" s="2408"/>
      <c r="J133" s="2408"/>
      <c r="K133" s="2408"/>
      <c r="L133" s="2409"/>
    </row>
    <row r="134" spans="1:12" ht="12" customHeight="1" x14ac:dyDescent="0.3">
      <c r="A134" s="2394" t="s">
        <v>1380</v>
      </c>
      <c r="B134" s="2395" t="s">
        <v>1381</v>
      </c>
      <c r="C134" s="2406">
        <v>0</v>
      </c>
      <c r="D134" s="2396"/>
      <c r="E134" s="2406">
        <v>0</v>
      </c>
      <c r="F134" s="2406">
        <v>0</v>
      </c>
      <c r="G134" s="2407">
        <v>0</v>
      </c>
      <c r="H134" s="2407">
        <v>0</v>
      </c>
      <c r="I134" s="2408"/>
      <c r="J134" s="2408"/>
      <c r="K134" s="2408"/>
      <c r="L134" s="2409"/>
    </row>
    <row r="135" spans="1:12" ht="12" customHeight="1" x14ac:dyDescent="0.3">
      <c r="A135" s="2394" t="s">
        <v>1382</v>
      </c>
      <c r="B135" s="2395" t="s">
        <v>1383</v>
      </c>
      <c r="C135" s="2406">
        <v>73709181</v>
      </c>
      <c r="D135" s="2396"/>
      <c r="E135" s="2406">
        <v>0</v>
      </c>
      <c r="F135" s="2406">
        <v>0</v>
      </c>
      <c r="G135" s="2407">
        <v>0</v>
      </c>
      <c r="H135" s="2407">
        <v>73709181</v>
      </c>
      <c r="I135" s="2408"/>
      <c r="J135" s="2408"/>
      <c r="K135" s="2408"/>
      <c r="L135" s="2409"/>
    </row>
    <row r="136" spans="1:12" ht="12" customHeight="1" x14ac:dyDescent="0.3">
      <c r="A136" s="2394" t="s">
        <v>1384</v>
      </c>
      <c r="B136" s="2395" t="s">
        <v>1385</v>
      </c>
      <c r="C136" s="2406">
        <v>46980000</v>
      </c>
      <c r="D136" s="2396"/>
      <c r="E136" s="2406">
        <v>0</v>
      </c>
      <c r="F136" s="2406">
        <v>0</v>
      </c>
      <c r="G136" s="2407">
        <v>0</v>
      </c>
      <c r="H136" s="2407">
        <v>46980000</v>
      </c>
      <c r="I136" s="2408"/>
      <c r="J136" s="2408"/>
      <c r="K136" s="2408"/>
      <c r="L136" s="2409"/>
    </row>
    <row r="137" spans="1:12" ht="12" customHeight="1" x14ac:dyDescent="0.3">
      <c r="A137" s="2394" t="s">
        <v>1386</v>
      </c>
      <c r="B137" s="2395" t="s">
        <v>1387</v>
      </c>
      <c r="C137" s="2406">
        <v>0</v>
      </c>
      <c r="D137" s="2396"/>
      <c r="E137" s="2406">
        <v>0</v>
      </c>
      <c r="F137" s="2406">
        <v>0</v>
      </c>
      <c r="G137" s="2407">
        <v>0</v>
      </c>
      <c r="H137" s="2407">
        <v>0</v>
      </c>
      <c r="I137" s="2408"/>
      <c r="J137" s="2408"/>
      <c r="K137" s="2408"/>
      <c r="L137" s="2409"/>
    </row>
    <row r="138" spans="1:12" ht="12" customHeight="1" x14ac:dyDescent="0.3">
      <c r="A138" s="2394" t="s">
        <v>1388</v>
      </c>
      <c r="B138" s="2395" t="s">
        <v>1389</v>
      </c>
      <c r="C138" s="2406">
        <v>0</v>
      </c>
      <c r="D138" s="2396"/>
      <c r="E138" s="2406">
        <v>0</v>
      </c>
      <c r="F138" s="2406">
        <v>0</v>
      </c>
      <c r="G138" s="2407">
        <v>0</v>
      </c>
      <c r="H138" s="2407">
        <v>0</v>
      </c>
      <c r="I138" s="2408"/>
      <c r="J138" s="2408"/>
      <c r="K138" s="2408"/>
      <c r="L138" s="2409"/>
    </row>
    <row r="139" spans="1:12" ht="12" customHeight="1" x14ac:dyDescent="0.3">
      <c r="A139" s="2394" t="s">
        <v>1390</v>
      </c>
      <c r="B139" s="2395" t="s">
        <v>1391</v>
      </c>
      <c r="C139" s="2406">
        <v>0</v>
      </c>
      <c r="D139" s="2396"/>
      <c r="E139" s="2406">
        <v>0</v>
      </c>
      <c r="F139" s="2406">
        <v>0</v>
      </c>
      <c r="G139" s="2407">
        <v>0</v>
      </c>
      <c r="H139" s="2407">
        <v>0</v>
      </c>
      <c r="I139" s="2408"/>
      <c r="J139" s="2408"/>
      <c r="K139" s="2408"/>
      <c r="L139" s="2409"/>
    </row>
    <row r="140" spans="1:12" ht="12" customHeight="1" x14ac:dyDescent="0.3">
      <c r="A140" s="2394" t="s">
        <v>1392</v>
      </c>
      <c r="B140" s="2395" t="s">
        <v>1393</v>
      </c>
      <c r="C140" s="2406">
        <v>0</v>
      </c>
      <c r="D140" s="2396"/>
      <c r="E140" s="2406">
        <v>0</v>
      </c>
      <c r="F140" s="2406">
        <v>0</v>
      </c>
      <c r="G140" s="2407">
        <v>0</v>
      </c>
      <c r="H140" s="2407">
        <v>0</v>
      </c>
      <c r="I140" s="2408"/>
      <c r="J140" s="2408"/>
      <c r="K140" s="2408"/>
      <c r="L140" s="2409"/>
    </row>
    <row r="141" spans="1:12" ht="12" customHeight="1" x14ac:dyDescent="0.3">
      <c r="A141" s="2394" t="s">
        <v>1394</v>
      </c>
      <c r="B141" s="2395" t="s">
        <v>1395</v>
      </c>
      <c r="C141" s="2406">
        <v>0</v>
      </c>
      <c r="D141" s="2396"/>
      <c r="E141" s="2406">
        <v>0</v>
      </c>
      <c r="F141" s="2406">
        <v>0</v>
      </c>
      <c r="G141" s="2407">
        <v>0</v>
      </c>
      <c r="H141" s="2407">
        <v>0</v>
      </c>
      <c r="I141" s="2408"/>
      <c r="J141" s="2408"/>
      <c r="K141" s="2408"/>
      <c r="L141" s="2409"/>
    </row>
    <row r="142" spans="1:12" ht="12" customHeight="1" x14ac:dyDescent="0.3">
      <c r="A142" s="2394" t="s">
        <v>1396</v>
      </c>
      <c r="B142" s="2395" t="s">
        <v>1397</v>
      </c>
      <c r="C142" s="2406">
        <v>0</v>
      </c>
      <c r="D142" s="2396"/>
      <c r="E142" s="2406">
        <v>0</v>
      </c>
      <c r="F142" s="2406">
        <v>0</v>
      </c>
      <c r="G142" s="2407">
        <v>0</v>
      </c>
      <c r="H142" s="2407">
        <v>0</v>
      </c>
      <c r="I142" s="2408"/>
      <c r="J142" s="2408"/>
      <c r="K142" s="2408"/>
      <c r="L142" s="2409"/>
    </row>
    <row r="143" spans="1:12" ht="12" customHeight="1" x14ac:dyDescent="0.3">
      <c r="A143" s="2394" t="s">
        <v>1398</v>
      </c>
      <c r="B143" s="2395" t="s">
        <v>1399</v>
      </c>
      <c r="C143" s="2406">
        <v>0</v>
      </c>
      <c r="D143" s="2396"/>
      <c r="E143" s="2406">
        <v>0</v>
      </c>
      <c r="F143" s="2406">
        <v>0</v>
      </c>
      <c r="G143" s="2407">
        <v>0</v>
      </c>
      <c r="H143" s="2407">
        <v>0</v>
      </c>
      <c r="I143" s="2408"/>
      <c r="J143" s="2408"/>
      <c r="K143" s="2408"/>
      <c r="L143" s="2409"/>
    </row>
    <row r="144" spans="1:12" ht="12" customHeight="1" x14ac:dyDescent="0.3">
      <c r="A144" s="2394" t="s">
        <v>1400</v>
      </c>
      <c r="B144" s="2395" t="s">
        <v>1401</v>
      </c>
      <c r="C144" s="2406">
        <v>0</v>
      </c>
      <c r="D144" s="2396"/>
      <c r="E144" s="2406">
        <v>0</v>
      </c>
      <c r="F144" s="2406">
        <v>0</v>
      </c>
      <c r="G144" s="2407">
        <v>0</v>
      </c>
      <c r="H144" s="2407">
        <v>0</v>
      </c>
      <c r="I144" s="2408"/>
      <c r="J144" s="2408"/>
      <c r="K144" s="2408"/>
      <c r="L144" s="2409"/>
    </row>
    <row r="145" spans="1:12" ht="12" customHeight="1" x14ac:dyDescent="0.3">
      <c r="A145" s="2394" t="s">
        <v>1402</v>
      </c>
      <c r="B145" s="2395" t="s">
        <v>1403</v>
      </c>
      <c r="C145" s="2406">
        <v>0</v>
      </c>
      <c r="D145" s="2396"/>
      <c r="E145" s="2406">
        <v>0</v>
      </c>
      <c r="F145" s="2406">
        <v>0</v>
      </c>
      <c r="G145" s="2407">
        <v>0</v>
      </c>
      <c r="H145" s="2407">
        <v>0</v>
      </c>
      <c r="I145" s="2408"/>
      <c r="J145" s="2408"/>
      <c r="K145" s="2408"/>
      <c r="L145" s="2409"/>
    </row>
    <row r="146" spans="1:12" ht="12" customHeight="1" x14ac:dyDescent="0.3">
      <c r="A146" s="2394" t="s">
        <v>1404</v>
      </c>
      <c r="B146" s="2395" t="s">
        <v>1405</v>
      </c>
      <c r="C146" s="2406">
        <v>0</v>
      </c>
      <c r="D146" s="2396"/>
      <c r="E146" s="2406">
        <v>0</v>
      </c>
      <c r="F146" s="2406">
        <v>0</v>
      </c>
      <c r="G146" s="2407">
        <v>0</v>
      </c>
      <c r="H146" s="2407">
        <v>0</v>
      </c>
      <c r="I146" s="2408"/>
      <c r="J146" s="2408"/>
      <c r="K146" s="2408"/>
      <c r="L146" s="2409"/>
    </row>
    <row r="147" spans="1:12" x14ac:dyDescent="0.3">
      <c r="A147" s="2394" t="s">
        <v>1406</v>
      </c>
      <c r="B147" s="2395" t="s">
        <v>1387</v>
      </c>
      <c r="C147" s="2406">
        <v>0</v>
      </c>
      <c r="D147" s="2396"/>
      <c r="E147" s="2406">
        <v>0</v>
      </c>
      <c r="F147" s="2406">
        <v>0</v>
      </c>
      <c r="G147" s="2407">
        <v>0</v>
      </c>
      <c r="H147" s="2407">
        <v>0</v>
      </c>
      <c r="I147" s="2408"/>
      <c r="J147" s="2408"/>
      <c r="K147" s="2408"/>
      <c r="L147" s="2409"/>
    </row>
    <row r="148" spans="1:12" ht="12" customHeight="1" x14ac:dyDescent="0.3">
      <c r="A148" s="2394" t="s">
        <v>1407</v>
      </c>
      <c r="B148" s="2395" t="s">
        <v>1408</v>
      </c>
      <c r="C148" s="2406">
        <v>0</v>
      </c>
      <c r="D148" s="2396"/>
      <c r="E148" s="2406">
        <v>0</v>
      </c>
      <c r="F148" s="2406">
        <v>0</v>
      </c>
      <c r="G148" s="2407">
        <v>0</v>
      </c>
      <c r="H148" s="2407">
        <v>0</v>
      </c>
      <c r="I148" s="2408"/>
      <c r="J148" s="2408"/>
      <c r="K148" s="2408"/>
      <c r="L148" s="2409"/>
    </row>
    <row r="149" spans="1:12" x14ac:dyDescent="0.3">
      <c r="A149" s="2394" t="s">
        <v>1409</v>
      </c>
      <c r="B149" s="2395" t="s">
        <v>1410</v>
      </c>
      <c r="C149" s="2406">
        <v>0</v>
      </c>
      <c r="D149" s="2396"/>
      <c r="E149" s="2406">
        <v>0</v>
      </c>
      <c r="F149" s="2406">
        <v>0</v>
      </c>
      <c r="G149" s="2407">
        <v>0</v>
      </c>
      <c r="H149" s="2407">
        <v>0</v>
      </c>
      <c r="I149" s="2408"/>
      <c r="J149" s="2408"/>
      <c r="K149" s="2408"/>
      <c r="L149" s="2409"/>
    </row>
    <row r="150" spans="1:12" ht="12" customHeight="1" x14ac:dyDescent="0.3">
      <c r="A150" s="2394" t="s">
        <v>1411</v>
      </c>
      <c r="B150" s="2395" t="s">
        <v>1412</v>
      </c>
      <c r="C150" s="2406">
        <v>0</v>
      </c>
      <c r="D150" s="2396"/>
      <c r="E150" s="2406">
        <v>0</v>
      </c>
      <c r="F150" s="2406">
        <v>0</v>
      </c>
      <c r="G150" s="2407">
        <v>0</v>
      </c>
      <c r="H150" s="2407">
        <v>0</v>
      </c>
      <c r="I150" s="2408"/>
      <c r="J150" s="2408"/>
      <c r="K150" s="2408"/>
      <c r="L150" s="2409"/>
    </row>
    <row r="151" spans="1:12" ht="12" customHeight="1" x14ac:dyDescent="0.3">
      <c r="A151" s="2394" t="s">
        <v>1413</v>
      </c>
      <c r="B151" s="2395" t="s">
        <v>1414</v>
      </c>
      <c r="C151" s="2406">
        <v>0</v>
      </c>
      <c r="D151" s="2396"/>
      <c r="E151" s="2406">
        <v>0</v>
      </c>
      <c r="F151" s="2406">
        <v>0</v>
      </c>
      <c r="G151" s="2407">
        <v>0</v>
      </c>
      <c r="H151" s="2407">
        <v>0</v>
      </c>
      <c r="I151" s="2408"/>
      <c r="J151" s="2408"/>
      <c r="K151" s="2408"/>
      <c r="L151" s="2409"/>
    </row>
    <row r="152" spans="1:12" ht="12" customHeight="1" x14ac:dyDescent="0.3">
      <c r="A152" s="2394" t="s">
        <v>1415</v>
      </c>
      <c r="B152" s="2395" t="s">
        <v>1397</v>
      </c>
      <c r="C152" s="2406">
        <v>0</v>
      </c>
      <c r="D152" s="2396"/>
      <c r="E152" s="2406">
        <v>0</v>
      </c>
      <c r="F152" s="2406">
        <v>0</v>
      </c>
      <c r="G152" s="2407">
        <v>0</v>
      </c>
      <c r="H152" s="2407">
        <v>0</v>
      </c>
      <c r="I152" s="2408"/>
      <c r="J152" s="2408"/>
      <c r="K152" s="2408"/>
      <c r="L152" s="2409"/>
    </row>
    <row r="153" spans="1:12" ht="12" customHeight="1" x14ac:dyDescent="0.3">
      <c r="A153" s="2394" t="s">
        <v>1416</v>
      </c>
      <c r="B153" s="2395" t="s">
        <v>1417</v>
      </c>
      <c r="C153" s="2406">
        <v>0</v>
      </c>
      <c r="D153" s="2396"/>
      <c r="E153" s="2406">
        <v>0</v>
      </c>
      <c r="F153" s="2406">
        <v>0</v>
      </c>
      <c r="G153" s="2407">
        <v>0</v>
      </c>
      <c r="H153" s="2407">
        <v>0</v>
      </c>
      <c r="I153" s="2408"/>
      <c r="J153" s="2408"/>
      <c r="K153" s="2408"/>
      <c r="L153" s="2409"/>
    </row>
    <row r="154" spans="1:12" ht="12" customHeight="1" x14ac:dyDescent="0.3">
      <c r="A154" s="2394" t="s">
        <v>1418</v>
      </c>
      <c r="B154" s="2395" t="s">
        <v>1419</v>
      </c>
      <c r="C154" s="2406">
        <v>10729000</v>
      </c>
      <c r="D154" s="2396"/>
      <c r="E154" s="2406">
        <v>0</v>
      </c>
      <c r="F154" s="2406">
        <v>0</v>
      </c>
      <c r="G154" s="2407">
        <v>0</v>
      </c>
      <c r="H154" s="2407">
        <v>10729000</v>
      </c>
      <c r="I154" s="2408"/>
      <c r="J154" s="2408"/>
      <c r="K154" s="2408"/>
      <c r="L154" s="2409"/>
    </row>
    <row r="155" spans="1:12" ht="12" customHeight="1" x14ac:dyDescent="0.3">
      <c r="A155" s="2394" t="s">
        <v>1420</v>
      </c>
      <c r="B155" s="2395" t="s">
        <v>1397</v>
      </c>
      <c r="C155" s="2406">
        <v>0</v>
      </c>
      <c r="D155" s="2396"/>
      <c r="E155" s="2406">
        <v>0</v>
      </c>
      <c r="F155" s="2406">
        <v>0</v>
      </c>
      <c r="G155" s="2407">
        <v>0</v>
      </c>
      <c r="H155" s="2407">
        <v>0</v>
      </c>
      <c r="I155" s="2408"/>
      <c r="J155" s="2408"/>
      <c r="K155" s="2408"/>
      <c r="L155" s="2409"/>
    </row>
    <row r="156" spans="1:12" ht="12" customHeight="1" x14ac:dyDescent="0.3">
      <c r="A156" s="2394" t="s">
        <v>1424</v>
      </c>
      <c r="B156" s="2395" t="s">
        <v>1425</v>
      </c>
      <c r="C156" s="2406">
        <v>0</v>
      </c>
      <c r="D156" s="2396"/>
      <c r="E156" s="2406">
        <v>0</v>
      </c>
      <c r="F156" s="2406">
        <v>0</v>
      </c>
      <c r="G156" s="2407">
        <v>0</v>
      </c>
      <c r="H156" s="2407">
        <v>0</v>
      </c>
      <c r="I156" s="2408"/>
      <c r="J156" s="2408"/>
      <c r="K156" s="2408"/>
      <c r="L156" s="2409"/>
    </row>
    <row r="157" spans="1:12" ht="12" customHeight="1" x14ac:dyDescent="0.3">
      <c r="A157" s="2394" t="s">
        <v>1426</v>
      </c>
      <c r="B157" s="2395" t="s">
        <v>1427</v>
      </c>
      <c r="C157" s="2406">
        <v>0</v>
      </c>
      <c r="D157" s="2396"/>
      <c r="E157" s="2406">
        <v>0</v>
      </c>
      <c r="F157" s="2406">
        <v>0</v>
      </c>
      <c r="G157" s="2407">
        <v>0</v>
      </c>
      <c r="H157" s="2407">
        <v>0</v>
      </c>
      <c r="I157" s="2408"/>
      <c r="J157" s="2408"/>
      <c r="K157" s="2408"/>
      <c r="L157" s="2409"/>
    </row>
    <row r="158" spans="1:12" ht="12" customHeight="1" x14ac:dyDescent="0.3">
      <c r="A158" s="2394" t="s">
        <v>1428</v>
      </c>
      <c r="B158" s="2395" t="s">
        <v>1429</v>
      </c>
      <c r="C158" s="2406">
        <v>0</v>
      </c>
      <c r="D158" s="2396"/>
      <c r="E158" s="2406">
        <v>0</v>
      </c>
      <c r="F158" s="2406">
        <v>0</v>
      </c>
      <c r="G158" s="2407">
        <v>0</v>
      </c>
      <c r="H158" s="2407">
        <v>0</v>
      </c>
      <c r="I158" s="2408"/>
      <c r="J158" s="2408"/>
      <c r="K158" s="2408"/>
      <c r="L158" s="2409"/>
    </row>
    <row r="159" spans="1:12" ht="12" customHeight="1" x14ac:dyDescent="0.3">
      <c r="A159" s="2394" t="s">
        <v>1430</v>
      </c>
      <c r="B159" s="2395" t="s">
        <v>1431</v>
      </c>
      <c r="C159" s="2406">
        <v>0</v>
      </c>
      <c r="D159" s="2396"/>
      <c r="E159" s="2406">
        <v>0</v>
      </c>
      <c r="F159" s="2406">
        <v>0</v>
      </c>
      <c r="G159" s="2407">
        <v>0</v>
      </c>
      <c r="H159" s="2407">
        <v>0</v>
      </c>
      <c r="I159" s="2408"/>
      <c r="J159" s="2408"/>
      <c r="K159" s="2408"/>
      <c r="L159" s="2409"/>
    </row>
    <row r="160" spans="1:12" ht="12" customHeight="1" x14ac:dyDescent="0.3">
      <c r="A160" s="2394" t="s">
        <v>1432</v>
      </c>
      <c r="B160" s="2395" t="s">
        <v>1433</v>
      </c>
      <c r="C160" s="2406">
        <v>0</v>
      </c>
      <c r="D160" s="2396"/>
      <c r="E160" s="2406">
        <v>0</v>
      </c>
      <c r="F160" s="2406">
        <v>0</v>
      </c>
      <c r="G160" s="2407">
        <v>0</v>
      </c>
      <c r="H160" s="2407">
        <v>0</v>
      </c>
      <c r="I160" s="2408"/>
      <c r="J160" s="2408"/>
      <c r="K160" s="2408"/>
      <c r="L160" s="2409"/>
    </row>
    <row r="161" spans="1:12" x14ac:dyDescent="0.3">
      <c r="A161" s="2394" t="s">
        <v>1434</v>
      </c>
      <c r="B161" s="2395" t="s">
        <v>1435</v>
      </c>
      <c r="C161" s="2406">
        <v>0</v>
      </c>
      <c r="D161" s="2396"/>
      <c r="E161" s="2406">
        <v>0</v>
      </c>
      <c r="F161" s="2406">
        <v>0</v>
      </c>
      <c r="G161" s="2407">
        <v>0</v>
      </c>
      <c r="H161" s="2407">
        <v>0</v>
      </c>
      <c r="I161" s="2408"/>
      <c r="J161" s="2408"/>
      <c r="K161" s="2408"/>
      <c r="L161" s="2409"/>
    </row>
    <row r="162" spans="1:12" ht="12" customHeight="1" x14ac:dyDescent="0.3">
      <c r="A162" s="2394" t="s">
        <v>1436</v>
      </c>
      <c r="B162" s="2395" t="s">
        <v>1437</v>
      </c>
      <c r="C162" s="2406">
        <v>0</v>
      </c>
      <c r="D162" s="2396"/>
      <c r="E162" s="2406">
        <v>0</v>
      </c>
      <c r="F162" s="2406">
        <v>0</v>
      </c>
      <c r="G162" s="2407">
        <v>0</v>
      </c>
      <c r="H162" s="2407">
        <v>0</v>
      </c>
      <c r="I162" s="2408"/>
      <c r="J162" s="2408"/>
      <c r="K162" s="2408"/>
      <c r="L162" s="2409"/>
    </row>
    <row r="163" spans="1:12" ht="12" customHeight="1" x14ac:dyDescent="0.3">
      <c r="A163" s="2394" t="s">
        <v>1438</v>
      </c>
      <c r="B163" s="2395" t="s">
        <v>1439</v>
      </c>
      <c r="C163" s="2406">
        <v>0</v>
      </c>
      <c r="D163" s="2396"/>
      <c r="E163" s="2406">
        <v>0</v>
      </c>
      <c r="F163" s="2406">
        <v>0</v>
      </c>
      <c r="G163" s="2407">
        <v>0</v>
      </c>
      <c r="H163" s="2407">
        <v>0</v>
      </c>
      <c r="I163" s="2408"/>
      <c r="J163" s="2408"/>
      <c r="K163" s="2408"/>
      <c r="L163" s="2409"/>
    </row>
    <row r="164" spans="1:12" ht="12" customHeight="1" x14ac:dyDescent="0.3">
      <c r="A164" s="2394" t="s">
        <v>1440</v>
      </c>
      <c r="B164" s="2395" t="s">
        <v>1441</v>
      </c>
      <c r="C164" s="2406">
        <v>0</v>
      </c>
      <c r="D164" s="2396"/>
      <c r="E164" s="2406">
        <v>0</v>
      </c>
      <c r="F164" s="2406">
        <v>0</v>
      </c>
      <c r="G164" s="2407">
        <v>0</v>
      </c>
      <c r="H164" s="2407">
        <v>0</v>
      </c>
      <c r="I164" s="2408"/>
      <c r="J164" s="2408"/>
      <c r="K164" s="2408"/>
      <c r="L164" s="2409"/>
    </row>
    <row r="165" spans="1:12" x14ac:dyDescent="0.3">
      <c r="A165" s="2394" t="s">
        <v>1442</v>
      </c>
      <c r="B165" s="2395" t="s">
        <v>1443</v>
      </c>
      <c r="C165" s="2406">
        <v>0</v>
      </c>
      <c r="D165" s="2396"/>
      <c r="E165" s="2406">
        <v>0</v>
      </c>
      <c r="F165" s="2406">
        <v>0</v>
      </c>
      <c r="G165" s="2407">
        <v>0</v>
      </c>
      <c r="H165" s="2407">
        <v>0</v>
      </c>
      <c r="I165" s="2408"/>
      <c r="J165" s="2408"/>
      <c r="K165" s="2408"/>
      <c r="L165" s="2409"/>
    </row>
    <row r="166" spans="1:12" x14ac:dyDescent="0.3">
      <c r="A166" s="2394" t="s">
        <v>1444</v>
      </c>
      <c r="B166" s="2395" t="s">
        <v>1445</v>
      </c>
      <c r="C166" s="2406">
        <v>0</v>
      </c>
      <c r="D166" s="2396"/>
      <c r="E166" s="2406">
        <v>0</v>
      </c>
      <c r="F166" s="2406">
        <v>0</v>
      </c>
      <c r="G166" s="2407">
        <v>0</v>
      </c>
      <c r="H166" s="2407">
        <v>0</v>
      </c>
      <c r="I166" s="2408"/>
      <c r="J166" s="2408"/>
      <c r="K166" s="2408"/>
      <c r="L166" s="2409"/>
    </row>
    <row r="167" spans="1:12" ht="12" customHeight="1" x14ac:dyDescent="0.3">
      <c r="A167" s="2394" t="s">
        <v>1446</v>
      </c>
      <c r="B167" s="2395" t="s">
        <v>1447</v>
      </c>
      <c r="C167" s="2406">
        <v>0</v>
      </c>
      <c r="D167" s="2396"/>
      <c r="E167" s="2406">
        <v>0</v>
      </c>
      <c r="F167" s="2406">
        <v>0</v>
      </c>
      <c r="G167" s="2407">
        <v>0</v>
      </c>
      <c r="H167" s="2407">
        <v>0</v>
      </c>
      <c r="I167" s="2408"/>
      <c r="J167" s="2408"/>
      <c r="K167" s="2408"/>
      <c r="L167" s="2409"/>
    </row>
    <row r="168" spans="1:12" x14ac:dyDescent="0.3">
      <c r="A168" s="2394" t="s">
        <v>1448</v>
      </c>
      <c r="B168" s="2395" t="s">
        <v>1449</v>
      </c>
      <c r="C168" s="2406">
        <v>0</v>
      </c>
      <c r="D168" s="2396"/>
      <c r="E168" s="2406">
        <v>0</v>
      </c>
      <c r="F168" s="2406">
        <v>0</v>
      </c>
      <c r="G168" s="2407">
        <v>0</v>
      </c>
      <c r="H168" s="2407">
        <v>0</v>
      </c>
      <c r="I168" s="2408"/>
      <c r="J168" s="2408"/>
      <c r="K168" s="2408"/>
      <c r="L168" s="2409"/>
    </row>
    <row r="169" spans="1:12" ht="12" customHeight="1" x14ac:dyDescent="0.3">
      <c r="A169" s="2394" t="s">
        <v>1450</v>
      </c>
      <c r="B169" s="2395" t="s">
        <v>1451</v>
      </c>
      <c r="C169" s="2406">
        <v>0</v>
      </c>
      <c r="D169" s="2396"/>
      <c r="E169" s="2406">
        <v>0</v>
      </c>
      <c r="F169" s="2406">
        <v>0</v>
      </c>
      <c r="G169" s="2407">
        <v>0</v>
      </c>
      <c r="H169" s="2407">
        <v>0</v>
      </c>
      <c r="I169" s="2408"/>
      <c r="J169" s="2408"/>
      <c r="K169" s="2408"/>
      <c r="L169" s="2409"/>
    </row>
    <row r="170" spans="1:12" x14ac:dyDescent="0.3">
      <c r="A170" s="2394" t="s">
        <v>1452</v>
      </c>
      <c r="B170" s="2395" t="s">
        <v>1453</v>
      </c>
      <c r="C170" s="2406">
        <v>0</v>
      </c>
      <c r="D170" s="2396"/>
      <c r="E170" s="2406">
        <v>0</v>
      </c>
      <c r="F170" s="2406">
        <v>0</v>
      </c>
      <c r="G170" s="2407">
        <v>0</v>
      </c>
      <c r="H170" s="2407">
        <v>0</v>
      </c>
      <c r="I170" s="2408"/>
      <c r="J170" s="2408"/>
      <c r="K170" s="2408"/>
      <c r="L170" s="2409"/>
    </row>
    <row r="171" spans="1:12" ht="12" customHeight="1" x14ac:dyDescent="0.3">
      <c r="A171" s="2394" t="s">
        <v>1454</v>
      </c>
      <c r="B171" s="2395" t="s">
        <v>1455</v>
      </c>
      <c r="C171" s="2406">
        <v>0</v>
      </c>
      <c r="D171" s="2396"/>
      <c r="E171" s="2406">
        <v>0</v>
      </c>
      <c r="F171" s="2406">
        <v>0</v>
      </c>
      <c r="G171" s="2407">
        <v>0</v>
      </c>
      <c r="H171" s="2407">
        <v>0</v>
      </c>
      <c r="I171" s="2408"/>
      <c r="J171" s="2408"/>
      <c r="K171" s="2408"/>
      <c r="L171" s="2409"/>
    </row>
    <row r="172" spans="1:12" ht="12" customHeight="1" x14ac:dyDescent="0.3">
      <c r="A172" s="2394" t="s">
        <v>1456</v>
      </c>
      <c r="B172" s="2395" t="s">
        <v>1457</v>
      </c>
      <c r="C172" s="2406">
        <v>0</v>
      </c>
      <c r="D172" s="2396"/>
      <c r="E172" s="2406">
        <v>0</v>
      </c>
      <c r="F172" s="2406">
        <v>0</v>
      </c>
      <c r="G172" s="2407">
        <v>0</v>
      </c>
      <c r="H172" s="2407">
        <v>0</v>
      </c>
      <c r="I172" s="2408"/>
      <c r="J172" s="2408"/>
      <c r="K172" s="2408"/>
      <c r="L172" s="2409"/>
    </row>
    <row r="173" spans="1:12" x14ac:dyDescent="0.3">
      <c r="A173" s="2394" t="s">
        <v>1458</v>
      </c>
      <c r="B173" s="2395" t="s">
        <v>1459</v>
      </c>
      <c r="C173" s="2406">
        <v>0</v>
      </c>
      <c r="D173" s="2396"/>
      <c r="E173" s="2406">
        <v>0</v>
      </c>
      <c r="F173" s="2406">
        <v>0</v>
      </c>
      <c r="G173" s="2407">
        <v>0</v>
      </c>
      <c r="H173" s="2407">
        <v>0</v>
      </c>
      <c r="I173" s="2408"/>
      <c r="J173" s="2408"/>
      <c r="K173" s="2408"/>
      <c r="L173" s="2409"/>
    </row>
    <row r="174" spans="1:12" ht="12" customHeight="1" x14ac:dyDescent="0.3">
      <c r="A174" s="2394" t="s">
        <v>1460</v>
      </c>
      <c r="B174" s="2395" t="s">
        <v>1461</v>
      </c>
      <c r="C174" s="2406">
        <v>0</v>
      </c>
      <c r="D174" s="2396"/>
      <c r="E174" s="2406">
        <v>0</v>
      </c>
      <c r="F174" s="2406">
        <v>0</v>
      </c>
      <c r="G174" s="2407">
        <v>0</v>
      </c>
      <c r="H174" s="2407">
        <v>0</v>
      </c>
      <c r="I174" s="2408"/>
      <c r="J174" s="2408"/>
      <c r="K174" s="2408"/>
      <c r="L174" s="2409"/>
    </row>
    <row r="175" spans="1:12" x14ac:dyDescent="0.3">
      <c r="A175" s="2394" t="s">
        <v>1462</v>
      </c>
      <c r="B175" s="2395" t="s">
        <v>1463</v>
      </c>
      <c r="C175" s="2406">
        <v>0</v>
      </c>
      <c r="D175" s="2396"/>
      <c r="E175" s="2406">
        <v>0</v>
      </c>
      <c r="F175" s="2406">
        <v>0</v>
      </c>
      <c r="G175" s="2407">
        <v>0</v>
      </c>
      <c r="H175" s="2407">
        <v>0</v>
      </c>
      <c r="I175" s="2408"/>
      <c r="J175" s="2408"/>
      <c r="K175" s="2408"/>
      <c r="L175" s="2409"/>
    </row>
    <row r="176" spans="1:12" x14ac:dyDescent="0.3">
      <c r="A176" s="2394" t="s">
        <v>1464</v>
      </c>
      <c r="B176" s="2395" t="s">
        <v>1465</v>
      </c>
      <c r="C176" s="2406">
        <v>0</v>
      </c>
      <c r="D176" s="2396"/>
      <c r="E176" s="2406">
        <v>0</v>
      </c>
      <c r="F176" s="2406">
        <v>0</v>
      </c>
      <c r="G176" s="2407">
        <v>0</v>
      </c>
      <c r="H176" s="2407">
        <v>0</v>
      </c>
      <c r="I176" s="2408"/>
      <c r="J176" s="2408"/>
      <c r="K176" s="2408"/>
      <c r="L176" s="2409"/>
    </row>
    <row r="177" spans="1:12" x14ac:dyDescent="0.3">
      <c r="A177" s="2394" t="s">
        <v>1466</v>
      </c>
      <c r="B177" s="2395" t="s">
        <v>1467</v>
      </c>
      <c r="C177" s="2406">
        <v>3900000</v>
      </c>
      <c r="D177" s="2396"/>
      <c r="E177" s="2406">
        <v>0</v>
      </c>
      <c r="F177" s="2406">
        <v>0</v>
      </c>
      <c r="G177" s="2407">
        <v>0</v>
      </c>
      <c r="H177" s="2407">
        <v>3900000</v>
      </c>
      <c r="I177" s="2408"/>
      <c r="J177" s="2408"/>
      <c r="K177" s="2408"/>
      <c r="L177" s="2409"/>
    </row>
    <row r="178" spans="1:12" x14ac:dyDescent="0.3">
      <c r="A178" s="2394" t="s">
        <v>1468</v>
      </c>
      <c r="B178" s="2395" t="s">
        <v>1469</v>
      </c>
      <c r="C178" s="2406">
        <v>0</v>
      </c>
      <c r="D178" s="2396"/>
      <c r="E178" s="2406">
        <v>0</v>
      </c>
      <c r="F178" s="2406">
        <v>0</v>
      </c>
      <c r="G178" s="2407">
        <v>0</v>
      </c>
      <c r="H178" s="2407">
        <v>0</v>
      </c>
      <c r="I178" s="2408"/>
      <c r="J178" s="2408"/>
      <c r="K178" s="2408"/>
      <c r="L178" s="2409"/>
    </row>
    <row r="179" spans="1:12" x14ac:dyDescent="0.3">
      <c r="A179" s="2394" t="s">
        <v>1470</v>
      </c>
      <c r="B179" s="2395" t="s">
        <v>1457</v>
      </c>
      <c r="C179" s="2406">
        <v>0</v>
      </c>
      <c r="D179" s="2396"/>
      <c r="E179" s="2406">
        <v>0</v>
      </c>
      <c r="F179" s="2406">
        <v>0</v>
      </c>
      <c r="G179" s="2407">
        <v>0</v>
      </c>
      <c r="H179" s="2407">
        <v>0</v>
      </c>
      <c r="I179" s="2408"/>
      <c r="J179" s="2408"/>
      <c r="K179" s="2408"/>
      <c r="L179" s="2409"/>
    </row>
    <row r="180" spans="1:12" x14ac:dyDescent="0.3">
      <c r="A180" s="2394" t="s">
        <v>1471</v>
      </c>
      <c r="B180" s="2395" t="s">
        <v>1472</v>
      </c>
      <c r="C180" s="2406">
        <v>0</v>
      </c>
      <c r="D180" s="2396"/>
      <c r="E180" s="2406">
        <v>0</v>
      </c>
      <c r="F180" s="2406">
        <v>0</v>
      </c>
      <c r="G180" s="2407">
        <v>0</v>
      </c>
      <c r="H180" s="2407">
        <v>0</v>
      </c>
      <c r="I180" s="2408"/>
      <c r="J180" s="2408"/>
      <c r="K180" s="2408"/>
      <c r="L180" s="2409"/>
    </row>
    <row r="181" spans="1:12" ht="12" customHeight="1" x14ac:dyDescent="0.3">
      <c r="A181" s="2394" t="s">
        <v>1473</v>
      </c>
      <c r="B181" s="2395" t="s">
        <v>1457</v>
      </c>
      <c r="C181" s="2406">
        <v>28500000</v>
      </c>
      <c r="D181" s="2396"/>
      <c r="E181" s="2406">
        <v>0</v>
      </c>
      <c r="F181" s="2406">
        <v>0</v>
      </c>
      <c r="G181" s="2407">
        <v>0</v>
      </c>
      <c r="H181" s="2407">
        <v>28500000</v>
      </c>
      <c r="I181" s="2408"/>
      <c r="J181" s="2408"/>
      <c r="K181" s="2408"/>
      <c r="L181" s="2409"/>
    </row>
    <row r="182" spans="1:12" ht="12" customHeight="1" x14ac:dyDescent="0.3">
      <c r="A182" s="2394" t="s">
        <v>1477</v>
      </c>
      <c r="B182" s="2395" t="s">
        <v>1478</v>
      </c>
      <c r="C182" s="2406">
        <v>0</v>
      </c>
      <c r="D182" s="2396"/>
      <c r="E182" s="2406">
        <v>0</v>
      </c>
      <c r="F182" s="2406">
        <v>0</v>
      </c>
      <c r="G182" s="2407">
        <v>0</v>
      </c>
      <c r="H182" s="2407">
        <v>0</v>
      </c>
      <c r="I182" s="2408"/>
      <c r="J182" s="2408"/>
      <c r="K182" s="2408"/>
      <c r="L182" s="2409"/>
    </row>
    <row r="183" spans="1:12" x14ac:dyDescent="0.3">
      <c r="A183" s="2394" t="s">
        <v>1479</v>
      </c>
      <c r="B183" s="2395" t="s">
        <v>1480</v>
      </c>
      <c r="C183" s="2406">
        <v>0</v>
      </c>
      <c r="D183" s="2396"/>
      <c r="E183" s="2406">
        <v>0</v>
      </c>
      <c r="F183" s="2406">
        <v>0</v>
      </c>
      <c r="G183" s="2407">
        <v>0</v>
      </c>
      <c r="H183" s="2407">
        <v>0</v>
      </c>
      <c r="I183" s="2408"/>
      <c r="J183" s="2408"/>
      <c r="K183" s="2408"/>
      <c r="L183" s="2409"/>
    </row>
    <row r="184" spans="1:12" ht="12" customHeight="1" x14ac:dyDescent="0.3">
      <c r="A184" s="2394" t="s">
        <v>1481</v>
      </c>
      <c r="B184" s="2395" t="s">
        <v>1482</v>
      </c>
      <c r="C184" s="2406">
        <v>0</v>
      </c>
      <c r="D184" s="2396"/>
      <c r="E184" s="2406">
        <v>0</v>
      </c>
      <c r="F184" s="2406">
        <v>0</v>
      </c>
      <c r="G184" s="2407">
        <v>0</v>
      </c>
      <c r="H184" s="2407">
        <v>0</v>
      </c>
      <c r="I184" s="2408"/>
      <c r="J184" s="2408"/>
      <c r="K184" s="2408"/>
      <c r="L184" s="2409"/>
    </row>
    <row r="185" spans="1:12" ht="12" customHeight="1" x14ac:dyDescent="0.3">
      <c r="A185" s="2394" t="s">
        <v>1483</v>
      </c>
      <c r="B185" s="2395" t="s">
        <v>1484</v>
      </c>
      <c r="C185" s="2406">
        <v>10833332.33</v>
      </c>
      <c r="D185" s="2396"/>
      <c r="E185" s="2406">
        <v>0</v>
      </c>
      <c r="F185" s="2406">
        <v>1666666.67</v>
      </c>
      <c r="G185" s="2407" t="s">
        <v>8264</v>
      </c>
      <c r="H185" s="2407">
        <v>9166665.6600000001</v>
      </c>
      <c r="I185" s="2408"/>
      <c r="J185" s="2408"/>
      <c r="K185" s="2408"/>
      <c r="L185" s="2409"/>
    </row>
    <row r="186" spans="1:12" ht="12" customHeight="1" x14ac:dyDescent="0.3">
      <c r="A186" s="2394" t="s">
        <v>1485</v>
      </c>
      <c r="B186" s="2395" t="s">
        <v>1486</v>
      </c>
      <c r="C186" s="2406">
        <v>0</v>
      </c>
      <c r="D186" s="2396"/>
      <c r="E186" s="2406">
        <v>0</v>
      </c>
      <c r="F186" s="2406">
        <v>0</v>
      </c>
      <c r="G186" s="2407">
        <v>0</v>
      </c>
      <c r="H186" s="2407">
        <v>0</v>
      </c>
      <c r="I186" s="2408"/>
      <c r="J186" s="2408"/>
      <c r="K186" s="2408"/>
      <c r="L186" s="2409"/>
    </row>
    <row r="187" spans="1:12" ht="12" customHeight="1" x14ac:dyDescent="0.3">
      <c r="A187" s="2394" t="s">
        <v>1487</v>
      </c>
      <c r="B187" s="2395" t="s">
        <v>1488</v>
      </c>
      <c r="C187" s="2406">
        <v>0</v>
      </c>
      <c r="D187" s="2396"/>
      <c r="E187" s="2406">
        <v>0</v>
      </c>
      <c r="F187" s="2406">
        <v>0</v>
      </c>
      <c r="G187" s="2407">
        <v>0</v>
      </c>
      <c r="H187" s="2407">
        <v>0</v>
      </c>
      <c r="I187" s="2408"/>
      <c r="J187" s="2408"/>
      <c r="K187" s="2408"/>
      <c r="L187" s="2409"/>
    </row>
    <row r="188" spans="1:12" ht="12" customHeight="1" x14ac:dyDescent="0.3">
      <c r="A188" s="2394" t="s">
        <v>1489</v>
      </c>
      <c r="B188" s="2395" t="s">
        <v>1490</v>
      </c>
      <c r="C188" s="2406">
        <v>0</v>
      </c>
      <c r="D188" s="2396"/>
      <c r="E188" s="2406">
        <v>0</v>
      </c>
      <c r="F188" s="2406">
        <v>0</v>
      </c>
      <c r="G188" s="2407">
        <v>0</v>
      </c>
      <c r="H188" s="2407">
        <v>0</v>
      </c>
      <c r="I188" s="2408"/>
      <c r="J188" s="2408"/>
      <c r="K188" s="2408"/>
      <c r="L188" s="2409"/>
    </row>
    <row r="189" spans="1:12" ht="12" customHeight="1" x14ac:dyDescent="0.3">
      <c r="A189" s="2394" t="s">
        <v>1491</v>
      </c>
      <c r="B189" s="2395" t="s">
        <v>1492</v>
      </c>
      <c r="C189" s="2406">
        <v>0</v>
      </c>
      <c r="D189" s="2396"/>
      <c r="E189" s="2406">
        <v>0</v>
      </c>
      <c r="F189" s="2406">
        <v>0</v>
      </c>
      <c r="G189" s="2407">
        <v>0</v>
      </c>
      <c r="H189" s="2407">
        <v>0</v>
      </c>
      <c r="I189" s="2408"/>
      <c r="J189" s="2408"/>
      <c r="K189" s="2408"/>
      <c r="L189" s="2409"/>
    </row>
    <row r="190" spans="1:12" ht="12" customHeight="1" x14ac:dyDescent="0.3">
      <c r="A190" s="2394" t="s">
        <v>1493</v>
      </c>
      <c r="B190" s="2395" t="s">
        <v>1494</v>
      </c>
      <c r="C190" s="2406">
        <v>0</v>
      </c>
      <c r="D190" s="2396"/>
      <c r="E190" s="2406">
        <v>0</v>
      </c>
      <c r="F190" s="2406">
        <v>0</v>
      </c>
      <c r="G190" s="2407">
        <v>0</v>
      </c>
      <c r="H190" s="2407">
        <v>0</v>
      </c>
      <c r="I190" s="2408"/>
      <c r="J190" s="2408"/>
      <c r="K190" s="2408"/>
      <c r="L190" s="2409"/>
    </row>
    <row r="191" spans="1:12" ht="12" customHeight="1" x14ac:dyDescent="0.3">
      <c r="A191" s="2394" t="s">
        <v>1495</v>
      </c>
      <c r="B191" s="2395" t="s">
        <v>1496</v>
      </c>
      <c r="C191" s="2406">
        <v>0</v>
      </c>
      <c r="D191" s="2396"/>
      <c r="E191" s="2406">
        <v>0</v>
      </c>
      <c r="F191" s="2406">
        <v>0</v>
      </c>
      <c r="G191" s="2407">
        <v>0</v>
      </c>
      <c r="H191" s="2407">
        <v>0</v>
      </c>
      <c r="I191" s="2408"/>
      <c r="J191" s="2408"/>
      <c r="K191" s="2408"/>
      <c r="L191" s="2409"/>
    </row>
    <row r="192" spans="1:12" x14ac:dyDescent="0.3">
      <c r="A192" s="2394" t="s">
        <v>1497</v>
      </c>
      <c r="B192" s="2395" t="s">
        <v>1498</v>
      </c>
      <c r="C192" s="2406">
        <v>0</v>
      </c>
      <c r="D192" s="2396"/>
      <c r="E192" s="2406">
        <v>0</v>
      </c>
      <c r="F192" s="2406">
        <v>0</v>
      </c>
      <c r="G192" s="2407">
        <v>0</v>
      </c>
      <c r="H192" s="2407">
        <v>0</v>
      </c>
      <c r="I192" s="2408"/>
      <c r="J192" s="2408"/>
      <c r="K192" s="2408"/>
      <c r="L192" s="2409"/>
    </row>
    <row r="193" spans="1:12" ht="12" customHeight="1" x14ac:dyDescent="0.3">
      <c r="A193" s="2394" t="s">
        <v>1499</v>
      </c>
      <c r="B193" s="2395" t="s">
        <v>1500</v>
      </c>
      <c r="C193" s="2406">
        <v>0</v>
      </c>
      <c r="D193" s="2396"/>
      <c r="E193" s="2406">
        <v>0</v>
      </c>
      <c r="F193" s="2406">
        <v>0</v>
      </c>
      <c r="G193" s="2407">
        <v>0</v>
      </c>
      <c r="H193" s="2407">
        <v>0</v>
      </c>
      <c r="I193" s="2408"/>
      <c r="J193" s="2408"/>
      <c r="K193" s="2408"/>
      <c r="L193" s="2409"/>
    </row>
    <row r="194" spans="1:12" ht="12" customHeight="1" x14ac:dyDescent="0.3">
      <c r="A194" s="2394" t="s">
        <v>1501</v>
      </c>
      <c r="B194" s="2395" t="s">
        <v>1502</v>
      </c>
      <c r="C194" s="2406">
        <v>0</v>
      </c>
      <c r="D194" s="2396"/>
      <c r="E194" s="2406">
        <v>0</v>
      </c>
      <c r="F194" s="2406">
        <v>0</v>
      </c>
      <c r="G194" s="2407">
        <v>0</v>
      </c>
      <c r="H194" s="2407">
        <v>0</v>
      </c>
      <c r="I194" s="2408"/>
      <c r="J194" s="2408"/>
      <c r="K194" s="2408"/>
      <c r="L194" s="2409"/>
    </row>
    <row r="195" spans="1:12" ht="12" customHeight="1" x14ac:dyDescent="0.3">
      <c r="A195" s="2394" t="s">
        <v>1503</v>
      </c>
      <c r="B195" s="2395" t="s">
        <v>1504</v>
      </c>
      <c r="C195" s="2406">
        <v>0</v>
      </c>
      <c r="D195" s="2396"/>
      <c r="E195" s="2406">
        <v>0</v>
      </c>
      <c r="F195" s="2406">
        <v>0</v>
      </c>
      <c r="G195" s="2407">
        <v>0</v>
      </c>
      <c r="H195" s="2407">
        <v>0</v>
      </c>
      <c r="I195" s="2408"/>
      <c r="J195" s="2408"/>
      <c r="K195" s="2408"/>
      <c r="L195" s="2409"/>
    </row>
    <row r="196" spans="1:12" ht="12" customHeight="1" x14ac:dyDescent="0.3">
      <c r="A196" s="2394" t="s">
        <v>1505</v>
      </c>
      <c r="B196" s="2395" t="s">
        <v>1506</v>
      </c>
      <c r="C196" s="2406">
        <v>0</v>
      </c>
      <c r="D196" s="2396"/>
      <c r="E196" s="2406">
        <v>0</v>
      </c>
      <c r="F196" s="2406">
        <v>0</v>
      </c>
      <c r="G196" s="2407">
        <v>0</v>
      </c>
      <c r="H196" s="2407">
        <v>0</v>
      </c>
      <c r="I196" s="2408"/>
      <c r="J196" s="2408"/>
      <c r="K196" s="2408"/>
      <c r="L196" s="2409"/>
    </row>
    <row r="197" spans="1:12" ht="12" customHeight="1" x14ac:dyDescent="0.3">
      <c r="A197" s="2394" t="s">
        <v>1507</v>
      </c>
      <c r="B197" s="2395" t="s">
        <v>1508</v>
      </c>
      <c r="C197" s="2406">
        <v>0</v>
      </c>
      <c r="D197" s="2396"/>
      <c r="E197" s="2406">
        <v>0</v>
      </c>
      <c r="F197" s="2406">
        <v>0</v>
      </c>
      <c r="G197" s="2407">
        <v>0</v>
      </c>
      <c r="H197" s="2407">
        <v>0</v>
      </c>
      <c r="I197" s="2408"/>
      <c r="J197" s="2408"/>
      <c r="K197" s="2408"/>
      <c r="L197" s="2409"/>
    </row>
    <row r="198" spans="1:12" ht="12" customHeight="1" x14ac:dyDescent="0.3">
      <c r="A198" s="2394" t="s">
        <v>1509</v>
      </c>
      <c r="B198" s="2395" t="s">
        <v>1510</v>
      </c>
      <c r="C198" s="2406">
        <v>0</v>
      </c>
      <c r="D198" s="2396"/>
      <c r="E198" s="2406">
        <v>0</v>
      </c>
      <c r="F198" s="2406">
        <v>0</v>
      </c>
      <c r="G198" s="2407">
        <v>0</v>
      </c>
      <c r="H198" s="2407">
        <v>0</v>
      </c>
      <c r="I198" s="2408"/>
      <c r="J198" s="2408"/>
      <c r="K198" s="2408"/>
      <c r="L198" s="2409"/>
    </row>
    <row r="199" spans="1:12" ht="12" customHeight="1" x14ac:dyDescent="0.3">
      <c r="A199" s="2394" t="s">
        <v>1511</v>
      </c>
      <c r="B199" s="2395" t="s">
        <v>1512</v>
      </c>
      <c r="C199" s="2406">
        <v>0</v>
      </c>
      <c r="D199" s="2396"/>
      <c r="E199" s="2406">
        <v>0</v>
      </c>
      <c r="F199" s="2406">
        <v>0</v>
      </c>
      <c r="G199" s="2407">
        <v>0</v>
      </c>
      <c r="H199" s="2407">
        <v>0</v>
      </c>
      <c r="I199" s="2408"/>
      <c r="J199" s="2408"/>
      <c r="K199" s="2408"/>
      <c r="L199" s="2409"/>
    </row>
    <row r="200" spans="1:12" ht="12" customHeight="1" x14ac:dyDescent="0.3">
      <c r="A200" s="2394" t="s">
        <v>1513</v>
      </c>
      <c r="B200" s="2395" t="s">
        <v>1514</v>
      </c>
      <c r="C200" s="2406">
        <v>0</v>
      </c>
      <c r="D200" s="2396"/>
      <c r="E200" s="2406">
        <v>0</v>
      </c>
      <c r="F200" s="2406">
        <v>0</v>
      </c>
      <c r="G200" s="2407">
        <v>0</v>
      </c>
      <c r="H200" s="2407">
        <v>0</v>
      </c>
      <c r="I200" s="2408"/>
      <c r="J200" s="2408"/>
      <c r="K200" s="2408"/>
      <c r="L200" s="2409"/>
    </row>
    <row r="201" spans="1:12" ht="12" customHeight="1" x14ac:dyDescent="0.3">
      <c r="A201" s="2394" t="s">
        <v>1518</v>
      </c>
      <c r="B201" s="2395" t="s">
        <v>1519</v>
      </c>
      <c r="C201" s="2406">
        <v>0</v>
      </c>
      <c r="D201" s="2396"/>
      <c r="E201" s="2406">
        <v>0</v>
      </c>
      <c r="F201" s="2406">
        <v>0</v>
      </c>
      <c r="G201" s="2407">
        <v>0</v>
      </c>
      <c r="H201" s="2407">
        <v>0</v>
      </c>
      <c r="I201" s="2408"/>
      <c r="J201" s="2408"/>
      <c r="K201" s="2408"/>
      <c r="L201" s="2409"/>
    </row>
    <row r="202" spans="1:12" ht="12" customHeight="1" x14ac:dyDescent="0.3">
      <c r="A202" s="2394" t="s">
        <v>1520</v>
      </c>
      <c r="B202" s="2395" t="s">
        <v>1521</v>
      </c>
      <c r="C202" s="2406">
        <v>0</v>
      </c>
      <c r="D202" s="2396"/>
      <c r="E202" s="2406">
        <v>0</v>
      </c>
      <c r="F202" s="2406">
        <v>0</v>
      </c>
      <c r="G202" s="2407">
        <v>0</v>
      </c>
      <c r="H202" s="2407">
        <v>0</v>
      </c>
      <c r="I202" s="2408"/>
      <c r="J202" s="2408"/>
      <c r="K202" s="2408"/>
      <c r="L202" s="2409"/>
    </row>
    <row r="203" spans="1:12" ht="12" customHeight="1" x14ac:dyDescent="0.3">
      <c r="A203" s="2394" t="s">
        <v>1522</v>
      </c>
      <c r="B203" s="2395" t="s">
        <v>1523</v>
      </c>
      <c r="C203" s="2406">
        <v>0</v>
      </c>
      <c r="D203" s="2396"/>
      <c r="E203" s="2406">
        <v>0</v>
      </c>
      <c r="F203" s="2406">
        <v>0</v>
      </c>
      <c r="G203" s="2407">
        <v>0</v>
      </c>
      <c r="H203" s="2407">
        <v>0</v>
      </c>
      <c r="I203" s="2408"/>
      <c r="J203" s="2408"/>
      <c r="K203" s="2408"/>
      <c r="L203" s="2409"/>
    </row>
    <row r="204" spans="1:12" ht="12" customHeight="1" x14ac:dyDescent="0.3">
      <c r="A204" s="2394" t="s">
        <v>1524</v>
      </c>
      <c r="B204" s="2395" t="s">
        <v>1525</v>
      </c>
      <c r="C204" s="2406">
        <v>0</v>
      </c>
      <c r="D204" s="2396"/>
      <c r="E204" s="2406">
        <v>0</v>
      </c>
      <c r="F204" s="2406">
        <v>0</v>
      </c>
      <c r="G204" s="2407">
        <v>0</v>
      </c>
      <c r="H204" s="2407">
        <v>0</v>
      </c>
      <c r="I204" s="2408"/>
      <c r="J204" s="2408"/>
      <c r="K204" s="2408"/>
      <c r="L204" s="2409"/>
    </row>
    <row r="205" spans="1:12" ht="12" customHeight="1" x14ac:dyDescent="0.3">
      <c r="A205" s="2394" t="s">
        <v>1527</v>
      </c>
      <c r="B205" s="2395" t="s">
        <v>1528</v>
      </c>
      <c r="C205" s="2406">
        <v>0</v>
      </c>
      <c r="D205" s="2396"/>
      <c r="E205" s="2406">
        <v>0</v>
      </c>
      <c r="F205" s="2406">
        <v>0</v>
      </c>
      <c r="G205" s="2407">
        <v>0</v>
      </c>
      <c r="H205" s="2407">
        <v>0</v>
      </c>
      <c r="I205" s="2408"/>
      <c r="J205" s="2408"/>
      <c r="K205" s="2408"/>
      <c r="L205" s="2409"/>
    </row>
    <row r="206" spans="1:12" ht="12" customHeight="1" x14ac:dyDescent="0.3">
      <c r="A206" s="2394" t="s">
        <v>1092</v>
      </c>
      <c r="B206" s="2395" t="s">
        <v>744</v>
      </c>
      <c r="C206" s="2406">
        <v>3883970000</v>
      </c>
      <c r="D206" s="2396"/>
      <c r="E206" s="2406">
        <v>0</v>
      </c>
      <c r="F206" s="2406">
        <v>0</v>
      </c>
      <c r="G206" s="2407">
        <v>0</v>
      </c>
      <c r="H206" s="2407">
        <v>3883970000</v>
      </c>
      <c r="I206" s="2408"/>
      <c r="J206" s="2408"/>
      <c r="K206" s="2408"/>
      <c r="L206" s="2409"/>
    </row>
    <row r="207" spans="1:12" ht="12" customHeight="1" x14ac:dyDescent="0.3">
      <c r="A207" s="2394" t="s">
        <v>1093</v>
      </c>
      <c r="B207" s="2395" t="s">
        <v>1094</v>
      </c>
      <c r="C207" s="2406">
        <v>4176785320</v>
      </c>
      <c r="D207" s="2396"/>
      <c r="E207" s="2406">
        <v>0</v>
      </c>
      <c r="F207" s="2406">
        <v>0</v>
      </c>
      <c r="G207" s="2407">
        <v>0</v>
      </c>
      <c r="H207" s="2407">
        <v>4176785320</v>
      </c>
      <c r="I207" s="2408"/>
      <c r="J207" s="2408"/>
      <c r="K207" s="2408"/>
      <c r="L207" s="2409"/>
    </row>
    <row r="208" spans="1:12" ht="12" customHeight="1" x14ac:dyDescent="0.3">
      <c r="A208" s="2394" t="s">
        <v>1529</v>
      </c>
      <c r="B208" s="2395" t="s">
        <v>1530</v>
      </c>
      <c r="C208" s="2406">
        <v>3218100000</v>
      </c>
      <c r="D208" s="2396"/>
      <c r="E208" s="2406">
        <v>0</v>
      </c>
      <c r="F208" s="2406">
        <v>0</v>
      </c>
      <c r="G208" s="2407">
        <v>0</v>
      </c>
      <c r="H208" s="2407">
        <v>3218100000</v>
      </c>
      <c r="I208" s="2408"/>
      <c r="J208" s="2408"/>
      <c r="K208" s="2408"/>
      <c r="L208" s="2409"/>
    </row>
    <row r="209" spans="1:12" ht="12" customHeight="1" x14ac:dyDescent="0.3">
      <c r="A209" s="2394" t="s">
        <v>1531</v>
      </c>
      <c r="B209" s="2395" t="s">
        <v>1532</v>
      </c>
      <c r="C209" s="2406">
        <v>1044626000</v>
      </c>
      <c r="D209" s="2396"/>
      <c r="E209" s="2406">
        <v>0</v>
      </c>
      <c r="F209" s="2406">
        <v>0</v>
      </c>
      <c r="G209" s="2407">
        <v>0</v>
      </c>
      <c r="H209" s="2407">
        <v>1044626000</v>
      </c>
      <c r="I209" s="2408"/>
      <c r="J209" s="2408"/>
      <c r="K209" s="2408"/>
      <c r="L209" s="2409"/>
    </row>
    <row r="210" spans="1:12" ht="12" customHeight="1" x14ac:dyDescent="0.3">
      <c r="A210" s="2394" t="s">
        <v>1533</v>
      </c>
      <c r="B210" s="2395" t="s">
        <v>1534</v>
      </c>
      <c r="C210" s="2406">
        <v>3310150737</v>
      </c>
      <c r="D210" s="2396"/>
      <c r="E210" s="2406">
        <v>0</v>
      </c>
      <c r="F210" s="2406">
        <v>0</v>
      </c>
      <c r="G210" s="2407">
        <v>0</v>
      </c>
      <c r="H210" s="2407">
        <v>3310150737</v>
      </c>
      <c r="I210" s="2408"/>
      <c r="J210" s="2408"/>
      <c r="K210" s="2408"/>
      <c r="L210" s="2409"/>
    </row>
    <row r="211" spans="1:12" ht="12" customHeight="1" x14ac:dyDescent="0.3">
      <c r="A211" s="2394" t="s">
        <v>1535</v>
      </c>
      <c r="B211" s="2395" t="s">
        <v>1536</v>
      </c>
      <c r="C211" s="2406">
        <v>0</v>
      </c>
      <c r="D211" s="2396"/>
      <c r="E211" s="2406">
        <v>0</v>
      </c>
      <c r="F211" s="2406">
        <v>0</v>
      </c>
      <c r="G211" s="2407">
        <v>0</v>
      </c>
      <c r="H211" s="2407">
        <v>0</v>
      </c>
      <c r="I211" s="2408"/>
      <c r="J211" s="2408"/>
      <c r="K211" s="2408"/>
      <c r="L211" s="2409"/>
    </row>
    <row r="212" spans="1:12" ht="12" customHeight="1" x14ac:dyDescent="0.3">
      <c r="A212" s="2394" t="s">
        <v>1537</v>
      </c>
      <c r="B212" s="2395" t="s">
        <v>1538</v>
      </c>
      <c r="C212" s="2406">
        <v>0</v>
      </c>
      <c r="D212" s="2396"/>
      <c r="E212" s="2406">
        <v>0</v>
      </c>
      <c r="F212" s="2406">
        <v>0</v>
      </c>
      <c r="G212" s="2407">
        <v>0</v>
      </c>
      <c r="H212" s="2407">
        <v>0</v>
      </c>
      <c r="I212" s="2408"/>
      <c r="J212" s="2408"/>
      <c r="K212" s="2408"/>
      <c r="L212" s="2409"/>
    </row>
    <row r="213" spans="1:12" ht="12" customHeight="1" x14ac:dyDescent="0.3">
      <c r="A213" s="2394" t="s">
        <v>1539</v>
      </c>
      <c r="B213" s="2395" t="s">
        <v>1540</v>
      </c>
      <c r="C213" s="2406">
        <v>560702250</v>
      </c>
      <c r="D213" s="2396"/>
      <c r="E213" s="2406">
        <v>0</v>
      </c>
      <c r="F213" s="2406">
        <v>0</v>
      </c>
      <c r="G213" s="2407">
        <v>0</v>
      </c>
      <c r="H213" s="2407">
        <v>560702250</v>
      </c>
      <c r="I213" s="2408"/>
      <c r="J213" s="2408"/>
      <c r="K213" s="2408"/>
      <c r="L213" s="2409"/>
    </row>
    <row r="214" spans="1:12" ht="12" customHeight="1" x14ac:dyDescent="0.3">
      <c r="A214" s="2394" t="s">
        <v>1541</v>
      </c>
      <c r="B214" s="2395" t="s">
        <v>1542</v>
      </c>
      <c r="C214" s="2406">
        <v>37000000</v>
      </c>
      <c r="D214" s="2396"/>
      <c r="E214" s="2406">
        <v>0</v>
      </c>
      <c r="F214" s="2406">
        <v>0</v>
      </c>
      <c r="G214" s="2407">
        <v>0</v>
      </c>
      <c r="H214" s="2407">
        <v>37000000</v>
      </c>
      <c r="I214" s="2408"/>
      <c r="J214" s="2408"/>
      <c r="K214" s="2408"/>
      <c r="L214" s="2409"/>
    </row>
    <row r="215" spans="1:12" ht="12" customHeight="1" x14ac:dyDescent="0.3">
      <c r="A215" s="2394" t="s">
        <v>1543</v>
      </c>
      <c r="B215" s="2395" t="s">
        <v>561</v>
      </c>
      <c r="C215" s="2406">
        <v>0</v>
      </c>
      <c r="D215" s="2396"/>
      <c r="E215" s="2406">
        <v>0</v>
      </c>
      <c r="F215" s="2406">
        <v>0</v>
      </c>
      <c r="G215" s="2407">
        <v>0</v>
      </c>
      <c r="H215" s="2407">
        <v>0</v>
      </c>
      <c r="I215" s="2408"/>
      <c r="J215" s="2408"/>
      <c r="K215" s="2408"/>
      <c r="L215" s="2409"/>
    </row>
    <row r="216" spans="1:12" ht="12" customHeight="1" x14ac:dyDescent="0.3">
      <c r="A216" s="2394" t="s">
        <v>1544</v>
      </c>
      <c r="B216" s="2395" t="s">
        <v>1545</v>
      </c>
      <c r="C216" s="2406">
        <v>35079500</v>
      </c>
      <c r="D216" s="2396"/>
      <c r="E216" s="2406">
        <v>0</v>
      </c>
      <c r="F216" s="2406">
        <v>0</v>
      </c>
      <c r="G216" s="2407">
        <v>0</v>
      </c>
      <c r="H216" s="2407">
        <v>35079500</v>
      </c>
      <c r="I216" s="2408"/>
      <c r="J216" s="2408"/>
      <c r="K216" s="2408"/>
      <c r="L216" s="2409"/>
    </row>
    <row r="217" spans="1:12" ht="12" customHeight="1" x14ac:dyDescent="0.3">
      <c r="A217" s="2394" t="s">
        <v>1546</v>
      </c>
      <c r="B217" s="2395" t="s">
        <v>1547</v>
      </c>
      <c r="C217" s="2406">
        <v>0</v>
      </c>
      <c r="D217" s="2396"/>
      <c r="E217" s="2406">
        <v>0</v>
      </c>
      <c r="F217" s="2406">
        <v>0</v>
      </c>
      <c r="G217" s="2407">
        <v>0</v>
      </c>
      <c r="H217" s="2407">
        <v>0</v>
      </c>
      <c r="I217" s="2408"/>
      <c r="J217" s="2408"/>
      <c r="K217" s="2408"/>
      <c r="L217" s="2409"/>
    </row>
    <row r="218" spans="1:12" ht="12" customHeight="1" x14ac:dyDescent="0.3">
      <c r="A218" s="2394" t="s">
        <v>1548</v>
      </c>
      <c r="B218" s="2395" t="s">
        <v>1549</v>
      </c>
      <c r="C218" s="2406">
        <v>18800000</v>
      </c>
      <c r="D218" s="2396"/>
      <c r="E218" s="2406">
        <v>0</v>
      </c>
      <c r="F218" s="2406">
        <v>0</v>
      </c>
      <c r="G218" s="2407">
        <v>0</v>
      </c>
      <c r="H218" s="2407">
        <v>18800000</v>
      </c>
      <c r="I218" s="2408"/>
      <c r="J218" s="2408"/>
      <c r="K218" s="2408"/>
      <c r="L218" s="2409"/>
    </row>
    <row r="219" spans="1:12" ht="12" customHeight="1" x14ac:dyDescent="0.3">
      <c r="A219" s="2394" t="s">
        <v>1550</v>
      </c>
      <c r="B219" s="2395" t="s">
        <v>1551</v>
      </c>
      <c r="C219" s="2406">
        <v>26069300</v>
      </c>
      <c r="D219" s="2396"/>
      <c r="E219" s="2406">
        <v>0</v>
      </c>
      <c r="F219" s="2406">
        <v>0</v>
      </c>
      <c r="G219" s="2407">
        <v>0</v>
      </c>
      <c r="H219" s="2407">
        <v>26069300</v>
      </c>
      <c r="I219" s="2408"/>
      <c r="J219" s="2408"/>
      <c r="K219" s="2408"/>
      <c r="L219" s="2409"/>
    </row>
    <row r="220" spans="1:12" ht="12" customHeight="1" x14ac:dyDescent="0.3">
      <c r="A220" s="2394" t="s">
        <v>1552</v>
      </c>
      <c r="B220" s="2395" t="s">
        <v>1553</v>
      </c>
      <c r="C220" s="2406">
        <v>791771500</v>
      </c>
      <c r="D220" s="2396"/>
      <c r="E220" s="2406">
        <v>0</v>
      </c>
      <c r="F220" s="2406">
        <v>0</v>
      </c>
      <c r="G220" s="2407">
        <v>0</v>
      </c>
      <c r="H220" s="2407">
        <v>791771500</v>
      </c>
      <c r="I220" s="2408"/>
      <c r="J220" s="2408"/>
      <c r="K220" s="2408"/>
      <c r="L220" s="2409"/>
    </row>
    <row r="221" spans="1:12" ht="12" customHeight="1" x14ac:dyDescent="0.3">
      <c r="A221" s="2394" t="s">
        <v>1554</v>
      </c>
      <c r="B221" s="2395" t="s">
        <v>1555</v>
      </c>
      <c r="C221" s="2406">
        <v>0</v>
      </c>
      <c r="D221" s="2396"/>
      <c r="E221" s="2406">
        <v>0</v>
      </c>
      <c r="F221" s="2406">
        <v>0</v>
      </c>
      <c r="G221" s="2407">
        <v>0</v>
      </c>
      <c r="H221" s="2407">
        <v>0</v>
      </c>
      <c r="I221" s="2408"/>
      <c r="J221" s="2408"/>
      <c r="K221" s="2408"/>
      <c r="L221" s="2409"/>
    </row>
    <row r="222" spans="1:12" ht="12" customHeight="1" x14ac:dyDescent="0.3">
      <c r="A222" s="2394" t="s">
        <v>1556</v>
      </c>
      <c r="B222" s="2395" t="s">
        <v>1557</v>
      </c>
      <c r="C222" s="2406">
        <v>148238833</v>
      </c>
      <c r="D222" s="2396"/>
      <c r="E222" s="2406">
        <v>0</v>
      </c>
      <c r="F222" s="2406">
        <v>0</v>
      </c>
      <c r="G222" s="2407">
        <v>0</v>
      </c>
      <c r="H222" s="2407">
        <v>148238833</v>
      </c>
      <c r="I222" s="2408"/>
      <c r="J222" s="2408"/>
      <c r="K222" s="2408"/>
      <c r="L222" s="2409"/>
    </row>
    <row r="223" spans="1:12" ht="12" customHeight="1" x14ac:dyDescent="0.3">
      <c r="A223" s="2394" t="s">
        <v>1558</v>
      </c>
      <c r="B223" s="2395" t="s">
        <v>1559</v>
      </c>
      <c r="C223" s="2406">
        <v>62209000</v>
      </c>
      <c r="D223" s="2396"/>
      <c r="E223" s="2406">
        <v>0</v>
      </c>
      <c r="F223" s="2406">
        <v>0</v>
      </c>
      <c r="G223" s="2407">
        <v>0</v>
      </c>
      <c r="H223" s="2407">
        <v>62209000</v>
      </c>
      <c r="I223" s="2408"/>
      <c r="J223" s="2408"/>
      <c r="K223" s="2408"/>
      <c r="L223" s="2409"/>
    </row>
    <row r="224" spans="1:12" ht="12" customHeight="1" x14ac:dyDescent="0.3">
      <c r="A224" s="2394" t="s">
        <v>1560</v>
      </c>
      <c r="B224" s="2395" t="s">
        <v>1561</v>
      </c>
      <c r="C224" s="2406">
        <v>0</v>
      </c>
      <c r="D224" s="2396"/>
      <c r="E224" s="2406">
        <v>0</v>
      </c>
      <c r="F224" s="2406">
        <v>0</v>
      </c>
      <c r="G224" s="2407">
        <v>0</v>
      </c>
      <c r="H224" s="2407">
        <v>0</v>
      </c>
      <c r="I224" s="2408"/>
      <c r="J224" s="2408"/>
      <c r="K224" s="2408"/>
      <c r="L224" s="2409"/>
    </row>
    <row r="225" spans="1:12" ht="12" customHeight="1" x14ac:dyDescent="0.3">
      <c r="A225" s="2394" t="s">
        <v>1095</v>
      </c>
      <c r="B225" s="2395" t="s">
        <v>1096</v>
      </c>
      <c r="C225" s="2406">
        <v>0</v>
      </c>
      <c r="D225" s="2396"/>
      <c r="E225" s="2406">
        <v>0</v>
      </c>
      <c r="F225" s="2406">
        <v>0</v>
      </c>
      <c r="G225" s="2407">
        <v>0</v>
      </c>
      <c r="H225" s="2407">
        <v>0</v>
      </c>
      <c r="I225" s="2408"/>
      <c r="J225" s="2408"/>
      <c r="K225" s="2408"/>
      <c r="L225" s="2409"/>
    </row>
    <row r="226" spans="1:12" ht="12" customHeight="1" x14ac:dyDescent="0.3">
      <c r="A226" s="2394" t="s">
        <v>1097</v>
      </c>
      <c r="B226" s="2395" t="s">
        <v>1098</v>
      </c>
      <c r="C226" s="2406">
        <v>597108294</v>
      </c>
      <c r="D226" s="2396"/>
      <c r="E226" s="2406">
        <v>5999000</v>
      </c>
      <c r="F226" s="2406">
        <v>0</v>
      </c>
      <c r="G226" s="2407">
        <v>5999000</v>
      </c>
      <c r="H226" s="2407">
        <v>603107294</v>
      </c>
      <c r="I226" s="2408"/>
      <c r="J226" s="2408"/>
      <c r="K226" s="2408"/>
      <c r="L226" s="2409"/>
    </row>
    <row r="227" spans="1:12" ht="12" customHeight="1" x14ac:dyDescent="0.3">
      <c r="A227" s="2394" t="s">
        <v>1562</v>
      </c>
      <c r="B227" s="2395" t="s">
        <v>1563</v>
      </c>
      <c r="C227" s="2406">
        <v>30262448</v>
      </c>
      <c r="D227" s="2396"/>
      <c r="E227" s="2406">
        <v>0</v>
      </c>
      <c r="F227" s="2406">
        <v>0</v>
      </c>
      <c r="G227" s="2407">
        <v>0</v>
      </c>
      <c r="H227" s="2407">
        <v>30262448</v>
      </c>
      <c r="I227" s="2408"/>
      <c r="J227" s="2408"/>
      <c r="K227" s="2408"/>
      <c r="L227" s="2409"/>
    </row>
    <row r="228" spans="1:12" ht="12" customHeight="1" x14ac:dyDescent="0.3">
      <c r="A228" s="2394" t="s">
        <v>1564</v>
      </c>
      <c r="B228" s="2395" t="s">
        <v>1565</v>
      </c>
      <c r="C228" s="2406">
        <v>18283500</v>
      </c>
      <c r="D228" s="2396"/>
      <c r="E228" s="2406">
        <v>0</v>
      </c>
      <c r="F228" s="2406">
        <v>0</v>
      </c>
      <c r="G228" s="2407">
        <v>0</v>
      </c>
      <c r="H228" s="2407">
        <v>18283500</v>
      </c>
      <c r="I228" s="2408"/>
      <c r="J228" s="2408"/>
      <c r="K228" s="2408"/>
      <c r="L228" s="2409"/>
    </row>
    <row r="229" spans="1:12" ht="12" customHeight="1" x14ac:dyDescent="0.3">
      <c r="A229" s="2394" t="s">
        <v>1566</v>
      </c>
      <c r="B229" s="2395" t="s">
        <v>1567</v>
      </c>
      <c r="C229" s="2406">
        <v>167316868</v>
      </c>
      <c r="D229" s="2396"/>
      <c r="E229" s="2406">
        <v>0</v>
      </c>
      <c r="F229" s="2406">
        <v>0</v>
      </c>
      <c r="G229" s="2407">
        <v>0</v>
      </c>
      <c r="H229" s="2407">
        <v>167316868</v>
      </c>
      <c r="I229" s="2408"/>
      <c r="J229" s="2408"/>
      <c r="K229" s="2408"/>
      <c r="L229" s="2409"/>
    </row>
    <row r="230" spans="1:12" ht="12" customHeight="1" x14ac:dyDescent="0.3">
      <c r="A230" s="2394" t="s">
        <v>1568</v>
      </c>
      <c r="B230" s="2395" t="s">
        <v>1569</v>
      </c>
      <c r="C230" s="2406">
        <v>0</v>
      </c>
      <c r="D230" s="2396"/>
      <c r="E230" s="2406">
        <v>0</v>
      </c>
      <c r="F230" s="2406">
        <v>0</v>
      </c>
      <c r="G230" s="2407">
        <v>0</v>
      </c>
      <c r="H230" s="2407">
        <v>0</v>
      </c>
      <c r="I230" s="2408"/>
      <c r="J230" s="2408"/>
      <c r="K230" s="2408"/>
      <c r="L230" s="2409"/>
    </row>
    <row r="231" spans="1:12" ht="12" customHeight="1" x14ac:dyDescent="0.3">
      <c r="A231" s="2394" t="s">
        <v>1570</v>
      </c>
      <c r="B231" s="2395" t="s">
        <v>1571</v>
      </c>
      <c r="C231" s="2406">
        <v>47962500</v>
      </c>
      <c r="D231" s="2396"/>
      <c r="E231" s="2406">
        <v>0</v>
      </c>
      <c r="F231" s="2406">
        <v>0</v>
      </c>
      <c r="G231" s="2407">
        <v>0</v>
      </c>
      <c r="H231" s="2407">
        <v>47962500</v>
      </c>
      <c r="I231" s="2408"/>
      <c r="J231" s="2408"/>
      <c r="K231" s="2408"/>
      <c r="L231" s="2409"/>
    </row>
    <row r="232" spans="1:12" ht="12" customHeight="1" x14ac:dyDescent="0.3">
      <c r="A232" s="2394" t="s">
        <v>1572</v>
      </c>
      <c r="B232" s="2395" t="s">
        <v>1573</v>
      </c>
      <c r="C232" s="2406">
        <v>0</v>
      </c>
      <c r="D232" s="2396"/>
      <c r="E232" s="2406">
        <v>0</v>
      </c>
      <c r="F232" s="2406">
        <v>0</v>
      </c>
      <c r="G232" s="2407">
        <v>0</v>
      </c>
      <c r="H232" s="2407">
        <v>0</v>
      </c>
      <c r="I232" s="2408"/>
      <c r="J232" s="2408"/>
      <c r="K232" s="2408"/>
      <c r="L232" s="2409"/>
    </row>
    <row r="233" spans="1:12" ht="12" customHeight="1" x14ac:dyDescent="0.3">
      <c r="A233" s="2394" t="s">
        <v>1574</v>
      </c>
      <c r="B233" s="2395" t="s">
        <v>1575</v>
      </c>
      <c r="C233" s="2406">
        <v>0</v>
      </c>
      <c r="D233" s="2396"/>
      <c r="E233" s="2406">
        <v>0</v>
      </c>
      <c r="F233" s="2406">
        <v>0</v>
      </c>
      <c r="G233" s="2407">
        <v>0</v>
      </c>
      <c r="H233" s="2407">
        <v>0</v>
      </c>
      <c r="I233" s="2408"/>
      <c r="J233" s="2408"/>
      <c r="K233" s="2408"/>
      <c r="L233" s="2409"/>
    </row>
    <row r="234" spans="1:12" ht="12" customHeight="1" x14ac:dyDescent="0.3">
      <c r="A234" s="2394" t="s">
        <v>1576</v>
      </c>
      <c r="B234" s="2395" t="s">
        <v>1577</v>
      </c>
      <c r="C234" s="2406">
        <v>0</v>
      </c>
      <c r="D234" s="2396"/>
      <c r="E234" s="2406">
        <v>0</v>
      </c>
      <c r="F234" s="2406">
        <v>0</v>
      </c>
      <c r="G234" s="2407">
        <v>0</v>
      </c>
      <c r="H234" s="2407">
        <v>0</v>
      </c>
      <c r="I234" s="2408"/>
      <c r="J234" s="2408"/>
      <c r="K234" s="2408"/>
      <c r="L234" s="2409"/>
    </row>
    <row r="235" spans="1:12" ht="12" customHeight="1" x14ac:dyDescent="0.3">
      <c r="A235" s="2394" t="s">
        <v>1099</v>
      </c>
      <c r="B235" s="2395" t="s">
        <v>1100</v>
      </c>
      <c r="C235" s="2406">
        <v>0</v>
      </c>
      <c r="D235" s="2396"/>
      <c r="E235" s="2406">
        <v>0</v>
      </c>
      <c r="F235" s="2406">
        <v>0</v>
      </c>
      <c r="G235" s="2407">
        <v>0</v>
      </c>
      <c r="H235" s="2407">
        <v>0</v>
      </c>
      <c r="I235" s="2408"/>
      <c r="J235" s="2408"/>
      <c r="K235" s="2408"/>
      <c r="L235" s="2409"/>
    </row>
    <row r="236" spans="1:12" ht="12" customHeight="1" x14ac:dyDescent="0.3">
      <c r="A236" s="2394" t="s">
        <v>1578</v>
      </c>
      <c r="B236" s="2395" t="s">
        <v>1579</v>
      </c>
      <c r="C236" s="2406">
        <v>102296001</v>
      </c>
      <c r="D236" s="2396"/>
      <c r="E236" s="2406">
        <v>0</v>
      </c>
      <c r="F236" s="2406">
        <v>0</v>
      </c>
      <c r="G236" s="2407">
        <v>0</v>
      </c>
      <c r="H236" s="2407">
        <v>102296001</v>
      </c>
      <c r="I236" s="2408"/>
      <c r="J236" s="2408"/>
      <c r="K236" s="2408"/>
      <c r="L236" s="2409"/>
    </row>
    <row r="237" spans="1:12" ht="12" customHeight="1" x14ac:dyDescent="0.3">
      <c r="A237" s="2394" t="s">
        <v>1580</v>
      </c>
      <c r="B237" s="2395" t="s">
        <v>1581</v>
      </c>
      <c r="C237" s="2406">
        <v>84350580</v>
      </c>
      <c r="D237" s="2396"/>
      <c r="E237" s="2406">
        <v>0</v>
      </c>
      <c r="F237" s="2406">
        <v>0</v>
      </c>
      <c r="G237" s="2407">
        <v>0</v>
      </c>
      <c r="H237" s="2407">
        <v>84350580</v>
      </c>
      <c r="I237" s="2408"/>
      <c r="J237" s="2408"/>
      <c r="K237" s="2408"/>
      <c r="L237" s="2409"/>
    </row>
    <row r="238" spans="1:12" ht="12" customHeight="1" x14ac:dyDescent="0.3">
      <c r="A238" s="2394" t="s">
        <v>1582</v>
      </c>
      <c r="B238" s="2395" t="s">
        <v>1583</v>
      </c>
      <c r="C238" s="2406">
        <v>842714000</v>
      </c>
      <c r="D238" s="2396"/>
      <c r="E238" s="2406">
        <v>0</v>
      </c>
      <c r="F238" s="2406">
        <v>0</v>
      </c>
      <c r="G238" s="2407">
        <v>0</v>
      </c>
      <c r="H238" s="2407">
        <v>842714000</v>
      </c>
      <c r="I238" s="2408"/>
      <c r="J238" s="2408"/>
      <c r="K238" s="2408"/>
      <c r="L238" s="2409"/>
    </row>
    <row r="239" spans="1:12" ht="12" customHeight="1" x14ac:dyDescent="0.3">
      <c r="A239" s="2394" t="s">
        <v>1584</v>
      </c>
      <c r="B239" s="2395" t="s">
        <v>1585</v>
      </c>
      <c r="C239" s="2406">
        <v>237938600</v>
      </c>
      <c r="D239" s="2396"/>
      <c r="E239" s="2406">
        <v>1500000</v>
      </c>
      <c r="F239" s="2406">
        <v>0</v>
      </c>
      <c r="G239" s="2407">
        <v>1500000</v>
      </c>
      <c r="H239" s="2407">
        <v>239438600</v>
      </c>
      <c r="I239" s="2408"/>
      <c r="J239" s="2408"/>
      <c r="K239" s="2408"/>
      <c r="L239" s="2409"/>
    </row>
    <row r="240" spans="1:12" ht="12" customHeight="1" x14ac:dyDescent="0.3">
      <c r="A240" s="2394" t="s">
        <v>1586</v>
      </c>
      <c r="B240" s="2395" t="s">
        <v>1587</v>
      </c>
      <c r="C240" s="2406">
        <v>90899738</v>
      </c>
      <c r="D240" s="2396"/>
      <c r="E240" s="2406">
        <v>0</v>
      </c>
      <c r="F240" s="2406">
        <v>0</v>
      </c>
      <c r="G240" s="2407">
        <v>0</v>
      </c>
      <c r="H240" s="2407">
        <v>90899738</v>
      </c>
      <c r="I240" s="2408"/>
      <c r="J240" s="2408"/>
      <c r="K240" s="2408"/>
      <c r="L240" s="2409"/>
    </row>
    <row r="241" spans="1:12" ht="12" customHeight="1" x14ac:dyDescent="0.3">
      <c r="A241" s="2394" t="s">
        <v>1588</v>
      </c>
      <c r="B241" s="2395" t="s">
        <v>1589</v>
      </c>
      <c r="C241" s="2406">
        <v>35362784</v>
      </c>
      <c r="D241" s="2396"/>
      <c r="E241" s="2406">
        <v>0</v>
      </c>
      <c r="F241" s="2406">
        <v>0</v>
      </c>
      <c r="G241" s="2407">
        <v>0</v>
      </c>
      <c r="H241" s="2407">
        <v>35362784</v>
      </c>
      <c r="I241" s="2408"/>
      <c r="J241" s="2408"/>
      <c r="K241" s="2408"/>
      <c r="L241" s="2409"/>
    </row>
    <row r="242" spans="1:12" ht="12" customHeight="1" x14ac:dyDescent="0.3">
      <c r="A242" s="2394" t="s">
        <v>1590</v>
      </c>
      <c r="B242" s="2395" t="s">
        <v>1591</v>
      </c>
      <c r="C242" s="2406">
        <v>15321820</v>
      </c>
      <c r="D242" s="2396"/>
      <c r="E242" s="2406">
        <v>0</v>
      </c>
      <c r="F242" s="2406">
        <v>0</v>
      </c>
      <c r="G242" s="2407">
        <v>0</v>
      </c>
      <c r="H242" s="2407">
        <v>15321820</v>
      </c>
      <c r="I242" s="2408"/>
      <c r="J242" s="2408"/>
      <c r="K242" s="2408"/>
      <c r="L242" s="2409"/>
    </row>
    <row r="243" spans="1:12" ht="12" customHeight="1" x14ac:dyDescent="0.3">
      <c r="A243" s="2394" t="s">
        <v>1592</v>
      </c>
      <c r="B243" s="2395" t="s">
        <v>1593</v>
      </c>
      <c r="C243" s="2406">
        <v>55595030</v>
      </c>
      <c r="D243" s="2396"/>
      <c r="E243" s="2406">
        <v>0</v>
      </c>
      <c r="F243" s="2406">
        <v>0</v>
      </c>
      <c r="G243" s="2407">
        <v>0</v>
      </c>
      <c r="H243" s="2407">
        <v>55595030</v>
      </c>
      <c r="I243" s="2408"/>
      <c r="J243" s="2408"/>
      <c r="K243" s="2408"/>
      <c r="L243" s="2409"/>
    </row>
    <row r="244" spans="1:12" ht="12" customHeight="1" x14ac:dyDescent="0.3">
      <c r="A244" s="2394" t="s">
        <v>1594</v>
      </c>
      <c r="B244" s="2395" t="s">
        <v>1595</v>
      </c>
      <c r="C244" s="2406">
        <v>0</v>
      </c>
      <c r="D244" s="2396"/>
      <c r="E244" s="2406">
        <v>0</v>
      </c>
      <c r="F244" s="2406">
        <v>0</v>
      </c>
      <c r="G244" s="2407">
        <v>0</v>
      </c>
      <c r="H244" s="2407">
        <v>0</v>
      </c>
      <c r="I244" s="2408"/>
      <c r="J244" s="2408"/>
      <c r="K244" s="2408"/>
      <c r="L244" s="2409"/>
    </row>
    <row r="245" spans="1:12" ht="12" customHeight="1" x14ac:dyDescent="0.3">
      <c r="A245" s="2394" t="s">
        <v>1101</v>
      </c>
      <c r="B245" s="2395" t="s">
        <v>1102</v>
      </c>
      <c r="C245" s="2406">
        <v>0</v>
      </c>
      <c r="D245" s="2396"/>
      <c r="E245" s="2406">
        <v>0</v>
      </c>
      <c r="F245" s="2406">
        <v>0</v>
      </c>
      <c r="G245" s="2407">
        <v>0</v>
      </c>
      <c r="H245" s="2407">
        <v>0</v>
      </c>
      <c r="I245" s="2408"/>
      <c r="J245" s="2408"/>
      <c r="K245" s="2408"/>
      <c r="L245" s="2409"/>
    </row>
    <row r="246" spans="1:12" ht="12" customHeight="1" x14ac:dyDescent="0.3">
      <c r="A246" s="2394" t="s">
        <v>1596</v>
      </c>
      <c r="B246" s="2395" t="s">
        <v>1597</v>
      </c>
      <c r="C246" s="2406">
        <v>275000000</v>
      </c>
      <c r="D246" s="2396"/>
      <c r="E246" s="2406">
        <v>0</v>
      </c>
      <c r="F246" s="2406">
        <v>0</v>
      </c>
      <c r="G246" s="2407">
        <v>0</v>
      </c>
      <c r="H246" s="2407">
        <v>275000000</v>
      </c>
      <c r="I246" s="2408"/>
      <c r="J246" s="2408"/>
      <c r="K246" s="2408"/>
      <c r="L246" s="2409"/>
    </row>
    <row r="247" spans="1:12" ht="12" customHeight="1" x14ac:dyDescent="0.3">
      <c r="A247" s="2394" t="s">
        <v>1598</v>
      </c>
      <c r="B247" s="2395" t="s">
        <v>1599</v>
      </c>
      <c r="C247" s="2406">
        <v>23000000</v>
      </c>
      <c r="D247" s="2396"/>
      <c r="E247" s="2406">
        <v>0</v>
      </c>
      <c r="F247" s="2406">
        <v>0</v>
      </c>
      <c r="G247" s="2407">
        <v>0</v>
      </c>
      <c r="H247" s="2407">
        <v>23000000</v>
      </c>
      <c r="I247" s="2408"/>
      <c r="J247" s="2408"/>
      <c r="K247" s="2408"/>
      <c r="L247" s="2409"/>
    </row>
    <row r="248" spans="1:12" ht="12" customHeight="1" x14ac:dyDescent="0.3">
      <c r="A248" s="2394" t="s">
        <v>1600</v>
      </c>
      <c r="B248" s="2395" t="s">
        <v>1601</v>
      </c>
      <c r="C248" s="2406">
        <v>0</v>
      </c>
      <c r="D248" s="2396"/>
      <c r="E248" s="2406">
        <v>0</v>
      </c>
      <c r="F248" s="2406">
        <v>0</v>
      </c>
      <c r="G248" s="2407">
        <v>0</v>
      </c>
      <c r="H248" s="2407">
        <v>0</v>
      </c>
      <c r="I248" s="2408"/>
      <c r="J248" s="2408"/>
      <c r="K248" s="2408"/>
      <c r="L248" s="2409"/>
    </row>
    <row r="249" spans="1:12" ht="12" customHeight="1" x14ac:dyDescent="0.3">
      <c r="A249" s="2394" t="s">
        <v>1602</v>
      </c>
      <c r="B249" s="2395" t="s">
        <v>1603</v>
      </c>
      <c r="C249" s="2406">
        <v>0</v>
      </c>
      <c r="D249" s="2396"/>
      <c r="E249" s="2406">
        <v>0</v>
      </c>
      <c r="F249" s="2406">
        <v>0</v>
      </c>
      <c r="G249" s="2407">
        <v>0</v>
      </c>
      <c r="H249" s="2407">
        <v>0</v>
      </c>
      <c r="I249" s="2408"/>
      <c r="J249" s="2408"/>
      <c r="K249" s="2408"/>
      <c r="L249" s="2409"/>
    </row>
    <row r="250" spans="1:12" ht="12" customHeight="1" x14ac:dyDescent="0.3">
      <c r="A250" s="2394" t="s">
        <v>1604</v>
      </c>
      <c r="B250" s="2395" t="s">
        <v>1605</v>
      </c>
      <c r="C250" s="2406">
        <v>0</v>
      </c>
      <c r="D250" s="2396"/>
      <c r="E250" s="2406">
        <v>0</v>
      </c>
      <c r="F250" s="2406">
        <v>0</v>
      </c>
      <c r="G250" s="2407">
        <v>0</v>
      </c>
      <c r="H250" s="2407">
        <v>0</v>
      </c>
      <c r="I250" s="2408"/>
      <c r="J250" s="2408"/>
      <c r="K250" s="2408"/>
      <c r="L250" s="2409"/>
    </row>
    <row r="251" spans="1:12" ht="12" customHeight="1" x14ac:dyDescent="0.3">
      <c r="A251" s="2394" t="s">
        <v>1606</v>
      </c>
      <c r="B251" s="2395" t="s">
        <v>1607</v>
      </c>
      <c r="C251" s="2406">
        <v>0</v>
      </c>
      <c r="D251" s="2396"/>
      <c r="E251" s="2406">
        <v>0</v>
      </c>
      <c r="F251" s="2406">
        <v>0</v>
      </c>
      <c r="G251" s="2407">
        <v>0</v>
      </c>
      <c r="H251" s="2407">
        <v>0</v>
      </c>
      <c r="I251" s="2408"/>
      <c r="J251" s="2408"/>
      <c r="K251" s="2408"/>
      <c r="L251" s="2409"/>
    </row>
    <row r="252" spans="1:12" ht="12" customHeight="1" x14ac:dyDescent="0.3">
      <c r="A252" s="2394" t="s">
        <v>1608</v>
      </c>
      <c r="B252" s="2395" t="s">
        <v>1609</v>
      </c>
      <c r="C252" s="2406">
        <v>0</v>
      </c>
      <c r="D252" s="2396"/>
      <c r="E252" s="2406">
        <v>0</v>
      </c>
      <c r="F252" s="2406">
        <v>0</v>
      </c>
      <c r="G252" s="2407">
        <v>0</v>
      </c>
      <c r="H252" s="2407">
        <v>0</v>
      </c>
      <c r="I252" s="2408"/>
      <c r="J252" s="2408"/>
      <c r="K252" s="2408"/>
      <c r="L252" s="2409"/>
    </row>
    <row r="253" spans="1:12" ht="12" customHeight="1" x14ac:dyDescent="0.3">
      <c r="A253" s="2394" t="s">
        <v>1610</v>
      </c>
      <c r="B253" s="2395" t="s">
        <v>1611</v>
      </c>
      <c r="C253" s="2406">
        <v>0</v>
      </c>
      <c r="D253" s="2396"/>
      <c r="E253" s="2406">
        <v>0</v>
      </c>
      <c r="F253" s="2406">
        <v>0</v>
      </c>
      <c r="G253" s="2407">
        <v>0</v>
      </c>
      <c r="H253" s="2407">
        <v>0</v>
      </c>
      <c r="I253" s="2408"/>
      <c r="J253" s="2408"/>
      <c r="K253" s="2408"/>
      <c r="L253" s="2409"/>
    </row>
    <row r="254" spans="1:12" ht="12" customHeight="1" x14ac:dyDescent="0.3">
      <c r="A254" s="2394" t="s">
        <v>1612</v>
      </c>
      <c r="B254" s="2395" t="s">
        <v>1613</v>
      </c>
      <c r="C254" s="2406">
        <v>0</v>
      </c>
      <c r="D254" s="2396"/>
      <c r="E254" s="2406">
        <v>0</v>
      </c>
      <c r="F254" s="2406">
        <v>0</v>
      </c>
      <c r="G254" s="2407">
        <v>0</v>
      </c>
      <c r="H254" s="2407">
        <v>0</v>
      </c>
      <c r="I254" s="2408"/>
      <c r="J254" s="2408"/>
      <c r="K254" s="2408"/>
      <c r="L254" s="2409"/>
    </row>
    <row r="255" spans="1:12" ht="12" customHeight="1" x14ac:dyDescent="0.3">
      <c r="A255" s="2394" t="s">
        <v>1614</v>
      </c>
      <c r="B255" s="2395" t="s">
        <v>1615</v>
      </c>
      <c r="C255" s="2406">
        <v>0</v>
      </c>
      <c r="D255" s="2396"/>
      <c r="E255" s="2406">
        <v>0</v>
      </c>
      <c r="F255" s="2406">
        <v>0</v>
      </c>
      <c r="G255" s="2407">
        <v>0</v>
      </c>
      <c r="H255" s="2407">
        <v>0</v>
      </c>
      <c r="I255" s="2408"/>
      <c r="J255" s="2408"/>
      <c r="K255" s="2408"/>
      <c r="L255" s="2409"/>
    </row>
    <row r="256" spans="1:12" ht="12" customHeight="1" x14ac:dyDescent="0.3">
      <c r="A256" s="2394" t="s">
        <v>1616</v>
      </c>
      <c r="B256" s="2395" t="s">
        <v>1617</v>
      </c>
      <c r="C256" s="2406">
        <v>2925854386</v>
      </c>
      <c r="D256" s="2396"/>
      <c r="E256" s="2406">
        <v>0</v>
      </c>
      <c r="F256" s="2406">
        <v>0</v>
      </c>
      <c r="G256" s="2407">
        <v>0</v>
      </c>
      <c r="H256" s="2407">
        <v>2925854386</v>
      </c>
      <c r="I256" s="2408"/>
      <c r="J256" s="2408"/>
      <c r="K256" s="2408"/>
      <c r="L256" s="2409"/>
    </row>
    <row r="257" spans="1:18" ht="12" customHeight="1" x14ac:dyDescent="0.3">
      <c r="A257" s="2394" t="s">
        <v>1618</v>
      </c>
      <c r="B257" s="2395" t="s">
        <v>1619</v>
      </c>
      <c r="C257" s="2406">
        <v>0</v>
      </c>
      <c r="D257" s="2396"/>
      <c r="E257" s="2406">
        <v>0</v>
      </c>
      <c r="F257" s="2406">
        <v>0</v>
      </c>
      <c r="G257" s="2407">
        <v>0</v>
      </c>
      <c r="H257" s="2407">
        <v>0</v>
      </c>
      <c r="I257" s="2408"/>
      <c r="J257" s="2408"/>
      <c r="K257" s="2408"/>
      <c r="L257" s="2409"/>
    </row>
    <row r="258" spans="1:18" ht="12" customHeight="1" x14ac:dyDescent="0.3">
      <c r="A258" s="2394" t="s">
        <v>1103</v>
      </c>
      <c r="B258" s="2395" t="s">
        <v>1104</v>
      </c>
      <c r="C258" s="2406">
        <v>0</v>
      </c>
      <c r="D258" s="2396"/>
      <c r="E258" s="2406">
        <v>0</v>
      </c>
      <c r="F258" s="2406">
        <v>0</v>
      </c>
      <c r="G258" s="2407">
        <v>0</v>
      </c>
      <c r="H258" s="2407">
        <v>0</v>
      </c>
      <c r="I258" s="2408"/>
      <c r="J258" s="2408"/>
      <c r="K258" s="2408"/>
      <c r="L258" s="2409"/>
    </row>
    <row r="259" spans="1:18" ht="12" customHeight="1" x14ac:dyDescent="0.3">
      <c r="A259" s="2394" t="s">
        <v>1108</v>
      </c>
      <c r="B259" s="2395" t="s">
        <v>1109</v>
      </c>
      <c r="C259" s="2406">
        <v>0</v>
      </c>
      <c r="D259" s="2396"/>
      <c r="E259" s="2406">
        <v>0</v>
      </c>
      <c r="F259" s="2406">
        <v>0</v>
      </c>
      <c r="G259" s="2407">
        <v>0</v>
      </c>
      <c r="H259" s="2407">
        <v>0</v>
      </c>
      <c r="I259" s="2408"/>
      <c r="J259" s="2408"/>
      <c r="K259" s="2408"/>
      <c r="L259" s="2409"/>
    </row>
    <row r="260" spans="1:18" x14ac:dyDescent="0.3">
      <c r="A260" s="2394" t="s">
        <v>1620</v>
      </c>
      <c r="B260" s="2395" t="s">
        <v>1621</v>
      </c>
      <c r="C260" s="2406">
        <v>0</v>
      </c>
      <c r="D260" s="2396"/>
      <c r="E260" s="2406">
        <v>0</v>
      </c>
      <c r="F260" s="2406">
        <v>0</v>
      </c>
      <c r="G260" s="2407">
        <v>0</v>
      </c>
      <c r="H260" s="2407">
        <v>0</v>
      </c>
      <c r="I260" s="2408"/>
      <c r="J260" s="2408"/>
      <c r="K260" s="2408"/>
      <c r="L260" s="2409"/>
      <c r="M260" s="77" t="s">
        <v>6499</v>
      </c>
      <c r="O260" s="77" t="s">
        <v>6500</v>
      </c>
      <c r="P260" s="77" t="s">
        <v>6501</v>
      </c>
      <c r="Q260" s="77" t="s">
        <v>6502</v>
      </c>
      <c r="R260" s="77" t="s">
        <v>6503</v>
      </c>
    </row>
    <row r="261" spans="1:18" ht="12" customHeight="1" x14ac:dyDescent="0.3">
      <c r="A261" s="2394" t="s">
        <v>1622</v>
      </c>
      <c r="B261" s="2395" t="s">
        <v>1623</v>
      </c>
      <c r="C261" s="2406" t="s">
        <v>8185</v>
      </c>
      <c r="D261" s="2396"/>
      <c r="E261" s="2406">
        <v>0</v>
      </c>
      <c r="F261" s="2406">
        <v>17403272.170000002</v>
      </c>
      <c r="G261" s="2407" t="s">
        <v>7611</v>
      </c>
      <c r="H261" s="2407" t="s">
        <v>8265</v>
      </c>
      <c r="I261" s="2408"/>
      <c r="J261" s="2408"/>
      <c r="K261" s="2408"/>
      <c r="L261" s="2409"/>
    </row>
    <row r="262" spans="1:18" ht="12" customHeight="1" x14ac:dyDescent="0.3">
      <c r="A262" s="2394" t="s">
        <v>1624</v>
      </c>
      <c r="B262" s="2395" t="s">
        <v>1625</v>
      </c>
      <c r="C262" s="2406" t="s">
        <v>8186</v>
      </c>
      <c r="D262" s="2396"/>
      <c r="E262" s="2406">
        <v>0</v>
      </c>
      <c r="F262" s="2406">
        <v>13408750</v>
      </c>
      <c r="G262" s="2407" t="s">
        <v>7639</v>
      </c>
      <c r="H262" s="2407" t="s">
        <v>8266</v>
      </c>
      <c r="I262" s="2408"/>
      <c r="J262" s="2408"/>
      <c r="K262" s="2408"/>
      <c r="L262" s="2409"/>
    </row>
    <row r="263" spans="1:18" ht="12" customHeight="1" x14ac:dyDescent="0.3">
      <c r="A263" s="2394" t="s">
        <v>1626</v>
      </c>
      <c r="B263" s="2395" t="s">
        <v>1627</v>
      </c>
      <c r="C263" s="2406" t="s">
        <v>8187</v>
      </c>
      <c r="D263" s="2396"/>
      <c r="E263" s="2406">
        <v>0</v>
      </c>
      <c r="F263" s="2406">
        <v>4352608.33</v>
      </c>
      <c r="G263" s="2407" t="s">
        <v>7640</v>
      </c>
      <c r="H263" s="2407" t="s">
        <v>8516</v>
      </c>
      <c r="I263" s="2408"/>
      <c r="J263" s="2408"/>
      <c r="K263" s="2408"/>
      <c r="L263" s="2409"/>
    </row>
    <row r="264" spans="1:18" ht="12" customHeight="1" x14ac:dyDescent="0.3">
      <c r="A264" s="2394" t="s">
        <v>1628</v>
      </c>
      <c r="B264" s="2395" t="s">
        <v>1629</v>
      </c>
      <c r="C264" s="2406" t="s">
        <v>8188</v>
      </c>
      <c r="D264" s="2396"/>
      <c r="E264" s="2406">
        <v>0</v>
      </c>
      <c r="F264" s="2406">
        <v>13792294.74</v>
      </c>
      <c r="G264" s="2407" t="s">
        <v>8033</v>
      </c>
      <c r="H264" s="2407" t="s">
        <v>8267</v>
      </c>
      <c r="I264" s="2408"/>
      <c r="J264" s="2408"/>
      <c r="K264" s="2408"/>
      <c r="L264" s="2409"/>
    </row>
    <row r="265" spans="1:18" s="2415" customFormat="1" ht="12" customHeight="1" x14ac:dyDescent="0.3">
      <c r="A265" s="2394" t="s">
        <v>1630</v>
      </c>
      <c r="B265" s="2395" t="s">
        <v>1631</v>
      </c>
      <c r="C265" s="2406">
        <v>0</v>
      </c>
      <c r="D265" s="2396"/>
      <c r="E265" s="2406">
        <v>0</v>
      </c>
      <c r="F265" s="2406">
        <v>0</v>
      </c>
      <c r="G265" s="2407">
        <v>0</v>
      </c>
      <c r="H265" s="2407">
        <v>0</v>
      </c>
      <c r="I265" s="2408"/>
      <c r="J265" s="2408"/>
      <c r="K265" s="2408"/>
      <c r="L265" s="2409"/>
    </row>
    <row r="266" spans="1:18" ht="12" customHeight="1" x14ac:dyDescent="0.3">
      <c r="A266" s="2394" t="s">
        <v>1632</v>
      </c>
      <c r="B266" s="2395" t="s">
        <v>1633</v>
      </c>
      <c r="C266" s="2406">
        <v>0</v>
      </c>
      <c r="D266" s="2396"/>
      <c r="E266" s="2406">
        <v>0</v>
      </c>
      <c r="F266" s="2406">
        <v>0</v>
      </c>
      <c r="G266" s="2407">
        <v>0</v>
      </c>
      <c r="H266" s="2407">
        <v>0</v>
      </c>
      <c r="I266" s="2408"/>
      <c r="J266" s="2408"/>
      <c r="K266" s="2408"/>
      <c r="L266" s="2409"/>
    </row>
    <row r="267" spans="1:18" ht="12" customHeight="1" x14ac:dyDescent="0.3">
      <c r="A267" s="2394" t="s">
        <v>1634</v>
      </c>
      <c r="B267" s="2395" t="s">
        <v>1635</v>
      </c>
      <c r="C267" s="2406" t="s">
        <v>8189</v>
      </c>
      <c r="D267" s="2396"/>
      <c r="E267" s="2406">
        <v>0</v>
      </c>
      <c r="F267" s="2406">
        <v>2336259.38</v>
      </c>
      <c r="G267" s="2407" t="s">
        <v>8034</v>
      </c>
      <c r="H267" s="2407" t="s">
        <v>8268</v>
      </c>
      <c r="I267" s="2408"/>
      <c r="J267" s="2408"/>
      <c r="K267" s="2408"/>
      <c r="L267" s="2409"/>
    </row>
    <row r="268" spans="1:18" ht="12" customHeight="1" x14ac:dyDescent="0.3">
      <c r="A268" s="2394" t="s">
        <v>1636</v>
      </c>
      <c r="B268" s="2395" t="s">
        <v>1637</v>
      </c>
      <c r="C268" s="2406" t="s">
        <v>8190</v>
      </c>
      <c r="D268" s="2396"/>
      <c r="E268" s="2406">
        <v>0</v>
      </c>
      <c r="F268" s="2406">
        <v>50000</v>
      </c>
      <c r="G268" s="2407" t="s">
        <v>7556</v>
      </c>
      <c r="H268" s="2407" t="s">
        <v>8269</v>
      </c>
      <c r="I268" s="2408"/>
      <c r="J268" s="2408"/>
      <c r="K268" s="2408"/>
      <c r="L268" s="2409"/>
    </row>
    <row r="269" spans="1:18" ht="12" customHeight="1" x14ac:dyDescent="0.3">
      <c r="A269" s="2394" t="s">
        <v>1638</v>
      </c>
      <c r="B269" s="2395" t="s">
        <v>1639</v>
      </c>
      <c r="C269" s="2406">
        <v>0</v>
      </c>
      <c r="D269" s="2396"/>
      <c r="E269" s="2406">
        <v>0</v>
      </c>
      <c r="F269" s="2406">
        <v>0</v>
      </c>
      <c r="G269" s="2407">
        <v>0</v>
      </c>
      <c r="H269" s="2407">
        <v>0</v>
      </c>
      <c r="I269" s="2408"/>
      <c r="J269" s="2408"/>
      <c r="K269" s="2408"/>
      <c r="L269" s="2409"/>
    </row>
    <row r="270" spans="1:18" ht="12" customHeight="1" x14ac:dyDescent="0.3">
      <c r="A270" s="2394" t="s">
        <v>1640</v>
      </c>
      <c r="B270" s="2395" t="s">
        <v>1641</v>
      </c>
      <c r="C270" s="2406" t="s">
        <v>8191</v>
      </c>
      <c r="D270" s="2396"/>
      <c r="E270" s="2406">
        <v>0</v>
      </c>
      <c r="F270" s="2406">
        <v>584658.32999999996</v>
      </c>
      <c r="G270" s="2407" t="s">
        <v>7312</v>
      </c>
      <c r="H270" s="2407" t="s">
        <v>8270</v>
      </c>
      <c r="I270" s="2408"/>
      <c r="J270" s="2408"/>
      <c r="K270" s="2408"/>
      <c r="L270" s="2409"/>
    </row>
    <row r="271" spans="1:18" ht="12" customHeight="1" x14ac:dyDescent="0.3">
      <c r="A271" s="2394" t="s">
        <v>1642</v>
      </c>
      <c r="B271" s="2395" t="s">
        <v>1643</v>
      </c>
      <c r="C271" s="2406">
        <v>0</v>
      </c>
      <c r="D271" s="2396"/>
      <c r="E271" s="2406">
        <v>0</v>
      </c>
      <c r="F271" s="2406">
        <v>0</v>
      </c>
      <c r="G271" s="2407">
        <v>0</v>
      </c>
      <c r="H271" s="2407">
        <v>0</v>
      </c>
      <c r="I271" s="2408"/>
      <c r="J271" s="2408"/>
      <c r="K271" s="2408"/>
      <c r="L271" s="2409"/>
    </row>
    <row r="272" spans="1:18" ht="12" customHeight="1" x14ac:dyDescent="0.3">
      <c r="A272" s="2394" t="s">
        <v>1644</v>
      </c>
      <c r="B272" s="2395" t="s">
        <v>1645</v>
      </c>
      <c r="C272" s="2406" t="s">
        <v>8192</v>
      </c>
      <c r="D272" s="2396"/>
      <c r="E272" s="2406">
        <v>0</v>
      </c>
      <c r="F272" s="2406">
        <v>58333.33</v>
      </c>
      <c r="G272" s="2407" t="s">
        <v>7959</v>
      </c>
      <c r="H272" s="2407" t="s">
        <v>8271</v>
      </c>
      <c r="I272" s="2408"/>
      <c r="J272" s="2408"/>
      <c r="K272" s="2408"/>
      <c r="L272" s="2409"/>
    </row>
    <row r="273" spans="1:12" ht="12" customHeight="1" x14ac:dyDescent="0.3">
      <c r="A273" s="2394" t="s">
        <v>1646</v>
      </c>
      <c r="B273" s="2395" t="s">
        <v>1647</v>
      </c>
      <c r="C273" s="2406" t="s">
        <v>8069</v>
      </c>
      <c r="D273" s="2396"/>
      <c r="E273" s="2406">
        <v>0</v>
      </c>
      <c r="F273" s="2406">
        <v>0</v>
      </c>
      <c r="G273" s="2407">
        <v>0</v>
      </c>
      <c r="H273" s="2407" t="s">
        <v>8069</v>
      </c>
      <c r="I273" s="2408"/>
      <c r="J273" s="2408"/>
      <c r="K273" s="2408"/>
      <c r="L273" s="2409"/>
    </row>
    <row r="274" spans="1:12" ht="12" customHeight="1" x14ac:dyDescent="0.3">
      <c r="A274" s="2394" t="s">
        <v>1648</v>
      </c>
      <c r="B274" s="2395" t="s">
        <v>1649</v>
      </c>
      <c r="C274" s="2406" t="s">
        <v>8193</v>
      </c>
      <c r="D274" s="2396"/>
      <c r="E274" s="2406">
        <v>0</v>
      </c>
      <c r="F274" s="2406">
        <v>3299047.92</v>
      </c>
      <c r="G274" s="2407" t="s">
        <v>7709</v>
      </c>
      <c r="H274" s="2407" t="s">
        <v>8272</v>
      </c>
      <c r="I274" s="2408"/>
      <c r="J274" s="2408"/>
      <c r="K274" s="2408"/>
      <c r="L274" s="2409"/>
    </row>
    <row r="275" spans="1:12" x14ac:dyDescent="0.3">
      <c r="A275" s="2394" t="s">
        <v>1650</v>
      </c>
      <c r="B275" s="2395" t="s">
        <v>1651</v>
      </c>
      <c r="C275" s="2406">
        <v>0</v>
      </c>
      <c r="D275" s="2396"/>
      <c r="E275" s="2406">
        <v>0</v>
      </c>
      <c r="F275" s="2406">
        <v>0</v>
      </c>
      <c r="G275" s="2407">
        <v>0</v>
      </c>
      <c r="H275" s="2407">
        <v>0</v>
      </c>
      <c r="I275" s="2408"/>
      <c r="J275" s="2408"/>
      <c r="K275" s="2408"/>
      <c r="L275" s="2409"/>
    </row>
    <row r="276" spans="1:12" ht="12" customHeight="1" x14ac:dyDescent="0.3">
      <c r="A276" s="2394" t="s">
        <v>1652</v>
      </c>
      <c r="B276" s="2395" t="s">
        <v>1653</v>
      </c>
      <c r="C276" s="2406" t="s">
        <v>8194</v>
      </c>
      <c r="D276" s="2396"/>
      <c r="E276" s="2406">
        <v>0</v>
      </c>
      <c r="F276" s="2406">
        <v>1544154.51</v>
      </c>
      <c r="G276" s="2407" t="s">
        <v>8070</v>
      </c>
      <c r="H276" s="2407" t="s">
        <v>8273</v>
      </c>
      <c r="I276" s="2408"/>
      <c r="J276" s="2408"/>
      <c r="K276" s="2408"/>
      <c r="L276" s="2409"/>
    </row>
    <row r="277" spans="1:12" ht="12" customHeight="1" x14ac:dyDescent="0.3">
      <c r="A277" s="2394" t="s">
        <v>1654</v>
      </c>
      <c r="B277" s="2395" t="s">
        <v>1655</v>
      </c>
      <c r="C277" s="2406" t="s">
        <v>8195</v>
      </c>
      <c r="D277" s="2396"/>
      <c r="E277" s="2406">
        <v>0</v>
      </c>
      <c r="F277" s="2406">
        <v>761404.33</v>
      </c>
      <c r="G277" s="2407" t="s">
        <v>8274</v>
      </c>
      <c r="H277" s="2407" t="s">
        <v>8275</v>
      </c>
      <c r="I277" s="2408"/>
      <c r="J277" s="2408"/>
      <c r="K277" s="2408"/>
      <c r="L277" s="2409"/>
    </row>
    <row r="278" spans="1:12" ht="12" customHeight="1" x14ac:dyDescent="0.3">
      <c r="A278" s="2394" t="s">
        <v>1656</v>
      </c>
      <c r="B278" s="2395" t="s">
        <v>1657</v>
      </c>
      <c r="C278" s="2406">
        <v>0</v>
      </c>
      <c r="D278" s="2396"/>
      <c r="E278" s="2406">
        <v>0</v>
      </c>
      <c r="F278" s="2406">
        <v>0</v>
      </c>
      <c r="G278" s="2407">
        <v>0</v>
      </c>
      <c r="H278" s="2407">
        <v>0</v>
      </c>
      <c r="I278" s="2408"/>
      <c r="J278" s="2408"/>
      <c r="K278" s="2408"/>
      <c r="L278" s="2409"/>
    </row>
    <row r="279" spans="1:12" ht="12" customHeight="1" x14ac:dyDescent="0.3">
      <c r="A279" s="2394" t="s">
        <v>1110</v>
      </c>
      <c r="B279" s="2395" t="s">
        <v>1111</v>
      </c>
      <c r="C279" s="2406">
        <v>0</v>
      </c>
      <c r="D279" s="2396"/>
      <c r="E279" s="2406">
        <v>0</v>
      </c>
      <c r="F279" s="2406">
        <v>0</v>
      </c>
      <c r="G279" s="2407">
        <v>0</v>
      </c>
      <c r="H279" s="2407">
        <v>0</v>
      </c>
      <c r="I279" s="2408"/>
      <c r="J279" s="2408"/>
      <c r="K279" s="2408"/>
      <c r="L279" s="2409"/>
    </row>
    <row r="280" spans="1:12" ht="12" customHeight="1" x14ac:dyDescent="0.3">
      <c r="A280" s="2394" t="s">
        <v>1658</v>
      </c>
      <c r="B280" s="2395" t="s">
        <v>1659</v>
      </c>
      <c r="C280" s="2406" t="s">
        <v>8196</v>
      </c>
      <c r="D280" s="2396"/>
      <c r="E280" s="2406">
        <v>0</v>
      </c>
      <c r="F280" s="2406">
        <v>8877958.2300000004</v>
      </c>
      <c r="G280" s="2407" t="s">
        <v>8525</v>
      </c>
      <c r="H280" s="2407" t="s">
        <v>8526</v>
      </c>
      <c r="I280" s="2408"/>
      <c r="J280" s="2408"/>
      <c r="K280" s="2408"/>
      <c r="L280" s="2409"/>
    </row>
    <row r="281" spans="1:12" ht="12" customHeight="1" x14ac:dyDescent="0.3">
      <c r="A281" s="2394" t="s">
        <v>1660</v>
      </c>
      <c r="B281" s="2395" t="s">
        <v>1661</v>
      </c>
      <c r="C281" s="2406" t="s">
        <v>8198</v>
      </c>
      <c r="D281" s="2396"/>
      <c r="E281" s="2406">
        <v>0</v>
      </c>
      <c r="F281" s="2406">
        <v>410890.8</v>
      </c>
      <c r="G281" s="2407" t="s">
        <v>8197</v>
      </c>
      <c r="H281" s="2407" t="s">
        <v>8276</v>
      </c>
      <c r="I281" s="2408"/>
      <c r="J281" s="2408"/>
      <c r="K281" s="2408"/>
      <c r="L281" s="2409"/>
    </row>
    <row r="282" spans="1:12" ht="12" customHeight="1" x14ac:dyDescent="0.3">
      <c r="A282" s="2394" t="s">
        <v>1662</v>
      </c>
      <c r="B282" s="2395" t="s">
        <v>1663</v>
      </c>
      <c r="C282" s="2406" t="s">
        <v>8199</v>
      </c>
      <c r="D282" s="2396"/>
      <c r="E282" s="2406">
        <v>0</v>
      </c>
      <c r="F282" s="2406">
        <v>169513.17</v>
      </c>
      <c r="G282" s="2407" t="s">
        <v>8277</v>
      </c>
      <c r="H282" s="2407" t="s">
        <v>8278</v>
      </c>
      <c r="I282" s="2408"/>
      <c r="J282" s="2408"/>
      <c r="K282" s="2408"/>
      <c r="L282" s="2409"/>
    </row>
    <row r="283" spans="1:12" ht="12" customHeight="1" x14ac:dyDescent="0.3">
      <c r="A283" s="2394" t="s">
        <v>1664</v>
      </c>
      <c r="B283" s="2395" t="s">
        <v>1665</v>
      </c>
      <c r="C283" s="2406" t="s">
        <v>8200</v>
      </c>
      <c r="D283" s="2396"/>
      <c r="E283" s="2406">
        <v>0</v>
      </c>
      <c r="F283" s="2406">
        <v>2808334.88</v>
      </c>
      <c r="G283" s="2407" t="s">
        <v>8279</v>
      </c>
      <c r="H283" s="2407" t="s">
        <v>8280</v>
      </c>
      <c r="I283" s="2408"/>
      <c r="J283" s="2408"/>
      <c r="K283" s="2408"/>
      <c r="L283" s="2409"/>
    </row>
    <row r="284" spans="1:12" ht="12" customHeight="1" x14ac:dyDescent="0.3">
      <c r="A284" s="2394" t="s">
        <v>1666</v>
      </c>
      <c r="B284" s="2395" t="s">
        <v>1667</v>
      </c>
      <c r="C284" s="2406">
        <v>0</v>
      </c>
      <c r="D284" s="2396"/>
      <c r="E284" s="2406">
        <v>0</v>
      </c>
      <c r="F284" s="2406">
        <v>0</v>
      </c>
      <c r="G284" s="2407">
        <v>0</v>
      </c>
      <c r="H284" s="2407">
        <v>0</v>
      </c>
      <c r="I284" s="2408"/>
      <c r="J284" s="2408"/>
      <c r="K284" s="2408"/>
      <c r="L284" s="2409"/>
    </row>
    <row r="285" spans="1:12" ht="12" customHeight="1" x14ac:dyDescent="0.3">
      <c r="A285" s="2394" t="s">
        <v>1668</v>
      </c>
      <c r="B285" s="2395" t="s">
        <v>1669</v>
      </c>
      <c r="C285" s="2406" t="s">
        <v>8201</v>
      </c>
      <c r="D285" s="2396"/>
      <c r="E285" s="2406">
        <v>0</v>
      </c>
      <c r="F285" s="2406">
        <v>715958.33</v>
      </c>
      <c r="G285" s="2407" t="s">
        <v>8096</v>
      </c>
      <c r="H285" s="2407" t="s">
        <v>8281</v>
      </c>
      <c r="I285" s="2408"/>
      <c r="J285" s="2408"/>
      <c r="K285" s="2408"/>
      <c r="L285" s="2409"/>
    </row>
    <row r="286" spans="1:12" ht="12" customHeight="1" x14ac:dyDescent="0.3">
      <c r="A286" s="2394" t="s">
        <v>1670</v>
      </c>
      <c r="B286" s="2395" t="s">
        <v>1671</v>
      </c>
      <c r="C286" s="2406">
        <v>0</v>
      </c>
      <c r="D286" s="2396"/>
      <c r="E286" s="2406">
        <v>0</v>
      </c>
      <c r="F286" s="2406">
        <v>0</v>
      </c>
      <c r="G286" s="2407">
        <v>0</v>
      </c>
      <c r="H286" s="2407">
        <v>0</v>
      </c>
      <c r="I286" s="2408"/>
      <c r="J286" s="2408"/>
      <c r="K286" s="2408"/>
      <c r="L286" s="2409"/>
    </row>
    <row r="287" spans="1:12" ht="12" customHeight="1" x14ac:dyDescent="0.3">
      <c r="A287" s="2394" t="s">
        <v>1672</v>
      </c>
      <c r="B287" s="2395" t="s">
        <v>1575</v>
      </c>
      <c r="C287" s="2406">
        <v>0</v>
      </c>
      <c r="D287" s="2396"/>
      <c r="E287" s="2406">
        <v>0</v>
      </c>
      <c r="F287" s="2406">
        <v>0</v>
      </c>
      <c r="G287" s="2407">
        <v>0</v>
      </c>
      <c r="H287" s="2407">
        <v>0</v>
      </c>
      <c r="I287" s="2408"/>
      <c r="J287" s="2408"/>
      <c r="K287" s="2408"/>
      <c r="L287" s="2409"/>
    </row>
    <row r="288" spans="1:12" ht="12" customHeight="1" x14ac:dyDescent="0.3">
      <c r="A288" s="2394" t="s">
        <v>1673</v>
      </c>
      <c r="B288" s="2395" t="s">
        <v>1674</v>
      </c>
      <c r="C288" s="2406">
        <v>0</v>
      </c>
      <c r="D288" s="2396"/>
      <c r="E288" s="2406">
        <v>0</v>
      </c>
      <c r="F288" s="2406">
        <v>0</v>
      </c>
      <c r="G288" s="2407">
        <v>0</v>
      </c>
      <c r="H288" s="2407">
        <v>0</v>
      </c>
      <c r="I288" s="2408"/>
      <c r="J288" s="2408"/>
      <c r="K288" s="2408"/>
      <c r="L288" s="2409"/>
    </row>
    <row r="289" spans="1:12" ht="12" customHeight="1" x14ac:dyDescent="0.3">
      <c r="A289" s="2394" t="s">
        <v>1112</v>
      </c>
      <c r="B289" s="2395" t="s">
        <v>1113</v>
      </c>
      <c r="C289" s="2406">
        <v>0</v>
      </c>
      <c r="D289" s="2396"/>
      <c r="E289" s="2406">
        <v>0</v>
      </c>
      <c r="F289" s="2406">
        <v>0</v>
      </c>
      <c r="G289" s="2407">
        <v>0</v>
      </c>
      <c r="H289" s="2407">
        <v>0</v>
      </c>
      <c r="I289" s="2408"/>
      <c r="J289" s="2408"/>
      <c r="K289" s="2408"/>
      <c r="L289" s="2409"/>
    </row>
    <row r="290" spans="1:12" ht="12" customHeight="1" x14ac:dyDescent="0.3">
      <c r="A290" s="2394" t="s">
        <v>1675</v>
      </c>
      <c r="B290" s="2395" t="s">
        <v>1676</v>
      </c>
      <c r="C290" s="2406" t="s">
        <v>8202</v>
      </c>
      <c r="D290" s="2396"/>
      <c r="E290" s="2406">
        <v>0</v>
      </c>
      <c r="F290" s="2406">
        <v>1651771.68</v>
      </c>
      <c r="G290" s="2407" t="s">
        <v>8282</v>
      </c>
      <c r="H290" s="2407" t="s">
        <v>8283</v>
      </c>
      <c r="I290" s="2408"/>
      <c r="J290" s="2408"/>
      <c r="K290" s="2408"/>
      <c r="L290" s="2409"/>
    </row>
    <row r="291" spans="1:12" ht="12" customHeight="1" x14ac:dyDescent="0.3">
      <c r="A291" s="2394" t="s">
        <v>1677</v>
      </c>
      <c r="B291" s="2395" t="s">
        <v>1678</v>
      </c>
      <c r="C291" s="2406" t="s">
        <v>8203</v>
      </c>
      <c r="D291" s="2396"/>
      <c r="E291" s="2406">
        <v>0</v>
      </c>
      <c r="F291" s="2406">
        <v>1435713.83</v>
      </c>
      <c r="G291" s="2407" t="s">
        <v>8071</v>
      </c>
      <c r="H291" s="2407" t="s">
        <v>8284</v>
      </c>
      <c r="I291" s="2408"/>
      <c r="J291" s="2408"/>
      <c r="K291" s="2408"/>
      <c r="L291" s="2409"/>
    </row>
    <row r="292" spans="1:12" ht="12" customHeight="1" x14ac:dyDescent="0.3">
      <c r="A292" s="2394" t="s">
        <v>1679</v>
      </c>
      <c r="B292" s="2395" t="s">
        <v>1680</v>
      </c>
      <c r="C292" s="2406" t="s">
        <v>8204</v>
      </c>
      <c r="D292" s="2396"/>
      <c r="E292" s="2406">
        <v>0</v>
      </c>
      <c r="F292" s="2406">
        <v>9831774</v>
      </c>
      <c r="G292" s="2407" t="s">
        <v>8285</v>
      </c>
      <c r="H292" s="2407" t="s">
        <v>8286</v>
      </c>
      <c r="I292" s="2408"/>
      <c r="J292" s="2408"/>
      <c r="K292" s="2408"/>
      <c r="L292" s="2409"/>
    </row>
    <row r="293" spans="1:12" ht="12" customHeight="1" x14ac:dyDescent="0.3">
      <c r="A293" s="2394" t="s">
        <v>1681</v>
      </c>
      <c r="B293" s="2395" t="s">
        <v>1682</v>
      </c>
      <c r="C293" s="2406" t="s">
        <v>8205</v>
      </c>
      <c r="D293" s="2396"/>
      <c r="E293" s="2406">
        <v>0</v>
      </c>
      <c r="F293" s="2406">
        <v>3629855.83</v>
      </c>
      <c r="G293" s="2407" t="s">
        <v>8287</v>
      </c>
      <c r="H293" s="2407" t="s">
        <v>8288</v>
      </c>
      <c r="I293" s="2408"/>
      <c r="J293" s="2408"/>
      <c r="K293" s="2408"/>
      <c r="L293" s="2409"/>
    </row>
    <row r="294" spans="1:12" ht="12" customHeight="1" x14ac:dyDescent="0.3">
      <c r="A294" s="2394" t="s">
        <v>1683</v>
      </c>
      <c r="B294" s="2395" t="s">
        <v>1684</v>
      </c>
      <c r="C294" s="2406" t="s">
        <v>8206</v>
      </c>
      <c r="D294" s="2396"/>
      <c r="E294" s="2406">
        <v>0</v>
      </c>
      <c r="F294" s="2406">
        <v>475410.3</v>
      </c>
      <c r="G294" s="2407" t="s">
        <v>8289</v>
      </c>
      <c r="H294" s="2407" t="s">
        <v>8290</v>
      </c>
      <c r="I294" s="2408"/>
      <c r="J294" s="2408"/>
      <c r="K294" s="2408"/>
      <c r="L294" s="2409"/>
    </row>
    <row r="295" spans="1:12" ht="12" customHeight="1" x14ac:dyDescent="0.3">
      <c r="A295" s="2394" t="s">
        <v>1685</v>
      </c>
      <c r="B295" s="2395" t="s">
        <v>1686</v>
      </c>
      <c r="C295" s="2406" t="s">
        <v>8207</v>
      </c>
      <c r="D295" s="2396"/>
      <c r="E295" s="2406">
        <v>0</v>
      </c>
      <c r="F295" s="2406">
        <v>634329.73</v>
      </c>
      <c r="G295" s="2407" t="s">
        <v>8072</v>
      </c>
      <c r="H295" s="2407" t="s">
        <v>8291</v>
      </c>
      <c r="I295" s="2408"/>
      <c r="J295" s="2408"/>
      <c r="K295" s="2408"/>
      <c r="L295" s="2409"/>
    </row>
    <row r="296" spans="1:12" ht="12" customHeight="1" x14ac:dyDescent="0.3">
      <c r="A296" s="2394" t="s">
        <v>1687</v>
      </c>
      <c r="B296" s="2395" t="s">
        <v>1688</v>
      </c>
      <c r="C296" s="2406" t="s">
        <v>8209</v>
      </c>
      <c r="D296" s="2396"/>
      <c r="E296" s="2406">
        <v>0</v>
      </c>
      <c r="F296" s="2406">
        <v>285276.17</v>
      </c>
      <c r="G296" s="2407" t="s">
        <v>8208</v>
      </c>
      <c r="H296" s="2407" t="s">
        <v>8292</v>
      </c>
      <c r="I296" s="2408"/>
      <c r="J296" s="2408"/>
      <c r="K296" s="2408"/>
      <c r="L296" s="2409"/>
    </row>
    <row r="297" spans="1:12" ht="12" customHeight="1" x14ac:dyDescent="0.3">
      <c r="A297" s="2394" t="s">
        <v>1689</v>
      </c>
      <c r="B297" s="2395" t="s">
        <v>1690</v>
      </c>
      <c r="C297" s="2406" t="s">
        <v>8210</v>
      </c>
      <c r="D297" s="2396"/>
      <c r="E297" s="2406">
        <v>0</v>
      </c>
      <c r="F297" s="2406">
        <v>972954.67</v>
      </c>
      <c r="G297" s="2407" t="s">
        <v>7665</v>
      </c>
      <c r="H297" s="2407" t="s">
        <v>8293</v>
      </c>
      <c r="I297" s="2408"/>
      <c r="J297" s="2408"/>
      <c r="K297" s="2408"/>
      <c r="L297" s="2409"/>
    </row>
    <row r="298" spans="1:12" ht="12" customHeight="1" x14ac:dyDescent="0.3">
      <c r="A298" s="2394" t="s">
        <v>1691</v>
      </c>
      <c r="B298" s="2395" t="s">
        <v>1692</v>
      </c>
      <c r="C298" s="2406">
        <v>0</v>
      </c>
      <c r="D298" s="2396"/>
      <c r="E298" s="2406">
        <v>0</v>
      </c>
      <c r="F298" s="2406">
        <v>0</v>
      </c>
      <c r="G298" s="2407">
        <v>0</v>
      </c>
      <c r="H298" s="2407">
        <v>0</v>
      </c>
      <c r="I298" s="2408"/>
      <c r="J298" s="2408"/>
      <c r="K298" s="2408"/>
      <c r="L298" s="2409"/>
    </row>
    <row r="299" spans="1:12" ht="12" customHeight="1" x14ac:dyDescent="0.3">
      <c r="A299" s="2394" t="s">
        <v>1114</v>
      </c>
      <c r="B299" s="2395" t="s">
        <v>1115</v>
      </c>
      <c r="C299" s="2406">
        <v>0</v>
      </c>
      <c r="D299" s="2396"/>
      <c r="E299" s="2406">
        <v>0</v>
      </c>
      <c r="F299" s="2406">
        <v>0</v>
      </c>
      <c r="G299" s="2407">
        <v>0</v>
      </c>
      <c r="H299" s="2407">
        <v>0</v>
      </c>
      <c r="I299" s="2408"/>
      <c r="J299" s="2408"/>
      <c r="K299" s="2408"/>
      <c r="L299" s="2409"/>
    </row>
    <row r="300" spans="1:12" ht="12" customHeight="1" x14ac:dyDescent="0.3">
      <c r="A300" s="2394" t="s">
        <v>1693</v>
      </c>
      <c r="B300" s="2395" t="s">
        <v>1694</v>
      </c>
      <c r="C300" s="2406" t="s">
        <v>8212</v>
      </c>
      <c r="D300" s="2396"/>
      <c r="E300" s="2406">
        <v>0</v>
      </c>
      <c r="F300" s="2406">
        <v>2031250</v>
      </c>
      <c r="G300" s="2407" t="s">
        <v>8211</v>
      </c>
      <c r="H300" s="2407" t="s">
        <v>8294</v>
      </c>
      <c r="I300" s="2408"/>
      <c r="J300" s="2408"/>
      <c r="K300" s="2408"/>
      <c r="L300" s="2409"/>
    </row>
    <row r="301" spans="1:12" ht="12" customHeight="1" x14ac:dyDescent="0.3">
      <c r="A301" s="2394" t="s">
        <v>1695</v>
      </c>
      <c r="B301" s="2395" t="s">
        <v>1696</v>
      </c>
      <c r="C301" s="2406" t="s">
        <v>8213</v>
      </c>
      <c r="D301" s="2396"/>
      <c r="E301" s="2406">
        <v>0</v>
      </c>
      <c r="F301" s="2406">
        <v>298958.33</v>
      </c>
      <c r="G301" s="2407" t="s">
        <v>8073</v>
      </c>
      <c r="H301" s="2407" t="s">
        <v>8295</v>
      </c>
      <c r="I301" s="2408"/>
      <c r="J301" s="2408"/>
      <c r="K301" s="2408"/>
      <c r="L301" s="2409"/>
    </row>
    <row r="302" spans="1:12" ht="12" customHeight="1" x14ac:dyDescent="0.3">
      <c r="A302" s="2394" t="s">
        <v>1697</v>
      </c>
      <c r="B302" s="2395" t="s">
        <v>1698</v>
      </c>
      <c r="C302" s="2406">
        <v>0</v>
      </c>
      <c r="D302" s="2396"/>
      <c r="E302" s="2406">
        <v>0</v>
      </c>
      <c r="F302" s="2406">
        <v>0</v>
      </c>
      <c r="G302" s="2407">
        <v>0</v>
      </c>
      <c r="H302" s="2407">
        <v>0</v>
      </c>
      <c r="I302" s="2408"/>
      <c r="J302" s="2408"/>
      <c r="K302" s="2408"/>
      <c r="L302" s="2409"/>
    </row>
    <row r="303" spans="1:12" ht="12" customHeight="1" x14ac:dyDescent="0.3">
      <c r="A303" s="2394" t="s">
        <v>1699</v>
      </c>
      <c r="B303" s="2395" t="s">
        <v>1700</v>
      </c>
      <c r="C303" s="2406">
        <v>0</v>
      </c>
      <c r="D303" s="2396"/>
      <c r="E303" s="2406">
        <v>0</v>
      </c>
      <c r="F303" s="2406">
        <v>0</v>
      </c>
      <c r="G303" s="2407">
        <v>0</v>
      </c>
      <c r="H303" s="2407">
        <v>0</v>
      </c>
      <c r="I303" s="2408"/>
      <c r="J303" s="2408"/>
      <c r="K303" s="2408"/>
      <c r="L303" s="2409"/>
    </row>
    <row r="304" spans="1:12" ht="12" customHeight="1" x14ac:dyDescent="0.3">
      <c r="A304" s="2394" t="s">
        <v>1701</v>
      </c>
      <c r="B304" s="2395" t="s">
        <v>1702</v>
      </c>
      <c r="C304" s="2406">
        <v>0</v>
      </c>
      <c r="D304" s="2396"/>
      <c r="E304" s="2406">
        <v>0</v>
      </c>
      <c r="F304" s="2406">
        <v>0</v>
      </c>
      <c r="G304" s="2407">
        <v>0</v>
      </c>
      <c r="H304" s="2407">
        <v>0</v>
      </c>
      <c r="I304" s="2408"/>
      <c r="J304" s="2408"/>
      <c r="K304" s="2408"/>
      <c r="L304" s="2409"/>
    </row>
    <row r="305" spans="1:12" ht="12" customHeight="1" x14ac:dyDescent="0.3">
      <c r="A305" s="2394" t="s">
        <v>1703</v>
      </c>
      <c r="B305" s="2395" t="s">
        <v>1704</v>
      </c>
      <c r="C305" s="2406">
        <v>0</v>
      </c>
      <c r="D305" s="2396"/>
      <c r="E305" s="2406">
        <v>0</v>
      </c>
      <c r="F305" s="2406">
        <v>0</v>
      </c>
      <c r="G305" s="2407">
        <v>0</v>
      </c>
      <c r="H305" s="2407">
        <v>0</v>
      </c>
      <c r="I305" s="2408"/>
      <c r="J305" s="2408"/>
      <c r="K305" s="2408"/>
      <c r="L305" s="2409"/>
    </row>
    <row r="306" spans="1:12" ht="12" customHeight="1" x14ac:dyDescent="0.3">
      <c r="A306" s="2394" t="s">
        <v>1705</v>
      </c>
      <c r="B306" s="2395" t="s">
        <v>1706</v>
      </c>
      <c r="C306" s="2406">
        <v>0</v>
      </c>
      <c r="D306" s="2396"/>
      <c r="E306" s="2406">
        <v>0</v>
      </c>
      <c r="F306" s="2406">
        <v>0</v>
      </c>
      <c r="G306" s="2407">
        <v>0</v>
      </c>
      <c r="H306" s="2407">
        <v>0</v>
      </c>
      <c r="I306" s="2408"/>
      <c r="J306" s="2408"/>
      <c r="K306" s="2408"/>
      <c r="L306" s="2409"/>
    </row>
    <row r="307" spans="1:12" ht="12" customHeight="1" x14ac:dyDescent="0.3">
      <c r="A307" s="2394" t="s">
        <v>1707</v>
      </c>
      <c r="B307" s="2395" t="s">
        <v>1708</v>
      </c>
      <c r="C307" s="2406">
        <v>0</v>
      </c>
      <c r="D307" s="2396"/>
      <c r="E307" s="2406">
        <v>0</v>
      </c>
      <c r="F307" s="2406">
        <v>0</v>
      </c>
      <c r="G307" s="2407">
        <v>0</v>
      </c>
      <c r="H307" s="2407">
        <v>0</v>
      </c>
      <c r="I307" s="2408"/>
      <c r="J307" s="2408"/>
      <c r="K307" s="2408"/>
      <c r="L307" s="2409"/>
    </row>
    <row r="308" spans="1:12" ht="12" customHeight="1" x14ac:dyDescent="0.3">
      <c r="A308" s="2394" t="s">
        <v>1709</v>
      </c>
      <c r="B308" s="2395" t="s">
        <v>1710</v>
      </c>
      <c r="C308" s="2406">
        <v>0</v>
      </c>
      <c r="D308" s="2396"/>
      <c r="E308" s="2406">
        <v>0</v>
      </c>
      <c r="F308" s="2406">
        <v>0</v>
      </c>
      <c r="G308" s="2407">
        <v>0</v>
      </c>
      <c r="H308" s="2407">
        <v>0</v>
      </c>
      <c r="I308" s="2408"/>
      <c r="J308" s="2408"/>
      <c r="K308" s="2408"/>
      <c r="L308" s="2409"/>
    </row>
    <row r="309" spans="1:12" ht="12" customHeight="1" x14ac:dyDescent="0.3">
      <c r="A309" s="2394" t="s">
        <v>1713</v>
      </c>
      <c r="B309" s="2395" t="s">
        <v>1714</v>
      </c>
      <c r="C309" s="2406">
        <v>0</v>
      </c>
      <c r="D309" s="2396"/>
      <c r="E309" s="2406">
        <v>0</v>
      </c>
      <c r="F309" s="2406">
        <v>0</v>
      </c>
      <c r="G309" s="2407">
        <v>0</v>
      </c>
      <c r="H309" s="2407">
        <v>0</v>
      </c>
      <c r="I309" s="2408"/>
      <c r="J309" s="2408"/>
      <c r="K309" s="2408"/>
      <c r="L309" s="2409"/>
    </row>
    <row r="310" spans="1:12" ht="12" customHeight="1" x14ac:dyDescent="0.3">
      <c r="A310" s="2394" t="s">
        <v>1715</v>
      </c>
      <c r="B310" s="2395" t="s">
        <v>1716</v>
      </c>
      <c r="C310" s="2406">
        <v>0</v>
      </c>
      <c r="D310" s="2396"/>
      <c r="E310" s="2406">
        <v>0</v>
      </c>
      <c r="F310" s="2406">
        <v>0</v>
      </c>
      <c r="G310" s="2407">
        <v>0</v>
      </c>
      <c r="H310" s="2407">
        <v>0</v>
      </c>
      <c r="I310" s="2408"/>
      <c r="J310" s="2408"/>
      <c r="K310" s="2408"/>
      <c r="L310" s="2409"/>
    </row>
    <row r="311" spans="1:12" ht="12" customHeight="1" x14ac:dyDescent="0.3">
      <c r="A311" s="2394" t="s">
        <v>1720</v>
      </c>
      <c r="B311" s="2395" t="s">
        <v>1721</v>
      </c>
      <c r="C311" s="2406">
        <v>0</v>
      </c>
      <c r="D311" s="2396"/>
      <c r="E311" s="2406">
        <v>0</v>
      </c>
      <c r="F311" s="2406">
        <v>0</v>
      </c>
      <c r="G311" s="2407">
        <v>0</v>
      </c>
      <c r="H311" s="2407">
        <v>0</v>
      </c>
      <c r="I311" s="2408"/>
      <c r="J311" s="2408"/>
      <c r="K311" s="2408"/>
      <c r="L311" s="2409"/>
    </row>
    <row r="312" spans="1:12" ht="12" customHeight="1" x14ac:dyDescent="0.3">
      <c r="A312" s="2394" t="s">
        <v>1725</v>
      </c>
      <c r="B312" s="2395" t="s">
        <v>1726</v>
      </c>
      <c r="C312" s="2406">
        <v>9899400</v>
      </c>
      <c r="D312" s="2396"/>
      <c r="E312" s="2406">
        <v>231500</v>
      </c>
      <c r="F312" s="2406">
        <v>0</v>
      </c>
      <c r="G312" s="2407">
        <v>231500</v>
      </c>
      <c r="H312" s="2407">
        <v>10130900</v>
      </c>
      <c r="I312" s="2408"/>
      <c r="J312" s="2408"/>
      <c r="K312" s="2408"/>
      <c r="L312" s="2409"/>
    </row>
    <row r="313" spans="1:12" ht="12" customHeight="1" x14ac:dyDescent="0.3">
      <c r="A313" s="2394" t="s">
        <v>1727</v>
      </c>
      <c r="B313" s="2395" t="s">
        <v>1728</v>
      </c>
      <c r="C313" s="2406">
        <v>0</v>
      </c>
      <c r="D313" s="2396"/>
      <c r="E313" s="2406">
        <v>0</v>
      </c>
      <c r="F313" s="2406">
        <v>0</v>
      </c>
      <c r="G313" s="2407">
        <v>0</v>
      </c>
      <c r="H313" s="2407">
        <v>0</v>
      </c>
      <c r="I313" s="2408"/>
      <c r="J313" s="2408"/>
      <c r="K313" s="2408"/>
      <c r="L313" s="2409"/>
    </row>
    <row r="314" spans="1:12" ht="12" customHeight="1" x14ac:dyDescent="0.3">
      <c r="A314" s="2394" t="s">
        <v>1729</v>
      </c>
      <c r="B314" s="2395" t="s">
        <v>1730</v>
      </c>
      <c r="C314" s="2406">
        <v>0</v>
      </c>
      <c r="D314" s="2396"/>
      <c r="E314" s="2406">
        <v>0</v>
      </c>
      <c r="F314" s="2406">
        <v>0</v>
      </c>
      <c r="G314" s="2407">
        <v>0</v>
      </c>
      <c r="H314" s="2407">
        <v>0</v>
      </c>
      <c r="I314" s="2408"/>
      <c r="J314" s="2408"/>
      <c r="K314" s="2408"/>
      <c r="L314" s="2409"/>
    </row>
    <row r="315" spans="1:12" ht="12" customHeight="1" x14ac:dyDescent="0.3">
      <c r="A315" s="2394" t="s">
        <v>1731</v>
      </c>
      <c r="B315" s="2395" t="s">
        <v>1732</v>
      </c>
      <c r="C315" s="2406">
        <v>0</v>
      </c>
      <c r="D315" s="2396"/>
      <c r="E315" s="2406">
        <v>0</v>
      </c>
      <c r="F315" s="2406">
        <v>0</v>
      </c>
      <c r="G315" s="2407">
        <v>0</v>
      </c>
      <c r="H315" s="2407">
        <v>0</v>
      </c>
      <c r="I315" s="2408"/>
      <c r="J315" s="2408"/>
      <c r="K315" s="2408"/>
      <c r="L315" s="2409"/>
    </row>
    <row r="316" spans="1:12" ht="12" customHeight="1" x14ac:dyDescent="0.3">
      <c r="A316" s="2394" t="s">
        <v>1733</v>
      </c>
      <c r="B316" s="2395" t="s">
        <v>1734</v>
      </c>
      <c r="C316" s="2406">
        <v>0</v>
      </c>
      <c r="D316" s="2396"/>
      <c r="E316" s="2406">
        <v>0</v>
      </c>
      <c r="F316" s="2406">
        <v>0</v>
      </c>
      <c r="G316" s="2407">
        <v>0</v>
      </c>
      <c r="H316" s="2407">
        <v>0</v>
      </c>
      <c r="I316" s="2408"/>
      <c r="J316" s="2408"/>
      <c r="K316" s="2408"/>
      <c r="L316" s="2409"/>
    </row>
    <row r="317" spans="1:12" ht="12" customHeight="1" x14ac:dyDescent="0.3">
      <c r="A317" s="2394" t="s">
        <v>1735</v>
      </c>
      <c r="B317" s="2395" t="s">
        <v>1736</v>
      </c>
      <c r="C317" s="2406">
        <v>0</v>
      </c>
      <c r="D317" s="2396"/>
      <c r="E317" s="2406">
        <v>0</v>
      </c>
      <c r="F317" s="2406">
        <v>0</v>
      </c>
      <c r="G317" s="2407">
        <v>0</v>
      </c>
      <c r="H317" s="2407">
        <v>0</v>
      </c>
      <c r="I317" s="2408"/>
      <c r="J317" s="2408"/>
      <c r="K317" s="2408"/>
      <c r="L317" s="2409"/>
    </row>
    <row r="318" spans="1:12" ht="12" customHeight="1" x14ac:dyDescent="0.3">
      <c r="A318" s="2394" t="s">
        <v>1737</v>
      </c>
      <c r="B318" s="2395" t="s">
        <v>1738</v>
      </c>
      <c r="C318" s="2406">
        <v>0</v>
      </c>
      <c r="D318" s="2396"/>
      <c r="E318" s="2406">
        <v>0</v>
      </c>
      <c r="F318" s="2406">
        <v>0</v>
      </c>
      <c r="G318" s="2407">
        <v>0</v>
      </c>
      <c r="H318" s="2407">
        <v>0</v>
      </c>
      <c r="I318" s="2408"/>
      <c r="J318" s="2408"/>
      <c r="K318" s="2408"/>
      <c r="L318" s="2409"/>
    </row>
    <row r="319" spans="1:12" ht="12" customHeight="1" x14ac:dyDescent="0.3">
      <c r="A319" s="2394" t="s">
        <v>1739</v>
      </c>
      <c r="B319" s="2395" t="s">
        <v>1740</v>
      </c>
      <c r="C319" s="2406">
        <v>0</v>
      </c>
      <c r="D319" s="2396"/>
      <c r="E319" s="2406">
        <v>0</v>
      </c>
      <c r="F319" s="2406">
        <v>0</v>
      </c>
      <c r="G319" s="2407">
        <v>0</v>
      </c>
      <c r="H319" s="2407">
        <v>0</v>
      </c>
      <c r="I319" s="2408"/>
      <c r="J319" s="2408"/>
      <c r="K319" s="2408"/>
      <c r="L319" s="2409"/>
    </row>
    <row r="320" spans="1:12" ht="12" customHeight="1" x14ac:dyDescent="0.3">
      <c r="A320" s="2394" t="s">
        <v>1744</v>
      </c>
      <c r="B320" s="2395" t="s">
        <v>1745</v>
      </c>
      <c r="C320" s="2406">
        <v>0</v>
      </c>
      <c r="D320" s="2396"/>
      <c r="E320" s="2406">
        <v>0</v>
      </c>
      <c r="F320" s="2406">
        <v>0</v>
      </c>
      <c r="G320" s="2407">
        <v>0</v>
      </c>
      <c r="H320" s="2407">
        <v>0</v>
      </c>
      <c r="I320" s="2408"/>
      <c r="J320" s="2408"/>
      <c r="K320" s="2408"/>
      <c r="L320" s="2409"/>
    </row>
    <row r="321" spans="1:12" ht="12" customHeight="1" x14ac:dyDescent="0.3">
      <c r="A321" s="2394" t="s">
        <v>1746</v>
      </c>
      <c r="B321" s="2395" t="s">
        <v>1747</v>
      </c>
      <c r="C321" s="2406">
        <v>0</v>
      </c>
      <c r="D321" s="2396"/>
      <c r="E321" s="2406">
        <v>0</v>
      </c>
      <c r="F321" s="2406">
        <v>0</v>
      </c>
      <c r="G321" s="2407">
        <v>0</v>
      </c>
      <c r="H321" s="2407">
        <v>0</v>
      </c>
      <c r="I321" s="2408"/>
      <c r="J321" s="2408"/>
      <c r="K321" s="2408"/>
      <c r="L321" s="2409"/>
    </row>
    <row r="322" spans="1:12" ht="12" customHeight="1" x14ac:dyDescent="0.3">
      <c r="A322" s="2394" t="s">
        <v>1748</v>
      </c>
      <c r="B322" s="2395" t="s">
        <v>1749</v>
      </c>
      <c r="C322" s="2406">
        <v>0</v>
      </c>
      <c r="D322" s="2396"/>
      <c r="E322" s="2406">
        <v>0</v>
      </c>
      <c r="F322" s="2406">
        <v>0</v>
      </c>
      <c r="G322" s="2407">
        <v>0</v>
      </c>
      <c r="H322" s="2407">
        <v>0</v>
      </c>
      <c r="I322" s="2408"/>
      <c r="J322" s="2408"/>
      <c r="K322" s="2408"/>
      <c r="L322" s="2409"/>
    </row>
    <row r="323" spans="1:12" ht="12" customHeight="1" x14ac:dyDescent="0.3">
      <c r="A323" s="2394" t="s">
        <v>1750</v>
      </c>
      <c r="B323" s="2395" t="s">
        <v>1751</v>
      </c>
      <c r="C323" s="2406">
        <v>0</v>
      </c>
      <c r="D323" s="2396"/>
      <c r="E323" s="2406">
        <v>0</v>
      </c>
      <c r="F323" s="2406">
        <v>0</v>
      </c>
      <c r="G323" s="2407">
        <v>0</v>
      </c>
      <c r="H323" s="2407">
        <v>0</v>
      </c>
      <c r="I323" s="2408"/>
      <c r="J323" s="2408"/>
      <c r="K323" s="2408"/>
      <c r="L323" s="2409"/>
    </row>
    <row r="324" spans="1:12" ht="12" customHeight="1" x14ac:dyDescent="0.3">
      <c r="A324" s="2394" t="s">
        <v>1752</v>
      </c>
      <c r="B324" s="2395" t="s">
        <v>1753</v>
      </c>
      <c r="C324" s="2406">
        <v>0</v>
      </c>
      <c r="D324" s="2396"/>
      <c r="E324" s="2406">
        <v>0</v>
      </c>
      <c r="F324" s="2406">
        <v>0</v>
      </c>
      <c r="G324" s="2407">
        <v>0</v>
      </c>
      <c r="H324" s="2407">
        <v>0</v>
      </c>
      <c r="I324" s="2408"/>
      <c r="J324" s="2408"/>
      <c r="K324" s="2408"/>
      <c r="L324" s="2409"/>
    </row>
    <row r="325" spans="1:12" ht="12" customHeight="1" x14ac:dyDescent="0.3">
      <c r="A325" s="2394" t="s">
        <v>1757</v>
      </c>
      <c r="B325" s="2395" t="s">
        <v>771</v>
      </c>
      <c r="C325" s="2406">
        <v>0</v>
      </c>
      <c r="D325" s="2396"/>
      <c r="E325" s="2406">
        <v>0</v>
      </c>
      <c r="F325" s="2406">
        <v>0</v>
      </c>
      <c r="G325" s="2407">
        <v>0</v>
      </c>
      <c r="H325" s="2407">
        <v>0</v>
      </c>
      <c r="I325" s="2408"/>
      <c r="J325" s="2408"/>
      <c r="K325" s="2408"/>
      <c r="L325" s="2409"/>
    </row>
    <row r="326" spans="1:12" ht="12" customHeight="1" x14ac:dyDescent="0.3">
      <c r="A326" s="2394" t="s">
        <v>1758</v>
      </c>
      <c r="B326" s="2395" t="s">
        <v>1759</v>
      </c>
      <c r="C326" s="2406">
        <v>0</v>
      </c>
      <c r="D326" s="2396"/>
      <c r="E326" s="2406">
        <v>0</v>
      </c>
      <c r="F326" s="2406">
        <v>0</v>
      </c>
      <c r="G326" s="2407">
        <v>0</v>
      </c>
      <c r="H326" s="2407">
        <v>0</v>
      </c>
      <c r="I326" s="2408"/>
      <c r="J326" s="2408"/>
      <c r="K326" s="2408"/>
      <c r="L326" s="2409"/>
    </row>
    <row r="327" spans="1:12" ht="12" customHeight="1" x14ac:dyDescent="0.3">
      <c r="A327" s="2394" t="s">
        <v>1760</v>
      </c>
      <c r="B327" s="2395" t="s">
        <v>1761</v>
      </c>
      <c r="C327" s="2406">
        <v>0</v>
      </c>
      <c r="D327" s="2396"/>
      <c r="E327" s="2406">
        <v>0</v>
      </c>
      <c r="F327" s="2406">
        <v>0</v>
      </c>
      <c r="G327" s="2407">
        <v>0</v>
      </c>
      <c r="H327" s="2407">
        <v>0</v>
      </c>
      <c r="I327" s="2408"/>
      <c r="J327" s="2408"/>
      <c r="K327" s="2408"/>
      <c r="L327" s="2409"/>
    </row>
    <row r="328" spans="1:12" ht="12" customHeight="1" x14ac:dyDescent="0.3">
      <c r="A328" s="2394" t="s">
        <v>1765</v>
      </c>
      <c r="B328" s="2395" t="s">
        <v>1766</v>
      </c>
      <c r="C328" s="2406">
        <v>0</v>
      </c>
      <c r="D328" s="2396"/>
      <c r="E328" s="2406">
        <v>0</v>
      </c>
      <c r="F328" s="2406">
        <v>0</v>
      </c>
      <c r="G328" s="2407">
        <v>0</v>
      </c>
      <c r="H328" s="2407">
        <v>0</v>
      </c>
      <c r="I328" s="2408"/>
      <c r="J328" s="2408"/>
      <c r="K328" s="2408"/>
      <c r="L328" s="2409"/>
    </row>
    <row r="329" spans="1:12" ht="12" customHeight="1" x14ac:dyDescent="0.3">
      <c r="A329" s="2394" t="s">
        <v>1767</v>
      </c>
      <c r="B329" s="2395" t="s">
        <v>1768</v>
      </c>
      <c r="C329" s="2406" t="s">
        <v>8149</v>
      </c>
      <c r="D329" s="2396"/>
      <c r="E329" s="2406">
        <v>0</v>
      </c>
      <c r="F329" s="2406">
        <v>0</v>
      </c>
      <c r="G329" s="2407">
        <v>0</v>
      </c>
      <c r="H329" s="2407" t="s">
        <v>8149</v>
      </c>
      <c r="I329" s="2408"/>
      <c r="J329" s="2408"/>
      <c r="K329" s="2408"/>
      <c r="L329" s="2409"/>
    </row>
    <row r="330" spans="1:12" ht="12" customHeight="1" x14ac:dyDescent="0.3">
      <c r="A330" s="2394" t="s">
        <v>1769</v>
      </c>
      <c r="B330" s="2395" t="s">
        <v>1770</v>
      </c>
      <c r="C330" s="2406" t="s">
        <v>8150</v>
      </c>
      <c r="D330" s="2396"/>
      <c r="E330" s="2406">
        <v>0</v>
      </c>
      <c r="F330" s="2406">
        <v>0</v>
      </c>
      <c r="G330" s="2407">
        <v>0</v>
      </c>
      <c r="H330" s="2407" t="s">
        <v>8150</v>
      </c>
      <c r="I330" s="2408"/>
      <c r="J330" s="2408"/>
      <c r="K330" s="2408"/>
      <c r="L330" s="2409"/>
    </row>
    <row r="331" spans="1:12" ht="12" customHeight="1" x14ac:dyDescent="0.3">
      <c r="A331" s="2394" t="s">
        <v>1771</v>
      </c>
      <c r="B331" s="2395" t="s">
        <v>1772</v>
      </c>
      <c r="C331" s="2406">
        <v>0</v>
      </c>
      <c r="D331" s="2396"/>
      <c r="E331" s="2406">
        <v>0</v>
      </c>
      <c r="F331" s="2406">
        <v>0</v>
      </c>
      <c r="G331" s="2407">
        <v>0</v>
      </c>
      <c r="H331" s="2407">
        <v>0</v>
      </c>
      <c r="I331" s="2408"/>
      <c r="J331" s="2408"/>
      <c r="K331" s="2408"/>
      <c r="L331" s="2409"/>
    </row>
    <row r="332" spans="1:12" ht="12" customHeight="1" x14ac:dyDescent="0.3">
      <c r="A332" s="2394" t="s">
        <v>1773</v>
      </c>
      <c r="B332" s="2395" t="s">
        <v>1774</v>
      </c>
      <c r="C332" s="2406">
        <v>0</v>
      </c>
      <c r="D332" s="2396"/>
      <c r="E332" s="2406">
        <v>0</v>
      </c>
      <c r="F332" s="2406">
        <v>0</v>
      </c>
      <c r="G332" s="2407">
        <v>0</v>
      </c>
      <c r="H332" s="2407">
        <v>0</v>
      </c>
      <c r="I332" s="2408"/>
      <c r="J332" s="2408"/>
      <c r="K332" s="2408"/>
      <c r="L332" s="2409"/>
    </row>
    <row r="333" spans="1:12" ht="12" customHeight="1" x14ac:dyDescent="0.3">
      <c r="A333" s="2394" t="s">
        <v>801</v>
      </c>
      <c r="B333" s="2395" t="s">
        <v>1775</v>
      </c>
      <c r="C333" s="2406">
        <v>0</v>
      </c>
      <c r="D333" s="2396"/>
      <c r="E333" s="2406">
        <v>0</v>
      </c>
      <c r="F333" s="2406">
        <v>0</v>
      </c>
      <c r="G333" s="2407">
        <v>0</v>
      </c>
      <c r="H333" s="2407">
        <v>0</v>
      </c>
      <c r="I333" s="2408"/>
      <c r="J333" s="2408"/>
      <c r="K333" s="2408"/>
      <c r="L333" s="2409"/>
    </row>
    <row r="334" spans="1:12" ht="12" customHeight="1" x14ac:dyDescent="0.3">
      <c r="A334" s="2394" t="s">
        <v>1776</v>
      </c>
      <c r="B334" s="2395" t="s">
        <v>1777</v>
      </c>
      <c r="C334" s="2406">
        <v>0</v>
      </c>
      <c r="D334" s="2396"/>
      <c r="E334" s="2406">
        <v>0</v>
      </c>
      <c r="F334" s="2406">
        <v>0</v>
      </c>
      <c r="G334" s="2407">
        <v>0</v>
      </c>
      <c r="H334" s="2407">
        <v>0</v>
      </c>
      <c r="I334" s="2408"/>
      <c r="J334" s="2408"/>
      <c r="K334" s="2408"/>
      <c r="L334" s="2409"/>
    </row>
    <row r="335" spans="1:12" ht="12" customHeight="1" x14ac:dyDescent="0.3">
      <c r="A335" s="2394" t="s">
        <v>825</v>
      </c>
      <c r="B335" s="2395" t="s">
        <v>1778</v>
      </c>
      <c r="C335" s="2406">
        <v>0</v>
      </c>
      <c r="D335" s="2396"/>
      <c r="E335" s="2406">
        <v>0</v>
      </c>
      <c r="F335" s="2406">
        <v>104048233</v>
      </c>
      <c r="G335" s="2407" t="s">
        <v>8519</v>
      </c>
      <c r="H335" s="2407" t="s">
        <v>8519</v>
      </c>
      <c r="I335" s="2408"/>
      <c r="J335" s="2408"/>
      <c r="K335" s="2408"/>
      <c r="L335" s="2409"/>
    </row>
    <row r="336" spans="1:12" ht="12" customHeight="1" x14ac:dyDescent="0.3">
      <c r="A336" s="2394" t="s">
        <v>829</v>
      </c>
      <c r="B336" s="2395" t="s">
        <v>1779</v>
      </c>
      <c r="C336" s="2406">
        <v>0</v>
      </c>
      <c r="D336" s="2396"/>
      <c r="E336" s="2406">
        <v>0</v>
      </c>
      <c r="F336" s="2406">
        <v>0</v>
      </c>
      <c r="G336" s="2407">
        <v>0</v>
      </c>
      <c r="H336" s="2407">
        <v>0</v>
      </c>
      <c r="I336" s="2408"/>
      <c r="J336" s="2408"/>
      <c r="K336" s="2408"/>
      <c r="L336" s="2409"/>
    </row>
    <row r="337" spans="1:12" ht="12" customHeight="1" x14ac:dyDescent="0.3">
      <c r="A337" s="2394" t="s">
        <v>833</v>
      </c>
      <c r="B337" s="2395" t="s">
        <v>1780</v>
      </c>
      <c r="C337" s="2406">
        <v>0</v>
      </c>
      <c r="D337" s="2396"/>
      <c r="E337" s="2406">
        <v>0</v>
      </c>
      <c r="F337" s="2406">
        <v>0</v>
      </c>
      <c r="G337" s="2407">
        <v>0</v>
      </c>
      <c r="H337" s="2407">
        <v>0</v>
      </c>
      <c r="I337" s="2408"/>
      <c r="J337" s="2408"/>
      <c r="K337" s="2408"/>
      <c r="L337" s="2409"/>
    </row>
    <row r="338" spans="1:12" ht="12" customHeight="1" x14ac:dyDescent="0.3">
      <c r="A338" s="2394" t="s">
        <v>837</v>
      </c>
      <c r="B338" s="2395" t="s">
        <v>1781</v>
      </c>
      <c r="C338" s="2406">
        <v>0</v>
      </c>
      <c r="D338" s="2396"/>
      <c r="E338" s="2406">
        <v>0</v>
      </c>
      <c r="F338" s="2406">
        <v>0</v>
      </c>
      <c r="G338" s="2407">
        <v>0</v>
      </c>
      <c r="H338" s="2407">
        <v>0</v>
      </c>
      <c r="I338" s="2408"/>
      <c r="J338" s="2408"/>
      <c r="K338" s="2408"/>
      <c r="L338" s="2409"/>
    </row>
    <row r="339" spans="1:12" ht="12" customHeight="1" x14ac:dyDescent="0.3">
      <c r="A339" s="2394" t="s">
        <v>839</v>
      </c>
      <c r="B339" s="2395" t="s">
        <v>1782</v>
      </c>
      <c r="C339" s="2406">
        <v>0</v>
      </c>
      <c r="D339" s="2396"/>
      <c r="E339" s="2406">
        <v>0</v>
      </c>
      <c r="F339" s="2406">
        <v>0</v>
      </c>
      <c r="G339" s="2407">
        <v>0</v>
      </c>
      <c r="H339" s="2407">
        <v>0</v>
      </c>
      <c r="I339" s="2408"/>
      <c r="J339" s="2408"/>
      <c r="K339" s="2408"/>
      <c r="L339" s="2409"/>
    </row>
    <row r="340" spans="1:12" ht="12" customHeight="1" x14ac:dyDescent="0.3">
      <c r="A340" s="2394" t="s">
        <v>840</v>
      </c>
      <c r="B340" s="2395" t="s">
        <v>1783</v>
      </c>
      <c r="C340" s="2406">
        <v>0</v>
      </c>
      <c r="D340" s="2396"/>
      <c r="E340" s="2406">
        <v>0</v>
      </c>
      <c r="F340" s="2406">
        <v>0</v>
      </c>
      <c r="G340" s="2407">
        <v>0</v>
      </c>
      <c r="H340" s="2407">
        <v>0</v>
      </c>
      <c r="I340" s="2408"/>
      <c r="J340" s="2408"/>
      <c r="K340" s="2408"/>
      <c r="L340" s="2409"/>
    </row>
    <row r="341" spans="1:12" ht="12" customHeight="1" x14ac:dyDescent="0.3">
      <c r="A341" s="2394" t="s">
        <v>841</v>
      </c>
      <c r="B341" s="2395" t="s">
        <v>1784</v>
      </c>
      <c r="C341" s="2406">
        <v>0</v>
      </c>
      <c r="D341" s="2396"/>
      <c r="E341" s="2406">
        <v>0</v>
      </c>
      <c r="F341" s="2406">
        <v>0</v>
      </c>
      <c r="G341" s="2407">
        <v>0</v>
      </c>
      <c r="H341" s="2407">
        <v>0</v>
      </c>
      <c r="I341" s="2408"/>
      <c r="J341" s="2408"/>
      <c r="K341" s="2408"/>
      <c r="L341" s="2409"/>
    </row>
    <row r="342" spans="1:12" ht="12" customHeight="1" x14ac:dyDescent="0.3">
      <c r="A342" s="2394" t="s">
        <v>1785</v>
      </c>
      <c r="B342" s="2395" t="s">
        <v>1786</v>
      </c>
      <c r="C342" s="2406">
        <v>0</v>
      </c>
      <c r="D342" s="2396"/>
      <c r="E342" s="2406">
        <v>0</v>
      </c>
      <c r="F342" s="2406">
        <v>0</v>
      </c>
      <c r="G342" s="2407">
        <v>0</v>
      </c>
      <c r="H342" s="2407">
        <v>0</v>
      </c>
      <c r="I342" s="2408"/>
      <c r="J342" s="2408"/>
      <c r="K342" s="2408"/>
      <c r="L342" s="2409"/>
    </row>
    <row r="343" spans="1:12" ht="12" customHeight="1" x14ac:dyDescent="0.3">
      <c r="A343" s="2394" t="s">
        <v>1787</v>
      </c>
      <c r="B343" s="2395" t="s">
        <v>1788</v>
      </c>
      <c r="C343" s="2406">
        <v>0</v>
      </c>
      <c r="D343" s="2396"/>
      <c r="E343" s="2406">
        <v>0</v>
      </c>
      <c r="F343" s="2406">
        <v>0</v>
      </c>
      <c r="G343" s="2407">
        <v>0</v>
      </c>
      <c r="H343" s="2407">
        <v>0</v>
      </c>
      <c r="I343" s="2408"/>
      <c r="J343" s="2408"/>
      <c r="K343" s="2408"/>
      <c r="L343" s="2409"/>
    </row>
    <row r="344" spans="1:12" ht="12" customHeight="1" x14ac:dyDescent="0.3">
      <c r="A344" s="2394" t="s">
        <v>1789</v>
      </c>
      <c r="B344" s="2395" t="s">
        <v>1790</v>
      </c>
      <c r="C344" s="2406">
        <v>0</v>
      </c>
      <c r="D344" s="2396"/>
      <c r="E344" s="2406">
        <v>0</v>
      </c>
      <c r="F344" s="2406">
        <v>0</v>
      </c>
      <c r="G344" s="2407">
        <v>0</v>
      </c>
      <c r="H344" s="2407">
        <v>0</v>
      </c>
      <c r="I344" s="2408"/>
      <c r="J344" s="2408"/>
      <c r="K344" s="2408"/>
      <c r="L344" s="2409"/>
    </row>
    <row r="345" spans="1:12" ht="12" customHeight="1" x14ac:dyDescent="0.3">
      <c r="A345" s="2394" t="s">
        <v>1791</v>
      </c>
      <c r="B345" s="2395" t="s">
        <v>1792</v>
      </c>
      <c r="C345" s="2406">
        <v>0</v>
      </c>
      <c r="D345" s="2396"/>
      <c r="E345" s="2406">
        <v>0</v>
      </c>
      <c r="F345" s="2406">
        <v>0</v>
      </c>
      <c r="G345" s="2407">
        <v>0</v>
      </c>
      <c r="H345" s="2407">
        <v>0</v>
      </c>
      <c r="I345" s="2408"/>
      <c r="J345" s="2408"/>
      <c r="K345" s="2408"/>
      <c r="L345" s="2409"/>
    </row>
    <row r="346" spans="1:12" ht="12" customHeight="1" x14ac:dyDescent="0.3">
      <c r="A346" s="2394" t="s">
        <v>1793</v>
      </c>
      <c r="B346" s="2395" t="s">
        <v>1794</v>
      </c>
      <c r="C346" s="2406">
        <v>0</v>
      </c>
      <c r="D346" s="2396"/>
      <c r="E346" s="2406">
        <v>0</v>
      </c>
      <c r="F346" s="2406">
        <v>0</v>
      </c>
      <c r="G346" s="2407">
        <v>0</v>
      </c>
      <c r="H346" s="2407">
        <v>0</v>
      </c>
      <c r="I346" s="2408"/>
      <c r="J346" s="2408"/>
      <c r="K346" s="2408"/>
      <c r="L346" s="2409"/>
    </row>
    <row r="347" spans="1:12" ht="12" customHeight="1" x14ac:dyDescent="0.3">
      <c r="A347" s="2394" t="s">
        <v>1795</v>
      </c>
      <c r="B347" s="2395" t="s">
        <v>1796</v>
      </c>
      <c r="C347" s="2406">
        <v>0</v>
      </c>
      <c r="D347" s="2396"/>
      <c r="E347" s="2406">
        <v>0</v>
      </c>
      <c r="F347" s="2406">
        <v>0</v>
      </c>
      <c r="G347" s="2407">
        <v>0</v>
      </c>
      <c r="H347" s="2407">
        <v>0</v>
      </c>
      <c r="I347" s="2408"/>
      <c r="J347" s="2408"/>
      <c r="K347" s="2408"/>
      <c r="L347" s="2409"/>
    </row>
    <row r="348" spans="1:12" ht="12" customHeight="1" x14ac:dyDescent="0.3">
      <c r="A348" s="2394" t="s">
        <v>1797</v>
      </c>
      <c r="B348" s="2395" t="s">
        <v>1798</v>
      </c>
      <c r="C348" s="2406">
        <v>0</v>
      </c>
      <c r="D348" s="2396"/>
      <c r="E348" s="2406">
        <v>0</v>
      </c>
      <c r="F348" s="2406">
        <v>0</v>
      </c>
      <c r="G348" s="2407">
        <v>0</v>
      </c>
      <c r="H348" s="2407">
        <v>0</v>
      </c>
      <c r="I348" s="2408"/>
      <c r="J348" s="2408"/>
      <c r="K348" s="2408"/>
      <c r="L348" s="2409"/>
    </row>
    <row r="349" spans="1:12" ht="12" customHeight="1" x14ac:dyDescent="0.3">
      <c r="A349" s="2394" t="s">
        <v>1799</v>
      </c>
      <c r="B349" s="2395" t="s">
        <v>1800</v>
      </c>
      <c r="C349" s="2406">
        <v>0</v>
      </c>
      <c r="D349" s="2396"/>
      <c r="E349" s="2406">
        <v>0</v>
      </c>
      <c r="F349" s="2406">
        <v>0</v>
      </c>
      <c r="G349" s="2407">
        <v>0</v>
      </c>
      <c r="H349" s="2407">
        <v>0</v>
      </c>
      <c r="I349" s="2408"/>
      <c r="J349" s="2408"/>
      <c r="K349" s="2408"/>
      <c r="L349" s="2409"/>
    </row>
    <row r="350" spans="1:12" ht="12" customHeight="1" x14ac:dyDescent="0.3">
      <c r="A350" s="2394" t="s">
        <v>1801</v>
      </c>
      <c r="B350" s="2395" t="s">
        <v>1802</v>
      </c>
      <c r="C350" s="2406">
        <v>0</v>
      </c>
      <c r="D350" s="2396"/>
      <c r="E350" s="2406">
        <v>0</v>
      </c>
      <c r="F350" s="2406">
        <v>0</v>
      </c>
      <c r="G350" s="2407">
        <v>0</v>
      </c>
      <c r="H350" s="2407">
        <v>0</v>
      </c>
      <c r="I350" s="2408"/>
      <c r="J350" s="2408"/>
      <c r="K350" s="2408"/>
      <c r="L350" s="2409"/>
    </row>
    <row r="351" spans="1:12" ht="12" customHeight="1" x14ac:dyDescent="0.3">
      <c r="A351" s="2394" t="s">
        <v>1803</v>
      </c>
      <c r="B351" s="2395" t="s">
        <v>1804</v>
      </c>
      <c r="C351" s="2406">
        <v>0</v>
      </c>
      <c r="D351" s="2396"/>
      <c r="E351" s="2406">
        <v>0</v>
      </c>
      <c r="F351" s="2406">
        <v>0</v>
      </c>
      <c r="G351" s="2407">
        <v>0</v>
      </c>
      <c r="H351" s="2407">
        <v>0</v>
      </c>
      <c r="I351" s="2408"/>
      <c r="J351" s="2408"/>
      <c r="K351" s="2408"/>
      <c r="L351" s="2409"/>
    </row>
    <row r="352" spans="1:12" ht="12" customHeight="1" x14ac:dyDescent="0.3">
      <c r="A352" s="2394" t="s">
        <v>1805</v>
      </c>
      <c r="B352" s="2395" t="s">
        <v>1806</v>
      </c>
      <c r="C352" s="2406">
        <v>0</v>
      </c>
      <c r="D352" s="2396"/>
      <c r="E352" s="2406">
        <v>0</v>
      </c>
      <c r="F352" s="2406">
        <v>0</v>
      </c>
      <c r="G352" s="2407">
        <v>0</v>
      </c>
      <c r="H352" s="2407">
        <v>0</v>
      </c>
      <c r="I352" s="2408"/>
      <c r="J352" s="2408"/>
      <c r="K352" s="2408"/>
      <c r="L352" s="2409"/>
    </row>
    <row r="353" spans="1:12" ht="12" customHeight="1" x14ac:dyDescent="0.3">
      <c r="A353" s="2394" t="s">
        <v>1807</v>
      </c>
      <c r="B353" s="2395" t="s">
        <v>1808</v>
      </c>
      <c r="C353" s="2406">
        <v>0</v>
      </c>
      <c r="D353" s="2396"/>
      <c r="E353" s="2406">
        <v>0</v>
      </c>
      <c r="F353" s="2406">
        <v>0</v>
      </c>
      <c r="G353" s="2407">
        <v>0</v>
      </c>
      <c r="H353" s="2407">
        <v>0</v>
      </c>
      <c r="I353" s="2408"/>
      <c r="J353" s="2408"/>
      <c r="K353" s="2408"/>
      <c r="L353" s="2409"/>
    </row>
    <row r="354" spans="1:12" ht="12" customHeight="1" x14ac:dyDescent="0.3">
      <c r="A354" s="2394" t="s">
        <v>1809</v>
      </c>
      <c r="B354" s="2395" t="s">
        <v>1810</v>
      </c>
      <c r="C354" s="2406">
        <v>0</v>
      </c>
      <c r="D354" s="2396"/>
      <c r="E354" s="2406">
        <v>0</v>
      </c>
      <c r="F354" s="2406">
        <v>0</v>
      </c>
      <c r="G354" s="2407">
        <v>0</v>
      </c>
      <c r="H354" s="2407">
        <v>0</v>
      </c>
      <c r="I354" s="2408"/>
      <c r="J354" s="2408"/>
      <c r="K354" s="2408"/>
      <c r="L354" s="2409"/>
    </row>
    <row r="355" spans="1:12" ht="12" customHeight="1" x14ac:dyDescent="0.3">
      <c r="A355" s="2394" t="s">
        <v>1811</v>
      </c>
      <c r="B355" s="2395" t="s">
        <v>1812</v>
      </c>
      <c r="C355" s="2406">
        <v>0</v>
      </c>
      <c r="D355" s="2396"/>
      <c r="E355" s="2406">
        <v>0</v>
      </c>
      <c r="F355" s="2406">
        <v>0</v>
      </c>
      <c r="G355" s="2407">
        <v>0</v>
      </c>
      <c r="H355" s="2407">
        <v>0</v>
      </c>
      <c r="I355" s="2408"/>
      <c r="J355" s="2408"/>
      <c r="K355" s="2408"/>
      <c r="L355" s="2409"/>
    </row>
    <row r="356" spans="1:12" ht="12" customHeight="1" x14ac:dyDescent="0.3">
      <c r="A356" s="2394" t="s">
        <v>1813</v>
      </c>
      <c r="B356" s="2395" t="s">
        <v>1814</v>
      </c>
      <c r="C356" s="2406">
        <v>0</v>
      </c>
      <c r="D356" s="2396"/>
      <c r="E356" s="2406">
        <v>0</v>
      </c>
      <c r="F356" s="2406">
        <v>0</v>
      </c>
      <c r="G356" s="2407">
        <v>0</v>
      </c>
      <c r="H356" s="2407">
        <v>0</v>
      </c>
      <c r="I356" s="2408"/>
      <c r="J356" s="2408"/>
      <c r="K356" s="2408"/>
      <c r="L356" s="2409"/>
    </row>
    <row r="357" spans="1:12" ht="12" customHeight="1" x14ac:dyDescent="0.3">
      <c r="A357" s="2394" t="s">
        <v>1815</v>
      </c>
      <c r="B357" s="2395" t="s">
        <v>1816</v>
      </c>
      <c r="C357" s="2406">
        <v>0</v>
      </c>
      <c r="D357" s="2396"/>
      <c r="E357" s="2406">
        <v>0</v>
      </c>
      <c r="F357" s="2406">
        <v>0</v>
      </c>
      <c r="G357" s="2407">
        <v>0</v>
      </c>
      <c r="H357" s="2407">
        <v>0</v>
      </c>
      <c r="I357" s="2408"/>
      <c r="J357" s="2408"/>
      <c r="K357" s="2408"/>
      <c r="L357" s="2409"/>
    </row>
    <row r="358" spans="1:12" ht="12" customHeight="1" x14ac:dyDescent="0.3">
      <c r="A358" s="2394" t="s">
        <v>1817</v>
      </c>
      <c r="B358" s="2395" t="s">
        <v>1818</v>
      </c>
      <c r="C358" s="2406">
        <v>0</v>
      </c>
      <c r="D358" s="2396"/>
      <c r="E358" s="2406">
        <v>0</v>
      </c>
      <c r="F358" s="2406">
        <v>0</v>
      </c>
      <c r="G358" s="2407">
        <v>0</v>
      </c>
      <c r="H358" s="2407">
        <v>0</v>
      </c>
      <c r="I358" s="2408"/>
      <c r="J358" s="2408"/>
      <c r="K358" s="2408"/>
      <c r="L358" s="2409"/>
    </row>
    <row r="359" spans="1:12" ht="12" customHeight="1" x14ac:dyDescent="0.3">
      <c r="A359" s="2394" t="s">
        <v>1819</v>
      </c>
      <c r="B359" s="2395" t="s">
        <v>1820</v>
      </c>
      <c r="C359" s="2406">
        <v>0</v>
      </c>
      <c r="D359" s="2396"/>
      <c r="E359" s="2406">
        <v>0</v>
      </c>
      <c r="F359" s="2406">
        <v>0</v>
      </c>
      <c r="G359" s="2407">
        <v>0</v>
      </c>
      <c r="H359" s="2407">
        <v>0</v>
      </c>
      <c r="I359" s="2408"/>
      <c r="J359" s="2408"/>
      <c r="K359" s="2408"/>
      <c r="L359" s="2409"/>
    </row>
    <row r="360" spans="1:12" ht="12" customHeight="1" x14ac:dyDescent="0.3">
      <c r="A360" s="2394" t="s">
        <v>1821</v>
      </c>
      <c r="B360" s="2395" t="s">
        <v>1822</v>
      </c>
      <c r="C360" s="2406">
        <v>0</v>
      </c>
      <c r="D360" s="2396"/>
      <c r="E360" s="2406">
        <v>0</v>
      </c>
      <c r="F360" s="2406">
        <v>0</v>
      </c>
      <c r="G360" s="2407">
        <v>0</v>
      </c>
      <c r="H360" s="2407">
        <v>0</v>
      </c>
      <c r="I360" s="2408"/>
      <c r="J360" s="2408"/>
      <c r="K360" s="2408"/>
      <c r="L360" s="2409"/>
    </row>
    <row r="361" spans="1:12" ht="12" customHeight="1" x14ac:dyDescent="0.3">
      <c r="A361" s="2394" t="s">
        <v>1823</v>
      </c>
      <c r="B361" s="2395" t="s">
        <v>1824</v>
      </c>
      <c r="C361" s="2406">
        <v>0</v>
      </c>
      <c r="D361" s="2396"/>
      <c r="E361" s="2406">
        <v>0</v>
      </c>
      <c r="F361" s="2406">
        <v>0</v>
      </c>
      <c r="G361" s="2407">
        <v>0</v>
      </c>
      <c r="H361" s="2407">
        <v>0</v>
      </c>
      <c r="I361" s="2408"/>
      <c r="J361" s="2408"/>
      <c r="K361" s="2408"/>
      <c r="L361" s="2409"/>
    </row>
    <row r="362" spans="1:12" ht="12" customHeight="1" x14ac:dyDescent="0.3">
      <c r="A362" s="2394" t="s">
        <v>1825</v>
      </c>
      <c r="B362" s="2395" t="s">
        <v>1826</v>
      </c>
      <c r="C362" s="2406">
        <v>0</v>
      </c>
      <c r="D362" s="2396"/>
      <c r="E362" s="2406">
        <v>0</v>
      </c>
      <c r="F362" s="2406">
        <v>0</v>
      </c>
      <c r="G362" s="2407">
        <v>0</v>
      </c>
      <c r="H362" s="2407">
        <v>0</v>
      </c>
      <c r="I362" s="2408"/>
      <c r="J362" s="2408"/>
      <c r="K362" s="2408"/>
      <c r="L362" s="2409"/>
    </row>
    <row r="363" spans="1:12" ht="12" customHeight="1" x14ac:dyDescent="0.3">
      <c r="A363" s="2394" t="s">
        <v>1827</v>
      </c>
      <c r="B363" s="2395" t="s">
        <v>1828</v>
      </c>
      <c r="C363" s="2406">
        <v>0</v>
      </c>
      <c r="D363" s="2396"/>
      <c r="E363" s="2406">
        <v>0</v>
      </c>
      <c r="F363" s="2406">
        <v>0</v>
      </c>
      <c r="G363" s="2407">
        <v>0</v>
      </c>
      <c r="H363" s="2407">
        <v>0</v>
      </c>
      <c r="I363" s="2408"/>
      <c r="J363" s="2408"/>
      <c r="K363" s="2408"/>
      <c r="L363" s="2409"/>
    </row>
    <row r="364" spans="1:12" ht="12" customHeight="1" x14ac:dyDescent="0.3">
      <c r="A364" s="2394" t="s">
        <v>1829</v>
      </c>
      <c r="B364" s="2395" t="s">
        <v>1830</v>
      </c>
      <c r="C364" s="2406">
        <v>0</v>
      </c>
      <c r="D364" s="2396"/>
      <c r="E364" s="2406">
        <v>0</v>
      </c>
      <c r="F364" s="2406">
        <v>0</v>
      </c>
      <c r="G364" s="2407">
        <v>0</v>
      </c>
      <c r="H364" s="2407">
        <v>0</v>
      </c>
      <c r="I364" s="2408"/>
      <c r="J364" s="2408"/>
      <c r="K364" s="2408"/>
      <c r="L364" s="2409"/>
    </row>
    <row r="365" spans="1:12" ht="12" customHeight="1" x14ac:dyDescent="0.3">
      <c r="A365" s="2394" t="s">
        <v>1832</v>
      </c>
      <c r="B365" s="2395" t="s">
        <v>1833</v>
      </c>
      <c r="C365" s="2406">
        <v>0</v>
      </c>
      <c r="D365" s="2396"/>
      <c r="E365" s="2406">
        <v>0</v>
      </c>
      <c r="F365" s="2406">
        <v>0</v>
      </c>
      <c r="G365" s="2407">
        <v>0</v>
      </c>
      <c r="H365" s="2407">
        <v>0</v>
      </c>
      <c r="I365" s="2408"/>
      <c r="J365" s="2408"/>
      <c r="K365" s="2408"/>
      <c r="L365" s="2409"/>
    </row>
    <row r="366" spans="1:12" ht="12" customHeight="1" x14ac:dyDescent="0.3">
      <c r="A366" s="2394" t="s">
        <v>1124</v>
      </c>
      <c r="B366" s="2395" t="s">
        <v>1061</v>
      </c>
      <c r="C366" s="2406" t="s">
        <v>8214</v>
      </c>
      <c r="D366" s="2396"/>
      <c r="E366" s="2406">
        <v>122322700</v>
      </c>
      <c r="F366" s="2406">
        <v>21301100</v>
      </c>
      <c r="G366" s="2407">
        <v>101021600</v>
      </c>
      <c r="H366" s="2407" t="s">
        <v>8296</v>
      </c>
      <c r="I366" s="2408"/>
      <c r="J366" s="2408"/>
      <c r="K366" s="2408"/>
      <c r="L366" s="2409"/>
    </row>
    <row r="367" spans="1:12" ht="12" customHeight="1" x14ac:dyDescent="0.3">
      <c r="A367" s="2394" t="s">
        <v>1125</v>
      </c>
      <c r="B367" s="2395" t="s">
        <v>1126</v>
      </c>
      <c r="C367" s="2406" t="s">
        <v>8215</v>
      </c>
      <c r="D367" s="2396"/>
      <c r="E367" s="2406">
        <v>78301000</v>
      </c>
      <c r="F367" s="2406">
        <v>65551000</v>
      </c>
      <c r="G367" s="2407">
        <v>12750000</v>
      </c>
      <c r="H367" s="2407" t="s">
        <v>8297</v>
      </c>
      <c r="I367" s="2408"/>
      <c r="J367" s="2408"/>
      <c r="K367" s="2408"/>
      <c r="L367" s="2409"/>
    </row>
    <row r="368" spans="1:12" ht="12" customHeight="1" x14ac:dyDescent="0.3">
      <c r="A368" s="2394" t="s">
        <v>1834</v>
      </c>
      <c r="B368" s="2395" t="s">
        <v>7918</v>
      </c>
      <c r="C368" s="2406" t="s">
        <v>8216</v>
      </c>
      <c r="D368" s="2396"/>
      <c r="E368" s="2406">
        <v>0</v>
      </c>
      <c r="F368" s="2406">
        <v>80036000</v>
      </c>
      <c r="G368" s="2407" t="s">
        <v>8298</v>
      </c>
      <c r="H368" s="2407" t="s">
        <v>8299</v>
      </c>
      <c r="I368" s="2408"/>
      <c r="J368" s="2408"/>
      <c r="K368" s="2408"/>
      <c r="L368" s="2409"/>
    </row>
    <row r="369" spans="1:12" ht="12" customHeight="1" x14ac:dyDescent="0.3">
      <c r="A369" s="2394" t="s">
        <v>1835</v>
      </c>
      <c r="B369" s="2395" t="s">
        <v>1836</v>
      </c>
      <c r="C369" s="2406">
        <v>0</v>
      </c>
      <c r="D369" s="2396"/>
      <c r="E369" s="2406">
        <v>0</v>
      </c>
      <c r="F369" s="2406">
        <v>0</v>
      </c>
      <c r="G369" s="2407">
        <v>0</v>
      </c>
      <c r="H369" s="2407">
        <v>0</v>
      </c>
      <c r="I369" s="2408"/>
      <c r="J369" s="2408"/>
      <c r="K369" s="2408"/>
      <c r="L369" s="2409"/>
    </row>
    <row r="370" spans="1:12" ht="12" customHeight="1" x14ac:dyDescent="0.3">
      <c r="A370" s="2394" t="s">
        <v>1837</v>
      </c>
      <c r="B370" s="2395" t="s">
        <v>7919</v>
      </c>
      <c r="C370" s="2406">
        <v>0</v>
      </c>
      <c r="D370" s="2396"/>
      <c r="E370" s="2406">
        <v>0</v>
      </c>
      <c r="F370" s="2406">
        <v>0</v>
      </c>
      <c r="G370" s="2407">
        <v>0</v>
      </c>
      <c r="H370" s="2407">
        <v>0</v>
      </c>
      <c r="I370" s="2408"/>
      <c r="J370" s="2408"/>
      <c r="K370" s="2408"/>
      <c r="L370" s="2409"/>
    </row>
    <row r="371" spans="1:12" ht="12" customHeight="1" x14ac:dyDescent="0.3">
      <c r="A371" s="2394" t="s">
        <v>1838</v>
      </c>
      <c r="B371" s="2395" t="s">
        <v>1839</v>
      </c>
      <c r="C371" s="2406">
        <v>0</v>
      </c>
      <c r="D371" s="2396"/>
      <c r="E371" s="2406">
        <v>0</v>
      </c>
      <c r="F371" s="2406">
        <v>0</v>
      </c>
      <c r="G371" s="2407">
        <v>0</v>
      </c>
      <c r="H371" s="2407">
        <v>0</v>
      </c>
      <c r="I371" s="2408"/>
      <c r="J371" s="2408"/>
      <c r="K371" s="2408"/>
      <c r="L371" s="2409"/>
    </row>
    <row r="372" spans="1:12" ht="12" customHeight="1" x14ac:dyDescent="0.3">
      <c r="A372" s="2394" t="s">
        <v>1840</v>
      </c>
      <c r="B372" s="2395" t="s">
        <v>1841</v>
      </c>
      <c r="C372" s="2406">
        <v>0</v>
      </c>
      <c r="D372" s="2396"/>
      <c r="E372" s="2406">
        <v>0</v>
      </c>
      <c r="F372" s="2406">
        <v>0</v>
      </c>
      <c r="G372" s="2407">
        <v>0</v>
      </c>
      <c r="H372" s="2407">
        <v>0</v>
      </c>
      <c r="I372" s="2408"/>
      <c r="J372" s="2408"/>
      <c r="K372" s="2408"/>
      <c r="L372" s="2409"/>
    </row>
    <row r="373" spans="1:12" ht="12" customHeight="1" x14ac:dyDescent="0.3">
      <c r="A373" s="2394" t="s">
        <v>1842</v>
      </c>
      <c r="B373" s="2395" t="s">
        <v>1843</v>
      </c>
      <c r="C373" s="2406">
        <v>0</v>
      </c>
      <c r="D373" s="2396"/>
      <c r="E373" s="2406">
        <v>0</v>
      </c>
      <c r="F373" s="2406">
        <v>0</v>
      </c>
      <c r="G373" s="2407">
        <v>0</v>
      </c>
      <c r="H373" s="2407">
        <v>0</v>
      </c>
      <c r="I373" s="2408"/>
      <c r="J373" s="2408"/>
      <c r="K373" s="2408"/>
      <c r="L373" s="2409"/>
    </row>
    <row r="374" spans="1:12" ht="12" customHeight="1" x14ac:dyDescent="0.3">
      <c r="A374" s="2394" t="s">
        <v>1844</v>
      </c>
      <c r="B374" s="2395" t="s">
        <v>1845</v>
      </c>
      <c r="C374" s="2406" t="s">
        <v>8151</v>
      </c>
      <c r="D374" s="2396"/>
      <c r="E374" s="2406">
        <v>2500000</v>
      </c>
      <c r="F374" s="2406">
        <v>72570000</v>
      </c>
      <c r="G374" s="2407" t="s">
        <v>8300</v>
      </c>
      <c r="H374" s="2407" t="s">
        <v>8301</v>
      </c>
      <c r="I374" s="2408"/>
      <c r="J374" s="2408"/>
      <c r="K374" s="2408"/>
      <c r="L374" s="2409"/>
    </row>
    <row r="375" spans="1:12" ht="12" customHeight="1" x14ac:dyDescent="0.3">
      <c r="A375" s="2394" t="s">
        <v>1846</v>
      </c>
      <c r="B375" s="2395" t="s">
        <v>1847</v>
      </c>
      <c r="C375" s="2406">
        <v>0</v>
      </c>
      <c r="D375" s="2396"/>
      <c r="E375" s="2406">
        <v>0</v>
      </c>
      <c r="F375" s="2406">
        <v>0</v>
      </c>
      <c r="G375" s="2407">
        <v>0</v>
      </c>
      <c r="H375" s="2407">
        <v>0</v>
      </c>
      <c r="I375" s="2408"/>
      <c r="J375" s="2408"/>
      <c r="K375" s="2408"/>
      <c r="L375" s="2409"/>
    </row>
    <row r="376" spans="1:12" ht="12" customHeight="1" x14ac:dyDescent="0.3">
      <c r="A376" s="2394" t="s">
        <v>1848</v>
      </c>
      <c r="B376" s="2395" t="s">
        <v>1849</v>
      </c>
      <c r="C376" s="2406">
        <v>0</v>
      </c>
      <c r="D376" s="2396"/>
      <c r="E376" s="2406">
        <v>0</v>
      </c>
      <c r="F376" s="2406">
        <v>0</v>
      </c>
      <c r="G376" s="2407">
        <v>0</v>
      </c>
      <c r="H376" s="2407">
        <v>0</v>
      </c>
      <c r="I376" s="2408"/>
      <c r="J376" s="2408"/>
      <c r="K376" s="2408"/>
      <c r="L376" s="2409"/>
    </row>
    <row r="377" spans="1:12" ht="12" customHeight="1" x14ac:dyDescent="0.3">
      <c r="A377" s="2394" t="s">
        <v>1850</v>
      </c>
      <c r="B377" s="2395" t="s">
        <v>1851</v>
      </c>
      <c r="C377" s="2406">
        <v>0</v>
      </c>
      <c r="D377" s="2396"/>
      <c r="E377" s="2406">
        <v>0</v>
      </c>
      <c r="F377" s="2406">
        <v>0</v>
      </c>
      <c r="G377" s="2407">
        <v>0</v>
      </c>
      <c r="H377" s="2407">
        <v>0</v>
      </c>
      <c r="I377" s="2408"/>
      <c r="J377" s="2408"/>
      <c r="K377" s="2408"/>
      <c r="L377" s="2409"/>
    </row>
    <row r="378" spans="1:12" ht="12" customHeight="1" x14ac:dyDescent="0.3">
      <c r="A378" s="2394" t="s">
        <v>1852</v>
      </c>
      <c r="B378" s="2395" t="s">
        <v>1853</v>
      </c>
      <c r="C378" s="2406">
        <v>0</v>
      </c>
      <c r="D378" s="2396"/>
      <c r="E378" s="2406">
        <v>0</v>
      </c>
      <c r="F378" s="2406">
        <v>0</v>
      </c>
      <c r="G378" s="2407">
        <v>0</v>
      </c>
      <c r="H378" s="2407">
        <v>0</v>
      </c>
      <c r="I378" s="2408"/>
      <c r="J378" s="2408"/>
      <c r="K378" s="2408"/>
      <c r="L378" s="2409"/>
    </row>
    <row r="379" spans="1:12" ht="12" customHeight="1" x14ac:dyDescent="0.3">
      <c r="A379" s="2394" t="s">
        <v>1854</v>
      </c>
      <c r="B379" s="2395" t="s">
        <v>1855</v>
      </c>
      <c r="C379" s="2406">
        <v>0</v>
      </c>
      <c r="D379" s="2396"/>
      <c r="E379" s="2406">
        <v>0</v>
      </c>
      <c r="F379" s="2406">
        <v>0</v>
      </c>
      <c r="G379" s="2407">
        <v>0</v>
      </c>
      <c r="H379" s="2407">
        <v>0</v>
      </c>
      <c r="I379" s="2408"/>
      <c r="J379" s="2408"/>
      <c r="K379" s="2408"/>
      <c r="L379" s="2409"/>
    </row>
    <row r="380" spans="1:12" ht="12" customHeight="1" x14ac:dyDescent="0.3">
      <c r="A380" s="2394" t="s">
        <v>1856</v>
      </c>
      <c r="B380" s="2395" t="s">
        <v>1857</v>
      </c>
      <c r="C380" s="2406">
        <v>0</v>
      </c>
      <c r="D380" s="2396"/>
      <c r="E380" s="2406">
        <v>0</v>
      </c>
      <c r="F380" s="2406">
        <v>0</v>
      </c>
      <c r="G380" s="2407">
        <v>0</v>
      </c>
      <c r="H380" s="2407">
        <v>0</v>
      </c>
      <c r="I380" s="2408"/>
      <c r="J380" s="2408"/>
      <c r="K380" s="2408"/>
      <c r="L380" s="2409"/>
    </row>
    <row r="381" spans="1:12" ht="12" customHeight="1" x14ac:dyDescent="0.3">
      <c r="A381" s="2394" t="s">
        <v>1858</v>
      </c>
      <c r="B381" s="2395" t="s">
        <v>1859</v>
      </c>
      <c r="C381" s="2406" t="s">
        <v>8217</v>
      </c>
      <c r="D381" s="2396"/>
      <c r="E381" s="2406">
        <v>0</v>
      </c>
      <c r="F381" s="2406">
        <v>2000000</v>
      </c>
      <c r="G381" s="2407" t="s">
        <v>8302</v>
      </c>
      <c r="H381" s="2407" t="s">
        <v>8303</v>
      </c>
      <c r="I381" s="2408"/>
      <c r="J381" s="2408"/>
      <c r="K381" s="2408"/>
      <c r="L381" s="2409"/>
    </row>
    <row r="382" spans="1:12" ht="12" customHeight="1" x14ac:dyDescent="0.3">
      <c r="A382" s="2394" t="s">
        <v>1860</v>
      </c>
      <c r="B382" s="2395" t="s">
        <v>1861</v>
      </c>
      <c r="C382" s="2406">
        <v>0</v>
      </c>
      <c r="D382" s="2396"/>
      <c r="E382" s="2406">
        <v>0</v>
      </c>
      <c r="F382" s="2406">
        <v>0</v>
      </c>
      <c r="G382" s="2407">
        <v>0</v>
      </c>
      <c r="H382" s="2407">
        <v>0</v>
      </c>
      <c r="I382" s="2408"/>
      <c r="J382" s="2408"/>
      <c r="K382" s="2408"/>
      <c r="L382" s="2409"/>
    </row>
    <row r="383" spans="1:12" ht="12" customHeight="1" x14ac:dyDescent="0.3">
      <c r="A383" s="2394" t="s">
        <v>1862</v>
      </c>
      <c r="B383" s="2395" t="s">
        <v>1863</v>
      </c>
      <c r="C383" s="2406">
        <v>0</v>
      </c>
      <c r="D383" s="2396"/>
      <c r="E383" s="2406">
        <v>0</v>
      </c>
      <c r="F383" s="2406">
        <v>0</v>
      </c>
      <c r="G383" s="2407">
        <v>0</v>
      </c>
      <c r="H383" s="2407">
        <v>0</v>
      </c>
      <c r="I383" s="2408"/>
      <c r="J383" s="2408"/>
      <c r="K383" s="2408"/>
      <c r="L383" s="2409"/>
    </row>
    <row r="384" spans="1:12" ht="12" customHeight="1" x14ac:dyDescent="0.3">
      <c r="A384" s="2394" t="s">
        <v>1864</v>
      </c>
      <c r="B384" s="2395" t="s">
        <v>1865</v>
      </c>
      <c r="C384" s="2406">
        <v>0</v>
      </c>
      <c r="D384" s="2396"/>
      <c r="E384" s="2406">
        <v>0</v>
      </c>
      <c r="F384" s="2406">
        <v>0</v>
      </c>
      <c r="G384" s="2407">
        <v>0</v>
      </c>
      <c r="H384" s="2407">
        <v>0</v>
      </c>
      <c r="I384" s="2408"/>
      <c r="J384" s="2408"/>
      <c r="K384" s="2408"/>
      <c r="L384" s="2409"/>
    </row>
    <row r="385" spans="1:12" ht="12" customHeight="1" x14ac:dyDescent="0.3">
      <c r="A385" s="2394" t="s">
        <v>1866</v>
      </c>
      <c r="B385" s="2395" t="s">
        <v>1867</v>
      </c>
      <c r="C385" s="2406">
        <v>0</v>
      </c>
      <c r="D385" s="2396"/>
      <c r="E385" s="2406">
        <v>0</v>
      </c>
      <c r="F385" s="2406">
        <v>0</v>
      </c>
      <c r="G385" s="2407">
        <v>0</v>
      </c>
      <c r="H385" s="2407">
        <v>0</v>
      </c>
      <c r="I385" s="2408"/>
      <c r="J385" s="2408"/>
      <c r="K385" s="2408"/>
      <c r="L385" s="2409"/>
    </row>
    <row r="386" spans="1:12" ht="12" customHeight="1" x14ac:dyDescent="0.3">
      <c r="A386" s="2394" t="s">
        <v>1868</v>
      </c>
      <c r="B386" s="2395" t="s">
        <v>1869</v>
      </c>
      <c r="C386" s="2406" t="s">
        <v>8218</v>
      </c>
      <c r="D386" s="2396"/>
      <c r="E386" s="2406">
        <v>0</v>
      </c>
      <c r="F386" s="2406">
        <v>0</v>
      </c>
      <c r="G386" s="2407">
        <v>0</v>
      </c>
      <c r="H386" s="2407" t="s">
        <v>8218</v>
      </c>
      <c r="I386" s="2408"/>
      <c r="J386" s="2408"/>
      <c r="K386" s="2408"/>
      <c r="L386" s="2409"/>
    </row>
    <row r="387" spans="1:12" ht="12" customHeight="1" x14ac:dyDescent="0.3">
      <c r="A387" s="2394" t="s">
        <v>1870</v>
      </c>
      <c r="B387" s="2395" t="s">
        <v>1871</v>
      </c>
      <c r="C387" s="2406">
        <v>0</v>
      </c>
      <c r="D387" s="2396"/>
      <c r="E387" s="2406">
        <v>0</v>
      </c>
      <c r="F387" s="2406">
        <v>0</v>
      </c>
      <c r="G387" s="2407">
        <v>0</v>
      </c>
      <c r="H387" s="2407">
        <v>0</v>
      </c>
      <c r="I387" s="2408"/>
      <c r="J387" s="2408"/>
      <c r="K387" s="2408"/>
      <c r="L387" s="2409"/>
    </row>
    <row r="388" spans="1:12" ht="12" customHeight="1" x14ac:dyDescent="0.3">
      <c r="A388" s="2394" t="s">
        <v>1872</v>
      </c>
      <c r="B388" s="2395" t="s">
        <v>1873</v>
      </c>
      <c r="C388" s="2406">
        <v>0</v>
      </c>
      <c r="D388" s="2396"/>
      <c r="E388" s="2406">
        <v>0</v>
      </c>
      <c r="F388" s="2406">
        <v>0</v>
      </c>
      <c r="G388" s="2407">
        <v>0</v>
      </c>
      <c r="H388" s="2407">
        <v>0</v>
      </c>
      <c r="I388" s="2408"/>
      <c r="J388" s="2408"/>
      <c r="K388" s="2408"/>
      <c r="L388" s="2409"/>
    </row>
    <row r="389" spans="1:12" ht="12" customHeight="1" x14ac:dyDescent="0.3">
      <c r="A389" s="2394" t="s">
        <v>1874</v>
      </c>
      <c r="B389" s="2395" t="s">
        <v>1875</v>
      </c>
      <c r="C389" s="2406">
        <v>0</v>
      </c>
      <c r="D389" s="2396"/>
      <c r="E389" s="2406">
        <v>0</v>
      </c>
      <c r="F389" s="2406">
        <v>0</v>
      </c>
      <c r="G389" s="2407">
        <v>0</v>
      </c>
      <c r="H389" s="2407">
        <v>0</v>
      </c>
      <c r="I389" s="2408"/>
      <c r="J389" s="2408"/>
      <c r="K389" s="2408"/>
      <c r="L389" s="2409"/>
    </row>
    <row r="390" spans="1:12" ht="12" customHeight="1" x14ac:dyDescent="0.3">
      <c r="A390" s="2394" t="s">
        <v>1876</v>
      </c>
      <c r="B390" s="2395" t="s">
        <v>1877</v>
      </c>
      <c r="C390" s="2406">
        <v>0</v>
      </c>
      <c r="D390" s="2396"/>
      <c r="E390" s="2406">
        <v>0</v>
      </c>
      <c r="F390" s="2406">
        <v>0</v>
      </c>
      <c r="G390" s="2407">
        <v>0</v>
      </c>
      <c r="H390" s="2407">
        <v>0</v>
      </c>
      <c r="I390" s="2408"/>
      <c r="J390" s="2408"/>
      <c r="K390" s="2408"/>
      <c r="L390" s="2409"/>
    </row>
    <row r="391" spans="1:12" ht="12" customHeight="1" x14ac:dyDescent="0.3">
      <c r="A391" s="2394" t="s">
        <v>1878</v>
      </c>
      <c r="B391" s="2395" t="s">
        <v>1879</v>
      </c>
      <c r="C391" s="2406">
        <v>0</v>
      </c>
      <c r="D391" s="2396"/>
      <c r="E391" s="2406">
        <v>0</v>
      </c>
      <c r="F391" s="2406">
        <v>0</v>
      </c>
      <c r="G391" s="2407">
        <v>0</v>
      </c>
      <c r="H391" s="2407">
        <v>0</v>
      </c>
      <c r="I391" s="2408"/>
      <c r="J391" s="2408"/>
      <c r="K391" s="2408"/>
      <c r="L391" s="2409"/>
    </row>
    <row r="392" spans="1:12" ht="12" customHeight="1" x14ac:dyDescent="0.3">
      <c r="A392" s="2394" t="s">
        <v>1127</v>
      </c>
      <c r="B392" s="2395" t="s">
        <v>7186</v>
      </c>
      <c r="C392" s="2406">
        <v>0</v>
      </c>
      <c r="D392" s="2396"/>
      <c r="E392" s="2406">
        <v>0</v>
      </c>
      <c r="F392" s="2406">
        <v>0</v>
      </c>
      <c r="G392" s="2407">
        <v>0</v>
      </c>
      <c r="H392" s="2407">
        <v>0</v>
      </c>
      <c r="I392" s="2408"/>
      <c r="J392" s="2408"/>
      <c r="K392" s="2408"/>
      <c r="L392" s="2409"/>
    </row>
    <row r="393" spans="1:12" ht="12" customHeight="1" x14ac:dyDescent="0.3">
      <c r="A393" s="2394" t="s">
        <v>1880</v>
      </c>
      <c r="B393" s="2395" t="s">
        <v>1881</v>
      </c>
      <c r="C393" s="2406">
        <v>0</v>
      </c>
      <c r="D393" s="2396"/>
      <c r="E393" s="2406">
        <v>0</v>
      </c>
      <c r="F393" s="2406">
        <v>0</v>
      </c>
      <c r="G393" s="2407">
        <v>0</v>
      </c>
      <c r="H393" s="2407">
        <v>0</v>
      </c>
      <c r="I393" s="2408"/>
      <c r="J393" s="2408"/>
      <c r="K393" s="2408"/>
      <c r="L393" s="2409"/>
    </row>
    <row r="394" spans="1:12" ht="12" customHeight="1" x14ac:dyDescent="0.3">
      <c r="A394" s="2394" t="s">
        <v>1882</v>
      </c>
      <c r="B394" s="2395" t="s">
        <v>1883</v>
      </c>
      <c r="C394" s="2406">
        <v>0</v>
      </c>
      <c r="D394" s="2396"/>
      <c r="E394" s="2406">
        <v>0</v>
      </c>
      <c r="F394" s="2406">
        <v>0</v>
      </c>
      <c r="G394" s="2407">
        <v>0</v>
      </c>
      <c r="H394" s="2407">
        <v>0</v>
      </c>
      <c r="I394" s="2408"/>
      <c r="J394" s="2408"/>
      <c r="K394" s="2408"/>
      <c r="L394" s="2409"/>
    </row>
    <row r="395" spans="1:12" ht="12" customHeight="1" x14ac:dyDescent="0.3">
      <c r="A395" s="2394" t="s">
        <v>1884</v>
      </c>
      <c r="B395" s="2395" t="s">
        <v>1885</v>
      </c>
      <c r="C395" s="2406">
        <v>0</v>
      </c>
      <c r="D395" s="2396"/>
      <c r="E395" s="2406">
        <v>0</v>
      </c>
      <c r="F395" s="2406">
        <v>0</v>
      </c>
      <c r="G395" s="2407">
        <v>0</v>
      </c>
      <c r="H395" s="2407">
        <v>0</v>
      </c>
      <c r="I395" s="2408"/>
      <c r="J395" s="2408"/>
      <c r="K395" s="2408"/>
      <c r="L395" s="2409"/>
    </row>
    <row r="396" spans="1:12" ht="12" customHeight="1" x14ac:dyDescent="0.3">
      <c r="A396" s="2394" t="s">
        <v>1128</v>
      </c>
      <c r="B396" s="2395" t="s">
        <v>7187</v>
      </c>
      <c r="C396" s="2406">
        <v>0</v>
      </c>
      <c r="D396" s="2396"/>
      <c r="E396" s="2406">
        <v>0</v>
      </c>
      <c r="F396" s="2406">
        <v>0</v>
      </c>
      <c r="G396" s="2407">
        <v>0</v>
      </c>
      <c r="H396" s="2407">
        <v>0</v>
      </c>
      <c r="I396" s="2408"/>
      <c r="J396" s="2408"/>
      <c r="K396" s="2408"/>
      <c r="L396" s="2409"/>
    </row>
    <row r="397" spans="1:12" ht="12" customHeight="1" x14ac:dyDescent="0.3">
      <c r="A397" s="2394" t="s">
        <v>1129</v>
      </c>
      <c r="B397" s="2395" t="s">
        <v>1130</v>
      </c>
      <c r="C397" s="2406">
        <v>0</v>
      </c>
      <c r="D397" s="2396"/>
      <c r="E397" s="2406">
        <v>0</v>
      </c>
      <c r="F397" s="2406">
        <v>0</v>
      </c>
      <c r="G397" s="2407">
        <v>0</v>
      </c>
      <c r="H397" s="2407">
        <v>0</v>
      </c>
      <c r="I397" s="2408"/>
      <c r="J397" s="2408"/>
      <c r="K397" s="2408"/>
      <c r="L397" s="2409"/>
    </row>
    <row r="398" spans="1:12" ht="12" customHeight="1" x14ac:dyDescent="0.3">
      <c r="A398" s="2394" t="s">
        <v>1886</v>
      </c>
      <c r="B398" s="2395" t="s">
        <v>1887</v>
      </c>
      <c r="C398" s="2406">
        <v>0</v>
      </c>
      <c r="D398" s="2396"/>
      <c r="E398" s="2406">
        <v>0</v>
      </c>
      <c r="F398" s="2406">
        <v>0</v>
      </c>
      <c r="G398" s="2407">
        <v>0</v>
      </c>
      <c r="H398" s="2407">
        <v>0</v>
      </c>
      <c r="I398" s="2408"/>
      <c r="J398" s="2408"/>
      <c r="K398" s="2408"/>
      <c r="L398" s="2409"/>
    </row>
    <row r="399" spans="1:12" ht="12" customHeight="1" x14ac:dyDescent="0.3">
      <c r="A399" s="2394" t="s">
        <v>1888</v>
      </c>
      <c r="B399" s="2395" t="s">
        <v>1889</v>
      </c>
      <c r="C399" s="2406">
        <v>0</v>
      </c>
      <c r="D399" s="2396"/>
      <c r="E399" s="2406">
        <v>0</v>
      </c>
      <c r="F399" s="2406">
        <v>0</v>
      </c>
      <c r="G399" s="2407">
        <v>0</v>
      </c>
      <c r="H399" s="2407">
        <v>0</v>
      </c>
      <c r="I399" s="2408"/>
      <c r="J399" s="2408"/>
      <c r="K399" s="2408"/>
      <c r="L399" s="2409"/>
    </row>
    <row r="400" spans="1:12" ht="12" customHeight="1" x14ac:dyDescent="0.3">
      <c r="A400" s="2394" t="s">
        <v>1131</v>
      </c>
      <c r="B400" s="2395" t="s">
        <v>1132</v>
      </c>
      <c r="C400" s="2406" t="s">
        <v>7188</v>
      </c>
      <c r="D400" s="2396"/>
      <c r="E400" s="2406">
        <v>0</v>
      </c>
      <c r="F400" s="2406">
        <v>0</v>
      </c>
      <c r="G400" s="2407">
        <v>0</v>
      </c>
      <c r="H400" s="2407" t="s">
        <v>7188</v>
      </c>
      <c r="I400" s="2408"/>
      <c r="J400" s="2408"/>
      <c r="K400" s="2408"/>
      <c r="L400" s="2409"/>
    </row>
    <row r="401" spans="1:12" ht="12" customHeight="1" x14ac:dyDescent="0.3">
      <c r="A401" s="2394" t="s">
        <v>1890</v>
      </c>
      <c r="B401" s="2395" t="s">
        <v>1891</v>
      </c>
      <c r="C401" s="2406" t="s">
        <v>7975</v>
      </c>
      <c r="D401" s="2396"/>
      <c r="E401" s="2406">
        <v>1000000</v>
      </c>
      <c r="F401" s="2406">
        <v>0</v>
      </c>
      <c r="G401" s="2407">
        <v>1000000</v>
      </c>
      <c r="H401" s="2407" t="s">
        <v>8304</v>
      </c>
      <c r="I401" s="2408"/>
      <c r="J401" s="2408"/>
      <c r="K401" s="2408"/>
      <c r="L401" s="2409"/>
    </row>
    <row r="402" spans="1:12" ht="12" customHeight="1" x14ac:dyDescent="0.3">
      <c r="A402" s="2394" t="s">
        <v>1892</v>
      </c>
      <c r="B402" s="2395" t="s">
        <v>1893</v>
      </c>
      <c r="C402" s="2406">
        <v>0</v>
      </c>
      <c r="D402" s="2396"/>
      <c r="E402" s="2406">
        <v>0</v>
      </c>
      <c r="F402" s="2406">
        <v>0</v>
      </c>
      <c r="G402" s="2407">
        <v>0</v>
      </c>
      <c r="H402" s="2407">
        <v>0</v>
      </c>
      <c r="I402" s="2408"/>
      <c r="J402" s="2408"/>
      <c r="K402" s="2408"/>
      <c r="L402" s="2409"/>
    </row>
    <row r="403" spans="1:12" ht="12" customHeight="1" x14ac:dyDescent="0.3">
      <c r="A403" s="2394" t="s">
        <v>1894</v>
      </c>
      <c r="B403" s="2395" t="s">
        <v>1895</v>
      </c>
      <c r="C403" s="2406">
        <v>0</v>
      </c>
      <c r="D403" s="2396"/>
      <c r="E403" s="2406">
        <v>0</v>
      </c>
      <c r="F403" s="2406">
        <v>0</v>
      </c>
      <c r="G403" s="2407">
        <v>0</v>
      </c>
      <c r="H403" s="2407">
        <v>0</v>
      </c>
      <c r="I403" s="2408"/>
      <c r="J403" s="2408"/>
      <c r="K403" s="2408"/>
      <c r="L403" s="2409"/>
    </row>
    <row r="404" spans="1:12" ht="12" customHeight="1" x14ac:dyDescent="0.3">
      <c r="A404" s="2394" t="s">
        <v>1133</v>
      </c>
      <c r="B404" s="2395" t="s">
        <v>1134</v>
      </c>
      <c r="C404" s="2406">
        <v>0</v>
      </c>
      <c r="D404" s="2396"/>
      <c r="E404" s="2406">
        <v>0</v>
      </c>
      <c r="F404" s="2406">
        <v>0</v>
      </c>
      <c r="G404" s="2407">
        <v>0</v>
      </c>
      <c r="H404" s="2407">
        <v>0</v>
      </c>
      <c r="I404" s="2408"/>
      <c r="J404" s="2408"/>
      <c r="K404" s="2408"/>
      <c r="L404" s="2409"/>
    </row>
    <row r="405" spans="1:12" ht="12" customHeight="1" x14ac:dyDescent="0.3">
      <c r="A405" s="2394" t="s">
        <v>1896</v>
      </c>
      <c r="B405" s="2395" t="s">
        <v>7189</v>
      </c>
      <c r="C405" s="2406" t="s">
        <v>8011</v>
      </c>
      <c r="D405" s="2396"/>
      <c r="E405" s="2406">
        <v>0</v>
      </c>
      <c r="F405" s="2406">
        <v>0</v>
      </c>
      <c r="G405" s="2407">
        <v>0</v>
      </c>
      <c r="H405" s="2407" t="s">
        <v>8011</v>
      </c>
      <c r="I405" s="2408"/>
      <c r="J405" s="2408"/>
      <c r="K405" s="2408"/>
      <c r="L405" s="2409"/>
    </row>
    <row r="406" spans="1:12" ht="12" customHeight="1" x14ac:dyDescent="0.3">
      <c r="A406" s="2394" t="s">
        <v>1135</v>
      </c>
      <c r="B406" s="2395" t="s">
        <v>7190</v>
      </c>
      <c r="C406" s="2406">
        <v>0</v>
      </c>
      <c r="D406" s="2396"/>
      <c r="E406" s="2406">
        <v>0</v>
      </c>
      <c r="F406" s="2406">
        <v>0</v>
      </c>
      <c r="G406" s="2407">
        <v>0</v>
      </c>
      <c r="H406" s="2407">
        <v>0</v>
      </c>
      <c r="I406" s="2408"/>
      <c r="J406" s="2408"/>
      <c r="K406" s="2408"/>
      <c r="L406" s="2409"/>
    </row>
    <row r="407" spans="1:12" ht="12" customHeight="1" x14ac:dyDescent="0.3">
      <c r="A407" s="2394" t="s">
        <v>1897</v>
      </c>
      <c r="B407" s="2395" t="s">
        <v>1898</v>
      </c>
      <c r="C407" s="2406">
        <v>0</v>
      </c>
      <c r="D407" s="2396"/>
      <c r="E407" s="2406">
        <v>0</v>
      </c>
      <c r="F407" s="2406">
        <v>0</v>
      </c>
      <c r="G407" s="2407">
        <v>0</v>
      </c>
      <c r="H407" s="2407">
        <v>0</v>
      </c>
      <c r="I407" s="2408"/>
      <c r="J407" s="2408"/>
      <c r="K407" s="2408"/>
      <c r="L407" s="2409"/>
    </row>
    <row r="408" spans="1:12" ht="12" customHeight="1" x14ac:dyDescent="0.3">
      <c r="A408" s="2394" t="s">
        <v>1899</v>
      </c>
      <c r="B408" s="2395" t="s">
        <v>1900</v>
      </c>
      <c r="C408" s="2406">
        <v>0</v>
      </c>
      <c r="D408" s="2396"/>
      <c r="E408" s="2406">
        <v>0</v>
      </c>
      <c r="F408" s="2406">
        <v>0</v>
      </c>
      <c r="G408" s="2407">
        <v>0</v>
      </c>
      <c r="H408" s="2407">
        <v>0</v>
      </c>
      <c r="I408" s="2408"/>
      <c r="J408" s="2408"/>
      <c r="K408" s="2408"/>
      <c r="L408" s="2409"/>
    </row>
    <row r="409" spans="1:12" ht="12" customHeight="1" x14ac:dyDescent="0.3">
      <c r="A409" s="2394" t="s">
        <v>1901</v>
      </c>
      <c r="B409" s="2395" t="s">
        <v>1902</v>
      </c>
      <c r="C409" s="2406">
        <v>0</v>
      </c>
      <c r="D409" s="2396"/>
      <c r="E409" s="2406">
        <v>0</v>
      </c>
      <c r="F409" s="2406">
        <v>0</v>
      </c>
      <c r="G409" s="2407">
        <v>0</v>
      </c>
      <c r="H409" s="2407">
        <v>0</v>
      </c>
      <c r="I409" s="2408"/>
      <c r="J409" s="2408"/>
      <c r="K409" s="2408"/>
      <c r="L409" s="2409"/>
    </row>
    <row r="410" spans="1:12" ht="12" customHeight="1" x14ac:dyDescent="0.3">
      <c r="A410" s="2394" t="s">
        <v>1903</v>
      </c>
      <c r="B410" s="2395" t="s">
        <v>1904</v>
      </c>
      <c r="C410" s="2406">
        <v>0</v>
      </c>
      <c r="D410" s="2396"/>
      <c r="E410" s="2406">
        <v>0</v>
      </c>
      <c r="F410" s="2406">
        <v>0</v>
      </c>
      <c r="G410" s="2407">
        <v>0</v>
      </c>
      <c r="H410" s="2407">
        <v>0</v>
      </c>
      <c r="I410" s="2408"/>
      <c r="J410" s="2408"/>
      <c r="K410" s="2408"/>
      <c r="L410" s="2409"/>
    </row>
    <row r="411" spans="1:12" ht="12" customHeight="1" x14ac:dyDescent="0.3">
      <c r="A411" s="2394" t="s">
        <v>1905</v>
      </c>
      <c r="B411" s="2395" t="s">
        <v>1906</v>
      </c>
      <c r="C411" s="2406">
        <v>0</v>
      </c>
      <c r="D411" s="2396"/>
      <c r="E411" s="2406">
        <v>0</v>
      </c>
      <c r="F411" s="2406">
        <v>0</v>
      </c>
      <c r="G411" s="2407">
        <v>0</v>
      </c>
      <c r="H411" s="2407">
        <v>0</v>
      </c>
      <c r="I411" s="2408"/>
      <c r="J411" s="2408"/>
      <c r="K411" s="2408"/>
      <c r="L411" s="2409"/>
    </row>
    <row r="412" spans="1:12" ht="12" customHeight="1" x14ac:dyDescent="0.3">
      <c r="A412" s="2394" t="s">
        <v>1909</v>
      </c>
      <c r="B412" s="2395" t="s">
        <v>1910</v>
      </c>
      <c r="C412" s="2406">
        <v>0</v>
      </c>
      <c r="D412" s="2396"/>
      <c r="E412" s="2406">
        <v>0</v>
      </c>
      <c r="F412" s="2406">
        <v>0</v>
      </c>
      <c r="G412" s="2407">
        <v>0</v>
      </c>
      <c r="H412" s="2407">
        <v>0</v>
      </c>
      <c r="I412" s="2408"/>
      <c r="J412" s="2408"/>
      <c r="K412" s="2408"/>
      <c r="L412" s="2409"/>
    </row>
    <row r="413" spans="1:12" ht="12" customHeight="1" x14ac:dyDescent="0.3">
      <c r="A413" s="2394" t="s">
        <v>1911</v>
      </c>
      <c r="B413" s="2395" t="s">
        <v>1912</v>
      </c>
      <c r="C413" s="2406" t="s">
        <v>8219</v>
      </c>
      <c r="D413" s="2396"/>
      <c r="E413" s="2406">
        <v>236651951</v>
      </c>
      <c r="F413" s="2406">
        <v>246688430</v>
      </c>
      <c r="G413" s="2407" t="s">
        <v>8305</v>
      </c>
      <c r="H413" s="2407" t="s">
        <v>8306</v>
      </c>
      <c r="I413" s="2408"/>
      <c r="J413" s="2408"/>
      <c r="K413" s="2408"/>
      <c r="L413" s="2409"/>
    </row>
    <row r="414" spans="1:12" ht="12" customHeight="1" x14ac:dyDescent="0.3">
      <c r="A414" s="2394" t="s">
        <v>1913</v>
      </c>
      <c r="B414" s="2395" t="s">
        <v>1914</v>
      </c>
      <c r="C414" s="2406">
        <v>0</v>
      </c>
      <c r="D414" s="2396"/>
      <c r="E414" s="2406">
        <v>0</v>
      </c>
      <c r="F414" s="2406">
        <v>0</v>
      </c>
      <c r="G414" s="2407">
        <v>0</v>
      </c>
      <c r="H414" s="2407">
        <v>0</v>
      </c>
      <c r="I414" s="2408"/>
      <c r="J414" s="2408"/>
      <c r="K414" s="2408"/>
      <c r="L414" s="2409"/>
    </row>
    <row r="415" spans="1:12" ht="12" customHeight="1" x14ac:dyDescent="0.3">
      <c r="A415" s="2394" t="s">
        <v>1915</v>
      </c>
      <c r="B415" s="2395" t="s">
        <v>1916</v>
      </c>
      <c r="C415" s="2406">
        <v>0</v>
      </c>
      <c r="D415" s="2396"/>
      <c r="E415" s="2406">
        <v>0</v>
      </c>
      <c r="F415" s="2406">
        <v>0</v>
      </c>
      <c r="G415" s="2407">
        <v>0</v>
      </c>
      <c r="H415" s="2407">
        <v>0</v>
      </c>
      <c r="I415" s="2408"/>
      <c r="J415" s="2408"/>
      <c r="K415" s="2408"/>
      <c r="L415" s="2409"/>
    </row>
    <row r="416" spans="1:12" ht="12" customHeight="1" x14ac:dyDescent="0.3">
      <c r="A416" s="2394" t="s">
        <v>1917</v>
      </c>
      <c r="B416" s="2395" t="s">
        <v>1918</v>
      </c>
      <c r="C416" s="2406">
        <v>0</v>
      </c>
      <c r="D416" s="2396"/>
      <c r="E416" s="2406">
        <v>0</v>
      </c>
      <c r="F416" s="2406">
        <v>0</v>
      </c>
      <c r="G416" s="2407">
        <v>0</v>
      </c>
      <c r="H416" s="2407">
        <v>0</v>
      </c>
      <c r="I416" s="2408"/>
      <c r="J416" s="2408"/>
      <c r="K416" s="2408"/>
      <c r="L416" s="2409"/>
    </row>
    <row r="417" spans="1:12" ht="12" customHeight="1" x14ac:dyDescent="0.3">
      <c r="A417" s="2394" t="s">
        <v>1919</v>
      </c>
      <c r="B417" s="2395" t="s">
        <v>1920</v>
      </c>
      <c r="C417" s="2406">
        <v>0</v>
      </c>
      <c r="D417" s="2396"/>
      <c r="E417" s="2406">
        <v>0</v>
      </c>
      <c r="F417" s="2406">
        <v>0</v>
      </c>
      <c r="G417" s="2407">
        <v>0</v>
      </c>
      <c r="H417" s="2407">
        <v>0</v>
      </c>
      <c r="I417" s="2408"/>
      <c r="J417" s="2408"/>
      <c r="K417" s="2408"/>
      <c r="L417" s="2409"/>
    </row>
    <row r="418" spans="1:12" ht="12" customHeight="1" x14ac:dyDescent="0.3">
      <c r="A418" s="2394" t="s">
        <v>1921</v>
      </c>
      <c r="B418" s="2395" t="s">
        <v>1922</v>
      </c>
      <c r="C418" s="2406">
        <v>0</v>
      </c>
      <c r="D418" s="2396"/>
      <c r="E418" s="2406">
        <v>0</v>
      </c>
      <c r="F418" s="2406">
        <v>0</v>
      </c>
      <c r="G418" s="2407">
        <v>0</v>
      </c>
      <c r="H418" s="2407">
        <v>0</v>
      </c>
      <c r="I418" s="2408"/>
      <c r="J418" s="2408"/>
      <c r="K418" s="2408"/>
      <c r="L418" s="2409"/>
    </row>
    <row r="419" spans="1:12" ht="12" customHeight="1" x14ac:dyDescent="0.3">
      <c r="A419" s="2394" t="s">
        <v>1923</v>
      </c>
      <c r="B419" s="2395" t="s">
        <v>1924</v>
      </c>
      <c r="C419" s="2406">
        <v>0</v>
      </c>
      <c r="D419" s="2396"/>
      <c r="E419" s="2406">
        <v>0</v>
      </c>
      <c r="F419" s="2406">
        <v>0</v>
      </c>
      <c r="G419" s="2407">
        <v>0</v>
      </c>
      <c r="H419" s="2407">
        <v>0</v>
      </c>
      <c r="I419" s="2408"/>
      <c r="J419" s="2408"/>
      <c r="K419" s="2408"/>
      <c r="L419" s="2409"/>
    </row>
    <row r="420" spans="1:12" ht="12" customHeight="1" x14ac:dyDescent="0.3">
      <c r="A420" s="2394" t="s">
        <v>1925</v>
      </c>
      <c r="B420" s="2395" t="s">
        <v>1926</v>
      </c>
      <c r="C420" s="2406">
        <v>0</v>
      </c>
      <c r="D420" s="2396"/>
      <c r="E420" s="2406">
        <v>0</v>
      </c>
      <c r="F420" s="2406">
        <v>0</v>
      </c>
      <c r="G420" s="2407">
        <v>0</v>
      </c>
      <c r="H420" s="2407">
        <v>0</v>
      </c>
      <c r="I420" s="2408"/>
      <c r="J420" s="2408"/>
      <c r="K420" s="2408"/>
      <c r="L420" s="2409"/>
    </row>
    <row r="421" spans="1:12" ht="12" customHeight="1" x14ac:dyDescent="0.3">
      <c r="A421" s="2394" t="s">
        <v>1927</v>
      </c>
      <c r="B421" s="2395" t="s">
        <v>1928</v>
      </c>
      <c r="C421" s="2406">
        <v>0</v>
      </c>
      <c r="D421" s="2396"/>
      <c r="E421" s="2406">
        <v>0</v>
      </c>
      <c r="F421" s="2406">
        <v>0</v>
      </c>
      <c r="G421" s="2407">
        <v>0</v>
      </c>
      <c r="H421" s="2407">
        <v>0</v>
      </c>
      <c r="I421" s="2408"/>
      <c r="J421" s="2408"/>
      <c r="K421" s="2408"/>
      <c r="L421" s="2409"/>
    </row>
    <row r="422" spans="1:12" ht="12" customHeight="1" x14ac:dyDescent="0.3">
      <c r="A422" s="2394" t="s">
        <v>1929</v>
      </c>
      <c r="B422" s="2395" t="s">
        <v>1930</v>
      </c>
      <c r="C422" s="2406">
        <v>0</v>
      </c>
      <c r="D422" s="2396"/>
      <c r="E422" s="2406">
        <v>0</v>
      </c>
      <c r="F422" s="2406">
        <v>0</v>
      </c>
      <c r="G422" s="2407">
        <v>0</v>
      </c>
      <c r="H422" s="2407">
        <v>0</v>
      </c>
      <c r="I422" s="2408"/>
      <c r="J422" s="2408"/>
      <c r="K422" s="2408"/>
      <c r="L422" s="2409"/>
    </row>
    <row r="423" spans="1:12" ht="12" customHeight="1" x14ac:dyDescent="0.3">
      <c r="A423" s="2394" t="s">
        <v>1931</v>
      </c>
      <c r="B423" s="2395" t="s">
        <v>1932</v>
      </c>
      <c r="C423" s="2406">
        <v>0</v>
      </c>
      <c r="D423" s="2396"/>
      <c r="E423" s="2406">
        <v>0</v>
      </c>
      <c r="F423" s="2406">
        <v>0</v>
      </c>
      <c r="G423" s="2407">
        <v>0</v>
      </c>
      <c r="H423" s="2407">
        <v>0</v>
      </c>
      <c r="I423" s="2408"/>
      <c r="J423" s="2408"/>
      <c r="K423" s="2408"/>
      <c r="L423" s="2409"/>
    </row>
    <row r="424" spans="1:12" ht="12" customHeight="1" x14ac:dyDescent="0.3">
      <c r="A424" s="2394" t="s">
        <v>1933</v>
      </c>
      <c r="B424" s="2395" t="s">
        <v>1934</v>
      </c>
      <c r="C424" s="2406">
        <v>0</v>
      </c>
      <c r="D424" s="2396"/>
      <c r="E424" s="2406">
        <v>0</v>
      </c>
      <c r="F424" s="2406">
        <v>0</v>
      </c>
      <c r="G424" s="2407">
        <v>0</v>
      </c>
      <c r="H424" s="2407">
        <v>0</v>
      </c>
      <c r="I424" s="2408"/>
      <c r="J424" s="2408"/>
      <c r="K424" s="2408"/>
      <c r="L424" s="2409"/>
    </row>
    <row r="425" spans="1:12" ht="12" customHeight="1" x14ac:dyDescent="0.3">
      <c r="A425" s="2394" t="s">
        <v>1935</v>
      </c>
      <c r="B425" s="2395" t="s">
        <v>1936</v>
      </c>
      <c r="C425" s="2406">
        <v>0</v>
      </c>
      <c r="D425" s="2396"/>
      <c r="E425" s="2406">
        <v>0</v>
      </c>
      <c r="F425" s="2406">
        <v>0</v>
      </c>
      <c r="G425" s="2407">
        <v>0</v>
      </c>
      <c r="H425" s="2407">
        <v>0</v>
      </c>
      <c r="I425" s="2408"/>
      <c r="J425" s="2408"/>
      <c r="K425" s="2408"/>
      <c r="L425" s="2409"/>
    </row>
    <row r="426" spans="1:12" ht="12" customHeight="1" x14ac:dyDescent="0.3">
      <c r="A426" s="2394" t="s">
        <v>1937</v>
      </c>
      <c r="B426" s="2395" t="s">
        <v>1938</v>
      </c>
      <c r="C426" s="2406">
        <v>0</v>
      </c>
      <c r="D426" s="2396"/>
      <c r="E426" s="2406">
        <v>0</v>
      </c>
      <c r="F426" s="2406">
        <v>0</v>
      </c>
      <c r="G426" s="2407">
        <v>0</v>
      </c>
      <c r="H426" s="2407">
        <v>0</v>
      </c>
      <c r="I426" s="2408"/>
      <c r="J426" s="2408"/>
      <c r="K426" s="2408"/>
      <c r="L426" s="2409"/>
    </row>
    <row r="427" spans="1:12" ht="12" customHeight="1" x14ac:dyDescent="0.3">
      <c r="A427" s="2394" t="s">
        <v>1939</v>
      </c>
      <c r="B427" s="2395" t="s">
        <v>1940</v>
      </c>
      <c r="C427" s="2406">
        <v>0</v>
      </c>
      <c r="D427" s="2396"/>
      <c r="E427" s="2406">
        <v>0</v>
      </c>
      <c r="F427" s="2406">
        <v>0</v>
      </c>
      <c r="G427" s="2407">
        <v>0</v>
      </c>
      <c r="H427" s="2407">
        <v>0</v>
      </c>
      <c r="I427" s="2408"/>
      <c r="J427" s="2408"/>
      <c r="K427" s="2408"/>
      <c r="L427" s="2409"/>
    </row>
    <row r="428" spans="1:12" ht="12" customHeight="1" x14ac:dyDescent="0.3">
      <c r="A428" s="2394" t="s">
        <v>1941</v>
      </c>
      <c r="B428" s="2395" t="s">
        <v>1942</v>
      </c>
      <c r="C428" s="2406" t="s">
        <v>8116</v>
      </c>
      <c r="D428" s="2396"/>
      <c r="E428" s="2406">
        <v>0</v>
      </c>
      <c r="F428" s="2406">
        <v>0</v>
      </c>
      <c r="G428" s="2407">
        <v>0</v>
      </c>
      <c r="H428" s="2407" t="s">
        <v>8116</v>
      </c>
      <c r="I428" s="2408"/>
      <c r="J428" s="2408"/>
      <c r="K428" s="2408"/>
      <c r="L428" s="2409"/>
    </row>
    <row r="429" spans="1:12" ht="12" customHeight="1" x14ac:dyDescent="0.3">
      <c r="A429" s="2394" t="s">
        <v>1943</v>
      </c>
      <c r="B429" s="2395" t="s">
        <v>1944</v>
      </c>
      <c r="C429" s="2406">
        <v>0</v>
      </c>
      <c r="D429" s="2396"/>
      <c r="E429" s="2406">
        <v>0</v>
      </c>
      <c r="F429" s="2406">
        <v>0</v>
      </c>
      <c r="G429" s="2407">
        <v>0</v>
      </c>
      <c r="H429" s="2407">
        <v>0</v>
      </c>
      <c r="I429" s="2408"/>
      <c r="J429" s="2408"/>
      <c r="K429" s="2408"/>
      <c r="L429" s="2409"/>
    </row>
    <row r="430" spans="1:12" ht="12" customHeight="1" x14ac:dyDescent="0.3">
      <c r="A430" s="2394" t="s">
        <v>1945</v>
      </c>
      <c r="B430" s="2395" t="s">
        <v>1946</v>
      </c>
      <c r="C430" s="2406">
        <v>0</v>
      </c>
      <c r="D430" s="2396"/>
      <c r="E430" s="2406">
        <v>0</v>
      </c>
      <c r="F430" s="2406">
        <v>0</v>
      </c>
      <c r="G430" s="2407">
        <v>0</v>
      </c>
      <c r="H430" s="2407">
        <v>0</v>
      </c>
      <c r="I430" s="2408"/>
      <c r="J430" s="2408"/>
      <c r="K430" s="2408"/>
      <c r="L430" s="2409"/>
    </row>
    <row r="431" spans="1:12" ht="12" customHeight="1" x14ac:dyDescent="0.3">
      <c r="A431" s="2394" t="s">
        <v>1947</v>
      </c>
      <c r="B431" s="2395" t="s">
        <v>1948</v>
      </c>
      <c r="C431" s="2406">
        <v>0</v>
      </c>
      <c r="D431" s="2396"/>
      <c r="E431" s="2406">
        <v>0</v>
      </c>
      <c r="F431" s="2406">
        <v>0</v>
      </c>
      <c r="G431" s="2407">
        <v>0</v>
      </c>
      <c r="H431" s="2407">
        <v>0</v>
      </c>
      <c r="I431" s="2408"/>
      <c r="J431" s="2408"/>
      <c r="K431" s="2408"/>
      <c r="L431" s="2409"/>
    </row>
    <row r="432" spans="1:12" ht="12" customHeight="1" x14ac:dyDescent="0.3">
      <c r="A432" s="2394" t="s">
        <v>1949</v>
      </c>
      <c r="B432" s="2395" t="s">
        <v>1950</v>
      </c>
      <c r="C432" s="2406">
        <v>0</v>
      </c>
      <c r="D432" s="2396"/>
      <c r="E432" s="2406">
        <v>0</v>
      </c>
      <c r="F432" s="2406">
        <v>0</v>
      </c>
      <c r="G432" s="2407">
        <v>0</v>
      </c>
      <c r="H432" s="2407">
        <v>0</v>
      </c>
      <c r="I432" s="2408"/>
      <c r="J432" s="2408"/>
      <c r="K432" s="2408"/>
      <c r="L432" s="2409"/>
    </row>
    <row r="433" spans="1:12" ht="12" customHeight="1" x14ac:dyDescent="0.3">
      <c r="A433" s="2394" t="s">
        <v>1951</v>
      </c>
      <c r="B433" s="2395" t="s">
        <v>1952</v>
      </c>
      <c r="C433" s="2406">
        <v>0</v>
      </c>
      <c r="D433" s="2396"/>
      <c r="E433" s="2406">
        <v>0</v>
      </c>
      <c r="F433" s="2406">
        <v>0</v>
      </c>
      <c r="G433" s="2407">
        <v>0</v>
      </c>
      <c r="H433" s="2407">
        <v>0</v>
      </c>
      <c r="I433" s="2408"/>
      <c r="J433" s="2408"/>
      <c r="K433" s="2408"/>
      <c r="L433" s="2409"/>
    </row>
    <row r="434" spans="1:12" ht="12" customHeight="1" x14ac:dyDescent="0.3">
      <c r="A434" s="2394" t="s">
        <v>1956</v>
      </c>
      <c r="B434" s="2395" t="s">
        <v>1957</v>
      </c>
      <c r="C434" s="2406">
        <v>0</v>
      </c>
      <c r="D434" s="2396"/>
      <c r="E434" s="2406">
        <v>0</v>
      </c>
      <c r="F434" s="2406">
        <v>0</v>
      </c>
      <c r="G434" s="2407">
        <v>0</v>
      </c>
      <c r="H434" s="2407">
        <v>0</v>
      </c>
      <c r="I434" s="2408"/>
      <c r="J434" s="2408"/>
      <c r="K434" s="2408"/>
      <c r="L434" s="2409"/>
    </row>
    <row r="435" spans="1:12" ht="12" customHeight="1" x14ac:dyDescent="0.3">
      <c r="A435" s="2394" t="s">
        <v>1958</v>
      </c>
      <c r="B435" s="2395" t="s">
        <v>1959</v>
      </c>
      <c r="C435" s="2406">
        <v>0</v>
      </c>
      <c r="D435" s="2396"/>
      <c r="E435" s="2406">
        <v>0</v>
      </c>
      <c r="F435" s="2406">
        <v>0</v>
      </c>
      <c r="G435" s="2407">
        <v>0</v>
      </c>
      <c r="H435" s="2407">
        <v>0</v>
      </c>
      <c r="I435" s="2408"/>
      <c r="J435" s="2408"/>
      <c r="K435" s="2408"/>
      <c r="L435" s="2409"/>
    </row>
    <row r="436" spans="1:12" ht="12" customHeight="1" x14ac:dyDescent="0.3">
      <c r="A436" s="2394" t="s">
        <v>1960</v>
      </c>
      <c r="B436" s="2395" t="s">
        <v>1961</v>
      </c>
      <c r="C436" s="2406">
        <v>0</v>
      </c>
      <c r="D436" s="2396"/>
      <c r="E436" s="2406">
        <v>0</v>
      </c>
      <c r="F436" s="2406">
        <v>0</v>
      </c>
      <c r="G436" s="2407">
        <v>0</v>
      </c>
      <c r="H436" s="2407">
        <v>0</v>
      </c>
      <c r="I436" s="2408"/>
      <c r="J436" s="2408"/>
      <c r="K436" s="2408"/>
      <c r="L436" s="2409"/>
    </row>
    <row r="437" spans="1:12" ht="12" customHeight="1" x14ac:dyDescent="0.3">
      <c r="A437" s="2394" t="s">
        <v>1962</v>
      </c>
      <c r="B437" s="2395" t="s">
        <v>1963</v>
      </c>
      <c r="C437" s="2406">
        <v>0</v>
      </c>
      <c r="D437" s="2396"/>
      <c r="E437" s="2406">
        <v>0</v>
      </c>
      <c r="F437" s="2406">
        <v>0</v>
      </c>
      <c r="G437" s="2407">
        <v>0</v>
      </c>
      <c r="H437" s="2407">
        <v>0</v>
      </c>
      <c r="I437" s="2408"/>
      <c r="J437" s="2408"/>
      <c r="K437" s="2408"/>
      <c r="L437" s="2409"/>
    </row>
    <row r="438" spans="1:12" ht="12" customHeight="1" x14ac:dyDescent="0.3">
      <c r="A438" s="2394" t="s">
        <v>1967</v>
      </c>
      <c r="B438" s="2395" t="s">
        <v>1968</v>
      </c>
      <c r="C438" s="2406">
        <v>0</v>
      </c>
      <c r="D438" s="2396"/>
      <c r="E438" s="2406">
        <v>0</v>
      </c>
      <c r="F438" s="2406">
        <v>0</v>
      </c>
      <c r="G438" s="2407">
        <v>0</v>
      </c>
      <c r="H438" s="2407">
        <v>0</v>
      </c>
      <c r="I438" s="2408"/>
      <c r="J438" s="2408"/>
      <c r="K438" s="2408"/>
      <c r="L438" s="2409"/>
    </row>
    <row r="439" spans="1:12" ht="12" customHeight="1" x14ac:dyDescent="0.3">
      <c r="A439" s="2394" t="s">
        <v>1969</v>
      </c>
      <c r="B439" s="2395" t="s">
        <v>1970</v>
      </c>
      <c r="C439" s="2406">
        <v>0</v>
      </c>
      <c r="D439" s="2396"/>
      <c r="E439" s="2406">
        <v>0</v>
      </c>
      <c r="F439" s="2406">
        <v>0</v>
      </c>
      <c r="G439" s="2407">
        <v>0</v>
      </c>
      <c r="H439" s="2407">
        <v>0</v>
      </c>
      <c r="I439" s="2408"/>
      <c r="J439" s="2408"/>
      <c r="K439" s="2408"/>
      <c r="L439" s="2409"/>
    </row>
    <row r="440" spans="1:12" ht="12" customHeight="1" x14ac:dyDescent="0.3">
      <c r="A440" s="2394" t="s">
        <v>1971</v>
      </c>
      <c r="B440" s="2395" t="s">
        <v>1972</v>
      </c>
      <c r="C440" s="2406">
        <v>0</v>
      </c>
      <c r="D440" s="2396"/>
      <c r="E440" s="2406">
        <v>0</v>
      </c>
      <c r="F440" s="2406">
        <v>0</v>
      </c>
      <c r="G440" s="2407">
        <v>0</v>
      </c>
      <c r="H440" s="2407">
        <v>0</v>
      </c>
      <c r="I440" s="2408"/>
      <c r="J440" s="2408"/>
      <c r="K440" s="2408"/>
      <c r="L440" s="2409"/>
    </row>
    <row r="441" spans="1:12" ht="12" customHeight="1" x14ac:dyDescent="0.3">
      <c r="A441" s="2394" t="s">
        <v>1973</v>
      </c>
      <c r="B441" s="2395" t="s">
        <v>1974</v>
      </c>
      <c r="C441" s="2406">
        <v>0</v>
      </c>
      <c r="D441" s="2396"/>
      <c r="E441" s="2406">
        <v>0</v>
      </c>
      <c r="F441" s="2406">
        <v>0</v>
      </c>
      <c r="G441" s="2407">
        <v>0</v>
      </c>
      <c r="H441" s="2407">
        <v>0</v>
      </c>
      <c r="I441" s="2408"/>
      <c r="J441" s="2408"/>
      <c r="K441" s="2408"/>
      <c r="L441" s="2409"/>
    </row>
    <row r="442" spans="1:12" ht="12" customHeight="1" x14ac:dyDescent="0.3">
      <c r="A442" s="2394" t="s">
        <v>1975</v>
      </c>
      <c r="B442" s="2395" t="s">
        <v>1976</v>
      </c>
      <c r="C442" s="2406">
        <v>0</v>
      </c>
      <c r="D442" s="2396"/>
      <c r="E442" s="2406">
        <v>0</v>
      </c>
      <c r="F442" s="2406">
        <v>0</v>
      </c>
      <c r="G442" s="2407">
        <v>0</v>
      </c>
      <c r="H442" s="2407">
        <v>0</v>
      </c>
      <c r="I442" s="2408"/>
      <c r="J442" s="2408"/>
      <c r="K442" s="2408"/>
      <c r="L442" s="2409"/>
    </row>
    <row r="443" spans="1:12" ht="12" customHeight="1" x14ac:dyDescent="0.3">
      <c r="A443" s="2394" t="s">
        <v>1977</v>
      </c>
      <c r="B443" s="2395" t="s">
        <v>1978</v>
      </c>
      <c r="C443" s="2406">
        <v>0</v>
      </c>
      <c r="D443" s="2396"/>
      <c r="E443" s="2406">
        <v>0</v>
      </c>
      <c r="F443" s="2406">
        <v>0</v>
      </c>
      <c r="G443" s="2407">
        <v>0</v>
      </c>
      <c r="H443" s="2407">
        <v>0</v>
      </c>
      <c r="I443" s="2408"/>
      <c r="J443" s="2408"/>
      <c r="K443" s="2408"/>
      <c r="L443" s="2409"/>
    </row>
    <row r="444" spans="1:12" ht="12" customHeight="1" x14ac:dyDescent="0.3">
      <c r="A444" s="2394" t="s">
        <v>1979</v>
      </c>
      <c r="B444" s="2395" t="s">
        <v>1980</v>
      </c>
      <c r="C444" s="2406">
        <v>0</v>
      </c>
      <c r="D444" s="2396"/>
      <c r="E444" s="2406">
        <v>0</v>
      </c>
      <c r="F444" s="2406">
        <v>0</v>
      </c>
      <c r="G444" s="2407">
        <v>0</v>
      </c>
      <c r="H444" s="2407">
        <v>0</v>
      </c>
      <c r="I444" s="2408"/>
      <c r="J444" s="2408"/>
      <c r="K444" s="2408"/>
      <c r="L444" s="2409"/>
    </row>
    <row r="445" spans="1:12" ht="12" customHeight="1" x14ac:dyDescent="0.3">
      <c r="A445" s="2394" t="s">
        <v>1983</v>
      </c>
      <c r="B445" s="2395" t="s">
        <v>1984</v>
      </c>
      <c r="C445" s="2406">
        <v>0</v>
      </c>
      <c r="D445" s="2396"/>
      <c r="E445" s="2406">
        <v>0</v>
      </c>
      <c r="F445" s="2406">
        <v>0</v>
      </c>
      <c r="G445" s="2407">
        <v>0</v>
      </c>
      <c r="H445" s="2407">
        <v>0</v>
      </c>
      <c r="I445" s="2408"/>
      <c r="J445" s="2408"/>
      <c r="K445" s="2408"/>
      <c r="L445" s="2409"/>
    </row>
    <row r="446" spans="1:12" ht="12" customHeight="1" x14ac:dyDescent="0.3">
      <c r="A446" s="2394" t="s">
        <v>1985</v>
      </c>
      <c r="B446" s="2395" t="s">
        <v>1986</v>
      </c>
      <c r="C446" s="2406">
        <v>0</v>
      </c>
      <c r="D446" s="2396"/>
      <c r="E446" s="2406">
        <v>0</v>
      </c>
      <c r="F446" s="2406">
        <v>0</v>
      </c>
      <c r="G446" s="2407">
        <v>0</v>
      </c>
      <c r="H446" s="2407">
        <v>0</v>
      </c>
      <c r="I446" s="2408"/>
      <c r="J446" s="2408"/>
      <c r="K446" s="2408"/>
      <c r="L446" s="2409"/>
    </row>
    <row r="447" spans="1:12" ht="12" customHeight="1" x14ac:dyDescent="0.3">
      <c r="A447" s="2394" t="s">
        <v>1987</v>
      </c>
      <c r="B447" s="2395" t="s">
        <v>1988</v>
      </c>
      <c r="C447" s="2406" t="s">
        <v>8220</v>
      </c>
      <c r="D447" s="2396"/>
      <c r="E447" s="2406">
        <v>0</v>
      </c>
      <c r="F447" s="2406">
        <v>600000</v>
      </c>
      <c r="G447" s="2407" t="s">
        <v>8307</v>
      </c>
      <c r="H447" s="2407" t="s">
        <v>8308</v>
      </c>
      <c r="I447" s="2408"/>
      <c r="J447" s="2408"/>
      <c r="K447" s="2408"/>
      <c r="L447" s="2409"/>
    </row>
    <row r="448" spans="1:12" ht="12" customHeight="1" x14ac:dyDescent="0.3">
      <c r="A448" s="2394" t="s">
        <v>1989</v>
      </c>
      <c r="B448" s="2395" t="s">
        <v>1990</v>
      </c>
      <c r="C448" s="2406">
        <v>0</v>
      </c>
      <c r="D448" s="2396"/>
      <c r="E448" s="2406">
        <v>0</v>
      </c>
      <c r="F448" s="2406">
        <v>0</v>
      </c>
      <c r="G448" s="2407">
        <v>0</v>
      </c>
      <c r="H448" s="2407">
        <v>0</v>
      </c>
      <c r="I448" s="2408"/>
      <c r="J448" s="2408"/>
      <c r="K448" s="2408"/>
      <c r="L448" s="2409"/>
    </row>
    <row r="449" spans="1:12" ht="12" customHeight="1" x14ac:dyDescent="0.3">
      <c r="A449" s="2394" t="s">
        <v>1991</v>
      </c>
      <c r="B449" s="2395" t="s">
        <v>1992</v>
      </c>
      <c r="C449" s="2406">
        <v>0</v>
      </c>
      <c r="D449" s="2396"/>
      <c r="E449" s="2406">
        <v>0</v>
      </c>
      <c r="F449" s="2406">
        <v>0</v>
      </c>
      <c r="G449" s="2407">
        <v>0</v>
      </c>
      <c r="H449" s="2407">
        <v>0</v>
      </c>
      <c r="I449" s="2408"/>
      <c r="J449" s="2408"/>
      <c r="K449" s="2408"/>
      <c r="L449" s="2409"/>
    </row>
    <row r="450" spans="1:12" ht="12" customHeight="1" x14ac:dyDescent="0.3">
      <c r="A450" s="2394" t="s">
        <v>1996</v>
      </c>
      <c r="B450" s="2395" t="s">
        <v>1997</v>
      </c>
      <c r="C450" s="2406">
        <v>0</v>
      </c>
      <c r="D450" s="2396"/>
      <c r="E450" s="2406">
        <v>0</v>
      </c>
      <c r="F450" s="2406">
        <v>0</v>
      </c>
      <c r="G450" s="2407">
        <v>0</v>
      </c>
      <c r="H450" s="2407">
        <v>0</v>
      </c>
      <c r="I450" s="2408"/>
      <c r="J450" s="2408"/>
      <c r="K450" s="2408"/>
      <c r="L450" s="2409"/>
    </row>
    <row r="451" spans="1:12" ht="12" customHeight="1" x14ac:dyDescent="0.3">
      <c r="A451" s="2394" t="s">
        <v>1998</v>
      </c>
      <c r="B451" s="2395" t="s">
        <v>1999</v>
      </c>
      <c r="C451" s="2406">
        <v>0</v>
      </c>
      <c r="D451" s="2396"/>
      <c r="E451" s="2406">
        <v>0</v>
      </c>
      <c r="F451" s="2406">
        <v>0</v>
      </c>
      <c r="G451" s="2407">
        <v>0</v>
      </c>
      <c r="H451" s="2407">
        <v>0</v>
      </c>
      <c r="I451" s="2408"/>
      <c r="J451" s="2408"/>
      <c r="K451" s="2408"/>
      <c r="L451" s="2409"/>
    </row>
    <row r="452" spans="1:12" ht="12" customHeight="1" x14ac:dyDescent="0.3">
      <c r="A452" s="2394" t="s">
        <v>2000</v>
      </c>
      <c r="B452" s="2395" t="s">
        <v>2001</v>
      </c>
      <c r="C452" s="2406">
        <v>0</v>
      </c>
      <c r="D452" s="2396"/>
      <c r="E452" s="2406">
        <v>0</v>
      </c>
      <c r="F452" s="2406">
        <v>0</v>
      </c>
      <c r="G452" s="2407">
        <v>0</v>
      </c>
      <c r="H452" s="2407">
        <v>0</v>
      </c>
      <c r="I452" s="2408"/>
      <c r="J452" s="2408"/>
      <c r="K452" s="2408"/>
      <c r="L452" s="2409"/>
    </row>
    <row r="453" spans="1:12" ht="12" customHeight="1" x14ac:dyDescent="0.3">
      <c r="A453" s="2394" t="s">
        <v>2002</v>
      </c>
      <c r="B453" s="2395" t="s">
        <v>2003</v>
      </c>
      <c r="C453" s="2406">
        <v>0</v>
      </c>
      <c r="D453" s="2396"/>
      <c r="E453" s="2406">
        <v>0</v>
      </c>
      <c r="F453" s="2406">
        <v>0</v>
      </c>
      <c r="G453" s="2407">
        <v>0</v>
      </c>
      <c r="H453" s="2407">
        <v>0</v>
      </c>
      <c r="I453" s="2408"/>
      <c r="J453" s="2408"/>
      <c r="K453" s="2408"/>
      <c r="L453" s="2409"/>
    </row>
    <row r="454" spans="1:12" ht="12" customHeight="1" x14ac:dyDescent="0.3">
      <c r="A454" s="2394" t="s">
        <v>2004</v>
      </c>
      <c r="B454" s="2395" t="s">
        <v>2005</v>
      </c>
      <c r="C454" s="2406">
        <v>0</v>
      </c>
      <c r="D454" s="2396"/>
      <c r="E454" s="2406">
        <v>0</v>
      </c>
      <c r="F454" s="2406">
        <v>0</v>
      </c>
      <c r="G454" s="2407">
        <v>0</v>
      </c>
      <c r="H454" s="2407">
        <v>0</v>
      </c>
      <c r="I454" s="2408"/>
      <c r="J454" s="2408"/>
      <c r="K454" s="2408"/>
      <c r="L454" s="2409"/>
    </row>
    <row r="455" spans="1:12" ht="12" customHeight="1" x14ac:dyDescent="0.3">
      <c r="A455" s="2394" t="s">
        <v>2006</v>
      </c>
      <c r="B455" s="2395" t="s">
        <v>2007</v>
      </c>
      <c r="C455" s="2406">
        <v>0</v>
      </c>
      <c r="D455" s="2396"/>
      <c r="E455" s="2406">
        <v>0</v>
      </c>
      <c r="F455" s="2406">
        <v>0</v>
      </c>
      <c r="G455" s="2407">
        <v>0</v>
      </c>
      <c r="H455" s="2407">
        <v>0</v>
      </c>
      <c r="I455" s="2408"/>
      <c r="J455" s="2408"/>
      <c r="K455" s="2408"/>
      <c r="L455" s="2409"/>
    </row>
    <row r="456" spans="1:12" ht="12" customHeight="1" x14ac:dyDescent="0.3">
      <c r="A456" s="2394" t="s">
        <v>2008</v>
      </c>
      <c r="B456" s="2395" t="s">
        <v>2009</v>
      </c>
      <c r="C456" s="2406">
        <v>0</v>
      </c>
      <c r="D456" s="2396"/>
      <c r="E456" s="2406">
        <v>0</v>
      </c>
      <c r="F456" s="2406">
        <v>0</v>
      </c>
      <c r="G456" s="2407">
        <v>0</v>
      </c>
      <c r="H456" s="2407">
        <v>0</v>
      </c>
      <c r="I456" s="2408"/>
      <c r="J456" s="2408"/>
      <c r="K456" s="2408"/>
      <c r="L456" s="2409"/>
    </row>
    <row r="457" spans="1:12" ht="12" customHeight="1" x14ac:dyDescent="0.3">
      <c r="A457" s="2394" t="s">
        <v>2010</v>
      </c>
      <c r="B457" s="2395" t="s">
        <v>2011</v>
      </c>
      <c r="C457" s="2406">
        <v>0</v>
      </c>
      <c r="D457" s="2396"/>
      <c r="E457" s="2406">
        <v>0</v>
      </c>
      <c r="F457" s="2406">
        <v>0</v>
      </c>
      <c r="G457" s="2407">
        <v>0</v>
      </c>
      <c r="H457" s="2407">
        <v>0</v>
      </c>
      <c r="I457" s="2408"/>
      <c r="J457" s="2408"/>
      <c r="K457" s="2408"/>
      <c r="L457" s="2409"/>
    </row>
    <row r="458" spans="1:12" ht="12" customHeight="1" x14ac:dyDescent="0.3">
      <c r="A458" s="2394" t="s">
        <v>2012</v>
      </c>
      <c r="B458" s="2395" t="s">
        <v>2013</v>
      </c>
      <c r="C458" s="2406">
        <v>0</v>
      </c>
      <c r="D458" s="2396"/>
      <c r="E458" s="2406">
        <v>0</v>
      </c>
      <c r="F458" s="2406">
        <v>0</v>
      </c>
      <c r="G458" s="2407">
        <v>0</v>
      </c>
      <c r="H458" s="2407">
        <v>0</v>
      </c>
      <c r="I458" s="2408"/>
      <c r="J458" s="2408"/>
      <c r="K458" s="2408"/>
      <c r="L458" s="2409"/>
    </row>
    <row r="459" spans="1:12" ht="12" customHeight="1" x14ac:dyDescent="0.3">
      <c r="A459" s="2394" t="s">
        <v>2017</v>
      </c>
      <c r="B459" s="2395" t="s">
        <v>2016</v>
      </c>
      <c r="C459" s="2406">
        <v>0</v>
      </c>
      <c r="D459" s="2396"/>
      <c r="E459" s="2406">
        <v>0</v>
      </c>
      <c r="F459" s="2406">
        <v>0</v>
      </c>
      <c r="G459" s="2407">
        <v>0</v>
      </c>
      <c r="H459" s="2407">
        <v>0</v>
      </c>
      <c r="I459" s="2408"/>
      <c r="J459" s="2408"/>
      <c r="K459" s="2408"/>
      <c r="L459" s="2409"/>
    </row>
    <row r="460" spans="1:12" ht="12" customHeight="1" x14ac:dyDescent="0.3">
      <c r="A460" s="2394" t="s">
        <v>2023</v>
      </c>
      <c r="B460" s="2395" t="s">
        <v>2024</v>
      </c>
      <c r="C460" s="2406">
        <v>0</v>
      </c>
      <c r="D460" s="2396"/>
      <c r="E460" s="2406">
        <v>0</v>
      </c>
      <c r="F460" s="2406">
        <v>0</v>
      </c>
      <c r="G460" s="2407">
        <v>0</v>
      </c>
      <c r="H460" s="2407">
        <v>0</v>
      </c>
      <c r="I460" s="2408"/>
      <c r="J460" s="2408"/>
      <c r="K460" s="2408"/>
      <c r="L460" s="2409"/>
    </row>
    <row r="461" spans="1:12" ht="12" customHeight="1" x14ac:dyDescent="0.3">
      <c r="A461" s="2394" t="s">
        <v>2025</v>
      </c>
      <c r="B461" s="2395" t="s">
        <v>2026</v>
      </c>
      <c r="C461" s="2406">
        <v>0</v>
      </c>
      <c r="D461" s="2396"/>
      <c r="E461" s="2406">
        <v>0</v>
      </c>
      <c r="F461" s="2406">
        <v>0</v>
      </c>
      <c r="G461" s="2407">
        <v>0</v>
      </c>
      <c r="H461" s="2407">
        <v>0</v>
      </c>
      <c r="I461" s="2408"/>
      <c r="J461" s="2408"/>
      <c r="K461" s="2408"/>
      <c r="L461" s="2409"/>
    </row>
    <row r="462" spans="1:12" ht="12" customHeight="1" x14ac:dyDescent="0.3">
      <c r="A462" s="2394" t="s">
        <v>2027</v>
      </c>
      <c r="B462" s="2395" t="s">
        <v>2028</v>
      </c>
      <c r="C462" s="2406">
        <v>0</v>
      </c>
      <c r="D462" s="2396"/>
      <c r="E462" s="2406">
        <v>0</v>
      </c>
      <c r="F462" s="2406">
        <v>0</v>
      </c>
      <c r="G462" s="2407">
        <v>0</v>
      </c>
      <c r="H462" s="2407">
        <v>0</v>
      </c>
      <c r="I462" s="2408"/>
      <c r="J462" s="2408"/>
      <c r="K462" s="2408"/>
      <c r="L462" s="2409"/>
    </row>
    <row r="463" spans="1:12" ht="12" customHeight="1" x14ac:dyDescent="0.3">
      <c r="A463" s="2394" t="s">
        <v>2029</v>
      </c>
      <c r="B463" s="2395" t="s">
        <v>2030</v>
      </c>
      <c r="C463" s="2406">
        <v>0</v>
      </c>
      <c r="D463" s="2396"/>
      <c r="E463" s="2406">
        <v>0</v>
      </c>
      <c r="F463" s="2406">
        <v>0</v>
      </c>
      <c r="G463" s="2407">
        <v>0</v>
      </c>
      <c r="H463" s="2407">
        <v>0</v>
      </c>
      <c r="I463" s="2408"/>
      <c r="J463" s="2408"/>
      <c r="K463" s="2408"/>
      <c r="L463" s="2409"/>
    </row>
    <row r="464" spans="1:12" ht="12" customHeight="1" x14ac:dyDescent="0.3">
      <c r="A464" s="2394" t="s">
        <v>2031</v>
      </c>
      <c r="B464" s="2395" t="s">
        <v>2032</v>
      </c>
      <c r="C464" s="2406">
        <v>0</v>
      </c>
      <c r="D464" s="2396"/>
      <c r="E464" s="2406">
        <v>0</v>
      </c>
      <c r="F464" s="2406">
        <v>0</v>
      </c>
      <c r="G464" s="2407">
        <v>0</v>
      </c>
      <c r="H464" s="2407">
        <v>0</v>
      </c>
      <c r="I464" s="2408"/>
      <c r="J464" s="2408"/>
      <c r="K464" s="2408"/>
      <c r="L464" s="2409"/>
    </row>
    <row r="465" spans="1:12" ht="12" customHeight="1" x14ac:dyDescent="0.3">
      <c r="A465" s="2394" t="s">
        <v>2033</v>
      </c>
      <c r="B465" s="2395" t="s">
        <v>2034</v>
      </c>
      <c r="C465" s="2406">
        <v>0</v>
      </c>
      <c r="D465" s="2396"/>
      <c r="E465" s="2406">
        <v>0</v>
      </c>
      <c r="F465" s="2406">
        <v>0</v>
      </c>
      <c r="G465" s="2407">
        <v>0</v>
      </c>
      <c r="H465" s="2407">
        <v>0</v>
      </c>
      <c r="I465" s="2408"/>
      <c r="J465" s="2408"/>
      <c r="K465" s="2408"/>
      <c r="L465" s="2409"/>
    </row>
    <row r="466" spans="1:12" ht="12" customHeight="1" x14ac:dyDescent="0.3">
      <c r="A466" s="2394" t="s">
        <v>2035</v>
      </c>
      <c r="B466" s="2395" t="s">
        <v>2036</v>
      </c>
      <c r="C466" s="2406">
        <v>0</v>
      </c>
      <c r="D466" s="2396"/>
      <c r="E466" s="2406">
        <v>0</v>
      </c>
      <c r="F466" s="2406">
        <v>0</v>
      </c>
      <c r="G466" s="2407">
        <v>0</v>
      </c>
      <c r="H466" s="2407">
        <v>0</v>
      </c>
      <c r="I466" s="2408"/>
      <c r="J466" s="2408"/>
      <c r="K466" s="2408"/>
      <c r="L466" s="2409"/>
    </row>
    <row r="467" spans="1:12" ht="12" customHeight="1" x14ac:dyDescent="0.3">
      <c r="A467" s="2394" t="s">
        <v>2039</v>
      </c>
      <c r="B467" s="2395" t="s">
        <v>2040</v>
      </c>
      <c r="C467" s="2406">
        <v>0</v>
      </c>
      <c r="D467" s="2396"/>
      <c r="E467" s="2406">
        <v>0</v>
      </c>
      <c r="F467" s="2406">
        <v>0</v>
      </c>
      <c r="G467" s="2407">
        <v>0</v>
      </c>
      <c r="H467" s="2407">
        <v>0</v>
      </c>
      <c r="I467" s="2408"/>
      <c r="J467" s="2408"/>
      <c r="K467" s="2408"/>
      <c r="L467" s="2409"/>
    </row>
    <row r="468" spans="1:12" ht="12" customHeight="1" x14ac:dyDescent="0.3">
      <c r="A468" s="2394" t="s">
        <v>2041</v>
      </c>
      <c r="B468" s="2395" t="s">
        <v>2042</v>
      </c>
      <c r="C468" s="2406" t="s">
        <v>7191</v>
      </c>
      <c r="D468" s="2396"/>
      <c r="E468" s="2406">
        <v>0</v>
      </c>
      <c r="F468" s="2406">
        <v>0</v>
      </c>
      <c r="G468" s="2407">
        <v>0</v>
      </c>
      <c r="H468" s="2407" t="s">
        <v>7191</v>
      </c>
      <c r="I468" s="2408"/>
      <c r="J468" s="2408"/>
      <c r="K468" s="2408"/>
      <c r="L468" s="2409"/>
    </row>
    <row r="469" spans="1:12" ht="12" customHeight="1" x14ac:dyDescent="0.3">
      <c r="A469" s="2394" t="s">
        <v>2043</v>
      </c>
      <c r="B469" s="2395" t="s">
        <v>2044</v>
      </c>
      <c r="C469" s="2406" t="s">
        <v>7192</v>
      </c>
      <c r="D469" s="2396"/>
      <c r="E469" s="2406">
        <v>0</v>
      </c>
      <c r="F469" s="2406">
        <v>0</v>
      </c>
      <c r="G469" s="2407">
        <v>0</v>
      </c>
      <c r="H469" s="2407" t="s">
        <v>7192</v>
      </c>
      <c r="I469" s="2408"/>
      <c r="J469" s="2408"/>
      <c r="K469" s="2408"/>
      <c r="L469" s="2409"/>
    </row>
    <row r="470" spans="1:12" ht="12" customHeight="1" x14ac:dyDescent="0.3">
      <c r="A470" s="2394" t="s">
        <v>2045</v>
      </c>
      <c r="B470" s="2395" t="s">
        <v>2046</v>
      </c>
      <c r="C470" s="2406" t="s">
        <v>7193</v>
      </c>
      <c r="D470" s="2396"/>
      <c r="E470" s="2406">
        <v>0</v>
      </c>
      <c r="F470" s="2406">
        <v>0</v>
      </c>
      <c r="G470" s="2407">
        <v>0</v>
      </c>
      <c r="H470" s="2407" t="s">
        <v>7193</v>
      </c>
      <c r="I470" s="2408"/>
      <c r="J470" s="2408"/>
      <c r="K470" s="2408"/>
      <c r="L470" s="2409"/>
    </row>
    <row r="471" spans="1:12" ht="12" customHeight="1" x14ac:dyDescent="0.3">
      <c r="A471" s="2394" t="s">
        <v>1145</v>
      </c>
      <c r="B471" s="2395" t="s">
        <v>1146</v>
      </c>
      <c r="C471" s="2406" t="s">
        <v>7194</v>
      </c>
      <c r="D471" s="2396"/>
      <c r="E471" s="2406">
        <v>0</v>
      </c>
      <c r="F471" s="2406">
        <v>0</v>
      </c>
      <c r="G471" s="2407">
        <v>0</v>
      </c>
      <c r="H471" s="2407" t="s">
        <v>7194</v>
      </c>
      <c r="I471" s="2408"/>
      <c r="J471" s="2408"/>
      <c r="K471" s="2408"/>
      <c r="L471" s="2409"/>
    </row>
    <row r="472" spans="1:12" ht="12" customHeight="1" x14ac:dyDescent="0.3">
      <c r="A472" s="2394" t="s">
        <v>2047</v>
      </c>
      <c r="B472" s="2395" t="s">
        <v>2048</v>
      </c>
      <c r="C472" s="2406" t="s">
        <v>7195</v>
      </c>
      <c r="D472" s="2396"/>
      <c r="E472" s="2406">
        <v>0</v>
      </c>
      <c r="F472" s="2406">
        <v>0</v>
      </c>
      <c r="G472" s="2407">
        <v>0</v>
      </c>
      <c r="H472" s="2407" t="s">
        <v>7195</v>
      </c>
      <c r="I472" s="2408"/>
      <c r="J472" s="2408"/>
      <c r="K472" s="2408"/>
      <c r="L472" s="2409"/>
    </row>
    <row r="473" spans="1:12" ht="12" customHeight="1" x14ac:dyDescent="0.3">
      <c r="A473" s="2394" t="s">
        <v>2049</v>
      </c>
      <c r="B473" s="2395" t="s">
        <v>2050</v>
      </c>
      <c r="C473" s="2406" t="s">
        <v>7750</v>
      </c>
      <c r="D473" s="2396"/>
      <c r="E473" s="2406">
        <v>0</v>
      </c>
      <c r="F473" s="2406">
        <v>0</v>
      </c>
      <c r="G473" s="2407">
        <v>0</v>
      </c>
      <c r="H473" s="2407" t="s">
        <v>7750</v>
      </c>
      <c r="I473" s="2408"/>
      <c r="J473" s="2408"/>
      <c r="K473" s="2408"/>
      <c r="L473" s="2409"/>
    </row>
    <row r="474" spans="1:12" x14ac:dyDescent="0.3">
      <c r="A474" s="2394" t="s">
        <v>2051</v>
      </c>
      <c r="B474" s="2395" t="s">
        <v>2052</v>
      </c>
      <c r="C474" s="2406">
        <v>0</v>
      </c>
      <c r="D474" s="2396"/>
      <c r="E474" s="2406">
        <v>0</v>
      </c>
      <c r="F474" s="2406">
        <v>0</v>
      </c>
      <c r="G474" s="2407">
        <v>0</v>
      </c>
      <c r="H474" s="2407">
        <v>0</v>
      </c>
      <c r="I474" s="2408"/>
      <c r="J474" s="2408"/>
      <c r="K474" s="2408"/>
      <c r="L474" s="2409"/>
    </row>
    <row r="475" spans="1:12" ht="12" customHeight="1" x14ac:dyDescent="0.3">
      <c r="A475" s="2394" t="s">
        <v>2053</v>
      </c>
      <c r="B475" s="2395" t="s">
        <v>2054</v>
      </c>
      <c r="C475" s="2406">
        <v>0</v>
      </c>
      <c r="D475" s="2396"/>
      <c r="E475" s="2406">
        <v>0</v>
      </c>
      <c r="F475" s="2406">
        <v>0</v>
      </c>
      <c r="G475" s="2407">
        <v>0</v>
      </c>
      <c r="H475" s="2407">
        <v>0</v>
      </c>
      <c r="I475" s="2408"/>
      <c r="J475" s="2408"/>
      <c r="K475" s="2408"/>
      <c r="L475" s="2409"/>
    </row>
    <row r="476" spans="1:12" ht="12" customHeight="1" x14ac:dyDescent="0.3">
      <c r="A476" s="2394" t="s">
        <v>2055</v>
      </c>
      <c r="B476" s="2395" t="s">
        <v>2056</v>
      </c>
      <c r="C476" s="2406">
        <v>0</v>
      </c>
      <c r="D476" s="2396"/>
      <c r="E476" s="2406">
        <v>0</v>
      </c>
      <c r="F476" s="2406">
        <v>0</v>
      </c>
      <c r="G476" s="2407">
        <v>0</v>
      </c>
      <c r="H476" s="2407">
        <v>0</v>
      </c>
      <c r="I476" s="2408"/>
      <c r="J476" s="2408"/>
      <c r="K476" s="2408"/>
      <c r="L476" s="2409"/>
    </row>
    <row r="477" spans="1:12" ht="12" customHeight="1" x14ac:dyDescent="0.3">
      <c r="A477" s="2394" t="s">
        <v>2057</v>
      </c>
      <c r="B477" s="2395" t="s">
        <v>2058</v>
      </c>
      <c r="C477" s="2406">
        <v>0</v>
      </c>
      <c r="D477" s="2396"/>
      <c r="E477" s="2406">
        <v>0</v>
      </c>
      <c r="F477" s="2406">
        <v>0</v>
      </c>
      <c r="G477" s="2407">
        <v>0</v>
      </c>
      <c r="H477" s="2407">
        <v>0</v>
      </c>
      <c r="I477" s="2408"/>
      <c r="J477" s="2408"/>
      <c r="K477" s="2408"/>
      <c r="L477" s="2409"/>
    </row>
    <row r="478" spans="1:12" ht="12" customHeight="1" x14ac:dyDescent="0.3">
      <c r="A478" s="2394" t="s">
        <v>2059</v>
      </c>
      <c r="B478" s="2395" t="s">
        <v>2060</v>
      </c>
      <c r="C478" s="2406">
        <v>0</v>
      </c>
      <c r="D478" s="2396"/>
      <c r="E478" s="2406">
        <v>0</v>
      </c>
      <c r="F478" s="2406">
        <v>0</v>
      </c>
      <c r="G478" s="2407">
        <v>0</v>
      </c>
      <c r="H478" s="2407">
        <v>0</v>
      </c>
      <c r="I478" s="2408"/>
      <c r="J478" s="2408"/>
      <c r="K478" s="2408"/>
      <c r="L478" s="2409"/>
    </row>
    <row r="479" spans="1:12" ht="12" customHeight="1" x14ac:dyDescent="0.3">
      <c r="A479" s="2394" t="s">
        <v>2061</v>
      </c>
      <c r="B479" s="2395" t="s">
        <v>2062</v>
      </c>
      <c r="C479" s="2406">
        <v>0</v>
      </c>
      <c r="D479" s="2396"/>
      <c r="E479" s="2406">
        <v>0</v>
      </c>
      <c r="F479" s="2406">
        <v>0</v>
      </c>
      <c r="G479" s="2407">
        <v>0</v>
      </c>
      <c r="H479" s="2407">
        <v>0</v>
      </c>
      <c r="I479" s="2408"/>
      <c r="J479" s="2408"/>
      <c r="K479" s="2408"/>
      <c r="L479" s="2409"/>
    </row>
    <row r="480" spans="1:12" ht="12" customHeight="1" x14ac:dyDescent="0.3">
      <c r="A480" s="2394" t="s">
        <v>2063</v>
      </c>
      <c r="B480" s="2395" t="s">
        <v>2064</v>
      </c>
      <c r="C480" s="2406">
        <v>0</v>
      </c>
      <c r="D480" s="2396"/>
      <c r="E480" s="2406">
        <v>0</v>
      </c>
      <c r="F480" s="2406">
        <v>0</v>
      </c>
      <c r="G480" s="2407">
        <v>0</v>
      </c>
      <c r="H480" s="2407">
        <v>0</v>
      </c>
      <c r="I480" s="2408"/>
      <c r="J480" s="2408"/>
      <c r="K480" s="2408"/>
      <c r="L480" s="2409"/>
    </row>
    <row r="481" spans="1:12" ht="12" customHeight="1" x14ac:dyDescent="0.3">
      <c r="A481" s="2394" t="s">
        <v>2065</v>
      </c>
      <c r="B481" s="2395" t="s">
        <v>2066</v>
      </c>
      <c r="C481" s="2406">
        <v>0</v>
      </c>
      <c r="D481" s="2396"/>
      <c r="E481" s="2406">
        <v>0</v>
      </c>
      <c r="F481" s="2406">
        <v>0</v>
      </c>
      <c r="G481" s="2407">
        <v>0</v>
      </c>
      <c r="H481" s="2407">
        <v>0</v>
      </c>
      <c r="I481" s="2408"/>
      <c r="J481" s="2408"/>
      <c r="K481" s="2408"/>
      <c r="L481" s="2409"/>
    </row>
    <row r="482" spans="1:12" ht="12" customHeight="1" x14ac:dyDescent="0.3">
      <c r="A482" s="2394" t="s">
        <v>2067</v>
      </c>
      <c r="B482" s="2395" t="s">
        <v>2068</v>
      </c>
      <c r="C482" s="2406">
        <v>0</v>
      </c>
      <c r="D482" s="2396"/>
      <c r="E482" s="2406">
        <v>0</v>
      </c>
      <c r="F482" s="2406">
        <v>0</v>
      </c>
      <c r="G482" s="2407">
        <v>0</v>
      </c>
      <c r="H482" s="2407">
        <v>0</v>
      </c>
      <c r="I482" s="2408"/>
      <c r="J482" s="2408"/>
      <c r="K482" s="2408"/>
      <c r="L482" s="2409"/>
    </row>
    <row r="483" spans="1:12" ht="12" customHeight="1" x14ac:dyDescent="0.3">
      <c r="A483" s="2394" t="s">
        <v>2069</v>
      </c>
      <c r="B483" s="2395" t="s">
        <v>2070</v>
      </c>
      <c r="C483" s="2406">
        <v>0</v>
      </c>
      <c r="D483" s="2396"/>
      <c r="E483" s="2406">
        <v>0</v>
      </c>
      <c r="F483" s="2406">
        <v>0</v>
      </c>
      <c r="G483" s="2407">
        <v>0</v>
      </c>
      <c r="H483" s="2407">
        <v>0</v>
      </c>
      <c r="I483" s="2408"/>
      <c r="J483" s="2408"/>
      <c r="K483" s="2408"/>
      <c r="L483" s="2409"/>
    </row>
    <row r="484" spans="1:12" ht="12" customHeight="1" x14ac:dyDescent="0.3">
      <c r="A484" s="2394" t="s">
        <v>2071</v>
      </c>
      <c r="B484" s="2395" t="s">
        <v>2072</v>
      </c>
      <c r="C484" s="2406">
        <v>0</v>
      </c>
      <c r="D484" s="2396"/>
      <c r="E484" s="2406">
        <v>0</v>
      </c>
      <c r="F484" s="2406">
        <v>0</v>
      </c>
      <c r="G484" s="2407">
        <v>0</v>
      </c>
      <c r="H484" s="2407">
        <v>0</v>
      </c>
      <c r="I484" s="2408"/>
      <c r="J484" s="2408"/>
      <c r="K484" s="2408"/>
      <c r="L484" s="2409"/>
    </row>
    <row r="485" spans="1:12" ht="12" customHeight="1" x14ac:dyDescent="0.3">
      <c r="A485" s="2394" t="s">
        <v>2073</v>
      </c>
      <c r="B485" s="2395" t="s">
        <v>2074</v>
      </c>
      <c r="C485" s="2406">
        <v>0</v>
      </c>
      <c r="D485" s="2396"/>
      <c r="E485" s="2406">
        <v>0</v>
      </c>
      <c r="F485" s="2406">
        <v>0</v>
      </c>
      <c r="G485" s="2407">
        <v>0</v>
      </c>
      <c r="H485" s="2407">
        <v>0</v>
      </c>
      <c r="I485" s="2408"/>
      <c r="J485" s="2408"/>
      <c r="K485" s="2408"/>
      <c r="L485" s="2409"/>
    </row>
    <row r="486" spans="1:12" ht="12" customHeight="1" x14ac:dyDescent="0.3">
      <c r="A486" s="2394" t="s">
        <v>1147</v>
      </c>
      <c r="B486" s="2395" t="s">
        <v>1148</v>
      </c>
      <c r="C486" s="2406" t="s">
        <v>8309</v>
      </c>
      <c r="D486" s="2396"/>
      <c r="E486" s="2406">
        <v>0</v>
      </c>
      <c r="F486" s="2406">
        <v>0</v>
      </c>
      <c r="G486" s="2407">
        <v>0</v>
      </c>
      <c r="H486" s="2407" t="s">
        <v>8309</v>
      </c>
      <c r="I486" s="2408"/>
      <c r="J486" s="2408"/>
      <c r="K486" s="2408"/>
      <c r="L486" s="2409"/>
    </row>
    <row r="487" spans="1:12" x14ac:dyDescent="0.3">
      <c r="A487" s="2394" t="s">
        <v>2075</v>
      </c>
      <c r="B487" s="2395" t="s">
        <v>2076</v>
      </c>
      <c r="C487" s="2406">
        <v>0</v>
      </c>
      <c r="D487" s="2396"/>
      <c r="E487" s="2406">
        <v>0</v>
      </c>
      <c r="F487" s="2406">
        <v>0</v>
      </c>
      <c r="G487" s="2407">
        <v>0</v>
      </c>
      <c r="H487" s="2407">
        <v>0</v>
      </c>
      <c r="I487" s="2408"/>
      <c r="J487" s="2408"/>
      <c r="K487" s="2408"/>
      <c r="L487" s="2409"/>
    </row>
    <row r="488" spans="1:12" ht="12" customHeight="1" x14ac:dyDescent="0.3">
      <c r="A488" s="2394" t="s">
        <v>2077</v>
      </c>
      <c r="B488" s="2395" t="s">
        <v>374</v>
      </c>
      <c r="C488" s="2406">
        <v>0</v>
      </c>
      <c r="D488" s="2396"/>
      <c r="E488" s="2406">
        <v>0</v>
      </c>
      <c r="F488" s="2406">
        <v>0</v>
      </c>
      <c r="G488" s="2407">
        <v>0</v>
      </c>
      <c r="H488" s="2407">
        <v>0</v>
      </c>
      <c r="I488" s="2408"/>
      <c r="J488" s="2408"/>
      <c r="K488" s="2408"/>
      <c r="L488" s="2409"/>
    </row>
    <row r="489" spans="1:12" ht="12" customHeight="1" x14ac:dyDescent="0.3">
      <c r="A489" s="2394" t="s">
        <v>2078</v>
      </c>
      <c r="B489" s="2395" t="s">
        <v>2079</v>
      </c>
      <c r="C489" s="2406">
        <v>0</v>
      </c>
      <c r="D489" s="2396"/>
      <c r="E489" s="2406">
        <v>0</v>
      </c>
      <c r="F489" s="2406">
        <v>0</v>
      </c>
      <c r="G489" s="2407">
        <v>0</v>
      </c>
      <c r="H489" s="2407">
        <v>0</v>
      </c>
      <c r="I489" s="2408"/>
      <c r="J489" s="2408"/>
      <c r="K489" s="2408"/>
      <c r="L489" s="2409"/>
    </row>
    <row r="490" spans="1:12" ht="12" customHeight="1" x14ac:dyDescent="0.3">
      <c r="A490" s="2394" t="s">
        <v>2080</v>
      </c>
      <c r="B490" s="2395" t="s">
        <v>2081</v>
      </c>
      <c r="C490" s="2406" t="s">
        <v>7751</v>
      </c>
      <c r="D490" s="2396"/>
      <c r="E490" s="2406">
        <v>0</v>
      </c>
      <c r="F490" s="2406">
        <v>0</v>
      </c>
      <c r="G490" s="2407">
        <v>0</v>
      </c>
      <c r="H490" s="2407" t="s">
        <v>7751</v>
      </c>
      <c r="I490" s="2408"/>
      <c r="J490" s="2408"/>
      <c r="K490" s="2408"/>
      <c r="L490" s="2409"/>
    </row>
    <row r="491" spans="1:12" ht="12" customHeight="1" x14ac:dyDescent="0.3">
      <c r="A491" s="2394" t="s">
        <v>2082</v>
      </c>
      <c r="B491" s="2395" t="s">
        <v>2083</v>
      </c>
      <c r="C491" s="2406" t="s">
        <v>7752</v>
      </c>
      <c r="D491" s="2396"/>
      <c r="E491" s="2406">
        <v>0</v>
      </c>
      <c r="F491" s="2406">
        <v>0</v>
      </c>
      <c r="G491" s="2407">
        <v>0</v>
      </c>
      <c r="H491" s="2407" t="s">
        <v>7752</v>
      </c>
      <c r="I491" s="2408"/>
      <c r="J491" s="2408"/>
      <c r="K491" s="2408"/>
      <c r="L491" s="2409"/>
    </row>
    <row r="492" spans="1:12" ht="12" customHeight="1" x14ac:dyDescent="0.3">
      <c r="A492" s="2394" t="s">
        <v>2084</v>
      </c>
      <c r="B492" s="2395" t="s">
        <v>2085</v>
      </c>
      <c r="C492" s="2406">
        <v>0</v>
      </c>
      <c r="D492" s="2396"/>
      <c r="E492" s="2406">
        <v>0</v>
      </c>
      <c r="F492" s="2406">
        <v>0</v>
      </c>
      <c r="G492" s="2407">
        <v>0</v>
      </c>
      <c r="H492" s="2407">
        <v>0</v>
      </c>
      <c r="I492" s="2408"/>
      <c r="J492" s="2408"/>
      <c r="K492" s="2408"/>
      <c r="L492" s="2409"/>
    </row>
    <row r="493" spans="1:12" ht="12" customHeight="1" x14ac:dyDescent="0.3">
      <c r="A493" s="2394" t="s">
        <v>2086</v>
      </c>
      <c r="B493" s="2395" t="s">
        <v>2087</v>
      </c>
      <c r="C493" s="2406">
        <v>0</v>
      </c>
      <c r="D493" s="2396"/>
      <c r="E493" s="2406">
        <v>0</v>
      </c>
      <c r="F493" s="2406">
        <v>0</v>
      </c>
      <c r="G493" s="2407">
        <v>0</v>
      </c>
      <c r="H493" s="2407">
        <v>0</v>
      </c>
      <c r="I493" s="2408"/>
      <c r="J493" s="2408"/>
      <c r="K493" s="2408"/>
      <c r="L493" s="2409"/>
    </row>
    <row r="494" spans="1:12" ht="12" customHeight="1" x14ac:dyDescent="0.3">
      <c r="A494" s="2394" t="s">
        <v>2088</v>
      </c>
      <c r="B494" s="2395" t="s">
        <v>2089</v>
      </c>
      <c r="C494" s="2406">
        <v>0</v>
      </c>
      <c r="D494" s="2396"/>
      <c r="E494" s="2406">
        <v>0</v>
      </c>
      <c r="F494" s="2406">
        <v>0</v>
      </c>
      <c r="G494" s="2407">
        <v>0</v>
      </c>
      <c r="H494" s="2407">
        <v>0</v>
      </c>
      <c r="I494" s="2408"/>
      <c r="J494" s="2408"/>
      <c r="K494" s="2408"/>
      <c r="L494" s="2409"/>
    </row>
    <row r="495" spans="1:12" ht="12" customHeight="1" x14ac:dyDescent="0.3">
      <c r="A495" s="2394" t="s">
        <v>2090</v>
      </c>
      <c r="B495" s="2395" t="s">
        <v>2091</v>
      </c>
      <c r="C495" s="2406">
        <v>0</v>
      </c>
      <c r="D495" s="2396"/>
      <c r="E495" s="2406">
        <v>0</v>
      </c>
      <c r="F495" s="2406">
        <v>0</v>
      </c>
      <c r="G495" s="2407">
        <v>0</v>
      </c>
      <c r="H495" s="2407">
        <v>0</v>
      </c>
      <c r="I495" s="2408"/>
      <c r="J495" s="2408"/>
      <c r="K495" s="2408"/>
      <c r="L495" s="2409"/>
    </row>
    <row r="496" spans="1:12" ht="12" customHeight="1" x14ac:dyDescent="0.3">
      <c r="A496" s="2394" t="s">
        <v>2092</v>
      </c>
      <c r="B496" s="2395" t="s">
        <v>2093</v>
      </c>
      <c r="C496" s="2406">
        <v>0</v>
      </c>
      <c r="D496" s="2396"/>
      <c r="E496" s="2406">
        <v>0</v>
      </c>
      <c r="F496" s="2406">
        <v>0</v>
      </c>
      <c r="G496" s="2407">
        <v>0</v>
      </c>
      <c r="H496" s="2407">
        <v>0</v>
      </c>
      <c r="I496" s="2408"/>
      <c r="J496" s="2408"/>
      <c r="K496" s="2408"/>
      <c r="L496" s="2409"/>
    </row>
    <row r="497" spans="1:13" ht="12" customHeight="1" x14ac:dyDescent="0.3">
      <c r="A497" s="2394" t="s">
        <v>1155</v>
      </c>
      <c r="B497" s="2395" t="s">
        <v>1156</v>
      </c>
      <c r="C497" s="2406">
        <v>0</v>
      </c>
      <c r="D497" s="2396"/>
      <c r="E497" s="2406">
        <v>0</v>
      </c>
      <c r="F497" s="2406">
        <v>0</v>
      </c>
      <c r="G497" s="2407">
        <v>0</v>
      </c>
      <c r="H497" s="2407">
        <v>0</v>
      </c>
      <c r="I497" s="2408"/>
      <c r="J497" s="2408"/>
      <c r="K497" s="2408"/>
      <c r="L497" s="2409"/>
    </row>
    <row r="498" spans="1:13" ht="12" customHeight="1" x14ac:dyDescent="0.3">
      <c r="A498" s="2394" t="s">
        <v>2094</v>
      </c>
      <c r="B498" s="2395" t="s">
        <v>2095</v>
      </c>
      <c r="C498" s="2406">
        <v>0</v>
      </c>
      <c r="D498" s="2396"/>
      <c r="E498" s="2406">
        <v>0</v>
      </c>
      <c r="F498" s="2406">
        <v>0</v>
      </c>
      <c r="G498" s="2407">
        <v>0</v>
      </c>
      <c r="H498" s="2407">
        <v>0</v>
      </c>
      <c r="I498" s="2408"/>
      <c r="J498" s="2408"/>
      <c r="K498" s="2408"/>
      <c r="L498" s="2409"/>
    </row>
    <row r="499" spans="1:13" ht="12" customHeight="1" x14ac:dyDescent="0.3">
      <c r="A499" s="2394" t="s">
        <v>2096</v>
      </c>
      <c r="B499" s="2395" t="s">
        <v>2097</v>
      </c>
      <c r="C499" s="2406">
        <v>0</v>
      </c>
      <c r="D499" s="2396"/>
      <c r="E499" s="2406">
        <v>0</v>
      </c>
      <c r="F499" s="2406">
        <v>0</v>
      </c>
      <c r="G499" s="2407">
        <v>0</v>
      </c>
      <c r="H499" s="2407">
        <v>0</v>
      </c>
      <c r="I499" s="2408"/>
      <c r="J499" s="2408"/>
      <c r="K499" s="2408"/>
      <c r="L499" s="2409"/>
    </row>
    <row r="500" spans="1:13" ht="12" customHeight="1" x14ac:dyDescent="0.3">
      <c r="A500" s="2394" t="s">
        <v>2098</v>
      </c>
      <c r="B500" s="2395" t="s">
        <v>2099</v>
      </c>
      <c r="C500" s="2406">
        <v>0</v>
      </c>
      <c r="D500" s="2396"/>
      <c r="E500" s="2406">
        <v>0</v>
      </c>
      <c r="F500" s="2406">
        <v>0</v>
      </c>
      <c r="G500" s="2407">
        <v>0</v>
      </c>
      <c r="H500" s="2407">
        <v>0</v>
      </c>
      <c r="I500" s="2408"/>
      <c r="J500" s="2408"/>
      <c r="K500" s="2408"/>
      <c r="L500" s="2409"/>
    </row>
    <row r="501" spans="1:13" ht="12" customHeight="1" x14ac:dyDescent="0.3">
      <c r="A501" s="2394" t="s">
        <v>2100</v>
      </c>
      <c r="B501" s="2395" t="s">
        <v>2101</v>
      </c>
      <c r="C501" s="2406">
        <v>0</v>
      </c>
      <c r="D501" s="2396"/>
      <c r="E501" s="2406">
        <v>0</v>
      </c>
      <c r="F501" s="2406">
        <v>0</v>
      </c>
      <c r="G501" s="2407">
        <v>0</v>
      </c>
      <c r="H501" s="2407">
        <v>0</v>
      </c>
      <c r="I501" s="2408"/>
      <c r="J501" s="2408"/>
      <c r="K501" s="2408"/>
      <c r="L501" s="2409"/>
    </row>
    <row r="502" spans="1:13" ht="12" customHeight="1" x14ac:dyDescent="0.3">
      <c r="A502" s="2394" t="s">
        <v>1157</v>
      </c>
      <c r="B502" s="2395" t="s">
        <v>1158</v>
      </c>
      <c r="C502" s="2406">
        <v>0</v>
      </c>
      <c r="D502" s="2396"/>
      <c r="E502" s="2406">
        <v>0</v>
      </c>
      <c r="F502" s="2406">
        <v>0</v>
      </c>
      <c r="G502" s="2407">
        <v>0</v>
      </c>
      <c r="H502" s="2407">
        <v>0</v>
      </c>
      <c r="I502" s="2408"/>
      <c r="J502" s="2408"/>
      <c r="K502" s="2408"/>
      <c r="L502" s="2409"/>
    </row>
    <row r="503" spans="1:13" ht="12" customHeight="1" x14ac:dyDescent="0.3">
      <c r="A503" s="2394" t="s">
        <v>2102</v>
      </c>
      <c r="B503" s="2395" t="s">
        <v>2101</v>
      </c>
      <c r="C503" s="2406">
        <v>0</v>
      </c>
      <c r="D503" s="2396"/>
      <c r="E503" s="2406">
        <v>0</v>
      </c>
      <c r="F503" s="2406">
        <v>0</v>
      </c>
      <c r="G503" s="2407">
        <v>0</v>
      </c>
      <c r="H503" s="2407">
        <v>0</v>
      </c>
      <c r="I503" s="2408"/>
      <c r="J503" s="2408"/>
      <c r="K503" s="2408"/>
      <c r="L503" s="2409"/>
    </row>
    <row r="504" spans="1:13" ht="12" customHeight="1" x14ac:dyDescent="0.3">
      <c r="A504" s="2394" t="s">
        <v>2103</v>
      </c>
      <c r="B504" s="2395" t="s">
        <v>2104</v>
      </c>
      <c r="C504" s="2406">
        <v>0</v>
      </c>
      <c r="D504" s="2396"/>
      <c r="E504" s="2406">
        <v>0</v>
      </c>
      <c r="F504" s="2406">
        <v>0</v>
      </c>
      <c r="G504" s="2407">
        <v>0</v>
      </c>
      <c r="H504" s="2407">
        <v>0</v>
      </c>
      <c r="I504" s="2408"/>
      <c r="J504" s="2408"/>
      <c r="K504" s="2408"/>
      <c r="L504" s="2409"/>
    </row>
    <row r="505" spans="1:13" x14ac:dyDescent="0.3">
      <c r="A505" s="2394" t="s">
        <v>2105</v>
      </c>
      <c r="B505" s="2395" t="s">
        <v>2106</v>
      </c>
      <c r="C505" s="2406">
        <v>0</v>
      </c>
      <c r="D505" s="2396"/>
      <c r="E505" s="2406">
        <v>0</v>
      </c>
      <c r="F505" s="2406">
        <v>0</v>
      </c>
      <c r="G505" s="2407">
        <v>0</v>
      </c>
      <c r="H505" s="2407">
        <v>0</v>
      </c>
      <c r="I505" s="2408"/>
      <c r="J505" s="2416"/>
      <c r="K505" s="2408"/>
      <c r="L505" s="2409"/>
      <c r="M505" s="2417">
        <f>J505+G505</f>
        <v>0</v>
      </c>
    </row>
    <row r="506" spans="1:13" ht="12" customHeight="1" x14ac:dyDescent="0.3">
      <c r="A506" s="2394" t="s">
        <v>2107</v>
      </c>
      <c r="B506" s="2395" t="s">
        <v>2108</v>
      </c>
      <c r="C506" s="2406">
        <v>0</v>
      </c>
      <c r="D506" s="2396"/>
      <c r="E506" s="2406">
        <v>0</v>
      </c>
      <c r="F506" s="2406">
        <v>0</v>
      </c>
      <c r="G506" s="2407">
        <v>0</v>
      </c>
      <c r="H506" s="2407">
        <v>0</v>
      </c>
      <c r="I506" s="2408"/>
      <c r="J506" s="2408"/>
      <c r="K506" s="2408"/>
      <c r="L506" s="2409"/>
    </row>
    <row r="507" spans="1:13" ht="12" customHeight="1" x14ac:dyDescent="0.3">
      <c r="A507" s="2394" t="s">
        <v>2109</v>
      </c>
      <c r="B507" s="2395" t="s">
        <v>2110</v>
      </c>
      <c r="C507" s="2406">
        <v>0</v>
      </c>
      <c r="D507" s="2396"/>
      <c r="E507" s="2406">
        <v>0</v>
      </c>
      <c r="F507" s="2406">
        <v>0</v>
      </c>
      <c r="G507" s="2407">
        <v>0</v>
      </c>
      <c r="H507" s="2407">
        <v>0</v>
      </c>
      <c r="I507" s="2408"/>
      <c r="J507" s="2408"/>
      <c r="K507" s="2408"/>
      <c r="L507" s="2409"/>
    </row>
    <row r="508" spans="1:13" ht="12" customHeight="1" x14ac:dyDescent="0.3">
      <c r="A508" s="2394" t="s">
        <v>2111</v>
      </c>
      <c r="B508" s="2395" t="s">
        <v>2112</v>
      </c>
      <c r="C508" s="2406">
        <v>0</v>
      </c>
      <c r="D508" s="2396"/>
      <c r="E508" s="2406">
        <v>0</v>
      </c>
      <c r="F508" s="2406">
        <v>0</v>
      </c>
      <c r="G508" s="2407">
        <v>0</v>
      </c>
      <c r="H508" s="2407">
        <v>0</v>
      </c>
      <c r="I508" s="2408"/>
      <c r="J508" s="2408"/>
      <c r="K508" s="2408"/>
      <c r="L508" s="2409"/>
    </row>
    <row r="509" spans="1:13" ht="12" customHeight="1" x14ac:dyDescent="0.3">
      <c r="A509" s="2394" t="s">
        <v>2113</v>
      </c>
      <c r="B509" s="2395" t="s">
        <v>350</v>
      </c>
      <c r="C509" s="2406">
        <v>0</v>
      </c>
      <c r="D509" s="2396"/>
      <c r="E509" s="2406">
        <v>0</v>
      </c>
      <c r="F509" s="2406">
        <v>0</v>
      </c>
      <c r="G509" s="2407">
        <v>0</v>
      </c>
      <c r="H509" s="2407">
        <v>0</v>
      </c>
      <c r="I509" s="2408"/>
      <c r="J509" s="2408"/>
      <c r="K509" s="2408"/>
      <c r="L509" s="2409"/>
    </row>
    <row r="510" spans="1:13" ht="12" customHeight="1" x14ac:dyDescent="0.3">
      <c r="A510" s="2394" t="s">
        <v>2114</v>
      </c>
      <c r="B510" s="2395" t="s">
        <v>350</v>
      </c>
      <c r="C510" s="2406">
        <v>0</v>
      </c>
      <c r="D510" s="2396"/>
      <c r="E510" s="2406">
        <v>0</v>
      </c>
      <c r="F510" s="2406">
        <v>0</v>
      </c>
      <c r="G510" s="2407">
        <v>0</v>
      </c>
      <c r="H510" s="2407">
        <v>0</v>
      </c>
      <c r="I510" s="2408"/>
      <c r="J510" s="2408"/>
      <c r="K510" s="2408"/>
      <c r="L510" s="2409"/>
    </row>
    <row r="511" spans="1:13" ht="12" customHeight="1" x14ac:dyDescent="0.3">
      <c r="A511" s="2394" t="s">
        <v>2117</v>
      </c>
      <c r="B511" s="2395" t="s">
        <v>374</v>
      </c>
      <c r="C511" s="2406">
        <v>0</v>
      </c>
      <c r="D511" s="2396"/>
      <c r="E511" s="2406">
        <v>0</v>
      </c>
      <c r="F511" s="2406">
        <v>0</v>
      </c>
      <c r="G511" s="2407">
        <v>0</v>
      </c>
      <c r="H511" s="2407">
        <v>0</v>
      </c>
      <c r="I511" s="2408"/>
      <c r="J511" s="2408"/>
      <c r="K511" s="2408"/>
      <c r="L511" s="2409"/>
    </row>
    <row r="512" spans="1:13" ht="12" customHeight="1" x14ac:dyDescent="0.3">
      <c r="A512" s="2394" t="s">
        <v>2118</v>
      </c>
      <c r="B512" s="2395" t="s">
        <v>2119</v>
      </c>
      <c r="C512" s="2406">
        <v>0</v>
      </c>
      <c r="D512" s="2396"/>
      <c r="E512" s="2406">
        <v>0</v>
      </c>
      <c r="F512" s="2406">
        <v>0</v>
      </c>
      <c r="G512" s="2407">
        <v>0</v>
      </c>
      <c r="H512" s="2407">
        <v>0</v>
      </c>
      <c r="I512" s="2408"/>
      <c r="J512" s="2408"/>
      <c r="K512" s="2408"/>
      <c r="L512" s="2409"/>
    </row>
    <row r="513" spans="1:12" ht="12" customHeight="1" x14ac:dyDescent="0.3">
      <c r="A513" s="2394" t="s">
        <v>2120</v>
      </c>
      <c r="B513" s="2395" t="s">
        <v>2121</v>
      </c>
      <c r="C513" s="2406" t="s">
        <v>8221</v>
      </c>
      <c r="D513" s="2396"/>
      <c r="E513" s="2406">
        <v>0</v>
      </c>
      <c r="F513" s="2406">
        <v>0</v>
      </c>
      <c r="G513" s="2407">
        <v>0</v>
      </c>
      <c r="H513" s="2407" t="s">
        <v>8221</v>
      </c>
      <c r="I513" s="2408"/>
      <c r="J513" s="2408"/>
      <c r="K513" s="2408"/>
      <c r="L513" s="2409"/>
    </row>
    <row r="514" spans="1:12" ht="12" customHeight="1" x14ac:dyDescent="0.3">
      <c r="A514" s="2394" t="s">
        <v>2122</v>
      </c>
      <c r="B514" s="2395" t="s">
        <v>2123</v>
      </c>
      <c r="C514" s="2406" t="s">
        <v>8222</v>
      </c>
      <c r="D514" s="2396"/>
      <c r="E514" s="2406">
        <v>0</v>
      </c>
      <c r="F514" s="2406">
        <v>0</v>
      </c>
      <c r="G514" s="2407">
        <v>0</v>
      </c>
      <c r="H514" s="2407" t="s">
        <v>8222</v>
      </c>
      <c r="I514" s="2408"/>
      <c r="J514" s="2408"/>
      <c r="K514" s="2408"/>
      <c r="L514" s="2409"/>
    </row>
    <row r="515" spans="1:12" ht="12" customHeight="1" x14ac:dyDescent="0.3">
      <c r="A515" s="2394" t="s">
        <v>2124</v>
      </c>
      <c r="B515" s="2395" t="s">
        <v>2125</v>
      </c>
      <c r="C515" s="2406">
        <v>0</v>
      </c>
      <c r="D515" s="2396"/>
      <c r="E515" s="2406">
        <v>0</v>
      </c>
      <c r="F515" s="2406">
        <v>0</v>
      </c>
      <c r="G515" s="2407">
        <v>0</v>
      </c>
      <c r="H515" s="2407">
        <v>0</v>
      </c>
      <c r="I515" s="2408"/>
      <c r="J515" s="2408"/>
      <c r="K515" s="2408"/>
      <c r="L515" s="2409"/>
    </row>
    <row r="516" spans="1:12" ht="12" customHeight="1" x14ac:dyDescent="0.3">
      <c r="A516" s="2394" t="s">
        <v>2126</v>
      </c>
      <c r="B516" s="2395" t="s">
        <v>2127</v>
      </c>
      <c r="C516" s="2406">
        <v>0</v>
      </c>
      <c r="D516" s="2396"/>
      <c r="E516" s="2406">
        <v>0</v>
      </c>
      <c r="F516" s="2406">
        <v>0</v>
      </c>
      <c r="G516" s="2407">
        <v>0</v>
      </c>
      <c r="H516" s="2407">
        <v>0</v>
      </c>
      <c r="I516" s="2408"/>
      <c r="J516" s="2408"/>
      <c r="K516" s="2408"/>
      <c r="L516" s="2409"/>
    </row>
    <row r="517" spans="1:12" ht="12" customHeight="1" x14ac:dyDescent="0.3">
      <c r="A517" s="2394" t="s">
        <v>2128</v>
      </c>
      <c r="B517" s="2395" t="s">
        <v>2089</v>
      </c>
      <c r="C517" s="2406">
        <v>0</v>
      </c>
      <c r="D517" s="2396"/>
      <c r="E517" s="2406">
        <v>0</v>
      </c>
      <c r="F517" s="2406">
        <v>0</v>
      </c>
      <c r="G517" s="2407">
        <v>0</v>
      </c>
      <c r="H517" s="2407">
        <v>0</v>
      </c>
      <c r="I517" s="2408"/>
      <c r="J517" s="2408"/>
      <c r="K517" s="2408"/>
      <c r="L517" s="2409"/>
    </row>
    <row r="518" spans="1:12" ht="12" customHeight="1" x14ac:dyDescent="0.3">
      <c r="A518" s="2394" t="s">
        <v>2129</v>
      </c>
      <c r="B518" s="2395" t="s">
        <v>2130</v>
      </c>
      <c r="C518" s="2406" t="s">
        <v>8223</v>
      </c>
      <c r="D518" s="2396"/>
      <c r="E518" s="2406">
        <v>0</v>
      </c>
      <c r="F518" s="2406">
        <v>500000</v>
      </c>
      <c r="G518" s="2407" t="s">
        <v>8310</v>
      </c>
      <c r="H518" s="2407" t="s">
        <v>8311</v>
      </c>
      <c r="I518" s="2408"/>
      <c r="J518" s="2408"/>
      <c r="K518" s="2408"/>
      <c r="L518" s="2409"/>
    </row>
    <row r="519" spans="1:12" ht="12" customHeight="1" x14ac:dyDescent="0.3">
      <c r="A519" s="2394" t="s">
        <v>2131</v>
      </c>
      <c r="B519" s="2395" t="s">
        <v>2132</v>
      </c>
      <c r="C519" s="2406" t="s">
        <v>8117</v>
      </c>
      <c r="D519" s="2396"/>
      <c r="E519" s="2406">
        <v>0</v>
      </c>
      <c r="F519" s="2406">
        <v>0</v>
      </c>
      <c r="G519" s="2407">
        <v>0</v>
      </c>
      <c r="H519" s="2407" t="s">
        <v>8117</v>
      </c>
      <c r="I519" s="2408"/>
      <c r="J519" s="2408"/>
      <c r="K519" s="2408"/>
      <c r="L519" s="2409"/>
    </row>
    <row r="520" spans="1:12" ht="12" customHeight="1" x14ac:dyDescent="0.3">
      <c r="A520" s="2394" t="s">
        <v>2133</v>
      </c>
      <c r="B520" s="2395" t="s">
        <v>2134</v>
      </c>
      <c r="C520" s="2406" t="s">
        <v>8118</v>
      </c>
      <c r="D520" s="2396"/>
      <c r="E520" s="2406">
        <v>0</v>
      </c>
      <c r="F520" s="2406">
        <v>0</v>
      </c>
      <c r="G520" s="2407">
        <v>0</v>
      </c>
      <c r="H520" s="2407" t="s">
        <v>8118</v>
      </c>
      <c r="I520" s="2408"/>
      <c r="J520" s="2408"/>
      <c r="K520" s="2408"/>
      <c r="L520" s="2409"/>
    </row>
    <row r="521" spans="1:12" ht="12" customHeight="1" x14ac:dyDescent="0.3">
      <c r="A521" s="2394" t="s">
        <v>2135</v>
      </c>
      <c r="B521" s="2395" t="s">
        <v>2136</v>
      </c>
      <c r="C521" s="2406">
        <v>0</v>
      </c>
      <c r="D521" s="2396"/>
      <c r="E521" s="2406">
        <v>0</v>
      </c>
      <c r="F521" s="2406">
        <v>0</v>
      </c>
      <c r="G521" s="2407">
        <v>0</v>
      </c>
      <c r="H521" s="2407">
        <v>0</v>
      </c>
      <c r="I521" s="2408"/>
      <c r="J521" s="2408"/>
      <c r="K521" s="2408"/>
      <c r="L521" s="2409"/>
    </row>
    <row r="522" spans="1:12" ht="12" customHeight="1" x14ac:dyDescent="0.3">
      <c r="A522" s="2394" t="s">
        <v>2137</v>
      </c>
      <c r="B522" s="2395" t="s">
        <v>2138</v>
      </c>
      <c r="C522" s="2406">
        <v>0</v>
      </c>
      <c r="D522" s="2396"/>
      <c r="E522" s="2406">
        <v>0</v>
      </c>
      <c r="F522" s="2406">
        <v>0</v>
      </c>
      <c r="G522" s="2407">
        <v>0</v>
      </c>
      <c r="H522" s="2407">
        <v>0</v>
      </c>
      <c r="I522" s="2408"/>
      <c r="J522" s="2408"/>
      <c r="K522" s="2408"/>
      <c r="L522" s="2409"/>
    </row>
    <row r="523" spans="1:12" ht="12" customHeight="1" x14ac:dyDescent="0.3">
      <c r="A523" s="2394" t="s">
        <v>2139</v>
      </c>
      <c r="B523" s="2395" t="s">
        <v>2140</v>
      </c>
      <c r="C523" s="2406">
        <v>0</v>
      </c>
      <c r="D523" s="2396"/>
      <c r="E523" s="2406">
        <v>0</v>
      </c>
      <c r="F523" s="2406">
        <v>0</v>
      </c>
      <c r="G523" s="2407">
        <v>0</v>
      </c>
      <c r="H523" s="2407">
        <v>0</v>
      </c>
      <c r="I523" s="2408"/>
      <c r="J523" s="2408"/>
      <c r="K523" s="2408"/>
      <c r="L523" s="2409"/>
    </row>
    <row r="524" spans="1:12" ht="12" customHeight="1" x14ac:dyDescent="0.3">
      <c r="A524" s="2394" t="s">
        <v>2141</v>
      </c>
      <c r="B524" s="2395" t="s">
        <v>2127</v>
      </c>
      <c r="C524" s="2406">
        <v>0</v>
      </c>
      <c r="D524" s="2396"/>
      <c r="E524" s="2406">
        <v>0</v>
      </c>
      <c r="F524" s="2406">
        <v>0</v>
      </c>
      <c r="G524" s="2407">
        <v>0</v>
      </c>
      <c r="H524" s="2407">
        <v>0</v>
      </c>
      <c r="I524" s="2408"/>
      <c r="J524" s="2408"/>
      <c r="K524" s="2408"/>
      <c r="L524" s="2409"/>
    </row>
    <row r="525" spans="1:12" ht="12" customHeight="1" x14ac:dyDescent="0.3">
      <c r="A525" s="2394" t="s">
        <v>2142</v>
      </c>
      <c r="B525" s="2395" t="s">
        <v>1158</v>
      </c>
      <c r="C525" s="2406">
        <v>0</v>
      </c>
      <c r="D525" s="2396"/>
      <c r="E525" s="2406">
        <v>0</v>
      </c>
      <c r="F525" s="2406">
        <v>0</v>
      </c>
      <c r="G525" s="2407">
        <v>0</v>
      </c>
      <c r="H525" s="2407">
        <v>0</v>
      </c>
      <c r="I525" s="2408"/>
      <c r="J525" s="2408"/>
      <c r="K525" s="2408"/>
      <c r="L525" s="2409"/>
    </row>
    <row r="526" spans="1:12" ht="12" customHeight="1" x14ac:dyDescent="0.3">
      <c r="A526" s="2394" t="s">
        <v>2143</v>
      </c>
      <c r="B526" s="2395" t="s">
        <v>2127</v>
      </c>
      <c r="C526" s="2406">
        <v>0</v>
      </c>
      <c r="D526" s="2396"/>
      <c r="E526" s="2406">
        <v>0</v>
      </c>
      <c r="F526" s="2406">
        <v>0</v>
      </c>
      <c r="G526" s="2407">
        <v>0</v>
      </c>
      <c r="H526" s="2407">
        <v>0</v>
      </c>
      <c r="I526" s="2408"/>
      <c r="J526" s="2408"/>
      <c r="K526" s="2408"/>
      <c r="L526" s="2409"/>
    </row>
    <row r="527" spans="1:12" ht="12" customHeight="1" x14ac:dyDescent="0.3">
      <c r="A527" s="2394" t="s">
        <v>2144</v>
      </c>
      <c r="B527" s="2395" t="s">
        <v>2104</v>
      </c>
      <c r="C527" s="2406">
        <v>0</v>
      </c>
      <c r="D527" s="2396"/>
      <c r="E527" s="2406">
        <v>0</v>
      </c>
      <c r="F527" s="2406">
        <v>0</v>
      </c>
      <c r="G527" s="2407">
        <v>0</v>
      </c>
      <c r="H527" s="2407">
        <v>0</v>
      </c>
      <c r="I527" s="2408"/>
      <c r="J527" s="2408"/>
      <c r="K527" s="2408"/>
      <c r="L527" s="2409"/>
    </row>
    <row r="528" spans="1:12" ht="12" customHeight="1" x14ac:dyDescent="0.3">
      <c r="A528" s="2394" t="s">
        <v>2145</v>
      </c>
      <c r="B528" s="2395" t="s">
        <v>2146</v>
      </c>
      <c r="C528" s="2406">
        <v>0</v>
      </c>
      <c r="D528" s="2396"/>
      <c r="E528" s="2406">
        <v>0</v>
      </c>
      <c r="F528" s="2406">
        <v>0</v>
      </c>
      <c r="G528" s="2407">
        <v>0</v>
      </c>
      <c r="H528" s="2407">
        <v>0</v>
      </c>
      <c r="I528" s="2408"/>
      <c r="J528" s="2408"/>
      <c r="K528" s="2408"/>
      <c r="L528" s="2409"/>
    </row>
    <row r="529" spans="1:12" ht="12" customHeight="1" x14ac:dyDescent="0.3">
      <c r="A529" s="2394" t="s">
        <v>2147</v>
      </c>
      <c r="B529" s="2395" t="s">
        <v>2148</v>
      </c>
      <c r="C529" s="2406">
        <v>0</v>
      </c>
      <c r="D529" s="2396"/>
      <c r="E529" s="2406">
        <v>0</v>
      </c>
      <c r="F529" s="2406">
        <v>0</v>
      </c>
      <c r="G529" s="2407">
        <v>0</v>
      </c>
      <c r="H529" s="2407">
        <v>0</v>
      </c>
      <c r="I529" s="2408"/>
      <c r="J529" s="2408"/>
      <c r="K529" s="2408"/>
      <c r="L529" s="2409"/>
    </row>
    <row r="530" spans="1:12" ht="12" customHeight="1" x14ac:dyDescent="0.3">
      <c r="A530" s="2394" t="s">
        <v>2149</v>
      </c>
      <c r="B530" s="2395" t="s">
        <v>2150</v>
      </c>
      <c r="C530" s="2406">
        <v>0</v>
      </c>
      <c r="D530" s="2396"/>
      <c r="E530" s="2406">
        <v>0</v>
      </c>
      <c r="F530" s="2406">
        <v>0</v>
      </c>
      <c r="G530" s="2407">
        <v>0</v>
      </c>
      <c r="H530" s="2407">
        <v>0</v>
      </c>
      <c r="I530" s="2408"/>
      <c r="J530" s="2408"/>
      <c r="K530" s="2408"/>
      <c r="L530" s="2409"/>
    </row>
    <row r="531" spans="1:12" ht="12" customHeight="1" x14ac:dyDescent="0.3">
      <c r="A531" s="2394" t="s">
        <v>2151</v>
      </c>
      <c r="B531" s="2395" t="s">
        <v>2152</v>
      </c>
      <c r="C531" s="2406">
        <v>0</v>
      </c>
      <c r="D531" s="2396"/>
      <c r="E531" s="2406">
        <v>0</v>
      </c>
      <c r="F531" s="2406">
        <v>0</v>
      </c>
      <c r="G531" s="2407">
        <v>0</v>
      </c>
      <c r="H531" s="2407">
        <v>0</v>
      </c>
      <c r="I531" s="2408"/>
      <c r="J531" s="2408"/>
      <c r="K531" s="2408"/>
      <c r="L531" s="2409"/>
    </row>
    <row r="532" spans="1:12" ht="12" customHeight="1" x14ac:dyDescent="0.3">
      <c r="A532" s="2394" t="s">
        <v>2153</v>
      </c>
      <c r="B532" s="2395" t="s">
        <v>350</v>
      </c>
      <c r="C532" s="2406">
        <v>0</v>
      </c>
      <c r="D532" s="2396"/>
      <c r="E532" s="2406">
        <v>0</v>
      </c>
      <c r="F532" s="2406">
        <v>0</v>
      </c>
      <c r="G532" s="2407">
        <v>0</v>
      </c>
      <c r="H532" s="2407">
        <v>0</v>
      </c>
      <c r="I532" s="2408"/>
      <c r="J532" s="2408"/>
      <c r="K532" s="2408"/>
      <c r="L532" s="2409"/>
    </row>
    <row r="533" spans="1:12" ht="12" customHeight="1" x14ac:dyDescent="0.3">
      <c r="A533" s="2394" t="s">
        <v>2154</v>
      </c>
      <c r="B533" s="2395" t="s">
        <v>2155</v>
      </c>
      <c r="C533" s="2406">
        <v>0</v>
      </c>
      <c r="D533" s="2396"/>
      <c r="E533" s="2406">
        <v>0</v>
      </c>
      <c r="F533" s="2406">
        <v>0</v>
      </c>
      <c r="G533" s="2407">
        <v>0</v>
      </c>
      <c r="H533" s="2407">
        <v>0</v>
      </c>
      <c r="I533" s="2408"/>
      <c r="J533" s="2408"/>
      <c r="K533" s="2408"/>
      <c r="L533" s="2409"/>
    </row>
    <row r="534" spans="1:12" ht="12" customHeight="1" x14ac:dyDescent="0.3">
      <c r="A534" s="2394" t="s">
        <v>2158</v>
      </c>
      <c r="B534" s="2395" t="s">
        <v>374</v>
      </c>
      <c r="C534" s="2406">
        <v>0</v>
      </c>
      <c r="D534" s="2396"/>
      <c r="E534" s="2406">
        <v>0</v>
      </c>
      <c r="F534" s="2406">
        <v>0</v>
      </c>
      <c r="G534" s="2407">
        <v>0</v>
      </c>
      <c r="H534" s="2407">
        <v>0</v>
      </c>
      <c r="I534" s="2408"/>
      <c r="J534" s="2408"/>
      <c r="K534" s="2408"/>
      <c r="L534" s="2409"/>
    </row>
    <row r="535" spans="1:12" ht="12" customHeight="1" x14ac:dyDescent="0.3">
      <c r="A535" s="2394" t="s">
        <v>2159</v>
      </c>
      <c r="B535" s="2395" t="s">
        <v>2160</v>
      </c>
      <c r="C535" s="2406">
        <v>0</v>
      </c>
      <c r="D535" s="2396"/>
      <c r="E535" s="2406">
        <v>0</v>
      </c>
      <c r="F535" s="2406">
        <v>0</v>
      </c>
      <c r="G535" s="2407">
        <v>0</v>
      </c>
      <c r="H535" s="2407">
        <v>0</v>
      </c>
      <c r="I535" s="2408"/>
      <c r="J535" s="2408"/>
      <c r="K535" s="2408"/>
      <c r="L535" s="2409"/>
    </row>
    <row r="536" spans="1:12" ht="12" customHeight="1" x14ac:dyDescent="0.3">
      <c r="A536" s="2394" t="s">
        <v>2161</v>
      </c>
      <c r="B536" s="2395" t="s">
        <v>2162</v>
      </c>
      <c r="C536" s="2406">
        <v>0</v>
      </c>
      <c r="D536" s="2396"/>
      <c r="E536" s="2406">
        <v>0</v>
      </c>
      <c r="F536" s="2406">
        <v>0</v>
      </c>
      <c r="G536" s="2407">
        <v>0</v>
      </c>
      <c r="H536" s="2407">
        <v>0</v>
      </c>
      <c r="I536" s="2408"/>
      <c r="J536" s="2408"/>
      <c r="K536" s="2408"/>
      <c r="L536" s="2409"/>
    </row>
    <row r="537" spans="1:12" ht="12" customHeight="1" x14ac:dyDescent="0.3">
      <c r="A537" s="2394" t="s">
        <v>2163</v>
      </c>
      <c r="B537" s="2395" t="s">
        <v>2164</v>
      </c>
      <c r="C537" s="2406">
        <v>0</v>
      </c>
      <c r="D537" s="2396"/>
      <c r="E537" s="2406">
        <v>0</v>
      </c>
      <c r="F537" s="2406">
        <v>0</v>
      </c>
      <c r="G537" s="2407">
        <v>0</v>
      </c>
      <c r="H537" s="2407">
        <v>0</v>
      </c>
      <c r="I537" s="2408"/>
      <c r="J537" s="2408"/>
      <c r="K537" s="2408"/>
      <c r="L537" s="2409"/>
    </row>
    <row r="538" spans="1:12" ht="12" customHeight="1" x14ac:dyDescent="0.3">
      <c r="A538" s="2394" t="s">
        <v>2165</v>
      </c>
      <c r="B538" s="2395" t="s">
        <v>2166</v>
      </c>
      <c r="C538" s="2406">
        <v>0</v>
      </c>
      <c r="D538" s="2396"/>
      <c r="E538" s="2406">
        <v>0</v>
      </c>
      <c r="F538" s="2406">
        <v>0</v>
      </c>
      <c r="G538" s="2407">
        <v>0</v>
      </c>
      <c r="H538" s="2407">
        <v>0</v>
      </c>
      <c r="I538" s="2408"/>
      <c r="J538" s="2408"/>
      <c r="K538" s="2408"/>
      <c r="L538" s="2409"/>
    </row>
    <row r="539" spans="1:12" ht="12" customHeight="1" x14ac:dyDescent="0.3">
      <c r="A539" s="2394" t="s">
        <v>2167</v>
      </c>
      <c r="B539" s="2395" t="s">
        <v>2168</v>
      </c>
      <c r="C539" s="2406">
        <v>0</v>
      </c>
      <c r="D539" s="2396"/>
      <c r="E539" s="2406">
        <v>0</v>
      </c>
      <c r="F539" s="2406">
        <v>0</v>
      </c>
      <c r="G539" s="2407">
        <v>0</v>
      </c>
      <c r="H539" s="2407">
        <v>0</v>
      </c>
      <c r="I539" s="2408"/>
      <c r="J539" s="2408"/>
      <c r="K539" s="2408"/>
      <c r="L539" s="2409"/>
    </row>
    <row r="540" spans="1:12" ht="12" customHeight="1" x14ac:dyDescent="0.3">
      <c r="A540" s="2394" t="s">
        <v>2169</v>
      </c>
      <c r="B540" s="2395" t="s">
        <v>2089</v>
      </c>
      <c r="C540" s="2406">
        <v>0</v>
      </c>
      <c r="D540" s="2396"/>
      <c r="E540" s="2406">
        <v>0</v>
      </c>
      <c r="F540" s="2406">
        <v>0</v>
      </c>
      <c r="G540" s="2407">
        <v>0</v>
      </c>
      <c r="H540" s="2407">
        <v>0</v>
      </c>
      <c r="I540" s="2408"/>
      <c r="J540" s="2408"/>
      <c r="K540" s="2408"/>
      <c r="L540" s="2409"/>
    </row>
    <row r="541" spans="1:12" ht="12" customHeight="1" x14ac:dyDescent="0.3">
      <c r="A541" s="2394" t="s">
        <v>2170</v>
      </c>
      <c r="B541" s="2395" t="s">
        <v>2171</v>
      </c>
      <c r="C541" s="2406">
        <v>0</v>
      </c>
      <c r="D541" s="2396"/>
      <c r="E541" s="2406">
        <v>0</v>
      </c>
      <c r="F541" s="2406">
        <v>0</v>
      </c>
      <c r="G541" s="2407">
        <v>0</v>
      </c>
      <c r="H541" s="2407">
        <v>0</v>
      </c>
      <c r="I541" s="2408"/>
      <c r="J541" s="2408"/>
      <c r="K541" s="2408"/>
      <c r="L541" s="2409"/>
    </row>
    <row r="542" spans="1:12" ht="12" customHeight="1" x14ac:dyDescent="0.3">
      <c r="A542" s="2394" t="s">
        <v>2172</v>
      </c>
      <c r="B542" s="2395" t="s">
        <v>2173</v>
      </c>
      <c r="C542" s="2406">
        <v>0</v>
      </c>
      <c r="D542" s="2396"/>
      <c r="E542" s="2406">
        <v>0</v>
      </c>
      <c r="F542" s="2406">
        <v>0</v>
      </c>
      <c r="G542" s="2407">
        <v>0</v>
      </c>
      <c r="H542" s="2407">
        <v>0</v>
      </c>
      <c r="I542" s="2408"/>
      <c r="J542" s="2408"/>
      <c r="K542" s="2408"/>
      <c r="L542" s="2409"/>
    </row>
    <row r="543" spans="1:12" ht="12" customHeight="1" x14ac:dyDescent="0.3">
      <c r="A543" s="2394" t="s">
        <v>2174</v>
      </c>
      <c r="B543" s="2395" t="s">
        <v>2175</v>
      </c>
      <c r="C543" s="2406">
        <v>0</v>
      </c>
      <c r="D543" s="2396"/>
      <c r="E543" s="2406">
        <v>0</v>
      </c>
      <c r="F543" s="2406">
        <v>0</v>
      </c>
      <c r="G543" s="2407">
        <v>0</v>
      </c>
      <c r="H543" s="2407">
        <v>0</v>
      </c>
      <c r="I543" s="2408"/>
      <c r="J543" s="2408"/>
      <c r="K543" s="2408"/>
      <c r="L543" s="2409"/>
    </row>
    <row r="544" spans="1:12" ht="12" customHeight="1" x14ac:dyDescent="0.3">
      <c r="A544" s="2394" t="s">
        <v>2176</v>
      </c>
      <c r="B544" s="2395" t="s">
        <v>2177</v>
      </c>
      <c r="C544" s="2406" t="s">
        <v>8074</v>
      </c>
      <c r="D544" s="2396"/>
      <c r="E544" s="2406">
        <v>0</v>
      </c>
      <c r="F544" s="2406">
        <v>0</v>
      </c>
      <c r="G544" s="2407">
        <v>0</v>
      </c>
      <c r="H544" s="2407" t="s">
        <v>8074</v>
      </c>
      <c r="I544" s="2408"/>
      <c r="J544" s="2408"/>
      <c r="K544" s="2408"/>
      <c r="L544" s="2409"/>
    </row>
    <row r="545" spans="1:12" ht="12" customHeight="1" x14ac:dyDescent="0.3">
      <c r="A545" s="2394" t="s">
        <v>2178</v>
      </c>
      <c r="B545" s="2395" t="s">
        <v>2179</v>
      </c>
      <c r="C545" s="2406">
        <v>0</v>
      </c>
      <c r="D545" s="2396"/>
      <c r="E545" s="2406">
        <v>0</v>
      </c>
      <c r="F545" s="2406">
        <v>0</v>
      </c>
      <c r="G545" s="2407">
        <v>0</v>
      </c>
      <c r="H545" s="2407">
        <v>0</v>
      </c>
      <c r="I545" s="2408"/>
      <c r="J545" s="2408"/>
      <c r="K545" s="2408"/>
      <c r="L545" s="2409"/>
    </row>
    <row r="546" spans="1:12" ht="12" customHeight="1" x14ac:dyDescent="0.3">
      <c r="A546" s="2394" t="s">
        <v>2180</v>
      </c>
      <c r="B546" s="2395" t="s">
        <v>2181</v>
      </c>
      <c r="C546" s="2406">
        <v>0</v>
      </c>
      <c r="D546" s="2396"/>
      <c r="E546" s="2406">
        <v>0</v>
      </c>
      <c r="F546" s="2406">
        <v>0</v>
      </c>
      <c r="G546" s="2407">
        <v>0</v>
      </c>
      <c r="H546" s="2407">
        <v>0</v>
      </c>
      <c r="I546" s="2408"/>
      <c r="J546" s="2408"/>
      <c r="K546" s="2408"/>
      <c r="L546" s="2409"/>
    </row>
    <row r="547" spans="1:12" ht="12" customHeight="1" x14ac:dyDescent="0.3">
      <c r="A547" s="2394" t="s">
        <v>2182</v>
      </c>
      <c r="B547" s="2395" t="s">
        <v>2168</v>
      </c>
      <c r="C547" s="2406">
        <v>0</v>
      </c>
      <c r="D547" s="2396"/>
      <c r="E547" s="2406">
        <v>0</v>
      </c>
      <c r="F547" s="2406">
        <v>0</v>
      </c>
      <c r="G547" s="2407">
        <v>0</v>
      </c>
      <c r="H547" s="2407">
        <v>0</v>
      </c>
      <c r="I547" s="2408"/>
      <c r="J547" s="2408"/>
      <c r="K547" s="2408"/>
      <c r="L547" s="2409"/>
    </row>
    <row r="548" spans="1:12" ht="12" customHeight="1" x14ac:dyDescent="0.3">
      <c r="A548" s="2394" t="s">
        <v>2183</v>
      </c>
      <c r="B548" s="2395" t="s">
        <v>1158</v>
      </c>
      <c r="C548" s="2406">
        <v>0</v>
      </c>
      <c r="D548" s="2396"/>
      <c r="E548" s="2406">
        <v>0</v>
      </c>
      <c r="F548" s="2406">
        <v>0</v>
      </c>
      <c r="G548" s="2407">
        <v>0</v>
      </c>
      <c r="H548" s="2407">
        <v>0</v>
      </c>
      <c r="I548" s="2408"/>
      <c r="J548" s="2408"/>
      <c r="K548" s="2408"/>
      <c r="L548" s="2409"/>
    </row>
    <row r="549" spans="1:12" ht="12" customHeight="1" x14ac:dyDescent="0.3">
      <c r="A549" s="2394" t="s">
        <v>2184</v>
      </c>
      <c r="B549" s="2395" t="s">
        <v>2168</v>
      </c>
      <c r="C549" s="2406">
        <v>0</v>
      </c>
      <c r="D549" s="2396"/>
      <c r="E549" s="2406">
        <v>0</v>
      </c>
      <c r="F549" s="2406">
        <v>0</v>
      </c>
      <c r="G549" s="2407">
        <v>0</v>
      </c>
      <c r="H549" s="2407">
        <v>0</v>
      </c>
      <c r="I549" s="2408"/>
      <c r="J549" s="2408"/>
      <c r="K549" s="2408"/>
      <c r="L549" s="2409"/>
    </row>
    <row r="550" spans="1:12" ht="12" customHeight="1" x14ac:dyDescent="0.3">
      <c r="A550" s="2394" t="s">
        <v>2185</v>
      </c>
      <c r="B550" s="2395" t="s">
        <v>2104</v>
      </c>
      <c r="C550" s="2406">
        <v>0</v>
      </c>
      <c r="D550" s="2396"/>
      <c r="E550" s="2406">
        <v>0</v>
      </c>
      <c r="F550" s="2406">
        <v>0</v>
      </c>
      <c r="G550" s="2407">
        <v>0</v>
      </c>
      <c r="H550" s="2407">
        <v>0</v>
      </c>
      <c r="I550" s="2408"/>
      <c r="J550" s="2408"/>
      <c r="K550" s="2408"/>
      <c r="L550" s="2409"/>
    </row>
    <row r="551" spans="1:12" ht="12" customHeight="1" x14ac:dyDescent="0.3">
      <c r="A551" s="2394" t="s">
        <v>2186</v>
      </c>
      <c r="B551" s="2395" t="s">
        <v>2187</v>
      </c>
      <c r="C551" s="2406">
        <v>0</v>
      </c>
      <c r="D551" s="2396"/>
      <c r="E551" s="2406">
        <v>0</v>
      </c>
      <c r="F551" s="2406">
        <v>0</v>
      </c>
      <c r="G551" s="2407">
        <v>0</v>
      </c>
      <c r="H551" s="2407">
        <v>0</v>
      </c>
      <c r="I551" s="2408"/>
      <c r="J551" s="2408"/>
      <c r="K551" s="2408"/>
      <c r="L551" s="2409"/>
    </row>
    <row r="552" spans="1:12" ht="12" customHeight="1" x14ac:dyDescent="0.3">
      <c r="A552" s="2394" t="s">
        <v>2188</v>
      </c>
      <c r="B552" s="2395" t="s">
        <v>2148</v>
      </c>
      <c r="C552" s="2406">
        <v>0</v>
      </c>
      <c r="D552" s="2396"/>
      <c r="E552" s="2406">
        <v>0</v>
      </c>
      <c r="F552" s="2406">
        <v>0</v>
      </c>
      <c r="G552" s="2407">
        <v>0</v>
      </c>
      <c r="H552" s="2407">
        <v>0</v>
      </c>
      <c r="I552" s="2408"/>
      <c r="J552" s="2408"/>
      <c r="K552" s="2408"/>
      <c r="L552" s="2409"/>
    </row>
    <row r="553" spans="1:12" ht="12" customHeight="1" x14ac:dyDescent="0.3">
      <c r="A553" s="2394" t="s">
        <v>2189</v>
      </c>
      <c r="B553" s="2395" t="s">
        <v>2150</v>
      </c>
      <c r="C553" s="2406">
        <v>0</v>
      </c>
      <c r="D553" s="2396"/>
      <c r="E553" s="2406">
        <v>0</v>
      </c>
      <c r="F553" s="2406">
        <v>0</v>
      </c>
      <c r="G553" s="2407">
        <v>0</v>
      </c>
      <c r="H553" s="2407">
        <v>0</v>
      </c>
      <c r="I553" s="2408"/>
      <c r="J553" s="2408"/>
      <c r="K553" s="2408"/>
      <c r="L553" s="2409"/>
    </row>
    <row r="554" spans="1:12" ht="12" customHeight="1" x14ac:dyDescent="0.3">
      <c r="A554" s="2394" t="s">
        <v>2190</v>
      </c>
      <c r="B554" s="2395" t="s">
        <v>2191</v>
      </c>
      <c r="C554" s="2406">
        <v>0</v>
      </c>
      <c r="D554" s="2396"/>
      <c r="E554" s="2406">
        <v>0</v>
      </c>
      <c r="F554" s="2406">
        <v>0</v>
      </c>
      <c r="G554" s="2407">
        <v>0</v>
      </c>
      <c r="H554" s="2407">
        <v>0</v>
      </c>
      <c r="I554" s="2408"/>
      <c r="J554" s="2408"/>
      <c r="K554" s="2408"/>
      <c r="L554" s="2409"/>
    </row>
    <row r="555" spans="1:12" ht="12" customHeight="1" x14ac:dyDescent="0.3">
      <c r="A555" s="2394" t="s">
        <v>2192</v>
      </c>
      <c r="B555" s="2395" t="s">
        <v>350</v>
      </c>
      <c r="C555" s="2406">
        <v>0</v>
      </c>
      <c r="D555" s="2396"/>
      <c r="E555" s="2406">
        <v>0</v>
      </c>
      <c r="F555" s="2406">
        <v>0</v>
      </c>
      <c r="G555" s="2407">
        <v>0</v>
      </c>
      <c r="H555" s="2407">
        <v>0</v>
      </c>
      <c r="I555" s="2408"/>
      <c r="J555" s="2408"/>
      <c r="K555" s="2408"/>
      <c r="L555" s="2409"/>
    </row>
    <row r="556" spans="1:12" ht="12" customHeight="1" x14ac:dyDescent="0.3">
      <c r="A556" s="2394" t="s">
        <v>2193</v>
      </c>
      <c r="B556" s="2395" t="s">
        <v>2194</v>
      </c>
      <c r="C556" s="2406">
        <v>0</v>
      </c>
      <c r="D556" s="2396"/>
      <c r="E556" s="2406">
        <v>0</v>
      </c>
      <c r="F556" s="2406">
        <v>0</v>
      </c>
      <c r="G556" s="2407">
        <v>0</v>
      </c>
      <c r="H556" s="2407">
        <v>0</v>
      </c>
      <c r="I556" s="2408"/>
      <c r="J556" s="2408"/>
      <c r="K556" s="2408"/>
      <c r="L556" s="2409"/>
    </row>
    <row r="557" spans="1:12" ht="12" customHeight="1" x14ac:dyDescent="0.3">
      <c r="A557" s="2394" t="s">
        <v>2197</v>
      </c>
      <c r="B557" s="2395" t="s">
        <v>374</v>
      </c>
      <c r="C557" s="2406">
        <v>0</v>
      </c>
      <c r="D557" s="2396"/>
      <c r="E557" s="2406">
        <v>0</v>
      </c>
      <c r="F557" s="2406">
        <v>0</v>
      </c>
      <c r="G557" s="2407">
        <v>0</v>
      </c>
      <c r="H557" s="2407">
        <v>0</v>
      </c>
      <c r="I557" s="2408"/>
      <c r="J557" s="2408"/>
      <c r="K557" s="2408"/>
      <c r="L557" s="2409"/>
    </row>
    <row r="558" spans="1:12" ht="12" customHeight="1" x14ac:dyDescent="0.3">
      <c r="A558" s="2394" t="s">
        <v>2198</v>
      </c>
      <c r="B558" s="2395" t="s">
        <v>2199</v>
      </c>
      <c r="C558" s="2406">
        <v>0</v>
      </c>
      <c r="D558" s="2396"/>
      <c r="E558" s="2406">
        <v>0</v>
      </c>
      <c r="F558" s="2406">
        <v>0</v>
      </c>
      <c r="G558" s="2407">
        <v>0</v>
      </c>
      <c r="H558" s="2407">
        <v>0</v>
      </c>
      <c r="I558" s="2408"/>
      <c r="J558" s="2408"/>
      <c r="K558" s="2408"/>
      <c r="L558" s="2409"/>
    </row>
    <row r="559" spans="1:12" ht="12" customHeight="1" x14ac:dyDescent="0.3">
      <c r="A559" s="2394" t="s">
        <v>2200</v>
      </c>
      <c r="B559" s="2395" t="s">
        <v>2201</v>
      </c>
      <c r="C559" s="2406">
        <v>0</v>
      </c>
      <c r="D559" s="2396"/>
      <c r="E559" s="2406">
        <v>0</v>
      </c>
      <c r="F559" s="2406">
        <v>0</v>
      </c>
      <c r="G559" s="2407">
        <v>0</v>
      </c>
      <c r="H559" s="2407">
        <v>0</v>
      </c>
      <c r="I559" s="2408"/>
      <c r="J559" s="2408"/>
      <c r="K559" s="2408"/>
      <c r="L559" s="2409"/>
    </row>
    <row r="560" spans="1:12" ht="12" customHeight="1" x14ac:dyDescent="0.3">
      <c r="A560" s="2394" t="s">
        <v>2202</v>
      </c>
      <c r="B560" s="2395" t="s">
        <v>2203</v>
      </c>
      <c r="C560" s="2406">
        <v>0</v>
      </c>
      <c r="D560" s="2396"/>
      <c r="E560" s="2406">
        <v>0</v>
      </c>
      <c r="F560" s="2406">
        <v>0</v>
      </c>
      <c r="G560" s="2407">
        <v>0</v>
      </c>
      <c r="H560" s="2407">
        <v>0</v>
      </c>
      <c r="I560" s="2408"/>
      <c r="J560" s="2408"/>
      <c r="K560" s="2408"/>
      <c r="L560" s="2409"/>
    </row>
    <row r="561" spans="1:12" ht="12" customHeight="1" x14ac:dyDescent="0.3">
      <c r="A561" s="2394" t="s">
        <v>2204</v>
      </c>
      <c r="B561" s="2395" t="s">
        <v>2205</v>
      </c>
      <c r="C561" s="2406">
        <v>0</v>
      </c>
      <c r="D561" s="2396"/>
      <c r="E561" s="2406">
        <v>0</v>
      </c>
      <c r="F561" s="2406">
        <v>0</v>
      </c>
      <c r="G561" s="2407">
        <v>0</v>
      </c>
      <c r="H561" s="2407">
        <v>0</v>
      </c>
      <c r="I561" s="2408"/>
      <c r="J561" s="2408"/>
      <c r="K561" s="2408"/>
      <c r="L561" s="2409"/>
    </row>
    <row r="562" spans="1:12" ht="12" customHeight="1" x14ac:dyDescent="0.3">
      <c r="A562" s="2394" t="s">
        <v>2206</v>
      </c>
      <c r="B562" s="2395" t="s">
        <v>2207</v>
      </c>
      <c r="C562" s="2406">
        <v>0</v>
      </c>
      <c r="D562" s="2396"/>
      <c r="E562" s="2406">
        <v>0</v>
      </c>
      <c r="F562" s="2406">
        <v>0</v>
      </c>
      <c r="G562" s="2407">
        <v>0</v>
      </c>
      <c r="H562" s="2407">
        <v>0</v>
      </c>
      <c r="I562" s="2408"/>
      <c r="J562" s="2408"/>
      <c r="K562" s="2408"/>
      <c r="L562" s="2409"/>
    </row>
    <row r="563" spans="1:12" ht="12" customHeight="1" x14ac:dyDescent="0.3">
      <c r="A563" s="2394" t="s">
        <v>2208</v>
      </c>
      <c r="B563" s="2395" t="s">
        <v>2089</v>
      </c>
      <c r="C563" s="2406">
        <v>0</v>
      </c>
      <c r="D563" s="2396"/>
      <c r="E563" s="2406">
        <v>0</v>
      </c>
      <c r="F563" s="2406">
        <v>0</v>
      </c>
      <c r="G563" s="2407">
        <v>0</v>
      </c>
      <c r="H563" s="2407">
        <v>0</v>
      </c>
      <c r="I563" s="2408"/>
      <c r="J563" s="2408"/>
      <c r="K563" s="2408" t="s">
        <v>6504</v>
      </c>
      <c r="L563" s="2409"/>
    </row>
    <row r="564" spans="1:12" ht="12" customHeight="1" x14ac:dyDescent="0.3">
      <c r="A564" s="2394" t="s">
        <v>2209</v>
      </c>
      <c r="B564" s="2395" t="s">
        <v>2210</v>
      </c>
      <c r="C564" s="2406">
        <v>0</v>
      </c>
      <c r="D564" s="2396"/>
      <c r="E564" s="2406">
        <v>0</v>
      </c>
      <c r="F564" s="2406">
        <v>0</v>
      </c>
      <c r="G564" s="2407">
        <v>0</v>
      </c>
      <c r="H564" s="2407">
        <v>0</v>
      </c>
      <c r="I564" s="2408"/>
      <c r="J564" s="2408"/>
      <c r="K564" s="2408"/>
      <c r="L564" s="2409"/>
    </row>
    <row r="565" spans="1:12" ht="12" customHeight="1" x14ac:dyDescent="0.3">
      <c r="A565" s="2394" t="s">
        <v>2211</v>
      </c>
      <c r="B565" s="2395" t="s">
        <v>2212</v>
      </c>
      <c r="C565" s="2406">
        <v>0</v>
      </c>
      <c r="D565" s="2396"/>
      <c r="E565" s="2406">
        <v>0</v>
      </c>
      <c r="F565" s="2406">
        <v>0</v>
      </c>
      <c r="G565" s="2407">
        <v>0</v>
      </c>
      <c r="H565" s="2407">
        <v>0</v>
      </c>
      <c r="I565" s="2408"/>
      <c r="J565" s="2408"/>
      <c r="K565" s="2408"/>
      <c r="L565" s="2409"/>
    </row>
    <row r="566" spans="1:12" ht="12" customHeight="1" x14ac:dyDescent="0.3">
      <c r="A566" s="2394" t="s">
        <v>2213</v>
      </c>
      <c r="B566" s="2395" t="s">
        <v>2214</v>
      </c>
      <c r="C566" s="2406">
        <v>0</v>
      </c>
      <c r="D566" s="2396"/>
      <c r="E566" s="2406">
        <v>0</v>
      </c>
      <c r="F566" s="2406">
        <v>0</v>
      </c>
      <c r="G566" s="2407">
        <v>0</v>
      </c>
      <c r="H566" s="2407">
        <v>0</v>
      </c>
      <c r="I566" s="2408"/>
      <c r="J566" s="2408"/>
      <c r="K566" s="2408"/>
      <c r="L566" s="2409"/>
    </row>
    <row r="567" spans="1:12" ht="12" customHeight="1" x14ac:dyDescent="0.3">
      <c r="A567" s="2394" t="s">
        <v>2215</v>
      </c>
      <c r="B567" s="2395" t="s">
        <v>2216</v>
      </c>
      <c r="C567" s="2406">
        <v>0</v>
      </c>
      <c r="D567" s="2396"/>
      <c r="E567" s="2406">
        <v>0</v>
      </c>
      <c r="F567" s="2406">
        <v>0</v>
      </c>
      <c r="G567" s="2407">
        <v>0</v>
      </c>
      <c r="H567" s="2407">
        <v>0</v>
      </c>
      <c r="I567" s="2408"/>
      <c r="J567" s="2408"/>
      <c r="K567" s="2408"/>
      <c r="L567" s="2409"/>
    </row>
    <row r="568" spans="1:12" ht="12" customHeight="1" x14ac:dyDescent="0.3">
      <c r="A568" s="2394" t="s">
        <v>2217</v>
      </c>
      <c r="B568" s="2395" t="s">
        <v>2218</v>
      </c>
      <c r="C568" s="2406">
        <v>0</v>
      </c>
      <c r="D568" s="2396"/>
      <c r="E568" s="2406">
        <v>0</v>
      </c>
      <c r="F568" s="2406">
        <v>0</v>
      </c>
      <c r="G568" s="2407">
        <v>0</v>
      </c>
      <c r="H568" s="2407">
        <v>0</v>
      </c>
      <c r="I568" s="2408"/>
      <c r="J568" s="2408"/>
      <c r="K568" s="2408"/>
      <c r="L568" s="2409"/>
    </row>
    <row r="569" spans="1:12" ht="12" customHeight="1" x14ac:dyDescent="0.3">
      <c r="A569" s="2394" t="s">
        <v>2219</v>
      </c>
      <c r="B569" s="2395" t="s">
        <v>2220</v>
      </c>
      <c r="C569" s="2406">
        <v>0</v>
      </c>
      <c r="D569" s="2396"/>
      <c r="E569" s="2406">
        <v>0</v>
      </c>
      <c r="F569" s="2406">
        <v>0</v>
      </c>
      <c r="G569" s="2407">
        <v>0</v>
      </c>
      <c r="H569" s="2407">
        <v>0</v>
      </c>
      <c r="I569" s="2408"/>
      <c r="J569" s="2408"/>
      <c r="K569" s="2408"/>
      <c r="L569" s="2409"/>
    </row>
    <row r="570" spans="1:12" ht="12" customHeight="1" x14ac:dyDescent="0.3">
      <c r="A570" s="2394" t="s">
        <v>2221</v>
      </c>
      <c r="B570" s="2395" t="s">
        <v>2207</v>
      </c>
      <c r="C570" s="2406">
        <v>0</v>
      </c>
      <c r="D570" s="2396"/>
      <c r="E570" s="2406">
        <v>0</v>
      </c>
      <c r="F570" s="2406">
        <v>0</v>
      </c>
      <c r="G570" s="2407">
        <v>0</v>
      </c>
      <c r="H570" s="2407">
        <v>0</v>
      </c>
      <c r="I570" s="2408"/>
      <c r="J570" s="2408"/>
      <c r="K570" s="2408"/>
      <c r="L570" s="2409"/>
    </row>
    <row r="571" spans="1:12" ht="12" customHeight="1" x14ac:dyDescent="0.3">
      <c r="A571" s="2394" t="s">
        <v>2222</v>
      </c>
      <c r="B571" s="2395" t="s">
        <v>1158</v>
      </c>
      <c r="C571" s="2406">
        <v>0</v>
      </c>
      <c r="D571" s="2396"/>
      <c r="E571" s="2406">
        <v>0</v>
      </c>
      <c r="F571" s="2406">
        <v>0</v>
      </c>
      <c r="G571" s="2407">
        <v>0</v>
      </c>
      <c r="H571" s="2407">
        <v>0</v>
      </c>
      <c r="I571" s="2408"/>
      <c r="J571" s="2408"/>
      <c r="K571" s="2408"/>
      <c r="L571" s="2409"/>
    </row>
    <row r="572" spans="1:12" ht="12" customHeight="1" x14ac:dyDescent="0.3">
      <c r="A572" s="2394" t="s">
        <v>2223</v>
      </c>
      <c r="B572" s="2395" t="s">
        <v>2207</v>
      </c>
      <c r="C572" s="2406">
        <v>0</v>
      </c>
      <c r="D572" s="2396"/>
      <c r="E572" s="2406">
        <v>0</v>
      </c>
      <c r="F572" s="2406">
        <v>0</v>
      </c>
      <c r="G572" s="2407">
        <v>0</v>
      </c>
      <c r="H572" s="2407">
        <v>0</v>
      </c>
      <c r="I572" s="2408"/>
      <c r="J572" s="2408"/>
      <c r="K572" s="2408"/>
      <c r="L572" s="2409"/>
    </row>
    <row r="573" spans="1:12" ht="12" customHeight="1" x14ac:dyDescent="0.3">
      <c r="A573" s="2394" t="s">
        <v>2224</v>
      </c>
      <c r="B573" s="2395" t="s">
        <v>2104</v>
      </c>
      <c r="C573" s="2406">
        <v>0</v>
      </c>
      <c r="D573" s="2396"/>
      <c r="E573" s="2406">
        <v>0</v>
      </c>
      <c r="F573" s="2406">
        <v>0</v>
      </c>
      <c r="G573" s="2407">
        <v>0</v>
      </c>
      <c r="H573" s="2407">
        <v>0</v>
      </c>
      <c r="I573" s="2408"/>
      <c r="J573" s="2408"/>
      <c r="K573" s="2408"/>
      <c r="L573" s="2409"/>
    </row>
    <row r="574" spans="1:12" ht="12" customHeight="1" x14ac:dyDescent="0.3">
      <c r="A574" s="2394" t="s">
        <v>2225</v>
      </c>
      <c r="B574" s="2395" t="s">
        <v>2226</v>
      </c>
      <c r="C574" s="2406">
        <v>0</v>
      </c>
      <c r="D574" s="2396"/>
      <c r="E574" s="2406">
        <v>0</v>
      </c>
      <c r="F574" s="2406">
        <v>0</v>
      </c>
      <c r="G574" s="2407">
        <v>0</v>
      </c>
      <c r="H574" s="2407">
        <v>0</v>
      </c>
      <c r="I574" s="2408"/>
      <c r="J574" s="2408"/>
      <c r="K574" s="2408"/>
      <c r="L574" s="2409"/>
    </row>
    <row r="575" spans="1:12" ht="12" customHeight="1" x14ac:dyDescent="0.3">
      <c r="A575" s="2394" t="s">
        <v>2227</v>
      </c>
      <c r="B575" s="2395" t="s">
        <v>2228</v>
      </c>
      <c r="C575" s="2406">
        <v>0</v>
      </c>
      <c r="D575" s="2396"/>
      <c r="E575" s="2406">
        <v>0</v>
      </c>
      <c r="F575" s="2406">
        <v>0</v>
      </c>
      <c r="G575" s="2407">
        <v>0</v>
      </c>
      <c r="H575" s="2407">
        <v>0</v>
      </c>
      <c r="I575" s="2408"/>
      <c r="J575" s="2408"/>
      <c r="K575" s="2408"/>
      <c r="L575" s="2409"/>
    </row>
    <row r="576" spans="1:12" ht="12" customHeight="1" x14ac:dyDescent="0.3">
      <c r="A576" s="2394" t="s">
        <v>2229</v>
      </c>
      <c r="B576" s="2395" t="s">
        <v>2230</v>
      </c>
      <c r="C576" s="2406">
        <v>0</v>
      </c>
      <c r="D576" s="2396"/>
      <c r="E576" s="2406">
        <v>0</v>
      </c>
      <c r="F576" s="2406">
        <v>0</v>
      </c>
      <c r="G576" s="2407">
        <v>0</v>
      </c>
      <c r="H576" s="2407">
        <v>0</v>
      </c>
      <c r="I576" s="2408"/>
      <c r="J576" s="2408"/>
      <c r="K576" s="2408"/>
      <c r="L576" s="2409"/>
    </row>
    <row r="577" spans="1:12" ht="12" customHeight="1" x14ac:dyDescent="0.3">
      <c r="A577" s="2394" t="s">
        <v>2231</v>
      </c>
      <c r="B577" s="2395" t="s">
        <v>2232</v>
      </c>
      <c r="C577" s="2406">
        <v>0</v>
      </c>
      <c r="D577" s="2396"/>
      <c r="E577" s="2406">
        <v>0</v>
      </c>
      <c r="F577" s="2406">
        <v>0</v>
      </c>
      <c r="G577" s="2407">
        <v>0</v>
      </c>
      <c r="H577" s="2407">
        <v>0</v>
      </c>
      <c r="I577" s="2408"/>
      <c r="J577" s="2408"/>
      <c r="K577" s="2408"/>
      <c r="L577" s="2409"/>
    </row>
    <row r="578" spans="1:12" ht="12" customHeight="1" x14ac:dyDescent="0.3">
      <c r="A578" s="2394" t="s">
        <v>2233</v>
      </c>
      <c r="B578" s="2395" t="s">
        <v>350</v>
      </c>
      <c r="C578" s="2406">
        <v>0</v>
      </c>
      <c r="D578" s="2396"/>
      <c r="E578" s="2406">
        <v>0</v>
      </c>
      <c r="F578" s="2406">
        <v>0</v>
      </c>
      <c r="G578" s="2407">
        <v>0</v>
      </c>
      <c r="H578" s="2407">
        <v>0</v>
      </c>
      <c r="I578" s="2408"/>
      <c r="J578" s="2408"/>
      <c r="K578" s="2408"/>
      <c r="L578" s="2409"/>
    </row>
    <row r="579" spans="1:12" ht="12" customHeight="1" x14ac:dyDescent="0.3">
      <c r="A579" s="2394" t="s">
        <v>2234</v>
      </c>
      <c r="B579" s="2395" t="s">
        <v>2232</v>
      </c>
      <c r="C579" s="2406">
        <v>0</v>
      </c>
      <c r="D579" s="2396"/>
      <c r="E579" s="2406">
        <v>0</v>
      </c>
      <c r="F579" s="2406">
        <v>0</v>
      </c>
      <c r="G579" s="2407">
        <v>0</v>
      </c>
      <c r="H579" s="2407">
        <v>0</v>
      </c>
      <c r="I579" s="2408"/>
      <c r="J579" s="2408"/>
      <c r="K579" s="2408"/>
      <c r="L579" s="2409"/>
    </row>
    <row r="580" spans="1:12" ht="12" customHeight="1" x14ac:dyDescent="0.3">
      <c r="A580" s="2394" t="s">
        <v>2238</v>
      </c>
      <c r="B580" s="2395" t="s">
        <v>374</v>
      </c>
      <c r="C580" s="2406">
        <v>0</v>
      </c>
      <c r="D580" s="2396"/>
      <c r="E580" s="2406">
        <v>0</v>
      </c>
      <c r="F580" s="2406">
        <v>0</v>
      </c>
      <c r="G580" s="2407">
        <v>0</v>
      </c>
      <c r="H580" s="2407">
        <v>0</v>
      </c>
      <c r="I580" s="2408"/>
      <c r="J580" s="2408"/>
      <c r="K580" s="2408"/>
      <c r="L580" s="2409"/>
    </row>
    <row r="581" spans="1:12" ht="12" customHeight="1" x14ac:dyDescent="0.3">
      <c r="A581" s="2394" t="s">
        <v>2239</v>
      </c>
      <c r="B581" s="2395" t="s">
        <v>2240</v>
      </c>
      <c r="C581" s="2406">
        <v>0</v>
      </c>
      <c r="D581" s="2396"/>
      <c r="E581" s="2406">
        <v>0</v>
      </c>
      <c r="F581" s="2406">
        <v>0</v>
      </c>
      <c r="G581" s="2407">
        <v>0</v>
      </c>
      <c r="H581" s="2407">
        <v>0</v>
      </c>
      <c r="I581" s="2408"/>
      <c r="J581" s="2408"/>
      <c r="K581" s="2408"/>
      <c r="L581" s="2409"/>
    </row>
    <row r="582" spans="1:12" ht="12" customHeight="1" x14ac:dyDescent="0.3">
      <c r="A582" s="2394" t="s">
        <v>2241</v>
      </c>
      <c r="B582" s="2395" t="s">
        <v>2242</v>
      </c>
      <c r="C582" s="2406">
        <v>98045000</v>
      </c>
      <c r="D582" s="2396"/>
      <c r="E582" s="2406">
        <v>7361800</v>
      </c>
      <c r="F582" s="2406">
        <v>0</v>
      </c>
      <c r="G582" s="2407">
        <v>7361800</v>
      </c>
      <c r="H582" s="2407">
        <v>105406800</v>
      </c>
      <c r="I582" s="2408"/>
      <c r="J582" s="2408"/>
      <c r="K582" s="2408"/>
      <c r="L582" s="2409"/>
    </row>
    <row r="583" spans="1:12" ht="12" customHeight="1" x14ac:dyDescent="0.3">
      <c r="A583" s="2394" t="s">
        <v>2243</v>
      </c>
      <c r="B583" s="2395" t="s">
        <v>2244</v>
      </c>
      <c r="C583" s="2406">
        <v>151958100</v>
      </c>
      <c r="D583" s="2396"/>
      <c r="E583" s="2406">
        <v>6216400</v>
      </c>
      <c r="F583" s="2406">
        <v>0</v>
      </c>
      <c r="G583" s="2407">
        <v>6216400</v>
      </c>
      <c r="H583" s="2407">
        <v>158174500</v>
      </c>
      <c r="I583" s="2408"/>
      <c r="J583" s="2408"/>
      <c r="K583" s="2408"/>
      <c r="L583" s="2409"/>
    </row>
    <row r="584" spans="1:12" ht="12" customHeight="1" x14ac:dyDescent="0.3">
      <c r="A584" s="2394" t="s">
        <v>2245</v>
      </c>
      <c r="B584" s="2395" t="s">
        <v>2246</v>
      </c>
      <c r="C584" s="2406">
        <v>0</v>
      </c>
      <c r="D584" s="2396"/>
      <c r="E584" s="2406">
        <v>0</v>
      </c>
      <c r="F584" s="2406">
        <v>0</v>
      </c>
      <c r="G584" s="2407">
        <v>0</v>
      </c>
      <c r="H584" s="2407">
        <v>0</v>
      </c>
      <c r="I584" s="2408"/>
      <c r="J584" s="2408"/>
      <c r="K584" s="2408"/>
      <c r="L584" s="2409"/>
    </row>
    <row r="585" spans="1:12" ht="12" customHeight="1" x14ac:dyDescent="0.3">
      <c r="A585" s="2394" t="s">
        <v>2247</v>
      </c>
      <c r="B585" s="2395" t="s">
        <v>2248</v>
      </c>
      <c r="C585" s="2406">
        <v>0</v>
      </c>
      <c r="D585" s="2396"/>
      <c r="E585" s="2406">
        <v>0</v>
      </c>
      <c r="F585" s="2406">
        <v>0</v>
      </c>
      <c r="G585" s="2407">
        <v>0</v>
      </c>
      <c r="H585" s="2407">
        <v>0</v>
      </c>
      <c r="I585" s="2408"/>
      <c r="J585" s="2408"/>
      <c r="K585" s="2408"/>
      <c r="L585" s="2409"/>
    </row>
    <row r="586" spans="1:12" ht="12" customHeight="1" x14ac:dyDescent="0.3">
      <c r="A586" s="2394" t="s">
        <v>2249</v>
      </c>
      <c r="B586" s="2395" t="s">
        <v>2089</v>
      </c>
      <c r="C586" s="2406">
        <v>0</v>
      </c>
      <c r="D586" s="2396"/>
      <c r="E586" s="2406">
        <v>0</v>
      </c>
      <c r="F586" s="2406">
        <v>0</v>
      </c>
      <c r="G586" s="2407">
        <v>0</v>
      </c>
      <c r="H586" s="2407">
        <v>0</v>
      </c>
      <c r="I586" s="2408"/>
      <c r="J586" s="2408"/>
      <c r="K586" s="2408"/>
      <c r="L586" s="2409"/>
    </row>
    <row r="587" spans="1:12" ht="12" customHeight="1" x14ac:dyDescent="0.3">
      <c r="A587" s="2394" t="s">
        <v>2250</v>
      </c>
      <c r="B587" s="2395" t="s">
        <v>2251</v>
      </c>
      <c r="C587" s="2406">
        <v>69500000</v>
      </c>
      <c r="D587" s="2396"/>
      <c r="E587" s="2406">
        <v>500000</v>
      </c>
      <c r="F587" s="2406">
        <v>0</v>
      </c>
      <c r="G587" s="2407">
        <v>500000</v>
      </c>
      <c r="H587" s="2407">
        <v>70000000</v>
      </c>
      <c r="I587" s="2408"/>
      <c r="J587" s="2408"/>
      <c r="K587" s="2408"/>
      <c r="L587" s="2409"/>
    </row>
    <row r="588" spans="1:12" ht="12" customHeight="1" x14ac:dyDescent="0.3">
      <c r="A588" s="2394" t="s">
        <v>2252</v>
      </c>
      <c r="B588" s="2395" t="s">
        <v>2253</v>
      </c>
      <c r="C588" s="2406">
        <v>5000000</v>
      </c>
      <c r="D588" s="2396"/>
      <c r="E588" s="2406">
        <v>0</v>
      </c>
      <c r="F588" s="2406">
        <v>0</v>
      </c>
      <c r="G588" s="2407">
        <v>0</v>
      </c>
      <c r="H588" s="2407">
        <v>5000000</v>
      </c>
      <c r="I588" s="2408"/>
      <c r="J588" s="2408"/>
      <c r="K588" s="2408"/>
      <c r="L588" s="2409"/>
    </row>
    <row r="589" spans="1:12" ht="12" customHeight="1" x14ac:dyDescent="0.3">
      <c r="A589" s="2394" t="s">
        <v>2254</v>
      </c>
      <c r="B589" s="2395" t="s">
        <v>2255</v>
      </c>
      <c r="C589" s="2406">
        <v>22200000</v>
      </c>
      <c r="D589" s="2396"/>
      <c r="E589" s="2406">
        <v>0</v>
      </c>
      <c r="F589" s="2406">
        <v>0</v>
      </c>
      <c r="G589" s="2407">
        <v>0</v>
      </c>
      <c r="H589" s="2407">
        <v>22200000</v>
      </c>
      <c r="I589" s="2408"/>
      <c r="J589" s="2408"/>
      <c r="K589" s="2408"/>
      <c r="L589" s="2409"/>
    </row>
    <row r="590" spans="1:12" ht="12" customHeight="1" x14ac:dyDescent="0.3">
      <c r="A590" s="2394" t="s">
        <v>2256</v>
      </c>
      <c r="B590" s="2395" t="s">
        <v>2257</v>
      </c>
      <c r="C590" s="2406">
        <v>11963300</v>
      </c>
      <c r="D590" s="2396"/>
      <c r="E590" s="2406">
        <v>0</v>
      </c>
      <c r="F590" s="2406">
        <v>0</v>
      </c>
      <c r="G590" s="2407">
        <v>0</v>
      </c>
      <c r="H590" s="2407">
        <v>11963300</v>
      </c>
      <c r="I590" s="2408"/>
      <c r="J590" s="2408"/>
      <c r="K590" s="2408"/>
      <c r="L590" s="2409"/>
    </row>
    <row r="591" spans="1:12" ht="12" customHeight="1" x14ac:dyDescent="0.3">
      <c r="A591" s="2394" t="s">
        <v>2258</v>
      </c>
      <c r="B591" s="2395" t="s">
        <v>2259</v>
      </c>
      <c r="C591" s="2406">
        <v>0</v>
      </c>
      <c r="D591" s="2396"/>
      <c r="E591" s="2406">
        <v>0</v>
      </c>
      <c r="F591" s="2406">
        <v>0</v>
      </c>
      <c r="G591" s="2407">
        <v>0</v>
      </c>
      <c r="H591" s="2407">
        <v>0</v>
      </c>
      <c r="I591" s="2408"/>
      <c r="J591" s="2408"/>
      <c r="K591" s="2408"/>
      <c r="L591" s="2409"/>
    </row>
    <row r="592" spans="1:12" ht="12" customHeight="1" x14ac:dyDescent="0.3">
      <c r="A592" s="2394" t="s">
        <v>2260</v>
      </c>
      <c r="B592" s="2395" t="s">
        <v>2261</v>
      </c>
      <c r="C592" s="2406">
        <v>0</v>
      </c>
      <c r="D592" s="2396"/>
      <c r="E592" s="2406">
        <v>0</v>
      </c>
      <c r="F592" s="2406">
        <v>0</v>
      </c>
      <c r="G592" s="2407">
        <v>0</v>
      </c>
      <c r="H592" s="2407">
        <v>0</v>
      </c>
      <c r="I592" s="2408"/>
      <c r="J592" s="2408"/>
      <c r="K592" s="2408"/>
      <c r="L592" s="2409"/>
    </row>
    <row r="593" spans="1:12" ht="12" customHeight="1" x14ac:dyDescent="0.3">
      <c r="A593" s="2394" t="s">
        <v>2262</v>
      </c>
      <c r="B593" s="2395" t="s">
        <v>2248</v>
      </c>
      <c r="C593" s="2406">
        <v>0</v>
      </c>
      <c r="D593" s="2396"/>
      <c r="E593" s="2406">
        <v>0</v>
      </c>
      <c r="F593" s="2406">
        <v>0</v>
      </c>
      <c r="G593" s="2407">
        <v>0</v>
      </c>
      <c r="H593" s="2407">
        <v>0</v>
      </c>
      <c r="I593" s="2408"/>
      <c r="J593" s="2408"/>
      <c r="K593" s="2408"/>
      <c r="L593" s="2409"/>
    </row>
    <row r="594" spans="1:12" ht="12" customHeight="1" x14ac:dyDescent="0.3">
      <c r="A594" s="2394" t="s">
        <v>2263</v>
      </c>
      <c r="B594" s="2395" t="s">
        <v>1158</v>
      </c>
      <c r="C594" s="2406">
        <v>0</v>
      </c>
      <c r="D594" s="2396"/>
      <c r="E594" s="2406">
        <v>0</v>
      </c>
      <c r="F594" s="2406">
        <v>0</v>
      </c>
      <c r="G594" s="2407">
        <v>0</v>
      </c>
      <c r="H594" s="2407">
        <v>0</v>
      </c>
      <c r="I594" s="2408"/>
      <c r="J594" s="2408"/>
      <c r="K594" s="2408"/>
      <c r="L594" s="2409"/>
    </row>
    <row r="595" spans="1:12" ht="12" customHeight="1" x14ac:dyDescent="0.3">
      <c r="A595" s="2394" t="s">
        <v>2264</v>
      </c>
      <c r="B595" s="2395" t="s">
        <v>2207</v>
      </c>
      <c r="C595" s="2406">
        <v>0</v>
      </c>
      <c r="D595" s="2396"/>
      <c r="E595" s="2406">
        <v>0</v>
      </c>
      <c r="F595" s="2406">
        <v>0</v>
      </c>
      <c r="G595" s="2407">
        <v>0</v>
      </c>
      <c r="H595" s="2407">
        <v>0</v>
      </c>
      <c r="I595" s="2408"/>
      <c r="J595" s="2408"/>
      <c r="K595" s="2408"/>
      <c r="L595" s="2409"/>
    </row>
    <row r="596" spans="1:12" ht="12" customHeight="1" x14ac:dyDescent="0.3">
      <c r="A596" s="2394" t="s">
        <v>2265</v>
      </c>
      <c r="B596" s="2395" t="s">
        <v>2104</v>
      </c>
      <c r="C596" s="2406">
        <v>0</v>
      </c>
      <c r="D596" s="2396"/>
      <c r="E596" s="2406">
        <v>0</v>
      </c>
      <c r="F596" s="2406">
        <v>0</v>
      </c>
      <c r="G596" s="2407">
        <v>0</v>
      </c>
      <c r="H596" s="2407">
        <v>0</v>
      </c>
      <c r="I596" s="2408"/>
      <c r="J596" s="2408"/>
      <c r="K596" s="2408"/>
      <c r="L596" s="2409"/>
    </row>
    <row r="597" spans="1:12" ht="12" customHeight="1" x14ac:dyDescent="0.3">
      <c r="A597" s="2394" t="s">
        <v>2266</v>
      </c>
      <c r="B597" s="2395" t="s">
        <v>2267</v>
      </c>
      <c r="C597" s="2406">
        <v>0</v>
      </c>
      <c r="D597" s="2396"/>
      <c r="E597" s="2406">
        <v>0</v>
      </c>
      <c r="F597" s="2406">
        <v>0</v>
      </c>
      <c r="G597" s="2407">
        <v>0</v>
      </c>
      <c r="H597" s="2407">
        <v>0</v>
      </c>
      <c r="I597" s="2408"/>
      <c r="J597" s="2408"/>
      <c r="K597" s="2408"/>
      <c r="L597" s="2409"/>
    </row>
    <row r="598" spans="1:12" ht="12" customHeight="1" x14ac:dyDescent="0.3">
      <c r="A598" s="2394" t="s">
        <v>2268</v>
      </c>
      <c r="B598" s="2395" t="s">
        <v>2228</v>
      </c>
      <c r="C598" s="2406">
        <v>0</v>
      </c>
      <c r="D598" s="2396"/>
      <c r="E598" s="2406">
        <v>0</v>
      </c>
      <c r="F598" s="2406">
        <v>0</v>
      </c>
      <c r="G598" s="2407">
        <v>0</v>
      </c>
      <c r="H598" s="2407">
        <v>0</v>
      </c>
      <c r="I598" s="2408"/>
      <c r="J598" s="2408"/>
      <c r="K598" s="2408"/>
      <c r="L598" s="2409"/>
    </row>
    <row r="599" spans="1:12" ht="12" customHeight="1" x14ac:dyDescent="0.3">
      <c r="A599" s="2394" t="s">
        <v>2269</v>
      </c>
      <c r="B599" s="2395" t="s">
        <v>2230</v>
      </c>
      <c r="C599" s="2406">
        <v>0</v>
      </c>
      <c r="D599" s="2396"/>
      <c r="E599" s="2406">
        <v>0</v>
      </c>
      <c r="F599" s="2406">
        <v>0</v>
      </c>
      <c r="G599" s="2407">
        <v>0</v>
      </c>
      <c r="H599" s="2407">
        <v>0</v>
      </c>
      <c r="I599" s="2408"/>
      <c r="J599" s="2408"/>
      <c r="K599" s="2408"/>
      <c r="L599" s="2409"/>
    </row>
    <row r="600" spans="1:12" ht="12" customHeight="1" x14ac:dyDescent="0.3">
      <c r="A600" s="2394" t="s">
        <v>2270</v>
      </c>
      <c r="B600" s="2395" t="s">
        <v>2271</v>
      </c>
      <c r="C600" s="2406">
        <v>0</v>
      </c>
      <c r="D600" s="2396"/>
      <c r="E600" s="2406">
        <v>0</v>
      </c>
      <c r="F600" s="2406">
        <v>0</v>
      </c>
      <c r="G600" s="2407">
        <v>0</v>
      </c>
      <c r="H600" s="2407">
        <v>0</v>
      </c>
      <c r="I600" s="2408"/>
      <c r="J600" s="2408"/>
      <c r="K600" s="2408"/>
      <c r="L600" s="2409"/>
    </row>
    <row r="601" spans="1:12" ht="12" customHeight="1" x14ac:dyDescent="0.3">
      <c r="A601" s="2394" t="s">
        <v>2272</v>
      </c>
      <c r="B601" s="2395" t="s">
        <v>350</v>
      </c>
      <c r="C601" s="2406">
        <v>0</v>
      </c>
      <c r="D601" s="2396"/>
      <c r="E601" s="2406">
        <v>0</v>
      </c>
      <c r="F601" s="2406">
        <v>0</v>
      </c>
      <c r="G601" s="2407">
        <v>0</v>
      </c>
      <c r="H601" s="2407">
        <v>0</v>
      </c>
      <c r="I601" s="2408"/>
      <c r="J601" s="2408"/>
      <c r="K601" s="2408"/>
      <c r="L601" s="2409"/>
    </row>
    <row r="602" spans="1:12" ht="12" customHeight="1" x14ac:dyDescent="0.3">
      <c r="A602" s="2394" t="s">
        <v>2273</v>
      </c>
      <c r="B602" s="2395" t="s">
        <v>2232</v>
      </c>
      <c r="C602" s="2406">
        <v>0</v>
      </c>
      <c r="D602" s="2396"/>
      <c r="E602" s="2406">
        <v>0</v>
      </c>
      <c r="F602" s="2406">
        <v>0</v>
      </c>
      <c r="G602" s="2407">
        <v>0</v>
      </c>
      <c r="H602" s="2407">
        <v>0</v>
      </c>
      <c r="I602" s="2408"/>
      <c r="J602" s="2408"/>
      <c r="K602" s="2408"/>
      <c r="L602" s="2409"/>
    </row>
    <row r="603" spans="1:12" ht="12" customHeight="1" x14ac:dyDescent="0.3">
      <c r="A603" s="2394" t="s">
        <v>2275</v>
      </c>
      <c r="B603" s="2395" t="s">
        <v>2276</v>
      </c>
      <c r="C603" s="2406">
        <v>0</v>
      </c>
      <c r="D603" s="2396"/>
      <c r="E603" s="2406">
        <v>0</v>
      </c>
      <c r="F603" s="2406">
        <v>0</v>
      </c>
      <c r="G603" s="2407">
        <v>0</v>
      </c>
      <c r="H603" s="2407">
        <v>0</v>
      </c>
      <c r="I603" s="2408"/>
      <c r="J603" s="2408"/>
      <c r="K603" s="2408"/>
      <c r="L603" s="2409"/>
    </row>
    <row r="604" spans="1:12" ht="12" customHeight="1" x14ac:dyDescent="0.3">
      <c r="A604" s="2394" t="s">
        <v>1164</v>
      </c>
      <c r="B604" s="2395" t="s">
        <v>7196</v>
      </c>
      <c r="C604" s="2406">
        <v>0</v>
      </c>
      <c r="D604" s="2396"/>
      <c r="E604" s="2406">
        <v>0</v>
      </c>
      <c r="F604" s="2406">
        <v>0</v>
      </c>
      <c r="G604" s="2407">
        <v>0</v>
      </c>
      <c r="H604" s="2407">
        <v>0</v>
      </c>
      <c r="I604" s="2408"/>
      <c r="J604" s="2408"/>
      <c r="K604" s="2408"/>
      <c r="L604" s="2409"/>
    </row>
    <row r="605" spans="1:12" ht="12" customHeight="1" x14ac:dyDescent="0.3">
      <c r="A605" s="2394" t="s">
        <v>1165</v>
      </c>
      <c r="B605" s="2395" t="s">
        <v>7197</v>
      </c>
      <c r="C605" s="2406">
        <v>0</v>
      </c>
      <c r="D605" s="2396"/>
      <c r="E605" s="2406">
        <v>0</v>
      </c>
      <c r="F605" s="2406">
        <v>0</v>
      </c>
      <c r="G605" s="2407">
        <v>0</v>
      </c>
      <c r="H605" s="2407">
        <v>0</v>
      </c>
      <c r="I605" s="2408"/>
      <c r="J605" s="2408"/>
      <c r="K605" s="2408"/>
      <c r="L605" s="2409"/>
    </row>
    <row r="606" spans="1:12" ht="12" customHeight="1" x14ac:dyDescent="0.3">
      <c r="A606" s="2394" t="s">
        <v>1166</v>
      </c>
      <c r="B606" s="2395" t="s">
        <v>7198</v>
      </c>
      <c r="C606" s="2406">
        <v>0</v>
      </c>
      <c r="D606" s="2396"/>
      <c r="E606" s="2406">
        <v>0</v>
      </c>
      <c r="F606" s="2406">
        <v>0</v>
      </c>
      <c r="G606" s="2407">
        <v>0</v>
      </c>
      <c r="H606" s="2407">
        <v>0</v>
      </c>
      <c r="I606" s="2408"/>
      <c r="J606" s="2408"/>
      <c r="K606" s="2408"/>
      <c r="L606" s="2409"/>
    </row>
    <row r="607" spans="1:12" ht="12" customHeight="1" x14ac:dyDescent="0.3">
      <c r="A607" s="2394" t="s">
        <v>2277</v>
      </c>
      <c r="B607" s="2395" t="s">
        <v>2278</v>
      </c>
      <c r="C607" s="2406">
        <v>0</v>
      </c>
      <c r="D607" s="2396"/>
      <c r="E607" s="2406">
        <v>0</v>
      </c>
      <c r="F607" s="2406">
        <v>0</v>
      </c>
      <c r="G607" s="2407">
        <v>0</v>
      </c>
      <c r="H607" s="2407">
        <v>0</v>
      </c>
      <c r="I607" s="2408"/>
      <c r="J607" s="2408"/>
      <c r="K607" s="2408"/>
      <c r="L607" s="2409"/>
    </row>
    <row r="608" spans="1:12" ht="12" customHeight="1" x14ac:dyDescent="0.3">
      <c r="A608" s="2394" t="s">
        <v>1167</v>
      </c>
      <c r="B608" s="2395" t="s">
        <v>7199</v>
      </c>
      <c r="C608" s="2406">
        <v>0</v>
      </c>
      <c r="D608" s="2396"/>
      <c r="E608" s="2406">
        <v>0</v>
      </c>
      <c r="F608" s="2406">
        <v>0</v>
      </c>
      <c r="G608" s="2407">
        <v>0</v>
      </c>
      <c r="H608" s="2407">
        <v>0</v>
      </c>
      <c r="I608" s="2408"/>
      <c r="J608" s="2408"/>
      <c r="K608" s="2408"/>
      <c r="L608" s="2409"/>
    </row>
    <row r="609" spans="1:12" ht="12" customHeight="1" x14ac:dyDescent="0.3">
      <c r="A609" s="2394" t="s">
        <v>2279</v>
      </c>
      <c r="B609" s="2395" t="s">
        <v>2280</v>
      </c>
      <c r="C609" s="2406">
        <v>0</v>
      </c>
      <c r="D609" s="2396"/>
      <c r="E609" s="2406">
        <v>0</v>
      </c>
      <c r="F609" s="2406">
        <v>0</v>
      </c>
      <c r="G609" s="2407">
        <v>0</v>
      </c>
      <c r="H609" s="2407">
        <v>0</v>
      </c>
      <c r="I609" s="2408"/>
      <c r="J609" s="2408"/>
      <c r="K609" s="2408"/>
      <c r="L609" s="2409"/>
    </row>
    <row r="610" spans="1:12" ht="12" customHeight="1" x14ac:dyDescent="0.3">
      <c r="A610" s="2394" t="s">
        <v>2281</v>
      </c>
      <c r="B610" s="2395" t="s">
        <v>2282</v>
      </c>
      <c r="C610" s="2406">
        <v>0</v>
      </c>
      <c r="D610" s="2396"/>
      <c r="E610" s="2406">
        <v>0</v>
      </c>
      <c r="F610" s="2406">
        <v>0</v>
      </c>
      <c r="G610" s="2407">
        <v>0</v>
      </c>
      <c r="H610" s="2407">
        <v>0</v>
      </c>
      <c r="I610" s="2408"/>
      <c r="J610" s="2408"/>
      <c r="K610" s="2408"/>
      <c r="L610" s="2409"/>
    </row>
    <row r="611" spans="1:12" ht="12" customHeight="1" x14ac:dyDescent="0.3">
      <c r="A611" s="2394" t="s">
        <v>2283</v>
      </c>
      <c r="B611" s="2395" t="s">
        <v>2284</v>
      </c>
      <c r="C611" s="2406">
        <v>0</v>
      </c>
      <c r="D611" s="2396"/>
      <c r="E611" s="2406">
        <v>0</v>
      </c>
      <c r="F611" s="2406">
        <v>0</v>
      </c>
      <c r="G611" s="2407">
        <v>0</v>
      </c>
      <c r="H611" s="2407">
        <v>0</v>
      </c>
      <c r="I611" s="2408"/>
      <c r="J611" s="2408"/>
      <c r="K611" s="2408"/>
      <c r="L611" s="2409"/>
    </row>
    <row r="612" spans="1:12" ht="12" customHeight="1" x14ac:dyDescent="0.3">
      <c r="A612" s="2394" t="s">
        <v>2285</v>
      </c>
      <c r="B612" s="2395" t="s">
        <v>2286</v>
      </c>
      <c r="C612" s="2406">
        <v>0</v>
      </c>
      <c r="D612" s="2396"/>
      <c r="E612" s="2406">
        <v>0</v>
      </c>
      <c r="F612" s="2406">
        <v>0</v>
      </c>
      <c r="G612" s="2407">
        <v>0</v>
      </c>
      <c r="H612" s="2407">
        <v>0</v>
      </c>
      <c r="I612" s="2408"/>
      <c r="J612" s="2408"/>
      <c r="K612" s="2408"/>
      <c r="L612" s="2409"/>
    </row>
    <row r="613" spans="1:12" ht="12" customHeight="1" x14ac:dyDescent="0.3">
      <c r="A613" s="2394" t="s">
        <v>2287</v>
      </c>
      <c r="B613" s="2395" t="s">
        <v>2288</v>
      </c>
      <c r="C613" s="2406">
        <v>0</v>
      </c>
      <c r="D613" s="2396"/>
      <c r="E613" s="2406">
        <v>0</v>
      </c>
      <c r="F613" s="2406">
        <v>0</v>
      </c>
      <c r="G613" s="2407">
        <v>0</v>
      </c>
      <c r="H613" s="2407">
        <v>0</v>
      </c>
      <c r="I613" s="2408"/>
      <c r="J613" s="2408"/>
      <c r="K613" s="2408"/>
      <c r="L613" s="2409"/>
    </row>
    <row r="614" spans="1:12" ht="12" customHeight="1" x14ac:dyDescent="0.3">
      <c r="A614" s="2394" t="s">
        <v>2289</v>
      </c>
      <c r="B614" s="2395" t="s">
        <v>2290</v>
      </c>
      <c r="C614" s="2406">
        <v>0</v>
      </c>
      <c r="D614" s="2396"/>
      <c r="E614" s="2406">
        <v>0</v>
      </c>
      <c r="F614" s="2406">
        <v>0</v>
      </c>
      <c r="G614" s="2407">
        <v>0</v>
      </c>
      <c r="H614" s="2407">
        <v>0</v>
      </c>
      <c r="I614" s="2408"/>
      <c r="J614" s="2408"/>
      <c r="K614" s="2408"/>
      <c r="L614" s="2409"/>
    </row>
    <row r="615" spans="1:12" ht="12" customHeight="1" x14ac:dyDescent="0.3">
      <c r="A615" s="2394" t="s">
        <v>2291</v>
      </c>
      <c r="B615" s="2395" t="s">
        <v>2292</v>
      </c>
      <c r="C615" s="2406">
        <v>0</v>
      </c>
      <c r="D615" s="2396"/>
      <c r="E615" s="2406">
        <v>0</v>
      </c>
      <c r="F615" s="2406">
        <v>0</v>
      </c>
      <c r="G615" s="2407">
        <v>0</v>
      </c>
      <c r="H615" s="2407">
        <v>0</v>
      </c>
      <c r="I615" s="2408"/>
      <c r="J615" s="2408"/>
      <c r="K615" s="2408"/>
      <c r="L615" s="2409"/>
    </row>
    <row r="616" spans="1:12" ht="12" customHeight="1" x14ac:dyDescent="0.3">
      <c r="A616" s="2394" t="s">
        <v>2293</v>
      </c>
      <c r="B616" s="2395" t="s">
        <v>2294</v>
      </c>
      <c r="C616" s="2406">
        <v>0</v>
      </c>
      <c r="D616" s="2396"/>
      <c r="E616" s="2406">
        <v>0</v>
      </c>
      <c r="F616" s="2406">
        <v>0</v>
      </c>
      <c r="G616" s="2407">
        <v>0</v>
      </c>
      <c r="H616" s="2407">
        <v>0</v>
      </c>
      <c r="I616" s="2408"/>
      <c r="J616" s="2408"/>
      <c r="K616" s="2408"/>
      <c r="L616" s="2409"/>
    </row>
    <row r="617" spans="1:12" ht="12" customHeight="1" x14ac:dyDescent="0.3">
      <c r="A617" s="2394" t="s">
        <v>2296</v>
      </c>
      <c r="B617" s="2395" t="s">
        <v>2276</v>
      </c>
      <c r="C617" s="2406">
        <v>0</v>
      </c>
      <c r="D617" s="2396"/>
      <c r="E617" s="2406">
        <v>0</v>
      </c>
      <c r="F617" s="2406">
        <v>0</v>
      </c>
      <c r="G617" s="2407">
        <v>0</v>
      </c>
      <c r="H617" s="2407">
        <v>0</v>
      </c>
      <c r="I617" s="2408"/>
      <c r="J617" s="2408"/>
      <c r="K617" s="2408"/>
      <c r="L617" s="2409"/>
    </row>
    <row r="618" spans="1:12" ht="12" customHeight="1" x14ac:dyDescent="0.3">
      <c r="A618" s="2394" t="s">
        <v>2297</v>
      </c>
      <c r="B618" s="2395" t="s">
        <v>2298</v>
      </c>
      <c r="C618" s="2406">
        <v>0</v>
      </c>
      <c r="D618" s="2396"/>
      <c r="E618" s="2406">
        <v>0</v>
      </c>
      <c r="F618" s="2406">
        <v>0</v>
      </c>
      <c r="G618" s="2407">
        <v>0</v>
      </c>
      <c r="H618" s="2407">
        <v>0</v>
      </c>
      <c r="I618" s="2408"/>
      <c r="J618" s="2408"/>
      <c r="K618" s="2408"/>
      <c r="L618" s="2409"/>
    </row>
    <row r="619" spans="1:12" ht="12" customHeight="1" x14ac:dyDescent="0.3">
      <c r="A619" s="2394" t="s">
        <v>2299</v>
      </c>
      <c r="B619" s="2395" t="s">
        <v>2300</v>
      </c>
      <c r="C619" s="2406">
        <v>0</v>
      </c>
      <c r="D619" s="2396"/>
      <c r="E619" s="2406">
        <v>0</v>
      </c>
      <c r="F619" s="2406">
        <v>0</v>
      </c>
      <c r="G619" s="2407">
        <v>0</v>
      </c>
      <c r="H619" s="2407">
        <v>0</v>
      </c>
      <c r="I619" s="2408"/>
      <c r="J619" s="2408"/>
      <c r="K619" s="2408"/>
      <c r="L619" s="2409"/>
    </row>
    <row r="620" spans="1:12" ht="12" customHeight="1" x14ac:dyDescent="0.3">
      <c r="A620" s="2394" t="s">
        <v>2301</v>
      </c>
      <c r="B620" s="2395" t="s">
        <v>2302</v>
      </c>
      <c r="C620" s="2406">
        <v>0</v>
      </c>
      <c r="D620" s="2396"/>
      <c r="E620" s="2406">
        <v>0</v>
      </c>
      <c r="F620" s="2406">
        <v>0</v>
      </c>
      <c r="G620" s="2407">
        <v>0</v>
      </c>
      <c r="H620" s="2407">
        <v>0</v>
      </c>
      <c r="I620" s="2408"/>
      <c r="J620" s="2408"/>
      <c r="K620" s="2408"/>
      <c r="L620" s="2409"/>
    </row>
    <row r="621" spans="1:12" ht="12" customHeight="1" x14ac:dyDescent="0.3">
      <c r="A621" s="2394" t="s">
        <v>2303</v>
      </c>
      <c r="B621" s="2395" t="s">
        <v>2304</v>
      </c>
      <c r="C621" s="2406">
        <v>0</v>
      </c>
      <c r="D621" s="2396"/>
      <c r="E621" s="2406">
        <v>0</v>
      </c>
      <c r="F621" s="2406">
        <v>0</v>
      </c>
      <c r="G621" s="2407">
        <v>0</v>
      </c>
      <c r="H621" s="2407">
        <v>0</v>
      </c>
      <c r="I621" s="2408"/>
      <c r="J621" s="2408"/>
      <c r="K621" s="2408"/>
      <c r="L621" s="2409"/>
    </row>
    <row r="622" spans="1:12" ht="12" customHeight="1" x14ac:dyDescent="0.3">
      <c r="A622" s="2394" t="s">
        <v>2305</v>
      </c>
      <c r="B622" s="2395" t="s">
        <v>2306</v>
      </c>
      <c r="C622" s="2406">
        <v>0</v>
      </c>
      <c r="D622" s="2396"/>
      <c r="E622" s="2406">
        <v>0</v>
      </c>
      <c r="F622" s="2406">
        <v>0</v>
      </c>
      <c r="G622" s="2407">
        <v>0</v>
      </c>
      <c r="H622" s="2407">
        <v>0</v>
      </c>
      <c r="I622" s="2408"/>
      <c r="J622" s="2408"/>
      <c r="K622" s="2408"/>
      <c r="L622" s="2409"/>
    </row>
    <row r="623" spans="1:12" ht="12" customHeight="1" x14ac:dyDescent="0.3">
      <c r="A623" s="2394" t="s">
        <v>2307</v>
      </c>
      <c r="B623" s="2395" t="s">
        <v>2308</v>
      </c>
      <c r="C623" s="2406">
        <v>0</v>
      </c>
      <c r="D623" s="2396"/>
      <c r="E623" s="2406">
        <v>0</v>
      </c>
      <c r="F623" s="2406">
        <v>0</v>
      </c>
      <c r="G623" s="2407">
        <v>0</v>
      </c>
      <c r="H623" s="2407">
        <v>0</v>
      </c>
      <c r="I623" s="2408"/>
      <c r="J623" s="2408"/>
      <c r="K623" s="2408"/>
      <c r="L623" s="2409"/>
    </row>
    <row r="624" spans="1:12" ht="12" customHeight="1" x14ac:dyDescent="0.3">
      <c r="A624" s="2394" t="s">
        <v>2309</v>
      </c>
      <c r="B624" s="2395" t="s">
        <v>2310</v>
      </c>
      <c r="C624" s="2406">
        <v>0</v>
      </c>
      <c r="D624" s="2396"/>
      <c r="E624" s="2406">
        <v>0</v>
      </c>
      <c r="F624" s="2406">
        <v>0</v>
      </c>
      <c r="G624" s="2407">
        <v>0</v>
      </c>
      <c r="H624" s="2407">
        <v>0</v>
      </c>
      <c r="I624" s="2408"/>
      <c r="J624" s="2408"/>
      <c r="K624" s="2408"/>
      <c r="L624" s="2409"/>
    </row>
    <row r="625" spans="1:12" ht="12" customHeight="1" x14ac:dyDescent="0.3">
      <c r="A625" s="2394" t="s">
        <v>2311</v>
      </c>
      <c r="B625" s="2395" t="s">
        <v>2312</v>
      </c>
      <c r="C625" s="2406">
        <v>0</v>
      </c>
      <c r="D625" s="2396"/>
      <c r="E625" s="2406">
        <v>0</v>
      </c>
      <c r="F625" s="2406">
        <v>0</v>
      </c>
      <c r="G625" s="2407">
        <v>0</v>
      </c>
      <c r="H625" s="2407">
        <v>0</v>
      </c>
      <c r="I625" s="2408"/>
      <c r="J625" s="2408"/>
      <c r="K625" s="2408"/>
      <c r="L625" s="2409"/>
    </row>
    <row r="626" spans="1:12" ht="12" customHeight="1" x14ac:dyDescent="0.3">
      <c r="A626" s="2394" t="s">
        <v>2313</v>
      </c>
      <c r="B626" s="2395" t="s">
        <v>2314</v>
      </c>
      <c r="C626" s="2406">
        <v>0</v>
      </c>
      <c r="D626" s="2396"/>
      <c r="E626" s="2406">
        <v>0</v>
      </c>
      <c r="F626" s="2406">
        <v>0</v>
      </c>
      <c r="G626" s="2407">
        <v>0</v>
      </c>
      <c r="H626" s="2407">
        <v>0</v>
      </c>
      <c r="I626" s="2408"/>
      <c r="J626" s="2408"/>
      <c r="K626" s="2408"/>
      <c r="L626" s="2409"/>
    </row>
    <row r="627" spans="1:12" ht="12" customHeight="1" x14ac:dyDescent="0.3">
      <c r="A627" s="2394" t="s">
        <v>2315</v>
      </c>
      <c r="B627" s="2395" t="s">
        <v>2288</v>
      </c>
      <c r="C627" s="2406">
        <v>0</v>
      </c>
      <c r="D627" s="2396"/>
      <c r="E627" s="2406">
        <v>0</v>
      </c>
      <c r="F627" s="2406">
        <v>0</v>
      </c>
      <c r="G627" s="2407">
        <v>0</v>
      </c>
      <c r="H627" s="2407">
        <v>0</v>
      </c>
      <c r="I627" s="2408"/>
      <c r="J627" s="2408"/>
      <c r="K627" s="2408"/>
      <c r="L627" s="2409"/>
    </row>
    <row r="628" spans="1:12" ht="12" customHeight="1" x14ac:dyDescent="0.3">
      <c r="A628" s="2394" t="s">
        <v>2316</v>
      </c>
      <c r="B628" s="2395" t="s">
        <v>2317</v>
      </c>
      <c r="C628" s="2406">
        <v>0</v>
      </c>
      <c r="D628" s="2396"/>
      <c r="E628" s="2406">
        <v>0</v>
      </c>
      <c r="F628" s="2406">
        <v>0</v>
      </c>
      <c r="G628" s="2407">
        <v>0</v>
      </c>
      <c r="H628" s="2407">
        <v>0</v>
      </c>
      <c r="I628" s="2408"/>
      <c r="J628" s="2408"/>
      <c r="K628" s="2408"/>
      <c r="L628" s="2409"/>
    </row>
    <row r="629" spans="1:12" ht="12" customHeight="1" x14ac:dyDescent="0.3">
      <c r="A629" s="2394" t="s">
        <v>2318</v>
      </c>
      <c r="B629" s="2395" t="s">
        <v>2292</v>
      </c>
      <c r="C629" s="2406">
        <v>0</v>
      </c>
      <c r="D629" s="2396"/>
      <c r="E629" s="2406">
        <v>0</v>
      </c>
      <c r="F629" s="2406">
        <v>0</v>
      </c>
      <c r="G629" s="2407">
        <v>0</v>
      </c>
      <c r="H629" s="2407">
        <v>0</v>
      </c>
      <c r="I629" s="2408"/>
      <c r="J629" s="2408"/>
      <c r="K629" s="2408"/>
      <c r="L629" s="2409"/>
    </row>
    <row r="630" spans="1:12" ht="12" customHeight="1" x14ac:dyDescent="0.3">
      <c r="A630" s="2394" t="s">
        <v>2319</v>
      </c>
      <c r="B630" s="2395" t="s">
        <v>2320</v>
      </c>
      <c r="C630" s="2406">
        <v>0</v>
      </c>
      <c r="D630" s="2396"/>
      <c r="E630" s="2406">
        <v>0</v>
      </c>
      <c r="F630" s="2406">
        <v>0</v>
      </c>
      <c r="G630" s="2407">
        <v>0</v>
      </c>
      <c r="H630" s="2407">
        <v>0</v>
      </c>
      <c r="I630" s="2408"/>
      <c r="J630" s="2408"/>
      <c r="K630" s="2408"/>
      <c r="L630" s="2409"/>
    </row>
    <row r="631" spans="1:12" ht="12" customHeight="1" x14ac:dyDescent="0.3">
      <c r="A631" s="2394" t="s">
        <v>2321</v>
      </c>
      <c r="B631" s="2395" t="s">
        <v>2276</v>
      </c>
      <c r="C631" s="2406">
        <v>0</v>
      </c>
      <c r="D631" s="2396"/>
      <c r="E631" s="2406">
        <v>0</v>
      </c>
      <c r="F631" s="2406">
        <v>0</v>
      </c>
      <c r="G631" s="2407">
        <v>0</v>
      </c>
      <c r="H631" s="2407">
        <v>0</v>
      </c>
      <c r="I631" s="2408"/>
      <c r="J631" s="2408"/>
      <c r="K631" s="2408"/>
      <c r="L631" s="2409"/>
    </row>
    <row r="632" spans="1:12" ht="12" customHeight="1" x14ac:dyDescent="0.3">
      <c r="A632" s="2394" t="s">
        <v>2322</v>
      </c>
      <c r="B632" s="2395" t="s">
        <v>2323</v>
      </c>
      <c r="C632" s="2406">
        <v>0</v>
      </c>
      <c r="D632" s="2396"/>
      <c r="E632" s="2406">
        <v>0</v>
      </c>
      <c r="F632" s="2406">
        <v>0</v>
      </c>
      <c r="G632" s="2407">
        <v>0</v>
      </c>
      <c r="H632" s="2407">
        <v>0</v>
      </c>
      <c r="I632" s="2408"/>
      <c r="J632" s="2408"/>
      <c r="K632" s="2408"/>
      <c r="L632" s="2409"/>
    </row>
    <row r="633" spans="1:12" ht="12" customHeight="1" x14ac:dyDescent="0.3">
      <c r="A633" s="2394" t="s">
        <v>2324</v>
      </c>
      <c r="B633" s="2395" t="s">
        <v>2325</v>
      </c>
      <c r="C633" s="2406" t="s">
        <v>8075</v>
      </c>
      <c r="D633" s="2396"/>
      <c r="E633" s="2406">
        <v>0</v>
      </c>
      <c r="F633" s="2406">
        <v>0</v>
      </c>
      <c r="G633" s="2407">
        <v>0</v>
      </c>
      <c r="H633" s="2407" t="s">
        <v>8075</v>
      </c>
      <c r="I633" s="2408"/>
      <c r="J633" s="2408"/>
      <c r="K633" s="2408"/>
      <c r="L633" s="2409"/>
    </row>
    <row r="634" spans="1:12" ht="12" customHeight="1" x14ac:dyDescent="0.3">
      <c r="A634" s="2394" t="s">
        <v>2326</v>
      </c>
      <c r="B634" s="2395" t="s">
        <v>2327</v>
      </c>
      <c r="C634" s="2406">
        <v>0</v>
      </c>
      <c r="D634" s="2396"/>
      <c r="E634" s="2406">
        <v>0</v>
      </c>
      <c r="F634" s="2406">
        <v>0</v>
      </c>
      <c r="G634" s="2407">
        <v>0</v>
      </c>
      <c r="H634" s="2407">
        <v>0</v>
      </c>
      <c r="I634" s="2408"/>
      <c r="J634" s="2408"/>
      <c r="K634" s="2408"/>
      <c r="L634" s="2409"/>
    </row>
    <row r="635" spans="1:12" ht="12" customHeight="1" x14ac:dyDescent="0.3">
      <c r="A635" s="2394" t="s">
        <v>2328</v>
      </c>
      <c r="B635" s="2395" t="s">
        <v>2329</v>
      </c>
      <c r="C635" s="2406" t="s">
        <v>8097</v>
      </c>
      <c r="D635" s="2396"/>
      <c r="E635" s="2406">
        <v>0</v>
      </c>
      <c r="F635" s="2406">
        <v>0</v>
      </c>
      <c r="G635" s="2407">
        <v>0</v>
      </c>
      <c r="H635" s="2407" t="s">
        <v>8097</v>
      </c>
      <c r="I635" s="2408"/>
      <c r="J635" s="2408"/>
      <c r="K635" s="2408"/>
      <c r="L635" s="2409"/>
    </row>
    <row r="636" spans="1:12" ht="12" customHeight="1" x14ac:dyDescent="0.3">
      <c r="A636" s="2394" t="s">
        <v>2330</v>
      </c>
      <c r="B636" s="2395" t="s">
        <v>2331</v>
      </c>
      <c r="C636" s="2406">
        <v>0</v>
      </c>
      <c r="D636" s="2396"/>
      <c r="E636" s="2406">
        <v>0</v>
      </c>
      <c r="F636" s="2406">
        <v>0</v>
      </c>
      <c r="G636" s="2407">
        <v>0</v>
      </c>
      <c r="H636" s="2407">
        <v>0</v>
      </c>
      <c r="I636" s="2408"/>
      <c r="J636" s="2408"/>
      <c r="K636" s="2408"/>
      <c r="L636" s="2409"/>
    </row>
    <row r="637" spans="1:12" ht="12" customHeight="1" x14ac:dyDescent="0.3">
      <c r="A637" s="2394" t="s">
        <v>2332</v>
      </c>
      <c r="B637" s="2395" t="s">
        <v>2333</v>
      </c>
      <c r="C637" s="2406" t="s">
        <v>8076</v>
      </c>
      <c r="D637" s="2396"/>
      <c r="E637" s="2406">
        <v>0</v>
      </c>
      <c r="F637" s="2406">
        <v>0</v>
      </c>
      <c r="G637" s="2407">
        <v>0</v>
      </c>
      <c r="H637" s="2407" t="s">
        <v>8076</v>
      </c>
      <c r="I637" s="2408"/>
      <c r="J637" s="2408"/>
      <c r="K637" s="2408"/>
      <c r="L637" s="2409"/>
    </row>
    <row r="638" spans="1:12" ht="12" customHeight="1" x14ac:dyDescent="0.3">
      <c r="A638" s="2394" t="s">
        <v>2334</v>
      </c>
      <c r="B638" s="2395" t="s">
        <v>2335</v>
      </c>
      <c r="C638" s="2406">
        <v>0</v>
      </c>
      <c r="D638" s="2396"/>
      <c r="E638" s="2406">
        <v>0</v>
      </c>
      <c r="F638" s="2406">
        <v>0</v>
      </c>
      <c r="G638" s="2407">
        <v>0</v>
      </c>
      <c r="H638" s="2407">
        <v>0</v>
      </c>
      <c r="I638" s="2408"/>
      <c r="J638" s="2408"/>
      <c r="K638" s="2408"/>
      <c r="L638" s="2409"/>
    </row>
    <row r="639" spans="1:12" ht="12" customHeight="1" x14ac:dyDescent="0.3">
      <c r="A639" s="2394" t="s">
        <v>2336</v>
      </c>
      <c r="B639" s="2395" t="s">
        <v>2337</v>
      </c>
      <c r="C639" s="2406">
        <v>0</v>
      </c>
      <c r="D639" s="2396"/>
      <c r="E639" s="2406">
        <v>0</v>
      </c>
      <c r="F639" s="2406">
        <v>0</v>
      </c>
      <c r="G639" s="2407">
        <v>0</v>
      </c>
      <c r="H639" s="2407">
        <v>0</v>
      </c>
      <c r="I639" s="2408"/>
      <c r="J639" s="2408"/>
      <c r="K639" s="2408"/>
      <c r="L639" s="2409"/>
    </row>
    <row r="640" spans="1:12" ht="12.75" customHeight="1" x14ac:dyDescent="0.3">
      <c r="A640" s="2394" t="s">
        <v>1170</v>
      </c>
      <c r="B640" s="2395" t="s">
        <v>1171</v>
      </c>
      <c r="C640" s="2406" t="s">
        <v>8098</v>
      </c>
      <c r="D640" s="2396"/>
      <c r="E640" s="2406">
        <v>0</v>
      </c>
      <c r="F640" s="2406">
        <v>0</v>
      </c>
      <c r="G640" s="2407">
        <v>0</v>
      </c>
      <c r="H640" s="2407" t="s">
        <v>8098</v>
      </c>
      <c r="I640" s="2408"/>
      <c r="J640" s="2408"/>
      <c r="K640" s="2418"/>
      <c r="L640" s="2409"/>
    </row>
    <row r="641" spans="1:12" ht="12" customHeight="1" x14ac:dyDescent="0.3">
      <c r="A641" s="2394" t="s">
        <v>2338</v>
      </c>
      <c r="B641" s="2395" t="s">
        <v>2288</v>
      </c>
      <c r="C641" s="2406">
        <v>0</v>
      </c>
      <c r="D641" s="2396"/>
      <c r="E641" s="2406">
        <v>0</v>
      </c>
      <c r="F641" s="2406">
        <v>0</v>
      </c>
      <c r="G641" s="2407">
        <v>0</v>
      </c>
      <c r="H641" s="2407">
        <v>0</v>
      </c>
      <c r="I641" s="2408"/>
      <c r="J641" s="2408"/>
      <c r="K641" s="2408"/>
      <c r="L641" s="2409"/>
    </row>
    <row r="642" spans="1:12" ht="12" customHeight="1" x14ac:dyDescent="0.3">
      <c r="A642" s="2394" t="s">
        <v>2339</v>
      </c>
      <c r="B642" s="2395" t="s">
        <v>2340</v>
      </c>
      <c r="C642" s="2406">
        <v>0</v>
      </c>
      <c r="D642" s="2396"/>
      <c r="E642" s="2406">
        <v>0</v>
      </c>
      <c r="F642" s="2406">
        <v>0</v>
      </c>
      <c r="G642" s="2407">
        <v>0</v>
      </c>
      <c r="H642" s="2407">
        <v>0</v>
      </c>
      <c r="I642" s="2408"/>
      <c r="J642" s="2408"/>
      <c r="K642" s="2408"/>
      <c r="L642" s="2409"/>
    </row>
    <row r="643" spans="1:12" ht="12" customHeight="1" x14ac:dyDescent="0.3">
      <c r="A643" s="2394" t="s">
        <v>2341</v>
      </c>
      <c r="B643" s="2395" t="s">
        <v>2292</v>
      </c>
      <c r="C643" s="2406">
        <v>0</v>
      </c>
      <c r="D643" s="2396"/>
      <c r="E643" s="2406">
        <v>0</v>
      </c>
      <c r="F643" s="2406">
        <v>0</v>
      </c>
      <c r="G643" s="2407">
        <v>0</v>
      </c>
      <c r="H643" s="2407">
        <v>0</v>
      </c>
      <c r="I643" s="2408"/>
      <c r="J643" s="2408"/>
      <c r="K643" s="2408"/>
      <c r="L643" s="2409"/>
    </row>
    <row r="644" spans="1:12" ht="12" customHeight="1" x14ac:dyDescent="0.3">
      <c r="A644" s="2394" t="s">
        <v>2342</v>
      </c>
      <c r="B644" s="2395" t="s">
        <v>2343</v>
      </c>
      <c r="C644" s="2406">
        <v>0</v>
      </c>
      <c r="D644" s="2396"/>
      <c r="E644" s="2406">
        <v>0</v>
      </c>
      <c r="F644" s="2406">
        <v>0</v>
      </c>
      <c r="G644" s="2407">
        <v>0</v>
      </c>
      <c r="H644" s="2407">
        <v>0</v>
      </c>
      <c r="I644" s="2408"/>
      <c r="J644" s="2408"/>
      <c r="K644" s="2408"/>
      <c r="L644" s="2409"/>
    </row>
    <row r="645" spans="1:12" ht="12" customHeight="1" x14ac:dyDescent="0.3">
      <c r="A645" s="2394" t="s">
        <v>2345</v>
      </c>
      <c r="B645" s="2395" t="s">
        <v>2276</v>
      </c>
      <c r="C645" s="2406">
        <v>0</v>
      </c>
      <c r="D645" s="2396"/>
      <c r="E645" s="2406">
        <v>0</v>
      </c>
      <c r="F645" s="2406">
        <v>0</v>
      </c>
      <c r="G645" s="2407">
        <v>0</v>
      </c>
      <c r="H645" s="2407">
        <v>0</v>
      </c>
      <c r="I645" s="2408"/>
      <c r="J645" s="2408"/>
      <c r="K645" s="2408"/>
      <c r="L645" s="2409"/>
    </row>
    <row r="646" spans="1:12" ht="12" customHeight="1" x14ac:dyDescent="0.3">
      <c r="A646" s="2394" t="s">
        <v>2346</v>
      </c>
      <c r="B646" s="2395" t="s">
        <v>2347</v>
      </c>
      <c r="C646" s="2406">
        <v>0</v>
      </c>
      <c r="D646" s="2396"/>
      <c r="E646" s="2406">
        <v>0</v>
      </c>
      <c r="F646" s="2406">
        <v>0</v>
      </c>
      <c r="G646" s="2407">
        <v>0</v>
      </c>
      <c r="H646" s="2407">
        <v>0</v>
      </c>
      <c r="I646" s="2408"/>
      <c r="J646" s="2408"/>
      <c r="K646" s="2408"/>
      <c r="L646" s="2409"/>
    </row>
    <row r="647" spans="1:12" ht="12" customHeight="1" x14ac:dyDescent="0.3">
      <c r="A647" s="2394" t="s">
        <v>2348</v>
      </c>
      <c r="B647" s="2395" t="s">
        <v>2349</v>
      </c>
      <c r="C647" s="2406">
        <v>0</v>
      </c>
      <c r="D647" s="2396"/>
      <c r="E647" s="2406">
        <v>0</v>
      </c>
      <c r="F647" s="2406">
        <v>0</v>
      </c>
      <c r="G647" s="2407">
        <v>0</v>
      </c>
      <c r="H647" s="2407">
        <v>0</v>
      </c>
      <c r="I647" s="2408"/>
      <c r="J647" s="2408"/>
      <c r="K647" s="2408"/>
      <c r="L647" s="2409"/>
    </row>
    <row r="648" spans="1:12" ht="12" customHeight="1" x14ac:dyDescent="0.3">
      <c r="A648" s="2394" t="s">
        <v>2350</v>
      </c>
      <c r="B648" s="2395" t="s">
        <v>2351</v>
      </c>
      <c r="C648" s="2406">
        <v>0</v>
      </c>
      <c r="D648" s="2396"/>
      <c r="E648" s="2406">
        <v>0</v>
      </c>
      <c r="F648" s="2406">
        <v>0</v>
      </c>
      <c r="G648" s="2407">
        <v>0</v>
      </c>
      <c r="H648" s="2407">
        <v>0</v>
      </c>
      <c r="I648" s="2408"/>
      <c r="J648" s="2408"/>
      <c r="K648" s="2408"/>
      <c r="L648" s="2409"/>
    </row>
    <row r="649" spans="1:12" ht="12" customHeight="1" x14ac:dyDescent="0.3">
      <c r="A649" s="2394" t="s">
        <v>2352</v>
      </c>
      <c r="B649" s="2395" t="s">
        <v>2353</v>
      </c>
      <c r="C649" s="2406">
        <v>0</v>
      </c>
      <c r="D649" s="2396"/>
      <c r="E649" s="2406">
        <v>0</v>
      </c>
      <c r="F649" s="2406">
        <v>0</v>
      </c>
      <c r="G649" s="2407">
        <v>0</v>
      </c>
      <c r="H649" s="2407">
        <v>0</v>
      </c>
      <c r="I649" s="2408"/>
      <c r="J649" s="2408"/>
      <c r="K649" s="2408"/>
      <c r="L649" s="2409"/>
    </row>
    <row r="650" spans="1:12" ht="12" customHeight="1" x14ac:dyDescent="0.3">
      <c r="A650" s="2394" t="s">
        <v>2354</v>
      </c>
      <c r="B650" s="2395" t="s">
        <v>2355</v>
      </c>
      <c r="C650" s="2406">
        <v>0</v>
      </c>
      <c r="D650" s="2396"/>
      <c r="E650" s="2406">
        <v>0</v>
      </c>
      <c r="F650" s="2406">
        <v>0</v>
      </c>
      <c r="G650" s="2407">
        <v>0</v>
      </c>
      <c r="H650" s="2407">
        <v>0</v>
      </c>
      <c r="I650" s="2408"/>
      <c r="J650" s="2408"/>
      <c r="K650" s="2408"/>
      <c r="L650" s="2409"/>
    </row>
    <row r="651" spans="1:12" ht="12" customHeight="1" x14ac:dyDescent="0.3">
      <c r="A651" s="2394" t="s">
        <v>2356</v>
      </c>
      <c r="B651" s="2395" t="s">
        <v>2357</v>
      </c>
      <c r="C651" s="2406">
        <v>0</v>
      </c>
      <c r="D651" s="2396"/>
      <c r="E651" s="2406">
        <v>0</v>
      </c>
      <c r="F651" s="2406">
        <v>0</v>
      </c>
      <c r="G651" s="2407">
        <v>0</v>
      </c>
      <c r="H651" s="2407">
        <v>0</v>
      </c>
      <c r="I651" s="2408"/>
      <c r="J651" s="2408"/>
      <c r="K651" s="2408"/>
      <c r="L651" s="2409"/>
    </row>
    <row r="652" spans="1:12" ht="12" customHeight="1" x14ac:dyDescent="0.3">
      <c r="A652" s="2394" t="s">
        <v>2358</v>
      </c>
      <c r="B652" s="2395" t="s">
        <v>2359</v>
      </c>
      <c r="C652" s="2406">
        <v>0</v>
      </c>
      <c r="D652" s="2396"/>
      <c r="E652" s="2406">
        <v>0</v>
      </c>
      <c r="F652" s="2406">
        <v>0</v>
      </c>
      <c r="G652" s="2407">
        <v>0</v>
      </c>
      <c r="H652" s="2407">
        <v>0</v>
      </c>
      <c r="I652" s="2408"/>
      <c r="J652" s="2408"/>
      <c r="K652" s="2408"/>
      <c r="L652" s="2409"/>
    </row>
    <row r="653" spans="1:12" ht="12" customHeight="1" x14ac:dyDescent="0.3">
      <c r="A653" s="2394" t="s">
        <v>2360</v>
      </c>
      <c r="B653" s="2395" t="s">
        <v>2361</v>
      </c>
      <c r="C653" s="2406">
        <v>0</v>
      </c>
      <c r="D653" s="2396"/>
      <c r="E653" s="2406">
        <v>0</v>
      </c>
      <c r="F653" s="2406">
        <v>0</v>
      </c>
      <c r="G653" s="2407">
        <v>0</v>
      </c>
      <c r="H653" s="2407">
        <v>0</v>
      </c>
      <c r="I653" s="2408"/>
      <c r="J653" s="2408"/>
      <c r="K653" s="2408"/>
      <c r="L653" s="2409"/>
    </row>
    <row r="654" spans="1:12" ht="12" customHeight="1" x14ac:dyDescent="0.3">
      <c r="A654" s="2394" t="s">
        <v>2362</v>
      </c>
      <c r="B654" s="2395" t="s">
        <v>2363</v>
      </c>
      <c r="C654" s="2406">
        <v>0</v>
      </c>
      <c r="D654" s="2396"/>
      <c r="E654" s="2406">
        <v>0</v>
      </c>
      <c r="F654" s="2406">
        <v>0</v>
      </c>
      <c r="G654" s="2407">
        <v>0</v>
      </c>
      <c r="H654" s="2407">
        <v>0</v>
      </c>
      <c r="I654" s="2408"/>
      <c r="J654" s="2408"/>
      <c r="K654" s="2408"/>
      <c r="L654" s="2409"/>
    </row>
    <row r="655" spans="1:12" ht="12" customHeight="1" x14ac:dyDescent="0.3">
      <c r="A655" s="2394" t="s">
        <v>2364</v>
      </c>
      <c r="B655" s="2395" t="s">
        <v>2288</v>
      </c>
      <c r="C655" s="2406">
        <v>0</v>
      </c>
      <c r="D655" s="2396"/>
      <c r="E655" s="2406">
        <v>0</v>
      </c>
      <c r="F655" s="2406">
        <v>0</v>
      </c>
      <c r="G655" s="2407">
        <v>0</v>
      </c>
      <c r="H655" s="2407">
        <v>0</v>
      </c>
      <c r="I655" s="2408"/>
      <c r="J655" s="2408"/>
      <c r="K655" s="2408"/>
      <c r="L655" s="2409"/>
    </row>
    <row r="656" spans="1:12" ht="12" customHeight="1" x14ac:dyDescent="0.3">
      <c r="A656" s="2394" t="s">
        <v>2365</v>
      </c>
      <c r="B656" s="2395" t="s">
        <v>2366</v>
      </c>
      <c r="C656" s="2406">
        <v>0</v>
      </c>
      <c r="D656" s="2396"/>
      <c r="E656" s="2406">
        <v>0</v>
      </c>
      <c r="F656" s="2406">
        <v>0</v>
      </c>
      <c r="G656" s="2407">
        <v>0</v>
      </c>
      <c r="H656" s="2407">
        <v>0</v>
      </c>
      <c r="I656" s="2408"/>
      <c r="J656" s="2408"/>
      <c r="K656" s="2408"/>
      <c r="L656" s="2409"/>
    </row>
    <row r="657" spans="1:12" ht="12" customHeight="1" x14ac:dyDescent="0.3">
      <c r="A657" s="2394" t="s">
        <v>2367</v>
      </c>
      <c r="B657" s="2395" t="s">
        <v>2292</v>
      </c>
      <c r="C657" s="2406">
        <v>0</v>
      </c>
      <c r="D657" s="2396"/>
      <c r="E657" s="2406">
        <v>0</v>
      </c>
      <c r="F657" s="2406">
        <v>0</v>
      </c>
      <c r="G657" s="2407">
        <v>0</v>
      </c>
      <c r="H657" s="2407">
        <v>0</v>
      </c>
      <c r="I657" s="2408"/>
      <c r="J657" s="2408"/>
      <c r="K657" s="2408"/>
      <c r="L657" s="2409"/>
    </row>
    <row r="658" spans="1:12" ht="12" customHeight="1" x14ac:dyDescent="0.3">
      <c r="A658" s="2394" t="s">
        <v>2368</v>
      </c>
      <c r="B658" s="2395" t="s">
        <v>2320</v>
      </c>
      <c r="C658" s="2406">
        <v>0</v>
      </c>
      <c r="D658" s="2396"/>
      <c r="E658" s="2406">
        <v>0</v>
      </c>
      <c r="F658" s="2406">
        <v>0</v>
      </c>
      <c r="G658" s="2407">
        <v>0</v>
      </c>
      <c r="H658" s="2407">
        <v>0</v>
      </c>
      <c r="I658" s="2408"/>
      <c r="J658" s="2408"/>
      <c r="K658" s="2408"/>
      <c r="L658" s="2409"/>
    </row>
    <row r="659" spans="1:12" ht="12" customHeight="1" x14ac:dyDescent="0.3">
      <c r="A659" s="2394" t="s">
        <v>2370</v>
      </c>
      <c r="B659" s="2395" t="s">
        <v>2276</v>
      </c>
      <c r="C659" s="2406">
        <v>0</v>
      </c>
      <c r="D659" s="2396"/>
      <c r="E659" s="2406">
        <v>0</v>
      </c>
      <c r="F659" s="2406">
        <v>0</v>
      </c>
      <c r="G659" s="2407">
        <v>0</v>
      </c>
      <c r="H659" s="2407">
        <v>0</v>
      </c>
      <c r="I659" s="2408"/>
      <c r="J659" s="2408"/>
      <c r="K659" s="2408"/>
      <c r="L659" s="2409"/>
    </row>
    <row r="660" spans="1:12" ht="12" customHeight="1" x14ac:dyDescent="0.3">
      <c r="A660" s="2394" t="s">
        <v>2371</v>
      </c>
      <c r="B660" s="2395" t="s">
        <v>2372</v>
      </c>
      <c r="C660" s="2406">
        <v>0</v>
      </c>
      <c r="D660" s="2396"/>
      <c r="E660" s="2406">
        <v>0</v>
      </c>
      <c r="F660" s="2406">
        <v>0</v>
      </c>
      <c r="G660" s="2407">
        <v>0</v>
      </c>
      <c r="H660" s="2407">
        <v>0</v>
      </c>
      <c r="I660" s="2408"/>
      <c r="J660" s="2408"/>
      <c r="K660" s="2408"/>
      <c r="L660" s="2409"/>
    </row>
    <row r="661" spans="1:12" ht="12" customHeight="1" x14ac:dyDescent="0.3">
      <c r="A661" s="2394" t="s">
        <v>2373</v>
      </c>
      <c r="B661" s="2395" t="s">
        <v>2374</v>
      </c>
      <c r="C661" s="2406">
        <v>524000000</v>
      </c>
      <c r="D661" s="2396"/>
      <c r="E661" s="2406">
        <v>0</v>
      </c>
      <c r="F661" s="2406">
        <v>0</v>
      </c>
      <c r="G661" s="2407">
        <v>0</v>
      </c>
      <c r="H661" s="2407">
        <v>524000000</v>
      </c>
      <c r="I661" s="2408"/>
      <c r="J661" s="2408"/>
      <c r="K661" s="2408"/>
      <c r="L661" s="2409"/>
    </row>
    <row r="662" spans="1:12" ht="12" customHeight="1" x14ac:dyDescent="0.3">
      <c r="A662" s="2394" t="s">
        <v>2375</v>
      </c>
      <c r="B662" s="2395" t="s">
        <v>2376</v>
      </c>
      <c r="C662" s="2406">
        <v>0</v>
      </c>
      <c r="D662" s="2396"/>
      <c r="E662" s="2406">
        <v>0</v>
      </c>
      <c r="F662" s="2406">
        <v>0</v>
      </c>
      <c r="G662" s="2407">
        <v>0</v>
      </c>
      <c r="H662" s="2407">
        <v>0</v>
      </c>
      <c r="I662" s="2408"/>
      <c r="J662" s="2408"/>
      <c r="K662" s="2408"/>
      <c r="L662" s="2409"/>
    </row>
    <row r="663" spans="1:12" ht="12" customHeight="1" x14ac:dyDescent="0.3">
      <c r="A663" s="2394" t="s">
        <v>2377</v>
      </c>
      <c r="B663" s="2395" t="s">
        <v>2378</v>
      </c>
      <c r="C663" s="2406">
        <v>1872200000</v>
      </c>
      <c r="D663" s="2396"/>
      <c r="E663" s="2406">
        <v>0</v>
      </c>
      <c r="F663" s="2406">
        <v>0</v>
      </c>
      <c r="G663" s="2407">
        <v>0</v>
      </c>
      <c r="H663" s="2407">
        <v>1872200000</v>
      </c>
      <c r="I663" s="2408"/>
      <c r="J663" s="2408"/>
      <c r="K663" s="2408"/>
      <c r="L663" s="2409"/>
    </row>
    <row r="664" spans="1:12" ht="12" customHeight="1" x14ac:dyDescent="0.3">
      <c r="A664" s="2394" t="s">
        <v>2379</v>
      </c>
      <c r="B664" s="2395" t="s">
        <v>2380</v>
      </c>
      <c r="C664" s="2406">
        <v>0</v>
      </c>
      <c r="D664" s="2396"/>
      <c r="E664" s="2406">
        <v>0</v>
      </c>
      <c r="F664" s="2406">
        <v>0</v>
      </c>
      <c r="G664" s="2407">
        <v>0</v>
      </c>
      <c r="H664" s="2407">
        <v>0</v>
      </c>
      <c r="I664" s="2408"/>
      <c r="J664" s="2408"/>
      <c r="K664" s="2408"/>
      <c r="L664" s="2409"/>
    </row>
    <row r="665" spans="1:12" ht="12" customHeight="1" x14ac:dyDescent="0.3">
      <c r="A665" s="2394" t="s">
        <v>2381</v>
      </c>
      <c r="B665" s="2395" t="s">
        <v>2382</v>
      </c>
      <c r="C665" s="2406">
        <v>215150000</v>
      </c>
      <c r="D665" s="2396"/>
      <c r="E665" s="2406">
        <v>0</v>
      </c>
      <c r="F665" s="2406">
        <v>0</v>
      </c>
      <c r="G665" s="2407">
        <v>0</v>
      </c>
      <c r="H665" s="2407">
        <v>215150000</v>
      </c>
      <c r="I665" s="2408"/>
      <c r="J665" s="2408"/>
      <c r="K665" s="2408"/>
      <c r="L665" s="2409"/>
    </row>
    <row r="666" spans="1:12" ht="12" customHeight="1" x14ac:dyDescent="0.3">
      <c r="A666" s="2394" t="s">
        <v>2383</v>
      </c>
      <c r="B666" s="2395" t="s">
        <v>2384</v>
      </c>
      <c r="C666" s="2406">
        <v>0</v>
      </c>
      <c r="D666" s="2396"/>
      <c r="E666" s="2406">
        <v>0</v>
      </c>
      <c r="F666" s="2406">
        <v>0</v>
      </c>
      <c r="G666" s="2407">
        <v>0</v>
      </c>
      <c r="H666" s="2407">
        <v>0</v>
      </c>
      <c r="I666" s="2408"/>
      <c r="J666" s="2408"/>
      <c r="K666" s="2408"/>
      <c r="L666" s="2409"/>
    </row>
    <row r="667" spans="1:12" ht="12" customHeight="1" x14ac:dyDescent="0.3">
      <c r="A667" s="2394" t="s">
        <v>2385</v>
      </c>
      <c r="B667" s="2395" t="s">
        <v>2386</v>
      </c>
      <c r="C667" s="2406">
        <v>0</v>
      </c>
      <c r="D667" s="2396"/>
      <c r="E667" s="2406">
        <v>0</v>
      </c>
      <c r="F667" s="2406">
        <v>0</v>
      </c>
      <c r="G667" s="2407">
        <v>0</v>
      </c>
      <c r="H667" s="2407">
        <v>0</v>
      </c>
      <c r="I667" s="2408"/>
      <c r="J667" s="2408"/>
      <c r="K667" s="2408"/>
      <c r="L667" s="2409"/>
    </row>
    <row r="668" spans="1:12" ht="12" customHeight="1" x14ac:dyDescent="0.3">
      <c r="A668" s="2394" t="s">
        <v>2387</v>
      </c>
      <c r="B668" s="2395" t="s">
        <v>2388</v>
      </c>
      <c r="C668" s="2406">
        <v>28736544</v>
      </c>
      <c r="D668" s="2396"/>
      <c r="E668" s="2406">
        <v>0</v>
      </c>
      <c r="F668" s="2406">
        <v>0</v>
      </c>
      <c r="G668" s="2407">
        <v>0</v>
      </c>
      <c r="H668" s="2407">
        <v>28736544</v>
      </c>
      <c r="I668" s="2408"/>
      <c r="J668" s="2408"/>
      <c r="K668" s="2408"/>
      <c r="L668" s="2409"/>
    </row>
    <row r="669" spans="1:12" ht="12" customHeight="1" x14ac:dyDescent="0.3">
      <c r="A669" s="2394" t="s">
        <v>2389</v>
      </c>
      <c r="B669" s="2395" t="s">
        <v>2288</v>
      </c>
      <c r="C669" s="2406">
        <v>0</v>
      </c>
      <c r="D669" s="2396"/>
      <c r="E669" s="2406">
        <v>0</v>
      </c>
      <c r="F669" s="2406">
        <v>0</v>
      </c>
      <c r="G669" s="2407">
        <v>0</v>
      </c>
      <c r="H669" s="2407">
        <v>0</v>
      </c>
      <c r="I669" s="2408"/>
      <c r="J669" s="2408"/>
      <c r="K669" s="2408"/>
      <c r="L669" s="2409"/>
    </row>
    <row r="670" spans="1:12" ht="12" customHeight="1" x14ac:dyDescent="0.3">
      <c r="A670" s="2394" t="s">
        <v>2390</v>
      </c>
      <c r="B670" s="2395" t="s">
        <v>2391</v>
      </c>
      <c r="C670" s="2406">
        <v>0</v>
      </c>
      <c r="D670" s="2396"/>
      <c r="E670" s="2406">
        <v>0</v>
      </c>
      <c r="F670" s="2406">
        <v>0</v>
      </c>
      <c r="G670" s="2407">
        <v>0</v>
      </c>
      <c r="H670" s="2407">
        <v>0</v>
      </c>
      <c r="I670" s="2408"/>
      <c r="J670" s="2408"/>
      <c r="K670" s="2408"/>
      <c r="L670" s="2409"/>
    </row>
    <row r="671" spans="1:12" ht="12" customHeight="1" x14ac:dyDescent="0.3">
      <c r="A671" s="2394" t="s">
        <v>2392</v>
      </c>
      <c r="B671" s="2395" t="s">
        <v>2292</v>
      </c>
      <c r="C671" s="2406">
        <v>0</v>
      </c>
      <c r="D671" s="2396"/>
      <c r="E671" s="2406">
        <v>0</v>
      </c>
      <c r="F671" s="2406">
        <v>0</v>
      </c>
      <c r="G671" s="2407">
        <v>0</v>
      </c>
      <c r="H671" s="2407">
        <v>0</v>
      </c>
      <c r="I671" s="2408"/>
      <c r="J671" s="2408"/>
      <c r="K671" s="2408"/>
      <c r="L671" s="2409"/>
    </row>
    <row r="672" spans="1:12" ht="12" customHeight="1" x14ac:dyDescent="0.3">
      <c r="A672" s="2394" t="s">
        <v>2393</v>
      </c>
      <c r="B672" s="2395" t="s">
        <v>2320</v>
      </c>
      <c r="C672" s="2406">
        <v>0</v>
      </c>
      <c r="D672" s="2396"/>
      <c r="E672" s="2406">
        <v>0</v>
      </c>
      <c r="F672" s="2406">
        <v>0</v>
      </c>
      <c r="G672" s="2407">
        <v>0</v>
      </c>
      <c r="H672" s="2407">
        <v>0</v>
      </c>
      <c r="I672" s="2408"/>
      <c r="J672" s="2408"/>
      <c r="K672" s="2408"/>
      <c r="L672" s="2409"/>
    </row>
    <row r="673" spans="1:12" ht="12" customHeight="1" x14ac:dyDescent="0.3">
      <c r="A673" s="2394" t="s">
        <v>2397</v>
      </c>
      <c r="B673" s="2395" t="s">
        <v>7200</v>
      </c>
      <c r="C673" s="2406">
        <v>0</v>
      </c>
      <c r="D673" s="2396"/>
      <c r="E673" s="2406">
        <v>0</v>
      </c>
      <c r="F673" s="2406">
        <v>0</v>
      </c>
      <c r="G673" s="2407">
        <v>0</v>
      </c>
      <c r="H673" s="2407">
        <v>0</v>
      </c>
      <c r="I673" s="2408"/>
      <c r="J673" s="2408"/>
      <c r="K673" s="2408"/>
      <c r="L673" s="2409"/>
    </row>
    <row r="674" spans="1:12" ht="12" customHeight="1" x14ac:dyDescent="0.3">
      <c r="A674" s="2394" t="s">
        <v>2399</v>
      </c>
      <c r="B674" s="2395" t="s">
        <v>743</v>
      </c>
      <c r="C674" s="2406" t="s">
        <v>7201</v>
      </c>
      <c r="D674" s="2396"/>
      <c r="E674" s="2406">
        <v>0</v>
      </c>
      <c r="F674" s="2406">
        <v>0</v>
      </c>
      <c r="G674" s="2407">
        <v>0</v>
      </c>
      <c r="H674" s="2407" t="s">
        <v>7201</v>
      </c>
      <c r="I674" s="2408"/>
      <c r="J674" s="2408"/>
      <c r="K674" s="2408"/>
      <c r="L674" s="2409"/>
    </row>
    <row r="675" spans="1:12" ht="12" customHeight="1" x14ac:dyDescent="0.3">
      <c r="A675" s="2394" t="s">
        <v>7313</v>
      </c>
      <c r="B675" s="2395" t="s">
        <v>7202</v>
      </c>
      <c r="C675" s="2406" t="s">
        <v>7203</v>
      </c>
      <c r="D675" s="2396"/>
      <c r="E675" s="2406">
        <v>0</v>
      </c>
      <c r="F675" s="2406">
        <v>0</v>
      </c>
      <c r="G675" s="2407">
        <v>0</v>
      </c>
      <c r="H675" s="2407" t="s">
        <v>7203</v>
      </c>
      <c r="I675" s="2408"/>
      <c r="J675" s="2408"/>
      <c r="K675" s="2408"/>
      <c r="L675" s="2409"/>
    </row>
    <row r="676" spans="1:12" ht="12" customHeight="1" x14ac:dyDescent="0.3">
      <c r="A676" s="2394" t="s">
        <v>2401</v>
      </c>
      <c r="B676" s="2395" t="s">
        <v>2398</v>
      </c>
      <c r="C676" s="2406">
        <v>0</v>
      </c>
      <c r="D676" s="2396"/>
      <c r="E676" s="2406">
        <v>0</v>
      </c>
      <c r="F676" s="2406">
        <v>0</v>
      </c>
      <c r="G676" s="2407">
        <v>0</v>
      </c>
      <c r="H676" s="2407">
        <v>0</v>
      </c>
      <c r="I676" s="2408"/>
      <c r="J676" s="2408"/>
      <c r="K676" s="2408"/>
      <c r="L676" s="2409"/>
    </row>
    <row r="677" spans="1:12" ht="12" customHeight="1" x14ac:dyDescent="0.3">
      <c r="A677" s="2394" t="s">
        <v>2404</v>
      </c>
      <c r="B677" s="2395" t="s">
        <v>2398</v>
      </c>
      <c r="C677" s="2406">
        <v>0</v>
      </c>
      <c r="D677" s="2396"/>
      <c r="E677" s="2406">
        <v>0</v>
      </c>
      <c r="F677" s="2406">
        <v>0</v>
      </c>
      <c r="G677" s="2407">
        <v>0</v>
      </c>
      <c r="H677" s="2407">
        <v>0</v>
      </c>
      <c r="I677" s="2408"/>
      <c r="J677" s="2408"/>
      <c r="K677" s="2408"/>
      <c r="L677" s="2409"/>
    </row>
    <row r="678" spans="1:12" ht="12" customHeight="1" x14ac:dyDescent="0.3">
      <c r="A678" s="2394" t="s">
        <v>2405</v>
      </c>
      <c r="B678" s="2395" t="s">
        <v>2406</v>
      </c>
      <c r="C678" s="2406">
        <v>0</v>
      </c>
      <c r="D678" s="2396"/>
      <c r="E678" s="2406">
        <v>0</v>
      </c>
      <c r="F678" s="2406">
        <v>0</v>
      </c>
      <c r="G678" s="2407">
        <v>0</v>
      </c>
      <c r="H678" s="2407">
        <v>0</v>
      </c>
      <c r="I678" s="2408"/>
      <c r="J678" s="2408"/>
      <c r="K678" s="2408"/>
      <c r="L678" s="2409"/>
    </row>
    <row r="679" spans="1:12" ht="12" customHeight="1" x14ac:dyDescent="0.3">
      <c r="A679" s="2394" t="s">
        <v>2408</v>
      </c>
      <c r="B679" s="2395" t="s">
        <v>2398</v>
      </c>
      <c r="C679" s="2406">
        <v>0</v>
      </c>
      <c r="D679" s="2396"/>
      <c r="E679" s="2406">
        <v>0</v>
      </c>
      <c r="F679" s="2406">
        <v>0</v>
      </c>
      <c r="G679" s="2407">
        <v>0</v>
      </c>
      <c r="H679" s="2407">
        <v>0</v>
      </c>
      <c r="I679" s="2408"/>
      <c r="J679" s="2408"/>
      <c r="K679" s="2408"/>
      <c r="L679" s="2409"/>
    </row>
    <row r="680" spans="1:12" ht="12" customHeight="1" x14ac:dyDescent="0.3">
      <c r="A680" s="2394" t="s">
        <v>2409</v>
      </c>
      <c r="B680" s="2395" t="s">
        <v>2410</v>
      </c>
      <c r="C680" s="2406">
        <v>0</v>
      </c>
      <c r="D680" s="2396"/>
      <c r="E680" s="2406">
        <v>0</v>
      </c>
      <c r="F680" s="2406">
        <v>0</v>
      </c>
      <c r="G680" s="2407">
        <v>0</v>
      </c>
      <c r="H680" s="2407">
        <v>0</v>
      </c>
      <c r="I680" s="2408"/>
      <c r="J680" s="2408"/>
      <c r="K680" s="2408"/>
      <c r="L680" s="2409"/>
    </row>
    <row r="681" spans="1:12" ht="12" customHeight="1" x14ac:dyDescent="0.3">
      <c r="A681" s="2394" t="s">
        <v>2413</v>
      </c>
      <c r="B681" s="2395" t="s">
        <v>2398</v>
      </c>
      <c r="C681" s="2406">
        <v>0</v>
      </c>
      <c r="D681" s="2396"/>
      <c r="E681" s="2406">
        <v>0</v>
      </c>
      <c r="F681" s="2406">
        <v>0</v>
      </c>
      <c r="G681" s="2407">
        <v>0</v>
      </c>
      <c r="H681" s="2407">
        <v>0</v>
      </c>
      <c r="I681" s="2408"/>
      <c r="J681" s="2408"/>
      <c r="K681" s="2408"/>
      <c r="L681" s="2409"/>
    </row>
    <row r="682" spans="1:12" ht="12" customHeight="1" x14ac:dyDescent="0.3">
      <c r="A682" s="2394" t="s">
        <v>2414</v>
      </c>
      <c r="B682" s="2395" t="s">
        <v>2410</v>
      </c>
      <c r="C682" s="2406">
        <v>0</v>
      </c>
      <c r="D682" s="2396"/>
      <c r="E682" s="2406">
        <v>0</v>
      </c>
      <c r="F682" s="2406">
        <v>0</v>
      </c>
      <c r="G682" s="2407">
        <v>0</v>
      </c>
      <c r="H682" s="2407">
        <v>0</v>
      </c>
      <c r="I682" s="2408"/>
      <c r="J682" s="2408"/>
      <c r="K682" s="2408"/>
      <c r="L682" s="2409"/>
    </row>
    <row r="683" spans="1:12" ht="12" customHeight="1" x14ac:dyDescent="0.3">
      <c r="A683" s="2394" t="s">
        <v>3334</v>
      </c>
      <c r="B683" s="2395" t="s">
        <v>3335</v>
      </c>
      <c r="C683" s="2406">
        <v>0</v>
      </c>
      <c r="D683" s="2396"/>
      <c r="E683" s="2406">
        <v>0</v>
      </c>
      <c r="F683" s="2406">
        <v>0</v>
      </c>
      <c r="G683" s="2407">
        <v>0</v>
      </c>
      <c r="H683" s="2407">
        <v>0</v>
      </c>
      <c r="I683" s="2408"/>
      <c r="J683" s="2408"/>
      <c r="K683" s="2408"/>
      <c r="L683" s="2409"/>
    </row>
    <row r="684" spans="1:12" ht="12" customHeight="1" x14ac:dyDescent="0.3">
      <c r="A684" s="2394" t="s">
        <v>3336</v>
      </c>
      <c r="B684" s="2395" t="s">
        <v>3337</v>
      </c>
      <c r="C684" s="2406">
        <v>0</v>
      </c>
      <c r="D684" s="2396"/>
      <c r="E684" s="2406">
        <v>0</v>
      </c>
      <c r="F684" s="2406">
        <v>0</v>
      </c>
      <c r="G684" s="2407">
        <v>0</v>
      </c>
      <c r="H684" s="2407">
        <v>0</v>
      </c>
      <c r="I684" s="2408"/>
      <c r="J684" s="2408"/>
      <c r="K684" s="2408"/>
      <c r="L684" s="2409"/>
    </row>
    <row r="685" spans="1:12" ht="12" customHeight="1" x14ac:dyDescent="0.3">
      <c r="A685" s="2394" t="s">
        <v>3338</v>
      </c>
      <c r="B685" s="2395" t="s">
        <v>3339</v>
      </c>
      <c r="C685" s="2406">
        <v>0</v>
      </c>
      <c r="D685" s="2396"/>
      <c r="E685" s="2406">
        <v>0</v>
      </c>
      <c r="F685" s="2406">
        <v>0</v>
      </c>
      <c r="G685" s="2407">
        <v>0</v>
      </c>
      <c r="H685" s="2407">
        <v>0</v>
      </c>
      <c r="I685" s="2408"/>
      <c r="J685" s="2408"/>
      <c r="K685" s="2408"/>
      <c r="L685" s="2409"/>
    </row>
    <row r="686" spans="1:12" ht="12" customHeight="1" x14ac:dyDescent="0.3">
      <c r="A686" s="2394" t="s">
        <v>3340</v>
      </c>
      <c r="B686" s="2395" t="s">
        <v>3341</v>
      </c>
      <c r="C686" s="2406">
        <v>0</v>
      </c>
      <c r="D686" s="2396"/>
      <c r="E686" s="2406">
        <v>0</v>
      </c>
      <c r="F686" s="2406">
        <v>0</v>
      </c>
      <c r="G686" s="2407">
        <v>0</v>
      </c>
      <c r="H686" s="2407">
        <v>0</v>
      </c>
      <c r="I686" s="2408"/>
      <c r="J686" s="2408"/>
      <c r="K686" s="2408"/>
      <c r="L686" s="2409"/>
    </row>
    <row r="687" spans="1:12" ht="12" customHeight="1" x14ac:dyDescent="0.3">
      <c r="A687" s="2394" t="s">
        <v>3342</v>
      </c>
      <c r="B687" s="2395" t="s">
        <v>3343</v>
      </c>
      <c r="C687" s="2406">
        <v>0</v>
      </c>
      <c r="D687" s="2396"/>
      <c r="E687" s="2406">
        <v>0</v>
      </c>
      <c r="F687" s="2406">
        <v>0</v>
      </c>
      <c r="G687" s="2407">
        <v>0</v>
      </c>
      <c r="H687" s="2407">
        <v>0</v>
      </c>
      <c r="I687" s="2408"/>
      <c r="J687" s="2408"/>
      <c r="K687" s="2408"/>
      <c r="L687" s="2409"/>
    </row>
    <row r="688" spans="1:12" ht="12" customHeight="1" x14ac:dyDescent="0.3">
      <c r="A688" s="2394" t="s">
        <v>3344</v>
      </c>
      <c r="B688" s="2395" t="s">
        <v>3345</v>
      </c>
      <c r="C688" s="2406">
        <v>0</v>
      </c>
      <c r="D688" s="2396"/>
      <c r="E688" s="2406">
        <v>0</v>
      </c>
      <c r="F688" s="2406">
        <v>0</v>
      </c>
      <c r="G688" s="2407">
        <v>0</v>
      </c>
      <c r="H688" s="2407">
        <v>0</v>
      </c>
      <c r="I688" s="2408"/>
      <c r="J688" s="2408"/>
      <c r="K688" s="2408"/>
      <c r="L688" s="2409"/>
    </row>
    <row r="689" spans="1:12" ht="12" customHeight="1" x14ac:dyDescent="0.3">
      <c r="A689" s="2394" t="s">
        <v>3346</v>
      </c>
      <c r="B689" s="2395" t="s">
        <v>3347</v>
      </c>
      <c r="C689" s="2406">
        <v>0</v>
      </c>
      <c r="D689" s="2396"/>
      <c r="E689" s="2406">
        <v>0</v>
      </c>
      <c r="F689" s="2406">
        <v>0</v>
      </c>
      <c r="G689" s="2407">
        <v>0</v>
      </c>
      <c r="H689" s="2407">
        <v>0</v>
      </c>
      <c r="I689" s="2408"/>
      <c r="J689" s="2408"/>
      <c r="K689" s="2408"/>
      <c r="L689" s="2409"/>
    </row>
    <row r="690" spans="1:12" ht="12" customHeight="1" x14ac:dyDescent="0.3">
      <c r="A690" s="2394" t="s">
        <v>3348</v>
      </c>
      <c r="B690" s="2395" t="s">
        <v>3349</v>
      </c>
      <c r="C690" s="2406">
        <v>0</v>
      </c>
      <c r="D690" s="2396"/>
      <c r="E690" s="2406">
        <v>0</v>
      </c>
      <c r="F690" s="2406">
        <v>0</v>
      </c>
      <c r="G690" s="2407">
        <v>0</v>
      </c>
      <c r="H690" s="2407">
        <v>0</v>
      </c>
      <c r="I690" s="2408"/>
      <c r="J690" s="2408"/>
      <c r="K690" s="2408"/>
      <c r="L690" s="2409"/>
    </row>
    <row r="691" spans="1:12" ht="12" customHeight="1" x14ac:dyDescent="0.3">
      <c r="A691" s="2394" t="s">
        <v>3350</v>
      </c>
      <c r="B691" s="2395" t="s">
        <v>3351</v>
      </c>
      <c r="C691" s="2406">
        <v>0</v>
      </c>
      <c r="D691" s="2396"/>
      <c r="E691" s="2406">
        <v>0</v>
      </c>
      <c r="F691" s="2406">
        <v>0</v>
      </c>
      <c r="G691" s="2407">
        <v>0</v>
      </c>
      <c r="H691" s="2407">
        <v>0</v>
      </c>
      <c r="I691" s="2408"/>
      <c r="J691" s="2408"/>
      <c r="K691" s="2408"/>
      <c r="L691" s="2409"/>
    </row>
    <row r="692" spans="1:12" ht="12" customHeight="1" x14ac:dyDescent="0.3">
      <c r="A692" s="2394" t="s">
        <v>3352</v>
      </c>
      <c r="B692" s="2395" t="s">
        <v>3353</v>
      </c>
      <c r="C692" s="2406">
        <v>0</v>
      </c>
      <c r="D692" s="2396"/>
      <c r="E692" s="2406">
        <v>0</v>
      </c>
      <c r="F692" s="2406">
        <v>0</v>
      </c>
      <c r="G692" s="2407">
        <v>0</v>
      </c>
      <c r="H692" s="2407">
        <v>0</v>
      </c>
      <c r="I692" s="2408"/>
      <c r="J692" s="2408"/>
      <c r="K692" s="2408"/>
      <c r="L692" s="2409"/>
    </row>
    <row r="693" spans="1:12" ht="12" customHeight="1" x14ac:dyDescent="0.3">
      <c r="A693" s="2394" t="s">
        <v>3354</v>
      </c>
      <c r="B693" s="2395" t="s">
        <v>3355</v>
      </c>
      <c r="C693" s="2406">
        <v>0</v>
      </c>
      <c r="D693" s="2396"/>
      <c r="E693" s="2406">
        <v>0</v>
      </c>
      <c r="F693" s="2406">
        <v>0</v>
      </c>
      <c r="G693" s="2407">
        <v>0</v>
      </c>
      <c r="H693" s="2407">
        <v>0</v>
      </c>
      <c r="I693" s="2408"/>
      <c r="J693" s="2408"/>
      <c r="K693" s="2408"/>
      <c r="L693" s="2409"/>
    </row>
    <row r="694" spans="1:12" ht="12" customHeight="1" x14ac:dyDescent="0.3">
      <c r="A694" s="2394" t="s">
        <v>3356</v>
      </c>
      <c r="B694" s="2395" t="s">
        <v>3357</v>
      </c>
      <c r="C694" s="2406">
        <v>0</v>
      </c>
      <c r="D694" s="2396"/>
      <c r="E694" s="2406">
        <v>0</v>
      </c>
      <c r="F694" s="2406">
        <v>0</v>
      </c>
      <c r="G694" s="2407">
        <v>0</v>
      </c>
      <c r="H694" s="2407">
        <v>0</v>
      </c>
      <c r="I694" s="2408"/>
      <c r="J694" s="2408"/>
      <c r="K694" s="2408"/>
      <c r="L694" s="2409"/>
    </row>
    <row r="695" spans="1:12" ht="12" customHeight="1" x14ac:dyDescent="0.3">
      <c r="A695" s="2394" t="s">
        <v>3358</v>
      </c>
      <c r="B695" s="2395" t="s">
        <v>3359</v>
      </c>
      <c r="C695" s="2406">
        <v>0</v>
      </c>
      <c r="D695" s="2396"/>
      <c r="E695" s="2406">
        <v>0</v>
      </c>
      <c r="F695" s="2406">
        <v>0</v>
      </c>
      <c r="G695" s="2407">
        <v>0</v>
      </c>
      <c r="H695" s="2407">
        <v>0</v>
      </c>
      <c r="I695" s="2408"/>
      <c r="J695" s="2408"/>
      <c r="K695" s="2408"/>
      <c r="L695" s="2409"/>
    </row>
    <row r="696" spans="1:12" ht="12.75" customHeight="1" x14ac:dyDescent="0.3">
      <c r="A696" s="2394" t="s">
        <v>3360</v>
      </c>
      <c r="B696" s="2395" t="s">
        <v>3361</v>
      </c>
      <c r="C696" s="2406">
        <v>0</v>
      </c>
      <c r="D696" s="2396"/>
      <c r="E696" s="2406">
        <v>0</v>
      </c>
      <c r="F696" s="2406">
        <v>0</v>
      </c>
      <c r="G696" s="2407">
        <v>0</v>
      </c>
      <c r="H696" s="2407">
        <v>0</v>
      </c>
      <c r="I696" s="2408"/>
      <c r="J696" s="2408"/>
      <c r="K696" s="2419"/>
      <c r="L696" s="2409"/>
    </row>
    <row r="697" spans="1:12" ht="12" customHeight="1" x14ac:dyDescent="0.3">
      <c r="A697" s="2394" t="s">
        <v>3362</v>
      </c>
      <c r="B697" s="2395" t="s">
        <v>3363</v>
      </c>
      <c r="C697" s="2406">
        <v>0</v>
      </c>
      <c r="D697" s="2396"/>
      <c r="E697" s="2406">
        <v>0</v>
      </c>
      <c r="F697" s="2406">
        <v>0</v>
      </c>
      <c r="G697" s="2407">
        <v>0</v>
      </c>
      <c r="H697" s="2407">
        <v>0</v>
      </c>
      <c r="I697" s="2408"/>
      <c r="J697" s="2408"/>
      <c r="K697" s="2408"/>
      <c r="L697" s="2409"/>
    </row>
    <row r="698" spans="1:12" ht="12" customHeight="1" x14ac:dyDescent="0.3">
      <c r="A698" s="2394" t="s">
        <v>3364</v>
      </c>
      <c r="B698" s="2395" t="s">
        <v>3365</v>
      </c>
      <c r="C698" s="2406">
        <v>0</v>
      </c>
      <c r="D698" s="2396"/>
      <c r="E698" s="2406">
        <v>0</v>
      </c>
      <c r="F698" s="2406">
        <v>0</v>
      </c>
      <c r="G698" s="2407">
        <v>0</v>
      </c>
      <c r="H698" s="2407">
        <v>0</v>
      </c>
      <c r="I698" s="2408"/>
      <c r="J698" s="2408"/>
      <c r="K698" s="2408"/>
      <c r="L698" s="2409"/>
    </row>
    <row r="699" spans="1:12" ht="12" customHeight="1" x14ac:dyDescent="0.3">
      <c r="A699" s="2394" t="s">
        <v>3366</v>
      </c>
      <c r="B699" s="2395" t="s">
        <v>3367</v>
      </c>
      <c r="C699" s="2406">
        <v>0</v>
      </c>
      <c r="D699" s="2396"/>
      <c r="E699" s="2406">
        <v>0</v>
      </c>
      <c r="F699" s="2406">
        <v>0</v>
      </c>
      <c r="G699" s="2407">
        <v>0</v>
      </c>
      <c r="H699" s="2407">
        <v>0</v>
      </c>
      <c r="I699" s="2408"/>
      <c r="J699" s="2408"/>
      <c r="K699" s="2408"/>
      <c r="L699" s="2409"/>
    </row>
    <row r="700" spans="1:12" ht="12" customHeight="1" x14ac:dyDescent="0.3">
      <c r="A700" s="2394" t="s">
        <v>3368</v>
      </c>
      <c r="B700" s="2395" t="s">
        <v>3369</v>
      </c>
      <c r="C700" s="2406">
        <v>0</v>
      </c>
      <c r="D700" s="2396"/>
      <c r="E700" s="2406">
        <v>0</v>
      </c>
      <c r="F700" s="2406">
        <v>0</v>
      </c>
      <c r="G700" s="2407">
        <v>0</v>
      </c>
      <c r="H700" s="2407">
        <v>0</v>
      </c>
      <c r="I700" s="2408"/>
      <c r="J700" s="2408"/>
      <c r="K700" s="2408"/>
      <c r="L700" s="2409"/>
    </row>
    <row r="701" spans="1:12" ht="12" customHeight="1" x14ac:dyDescent="0.3">
      <c r="A701" s="2394" t="s">
        <v>3370</v>
      </c>
      <c r="B701" s="2395" t="s">
        <v>350</v>
      </c>
      <c r="C701" s="2406">
        <v>0</v>
      </c>
      <c r="D701" s="2396"/>
      <c r="E701" s="2406">
        <v>0</v>
      </c>
      <c r="F701" s="2406">
        <v>0</v>
      </c>
      <c r="G701" s="2407">
        <v>0</v>
      </c>
      <c r="H701" s="2407">
        <v>0</v>
      </c>
      <c r="I701" s="2408"/>
      <c r="J701" s="2408"/>
      <c r="K701" s="2408"/>
      <c r="L701" s="2409"/>
    </row>
    <row r="702" spans="1:12" ht="12" customHeight="1" x14ac:dyDescent="0.3">
      <c r="A702" s="2394" t="s">
        <v>3373</v>
      </c>
      <c r="B702" s="2395" t="s">
        <v>3374</v>
      </c>
      <c r="C702" s="2406">
        <v>0</v>
      </c>
      <c r="D702" s="2396"/>
      <c r="E702" s="2406">
        <v>0</v>
      </c>
      <c r="F702" s="2406">
        <v>0</v>
      </c>
      <c r="G702" s="2407">
        <v>0</v>
      </c>
      <c r="H702" s="2407">
        <v>0</v>
      </c>
      <c r="I702" s="2408"/>
      <c r="J702" s="2408"/>
      <c r="K702" s="2408"/>
      <c r="L702" s="2409"/>
    </row>
    <row r="703" spans="1:12" ht="12" customHeight="1" x14ac:dyDescent="0.3">
      <c r="A703" s="2394" t="s">
        <v>3375</v>
      </c>
      <c r="B703" s="2395" t="s">
        <v>3376</v>
      </c>
      <c r="C703" s="2406" t="s">
        <v>8224</v>
      </c>
      <c r="D703" s="2396"/>
      <c r="E703" s="2406">
        <v>0</v>
      </c>
      <c r="F703" s="2406">
        <v>256700000</v>
      </c>
      <c r="G703" s="2407" t="s">
        <v>8312</v>
      </c>
      <c r="H703" s="2407" t="s">
        <v>8313</v>
      </c>
      <c r="I703" s="2408"/>
      <c r="J703" s="2408"/>
      <c r="K703" s="2408"/>
      <c r="L703" s="2409"/>
    </row>
    <row r="704" spans="1:12" ht="12" customHeight="1" x14ac:dyDescent="0.3">
      <c r="A704" s="2394" t="s">
        <v>3377</v>
      </c>
      <c r="B704" s="2395" t="s">
        <v>3378</v>
      </c>
      <c r="C704" s="2406">
        <v>0</v>
      </c>
      <c r="D704" s="2396"/>
      <c r="E704" s="2406">
        <v>0</v>
      </c>
      <c r="F704" s="2406">
        <v>0</v>
      </c>
      <c r="G704" s="2407">
        <v>0</v>
      </c>
      <c r="H704" s="2407">
        <v>0</v>
      </c>
      <c r="I704" s="2408"/>
      <c r="J704" s="2408"/>
      <c r="K704" s="2408"/>
      <c r="L704" s="2409"/>
    </row>
    <row r="705" spans="1:12" ht="12" customHeight="1" x14ac:dyDescent="0.3">
      <c r="A705" s="2394" t="s">
        <v>3379</v>
      </c>
      <c r="B705" s="2395" t="s">
        <v>3380</v>
      </c>
      <c r="C705" s="2406">
        <v>0</v>
      </c>
      <c r="D705" s="2396"/>
      <c r="E705" s="2406">
        <v>0</v>
      </c>
      <c r="F705" s="2406">
        <v>0</v>
      </c>
      <c r="G705" s="2407">
        <v>0</v>
      </c>
      <c r="H705" s="2407">
        <v>0</v>
      </c>
      <c r="I705" s="2408"/>
      <c r="J705" s="2408"/>
      <c r="K705" s="2408"/>
      <c r="L705" s="2409"/>
    </row>
    <row r="706" spans="1:12" ht="12" customHeight="1" x14ac:dyDescent="0.3">
      <c r="A706" s="2394" t="s">
        <v>3381</v>
      </c>
      <c r="B706" s="2395" t="s">
        <v>3382</v>
      </c>
      <c r="C706" s="2406">
        <v>0</v>
      </c>
      <c r="D706" s="2396"/>
      <c r="E706" s="2406">
        <v>0</v>
      </c>
      <c r="F706" s="2406">
        <v>0</v>
      </c>
      <c r="G706" s="2407">
        <v>0</v>
      </c>
      <c r="H706" s="2407">
        <v>0</v>
      </c>
      <c r="I706" s="2408"/>
      <c r="J706" s="2408"/>
      <c r="K706" s="2408"/>
      <c r="L706" s="2409"/>
    </row>
    <row r="707" spans="1:12" ht="12.75" customHeight="1" x14ac:dyDescent="0.3">
      <c r="A707" s="2394" t="s">
        <v>3383</v>
      </c>
      <c r="B707" s="2395" t="s">
        <v>7920</v>
      </c>
      <c r="C707" s="2406" t="s">
        <v>7753</v>
      </c>
      <c r="D707" s="2396"/>
      <c r="E707" s="2406">
        <v>0</v>
      </c>
      <c r="F707" s="2406">
        <v>0</v>
      </c>
      <c r="G707" s="2407">
        <v>0</v>
      </c>
      <c r="H707" s="2407" t="s">
        <v>7753</v>
      </c>
      <c r="I707" s="2408"/>
      <c r="J707" s="2408"/>
      <c r="K707" s="2418"/>
      <c r="L707" s="2409"/>
    </row>
    <row r="708" spans="1:12" ht="12" customHeight="1" x14ac:dyDescent="0.3">
      <c r="A708" s="2394" t="s">
        <v>3384</v>
      </c>
      <c r="B708" s="2395" t="s">
        <v>3385</v>
      </c>
      <c r="C708" s="2406">
        <v>0</v>
      </c>
      <c r="D708" s="2396"/>
      <c r="E708" s="2406">
        <v>0</v>
      </c>
      <c r="F708" s="2406">
        <v>0</v>
      </c>
      <c r="G708" s="2407">
        <v>0</v>
      </c>
      <c r="H708" s="2407">
        <v>0</v>
      </c>
      <c r="I708" s="2408"/>
      <c r="J708" s="2408"/>
      <c r="K708" s="2408"/>
      <c r="L708" s="2409"/>
    </row>
    <row r="709" spans="1:12" ht="12" customHeight="1" x14ac:dyDescent="0.3">
      <c r="A709" s="2394" t="s">
        <v>3386</v>
      </c>
      <c r="B709" s="2395" t="s">
        <v>3387</v>
      </c>
      <c r="C709" s="2406">
        <v>0</v>
      </c>
      <c r="D709" s="2396"/>
      <c r="E709" s="2406">
        <v>0</v>
      </c>
      <c r="F709" s="2406">
        <v>0</v>
      </c>
      <c r="G709" s="2407">
        <v>0</v>
      </c>
      <c r="H709" s="2407">
        <v>0</v>
      </c>
      <c r="I709" s="2408"/>
      <c r="J709" s="2408"/>
      <c r="K709" s="2408"/>
      <c r="L709" s="2409"/>
    </row>
    <row r="710" spans="1:12" ht="12" customHeight="1" x14ac:dyDescent="0.3">
      <c r="A710" s="2394" t="s">
        <v>3388</v>
      </c>
      <c r="B710" s="2395" t="s">
        <v>3389</v>
      </c>
      <c r="C710" s="2406">
        <v>0</v>
      </c>
      <c r="D710" s="2396"/>
      <c r="E710" s="2406">
        <v>0</v>
      </c>
      <c r="F710" s="2406">
        <v>0</v>
      </c>
      <c r="G710" s="2407">
        <v>0</v>
      </c>
      <c r="H710" s="2407">
        <v>0</v>
      </c>
      <c r="I710" s="2408"/>
      <c r="J710" s="2408"/>
      <c r="K710" s="2408"/>
      <c r="L710" s="2409"/>
    </row>
    <row r="711" spans="1:12" ht="12" customHeight="1" x14ac:dyDescent="0.3">
      <c r="A711" s="2394" t="s">
        <v>3390</v>
      </c>
      <c r="B711" s="2395" t="s">
        <v>3391</v>
      </c>
      <c r="C711" s="2406">
        <v>0</v>
      </c>
      <c r="D711" s="2396"/>
      <c r="E711" s="2406">
        <v>0</v>
      </c>
      <c r="F711" s="2406">
        <v>0</v>
      </c>
      <c r="G711" s="2407">
        <v>0</v>
      </c>
      <c r="H711" s="2407">
        <v>0</v>
      </c>
      <c r="I711" s="2408"/>
      <c r="J711" s="2408"/>
      <c r="K711" s="2408"/>
      <c r="L711" s="2409"/>
    </row>
    <row r="712" spans="1:12" ht="12" customHeight="1" x14ac:dyDescent="0.3">
      <c r="A712" s="2394" t="s">
        <v>3392</v>
      </c>
      <c r="B712" s="2395" t="s">
        <v>3393</v>
      </c>
      <c r="C712" s="2406" t="s">
        <v>7754</v>
      </c>
      <c r="D712" s="2396"/>
      <c r="E712" s="2406">
        <v>0</v>
      </c>
      <c r="F712" s="2406">
        <v>0</v>
      </c>
      <c r="G712" s="2407">
        <v>0</v>
      </c>
      <c r="H712" s="2407" t="s">
        <v>7754</v>
      </c>
      <c r="I712" s="2408"/>
      <c r="J712" s="2408"/>
      <c r="K712" s="2408"/>
      <c r="L712" s="2409"/>
    </row>
    <row r="713" spans="1:12" ht="12" customHeight="1" x14ac:dyDescent="0.3">
      <c r="A713" s="2394" t="s">
        <v>3394</v>
      </c>
      <c r="B713" s="2395" t="s">
        <v>3395</v>
      </c>
      <c r="C713" s="2406">
        <v>0</v>
      </c>
      <c r="D713" s="2396"/>
      <c r="E713" s="2406">
        <v>0</v>
      </c>
      <c r="F713" s="2406">
        <v>0</v>
      </c>
      <c r="G713" s="2407">
        <v>0</v>
      </c>
      <c r="H713" s="2407">
        <v>0</v>
      </c>
      <c r="I713" s="2408"/>
      <c r="J713" s="2408"/>
      <c r="K713" s="2408"/>
      <c r="L713" s="2409"/>
    </row>
    <row r="714" spans="1:12" ht="12" customHeight="1" x14ac:dyDescent="0.3">
      <c r="A714" s="2394" t="s">
        <v>3396</v>
      </c>
      <c r="B714" s="2395" t="s">
        <v>3359</v>
      </c>
      <c r="C714" s="2406">
        <v>0</v>
      </c>
      <c r="D714" s="2396"/>
      <c r="E714" s="2406">
        <v>0</v>
      </c>
      <c r="F714" s="2406">
        <v>0</v>
      </c>
      <c r="G714" s="2407">
        <v>0</v>
      </c>
      <c r="H714" s="2407">
        <v>0</v>
      </c>
      <c r="I714" s="2408"/>
      <c r="J714" s="2408"/>
      <c r="K714" s="2408"/>
      <c r="L714" s="2409"/>
    </row>
    <row r="715" spans="1:12" ht="12" customHeight="1" x14ac:dyDescent="0.3">
      <c r="A715" s="2394" t="s">
        <v>3397</v>
      </c>
      <c r="B715" s="2395" t="s">
        <v>3398</v>
      </c>
      <c r="C715" s="2406" t="s">
        <v>7697</v>
      </c>
      <c r="D715" s="2396"/>
      <c r="E715" s="2406">
        <v>0</v>
      </c>
      <c r="F715" s="2406">
        <v>0</v>
      </c>
      <c r="G715" s="2407">
        <v>0</v>
      </c>
      <c r="H715" s="2407" t="s">
        <v>7697</v>
      </c>
      <c r="I715" s="2408"/>
      <c r="J715" s="2408"/>
      <c r="K715" s="2408"/>
      <c r="L715" s="2409"/>
    </row>
    <row r="716" spans="1:12" ht="12" customHeight="1" x14ac:dyDescent="0.3">
      <c r="A716" s="2394" t="s">
        <v>3399</v>
      </c>
      <c r="B716" s="2395" t="s">
        <v>3400</v>
      </c>
      <c r="C716" s="2406">
        <v>0</v>
      </c>
      <c r="D716" s="2396"/>
      <c r="E716" s="2406">
        <v>0</v>
      </c>
      <c r="F716" s="2406">
        <v>0</v>
      </c>
      <c r="G716" s="2407">
        <v>0</v>
      </c>
      <c r="H716" s="2407">
        <v>0</v>
      </c>
      <c r="I716" s="2408"/>
      <c r="J716" s="2408"/>
      <c r="K716" s="2408"/>
      <c r="L716" s="2409"/>
    </row>
    <row r="717" spans="1:12" ht="12" customHeight="1" x14ac:dyDescent="0.3">
      <c r="A717" s="2394" t="s">
        <v>3401</v>
      </c>
      <c r="B717" s="2395" t="s">
        <v>3402</v>
      </c>
      <c r="C717" s="2406">
        <v>0</v>
      </c>
      <c r="D717" s="2396"/>
      <c r="E717" s="2406">
        <v>0</v>
      </c>
      <c r="F717" s="2406">
        <v>0</v>
      </c>
      <c r="G717" s="2407">
        <v>0</v>
      </c>
      <c r="H717" s="2407">
        <v>0</v>
      </c>
      <c r="I717" s="2408"/>
      <c r="J717" s="2408"/>
      <c r="K717" s="2408"/>
      <c r="L717" s="2409"/>
    </row>
    <row r="718" spans="1:12" ht="12" customHeight="1" x14ac:dyDescent="0.3">
      <c r="A718" s="2394" t="s">
        <v>3403</v>
      </c>
      <c r="B718" s="2395" t="s">
        <v>3404</v>
      </c>
      <c r="C718" s="2406">
        <v>0</v>
      </c>
      <c r="D718" s="2396"/>
      <c r="E718" s="2406">
        <v>0</v>
      </c>
      <c r="F718" s="2406">
        <v>0</v>
      </c>
      <c r="G718" s="2407">
        <v>0</v>
      </c>
      <c r="H718" s="2407">
        <v>0</v>
      </c>
      <c r="I718" s="2408"/>
      <c r="J718" s="2408"/>
      <c r="K718" s="2408"/>
      <c r="L718" s="2409"/>
    </row>
    <row r="719" spans="1:12" ht="12" customHeight="1" x14ac:dyDescent="0.3">
      <c r="A719" s="2394" t="s">
        <v>3405</v>
      </c>
      <c r="B719" s="2395" t="s">
        <v>3406</v>
      </c>
      <c r="C719" s="2406">
        <v>0</v>
      </c>
      <c r="D719" s="2396"/>
      <c r="E719" s="2406">
        <v>0</v>
      </c>
      <c r="F719" s="2406">
        <v>0</v>
      </c>
      <c r="G719" s="2407">
        <v>0</v>
      </c>
      <c r="H719" s="2407">
        <v>0</v>
      </c>
      <c r="I719" s="2408"/>
      <c r="J719" s="2408"/>
      <c r="K719" s="2408"/>
      <c r="L719" s="2409"/>
    </row>
    <row r="720" spans="1:12" ht="12" customHeight="1" x14ac:dyDescent="0.3">
      <c r="A720" s="2394" t="s">
        <v>3407</v>
      </c>
      <c r="B720" s="2395" t="s">
        <v>350</v>
      </c>
      <c r="C720" s="2406">
        <v>0</v>
      </c>
      <c r="D720" s="2396"/>
      <c r="E720" s="2406">
        <v>0</v>
      </c>
      <c r="F720" s="2406">
        <v>0</v>
      </c>
      <c r="G720" s="2407">
        <v>0</v>
      </c>
      <c r="H720" s="2407">
        <v>0</v>
      </c>
      <c r="I720" s="2408"/>
      <c r="J720" s="2408"/>
      <c r="K720" s="2408"/>
      <c r="L720" s="2409"/>
    </row>
    <row r="721" spans="1:12" ht="12" customHeight="1" x14ac:dyDescent="0.3">
      <c r="A721" s="2394" t="s">
        <v>3410</v>
      </c>
      <c r="B721" s="2395" t="s">
        <v>3411</v>
      </c>
      <c r="C721" s="2406">
        <v>0</v>
      </c>
      <c r="D721" s="2396"/>
      <c r="E721" s="2406">
        <v>0</v>
      </c>
      <c r="F721" s="2406">
        <v>0</v>
      </c>
      <c r="G721" s="2407">
        <v>0</v>
      </c>
      <c r="H721" s="2407">
        <v>0</v>
      </c>
      <c r="I721" s="2408"/>
      <c r="J721" s="2408"/>
      <c r="K721" s="2408"/>
      <c r="L721" s="2409"/>
    </row>
    <row r="722" spans="1:12" ht="12" customHeight="1" x14ac:dyDescent="0.3">
      <c r="A722" s="2394" t="s">
        <v>3412</v>
      </c>
      <c r="B722" s="2395" t="s">
        <v>3413</v>
      </c>
      <c r="C722" s="2406" t="s">
        <v>8225</v>
      </c>
      <c r="D722" s="2396"/>
      <c r="E722" s="2406">
        <v>0</v>
      </c>
      <c r="F722" s="2406">
        <v>290700000</v>
      </c>
      <c r="G722" s="2407" t="s">
        <v>8314</v>
      </c>
      <c r="H722" s="2407" t="s">
        <v>8315</v>
      </c>
      <c r="I722" s="2408"/>
      <c r="J722" s="2408"/>
      <c r="K722" s="2408"/>
      <c r="L722" s="2409"/>
    </row>
    <row r="723" spans="1:12" ht="12" customHeight="1" x14ac:dyDescent="0.3">
      <c r="A723" s="2394" t="s">
        <v>3414</v>
      </c>
      <c r="B723" s="2395" t="s">
        <v>3415</v>
      </c>
      <c r="C723" s="2406">
        <v>0</v>
      </c>
      <c r="D723" s="2396"/>
      <c r="E723" s="2406">
        <v>0</v>
      </c>
      <c r="F723" s="2406">
        <v>0</v>
      </c>
      <c r="G723" s="2407">
        <v>0</v>
      </c>
      <c r="H723" s="2407">
        <v>0</v>
      </c>
      <c r="I723" s="2408"/>
      <c r="J723" s="2408"/>
      <c r="K723" s="2408"/>
      <c r="L723" s="2409"/>
    </row>
    <row r="724" spans="1:12" ht="12" customHeight="1" x14ac:dyDescent="0.3">
      <c r="A724" s="2394" t="s">
        <v>3416</v>
      </c>
      <c r="B724" s="2395" t="s">
        <v>3417</v>
      </c>
      <c r="C724" s="2406">
        <v>0</v>
      </c>
      <c r="D724" s="2396"/>
      <c r="E724" s="2406">
        <v>0</v>
      </c>
      <c r="F724" s="2406">
        <v>0</v>
      </c>
      <c r="G724" s="2407">
        <v>0</v>
      </c>
      <c r="H724" s="2407">
        <v>0</v>
      </c>
      <c r="I724" s="2408"/>
      <c r="J724" s="2408"/>
      <c r="K724" s="2408"/>
      <c r="L724" s="2409"/>
    </row>
    <row r="725" spans="1:12" ht="12" customHeight="1" x14ac:dyDescent="0.3">
      <c r="A725" s="2394" t="s">
        <v>3418</v>
      </c>
      <c r="B725" s="2395" t="s">
        <v>3419</v>
      </c>
      <c r="C725" s="2406">
        <v>0</v>
      </c>
      <c r="D725" s="2396"/>
      <c r="E725" s="2406">
        <v>0</v>
      </c>
      <c r="F725" s="2406">
        <v>0</v>
      </c>
      <c r="G725" s="2407">
        <v>0</v>
      </c>
      <c r="H725" s="2407">
        <v>0</v>
      </c>
      <c r="I725" s="2408"/>
      <c r="J725" s="2408"/>
      <c r="K725" s="2408"/>
      <c r="L725" s="2409"/>
    </row>
    <row r="726" spans="1:12" ht="12" customHeight="1" x14ac:dyDescent="0.3">
      <c r="A726" s="2394" t="s">
        <v>3420</v>
      </c>
      <c r="B726" s="2395" t="s">
        <v>7921</v>
      </c>
      <c r="C726" s="2406" t="s">
        <v>7755</v>
      </c>
      <c r="D726" s="2396"/>
      <c r="E726" s="2406">
        <v>0</v>
      </c>
      <c r="F726" s="2406">
        <v>0</v>
      </c>
      <c r="G726" s="2407">
        <v>0</v>
      </c>
      <c r="H726" s="2407" t="s">
        <v>7755</v>
      </c>
      <c r="I726" s="2408"/>
      <c r="J726" s="2408"/>
      <c r="K726" s="2408"/>
      <c r="L726" s="2409"/>
    </row>
    <row r="727" spans="1:12" ht="12" customHeight="1" x14ac:dyDescent="0.3">
      <c r="A727" s="2394" t="s">
        <v>3421</v>
      </c>
      <c r="B727" s="2395" t="s">
        <v>3422</v>
      </c>
      <c r="C727" s="2406">
        <v>0</v>
      </c>
      <c r="D727" s="2396"/>
      <c r="E727" s="2406">
        <v>0</v>
      </c>
      <c r="F727" s="2406">
        <v>0</v>
      </c>
      <c r="G727" s="2407">
        <v>0</v>
      </c>
      <c r="H727" s="2407">
        <v>0</v>
      </c>
      <c r="I727" s="2408"/>
      <c r="J727" s="2408"/>
      <c r="K727" s="2408"/>
      <c r="L727" s="2409"/>
    </row>
    <row r="728" spans="1:12" ht="12" customHeight="1" x14ac:dyDescent="0.3">
      <c r="A728" s="2394" t="s">
        <v>3423</v>
      </c>
      <c r="B728" s="2395" t="s">
        <v>3424</v>
      </c>
      <c r="C728" s="2406">
        <v>0</v>
      </c>
      <c r="D728" s="2396"/>
      <c r="E728" s="2406">
        <v>0</v>
      </c>
      <c r="F728" s="2406">
        <v>0</v>
      </c>
      <c r="G728" s="2407">
        <v>0</v>
      </c>
      <c r="H728" s="2407">
        <v>0</v>
      </c>
      <c r="I728" s="2408"/>
      <c r="J728" s="2408"/>
      <c r="K728" s="2408"/>
      <c r="L728" s="2409"/>
    </row>
    <row r="729" spans="1:12" ht="12" customHeight="1" x14ac:dyDescent="0.3">
      <c r="A729" s="2394" t="s">
        <v>3425</v>
      </c>
      <c r="B729" s="2395" t="s">
        <v>3426</v>
      </c>
      <c r="C729" s="2406" t="s">
        <v>7976</v>
      </c>
      <c r="D729" s="2396"/>
      <c r="E729" s="2406">
        <v>0</v>
      </c>
      <c r="F729" s="2406">
        <v>0</v>
      </c>
      <c r="G729" s="2407">
        <v>0</v>
      </c>
      <c r="H729" s="2407" t="s">
        <v>7976</v>
      </c>
      <c r="I729" s="2408"/>
      <c r="J729" s="2408"/>
      <c r="K729" s="2408"/>
      <c r="L729" s="2409"/>
    </row>
    <row r="730" spans="1:12" ht="12" customHeight="1" x14ac:dyDescent="0.3">
      <c r="A730" s="2394" t="s">
        <v>3427</v>
      </c>
      <c r="B730" s="2395" t="s">
        <v>3428</v>
      </c>
      <c r="C730" s="2406">
        <v>0</v>
      </c>
      <c r="D730" s="2396"/>
      <c r="E730" s="2406">
        <v>0</v>
      </c>
      <c r="F730" s="2406">
        <v>0</v>
      </c>
      <c r="G730" s="2407">
        <v>0</v>
      </c>
      <c r="H730" s="2407">
        <v>0</v>
      </c>
      <c r="I730" s="2408"/>
      <c r="J730" s="2408"/>
      <c r="K730" s="2408"/>
      <c r="L730" s="2409"/>
    </row>
    <row r="731" spans="1:12" ht="12" customHeight="1" x14ac:dyDescent="0.3">
      <c r="A731" s="2394" t="s">
        <v>3429</v>
      </c>
      <c r="B731" s="2395" t="s">
        <v>3430</v>
      </c>
      <c r="C731" s="2406" t="s">
        <v>7756</v>
      </c>
      <c r="D731" s="2396"/>
      <c r="E731" s="2406">
        <v>0</v>
      </c>
      <c r="F731" s="2406">
        <v>0</v>
      </c>
      <c r="G731" s="2407">
        <v>0</v>
      </c>
      <c r="H731" s="2407" t="s">
        <v>7756</v>
      </c>
      <c r="I731" s="2408"/>
      <c r="J731" s="2408"/>
      <c r="K731" s="2408"/>
      <c r="L731" s="2409"/>
    </row>
    <row r="732" spans="1:12" ht="12" customHeight="1" x14ac:dyDescent="0.3">
      <c r="A732" s="2394" t="s">
        <v>3431</v>
      </c>
      <c r="B732" s="2395" t="s">
        <v>3432</v>
      </c>
      <c r="C732" s="2406">
        <v>0</v>
      </c>
      <c r="D732" s="2396"/>
      <c r="E732" s="2406">
        <v>0</v>
      </c>
      <c r="F732" s="2406">
        <v>0</v>
      </c>
      <c r="G732" s="2407">
        <v>0</v>
      </c>
      <c r="H732" s="2407">
        <v>0</v>
      </c>
      <c r="I732" s="2408"/>
      <c r="J732" s="2408"/>
      <c r="K732" s="2408"/>
      <c r="L732" s="2409"/>
    </row>
    <row r="733" spans="1:12" ht="12" customHeight="1" x14ac:dyDescent="0.3">
      <c r="A733" s="2394" t="s">
        <v>3433</v>
      </c>
      <c r="B733" s="2395" t="s">
        <v>3359</v>
      </c>
      <c r="C733" s="2406">
        <v>0</v>
      </c>
      <c r="D733" s="2396"/>
      <c r="E733" s="2406">
        <v>0</v>
      </c>
      <c r="F733" s="2406">
        <v>0</v>
      </c>
      <c r="G733" s="2407">
        <v>0</v>
      </c>
      <c r="H733" s="2407">
        <v>0</v>
      </c>
      <c r="I733" s="2408"/>
      <c r="J733" s="2408"/>
      <c r="K733" s="2408"/>
      <c r="L733" s="2409"/>
    </row>
    <row r="734" spans="1:12" ht="12" customHeight="1" x14ac:dyDescent="0.3">
      <c r="A734" s="2394" t="s">
        <v>3434</v>
      </c>
      <c r="B734" s="2395" t="s">
        <v>3398</v>
      </c>
      <c r="C734" s="2406">
        <v>0</v>
      </c>
      <c r="D734" s="2396"/>
      <c r="E734" s="2406">
        <v>0</v>
      </c>
      <c r="F734" s="2406">
        <v>0</v>
      </c>
      <c r="G734" s="2407">
        <v>0</v>
      </c>
      <c r="H734" s="2407">
        <v>0</v>
      </c>
      <c r="I734" s="2408"/>
      <c r="J734" s="2408"/>
      <c r="K734" s="2408"/>
      <c r="L734" s="2409"/>
    </row>
    <row r="735" spans="1:12" ht="12" customHeight="1" x14ac:dyDescent="0.3">
      <c r="A735" s="2394" t="s">
        <v>3435</v>
      </c>
      <c r="B735" s="2395" t="s">
        <v>3436</v>
      </c>
      <c r="C735" s="2406">
        <v>0</v>
      </c>
      <c r="D735" s="2396"/>
      <c r="E735" s="2406">
        <v>0</v>
      </c>
      <c r="F735" s="2406">
        <v>0</v>
      </c>
      <c r="G735" s="2407">
        <v>0</v>
      </c>
      <c r="H735" s="2407">
        <v>0</v>
      </c>
      <c r="I735" s="2408"/>
      <c r="J735" s="2408"/>
      <c r="K735" s="2408"/>
      <c r="L735" s="2409"/>
    </row>
    <row r="736" spans="1:12" ht="12" customHeight="1" x14ac:dyDescent="0.3">
      <c r="A736" s="2394" t="s">
        <v>3437</v>
      </c>
      <c r="B736" s="2395" t="s">
        <v>3438</v>
      </c>
      <c r="C736" s="2406">
        <v>0</v>
      </c>
      <c r="D736" s="2396"/>
      <c r="E736" s="2406">
        <v>0</v>
      </c>
      <c r="F736" s="2406">
        <v>0</v>
      </c>
      <c r="G736" s="2407">
        <v>0</v>
      </c>
      <c r="H736" s="2407">
        <v>0</v>
      </c>
      <c r="I736" s="2408"/>
      <c r="J736" s="2408"/>
      <c r="K736" s="2408"/>
      <c r="L736" s="2409"/>
    </row>
    <row r="737" spans="1:12" ht="12" customHeight="1" x14ac:dyDescent="0.3">
      <c r="A737" s="2394" t="s">
        <v>3439</v>
      </c>
      <c r="B737" s="2395" t="s">
        <v>3440</v>
      </c>
      <c r="C737" s="2406">
        <v>0</v>
      </c>
      <c r="D737" s="2396"/>
      <c r="E737" s="2406">
        <v>0</v>
      </c>
      <c r="F737" s="2406">
        <v>0</v>
      </c>
      <c r="G737" s="2407">
        <v>0</v>
      </c>
      <c r="H737" s="2407">
        <v>0</v>
      </c>
      <c r="I737" s="2408"/>
      <c r="J737" s="2408"/>
      <c r="K737" s="2408"/>
      <c r="L737" s="2409"/>
    </row>
    <row r="738" spans="1:12" ht="12" customHeight="1" x14ac:dyDescent="0.3">
      <c r="A738" s="2394" t="s">
        <v>3441</v>
      </c>
      <c r="B738" s="2395" t="s">
        <v>3442</v>
      </c>
      <c r="C738" s="2406">
        <v>0</v>
      </c>
      <c r="D738" s="2396"/>
      <c r="E738" s="2406">
        <v>0</v>
      </c>
      <c r="F738" s="2406">
        <v>0</v>
      </c>
      <c r="G738" s="2407">
        <v>0</v>
      </c>
      <c r="H738" s="2407">
        <v>0</v>
      </c>
      <c r="I738" s="2408"/>
      <c r="J738" s="2408"/>
      <c r="K738" s="2408"/>
      <c r="L738" s="2409"/>
    </row>
    <row r="739" spans="1:12" ht="12" customHeight="1" x14ac:dyDescent="0.3">
      <c r="A739" s="2394" t="s">
        <v>3443</v>
      </c>
      <c r="B739" s="2395" t="s">
        <v>350</v>
      </c>
      <c r="C739" s="2406">
        <v>0</v>
      </c>
      <c r="D739" s="2396"/>
      <c r="E739" s="2406">
        <v>0</v>
      </c>
      <c r="F739" s="2406">
        <v>0</v>
      </c>
      <c r="G739" s="2407">
        <v>0</v>
      </c>
      <c r="H739" s="2407">
        <v>0</v>
      </c>
      <c r="I739" s="2408"/>
      <c r="J739" s="2408"/>
      <c r="K739" s="2408"/>
      <c r="L739" s="2409"/>
    </row>
    <row r="740" spans="1:12" ht="12" customHeight="1" x14ac:dyDescent="0.3">
      <c r="A740" s="2394" t="s">
        <v>4449</v>
      </c>
      <c r="B740" s="2395" t="s">
        <v>3448</v>
      </c>
      <c r="C740" s="2406">
        <v>0</v>
      </c>
      <c r="D740" s="2396"/>
      <c r="E740" s="2406">
        <v>0</v>
      </c>
      <c r="F740" s="2406">
        <v>0</v>
      </c>
      <c r="G740" s="2407">
        <v>0</v>
      </c>
      <c r="H740" s="2407">
        <v>0</v>
      </c>
      <c r="I740" s="2408"/>
      <c r="J740" s="2408"/>
      <c r="K740" s="2408"/>
      <c r="L740" s="2409"/>
    </row>
    <row r="741" spans="1:12" ht="12" customHeight="1" x14ac:dyDescent="0.3">
      <c r="A741" s="2394" t="s">
        <v>4450</v>
      </c>
      <c r="B741" s="2395" t="s">
        <v>3449</v>
      </c>
      <c r="C741" s="2406">
        <v>0</v>
      </c>
      <c r="D741" s="2396"/>
      <c r="E741" s="2406">
        <v>0</v>
      </c>
      <c r="F741" s="2406">
        <v>0</v>
      </c>
      <c r="G741" s="2407">
        <v>0</v>
      </c>
      <c r="H741" s="2407">
        <v>0</v>
      </c>
      <c r="I741" s="2408"/>
      <c r="J741" s="2408"/>
      <c r="K741" s="2408"/>
      <c r="L741" s="2409"/>
    </row>
    <row r="742" spans="1:12" ht="12" customHeight="1" x14ac:dyDescent="0.3">
      <c r="A742" s="2394" t="s">
        <v>4451</v>
      </c>
      <c r="B742" s="2395" t="s">
        <v>3450</v>
      </c>
      <c r="C742" s="2406">
        <v>0</v>
      </c>
      <c r="D742" s="2396"/>
      <c r="E742" s="2406">
        <v>0</v>
      </c>
      <c r="F742" s="2406">
        <v>0</v>
      </c>
      <c r="G742" s="2407">
        <v>0</v>
      </c>
      <c r="H742" s="2407">
        <v>0</v>
      </c>
      <c r="I742" s="2408"/>
      <c r="J742" s="2408"/>
      <c r="K742" s="2408"/>
      <c r="L742" s="2409"/>
    </row>
    <row r="743" spans="1:12" ht="12" customHeight="1" x14ac:dyDescent="0.3">
      <c r="A743" s="2394" t="s">
        <v>4452</v>
      </c>
      <c r="B743" s="2395" t="s">
        <v>3451</v>
      </c>
      <c r="C743" s="2406">
        <v>0</v>
      </c>
      <c r="D743" s="2396"/>
      <c r="E743" s="2406">
        <v>0</v>
      </c>
      <c r="F743" s="2406">
        <v>0</v>
      </c>
      <c r="G743" s="2407">
        <v>0</v>
      </c>
      <c r="H743" s="2407">
        <v>0</v>
      </c>
      <c r="I743" s="2408"/>
      <c r="J743" s="2408"/>
      <c r="K743" s="2408"/>
      <c r="L743" s="2409"/>
    </row>
    <row r="744" spans="1:12" ht="12" customHeight="1" x14ac:dyDescent="0.3">
      <c r="A744" s="2394" t="s">
        <v>4453</v>
      </c>
      <c r="B744" s="2395" t="s">
        <v>3452</v>
      </c>
      <c r="C744" s="2406">
        <v>0</v>
      </c>
      <c r="D744" s="2396"/>
      <c r="E744" s="2406">
        <v>0</v>
      </c>
      <c r="F744" s="2406">
        <v>0</v>
      </c>
      <c r="G744" s="2407">
        <v>0</v>
      </c>
      <c r="H744" s="2407">
        <v>0</v>
      </c>
      <c r="I744" s="2408"/>
      <c r="J744" s="2408"/>
      <c r="K744" s="2408"/>
      <c r="L744" s="2409"/>
    </row>
    <row r="745" spans="1:12" ht="12" customHeight="1" x14ac:dyDescent="0.3">
      <c r="A745" s="2394" t="s">
        <v>4454</v>
      </c>
      <c r="B745" s="2395" t="s">
        <v>3453</v>
      </c>
      <c r="C745" s="2406">
        <v>0</v>
      </c>
      <c r="D745" s="2396"/>
      <c r="E745" s="2406">
        <v>0</v>
      </c>
      <c r="F745" s="2406">
        <v>0</v>
      </c>
      <c r="G745" s="2407">
        <v>0</v>
      </c>
      <c r="H745" s="2407">
        <v>0</v>
      </c>
      <c r="I745" s="2408"/>
      <c r="J745" s="2408"/>
      <c r="K745" s="2408"/>
      <c r="L745" s="2409"/>
    </row>
    <row r="746" spans="1:12" ht="12" customHeight="1" x14ac:dyDescent="0.3">
      <c r="A746" s="2394" t="s">
        <v>4455</v>
      </c>
      <c r="B746" s="2395" t="s">
        <v>3454</v>
      </c>
      <c r="C746" s="2406">
        <v>0</v>
      </c>
      <c r="D746" s="2396"/>
      <c r="E746" s="2406">
        <v>0</v>
      </c>
      <c r="F746" s="2406">
        <v>0</v>
      </c>
      <c r="G746" s="2407">
        <v>0</v>
      </c>
      <c r="H746" s="2407">
        <v>0</v>
      </c>
      <c r="I746" s="2408"/>
      <c r="J746" s="2408"/>
      <c r="K746" s="2408"/>
      <c r="L746" s="2409"/>
    </row>
    <row r="747" spans="1:12" ht="12" customHeight="1" x14ac:dyDescent="0.3">
      <c r="A747" s="2394" t="s">
        <v>4456</v>
      </c>
      <c r="B747" s="2395" t="s">
        <v>3455</v>
      </c>
      <c r="C747" s="2406">
        <v>0</v>
      </c>
      <c r="D747" s="2396"/>
      <c r="E747" s="2406">
        <v>0</v>
      </c>
      <c r="F747" s="2406">
        <v>1000000</v>
      </c>
      <c r="G747" s="2407" t="s">
        <v>8263</v>
      </c>
      <c r="H747" s="2407" t="s">
        <v>8263</v>
      </c>
      <c r="I747" s="2408"/>
      <c r="J747" s="2408"/>
      <c r="K747" s="2408"/>
      <c r="L747" s="2409"/>
    </row>
    <row r="748" spans="1:12" ht="12" customHeight="1" x14ac:dyDescent="0.3">
      <c r="A748" s="2394" t="s">
        <v>4457</v>
      </c>
      <c r="B748" s="2395" t="s">
        <v>3456</v>
      </c>
      <c r="C748" s="2406" t="s">
        <v>8226</v>
      </c>
      <c r="D748" s="2396"/>
      <c r="E748" s="2406">
        <v>0</v>
      </c>
      <c r="F748" s="2406">
        <v>100</v>
      </c>
      <c r="G748" s="2407" t="s">
        <v>8035</v>
      </c>
      <c r="H748" s="2407" t="s">
        <v>8316</v>
      </c>
      <c r="I748" s="2408"/>
      <c r="J748" s="2408"/>
      <c r="K748" s="2408"/>
      <c r="L748" s="2409"/>
    </row>
    <row r="749" spans="1:12" ht="12" customHeight="1" x14ac:dyDescent="0.3">
      <c r="A749" s="2394" t="s">
        <v>4458</v>
      </c>
      <c r="B749" s="2395" t="s">
        <v>3459</v>
      </c>
      <c r="C749" s="2406">
        <v>0</v>
      </c>
      <c r="D749" s="2396"/>
      <c r="E749" s="2406">
        <v>0</v>
      </c>
      <c r="F749" s="2406">
        <v>0</v>
      </c>
      <c r="G749" s="2407">
        <v>0</v>
      </c>
      <c r="H749" s="2407">
        <v>0</v>
      </c>
      <c r="I749" s="2408"/>
      <c r="J749" s="2408"/>
      <c r="K749" s="2408"/>
      <c r="L749" s="2409"/>
    </row>
    <row r="750" spans="1:12" ht="12" customHeight="1" x14ac:dyDescent="0.3">
      <c r="A750" s="2394" t="s">
        <v>4459</v>
      </c>
      <c r="B750" s="2395" t="s">
        <v>3460</v>
      </c>
      <c r="C750" s="2406">
        <v>0</v>
      </c>
      <c r="D750" s="2396"/>
      <c r="E750" s="2406">
        <v>0</v>
      </c>
      <c r="F750" s="2406">
        <v>0</v>
      </c>
      <c r="G750" s="2407">
        <v>0</v>
      </c>
      <c r="H750" s="2407">
        <v>0</v>
      </c>
      <c r="I750" s="2408"/>
      <c r="J750" s="2408"/>
      <c r="K750" s="2408"/>
      <c r="L750" s="2409"/>
    </row>
    <row r="751" spans="1:12" ht="12" customHeight="1" x14ac:dyDescent="0.3">
      <c r="A751" s="2394" t="s">
        <v>4460</v>
      </c>
      <c r="B751" s="2395" t="s">
        <v>3461</v>
      </c>
      <c r="C751" s="2406">
        <v>0</v>
      </c>
      <c r="D751" s="2396"/>
      <c r="E751" s="2406">
        <v>0</v>
      </c>
      <c r="F751" s="2406">
        <v>0</v>
      </c>
      <c r="G751" s="2407">
        <v>0</v>
      </c>
      <c r="H751" s="2407">
        <v>0</v>
      </c>
      <c r="I751" s="2408"/>
      <c r="J751" s="2408"/>
      <c r="K751" s="2408"/>
      <c r="L751" s="2409"/>
    </row>
    <row r="752" spans="1:12" ht="12" customHeight="1" x14ac:dyDescent="0.3">
      <c r="A752" s="2394" t="s">
        <v>4461</v>
      </c>
      <c r="B752" s="2395" t="s">
        <v>3462</v>
      </c>
      <c r="C752" s="2406">
        <v>0</v>
      </c>
      <c r="D752" s="2396"/>
      <c r="E752" s="2406">
        <v>0</v>
      </c>
      <c r="F752" s="2406">
        <v>0</v>
      </c>
      <c r="G752" s="2407">
        <v>0</v>
      </c>
      <c r="H752" s="2407">
        <v>0</v>
      </c>
      <c r="I752" s="2408"/>
      <c r="J752" s="2408"/>
      <c r="K752" s="2408"/>
      <c r="L752" s="2409"/>
    </row>
    <row r="753" spans="1:12" ht="12" customHeight="1" x14ac:dyDescent="0.3">
      <c r="A753" s="2394" t="s">
        <v>4462</v>
      </c>
      <c r="B753" s="2395" t="s">
        <v>3463</v>
      </c>
      <c r="C753" s="2406">
        <v>0</v>
      </c>
      <c r="D753" s="2396"/>
      <c r="E753" s="2406">
        <v>0</v>
      </c>
      <c r="F753" s="2406">
        <v>0</v>
      </c>
      <c r="G753" s="2407">
        <v>0</v>
      </c>
      <c r="H753" s="2407">
        <v>0</v>
      </c>
      <c r="I753" s="2408"/>
      <c r="J753" s="2408"/>
      <c r="K753" s="2408"/>
      <c r="L753" s="2409"/>
    </row>
    <row r="754" spans="1:12" ht="12" customHeight="1" x14ac:dyDescent="0.3">
      <c r="A754" s="2394" t="s">
        <v>4463</v>
      </c>
      <c r="B754" s="2395" t="s">
        <v>3464</v>
      </c>
      <c r="C754" s="2406">
        <v>0</v>
      </c>
      <c r="D754" s="2396"/>
      <c r="E754" s="2406">
        <v>0</v>
      </c>
      <c r="F754" s="2406">
        <v>0</v>
      </c>
      <c r="G754" s="2407">
        <v>0</v>
      </c>
      <c r="H754" s="2407">
        <v>0</v>
      </c>
      <c r="I754" s="2408"/>
      <c r="J754" s="2408"/>
      <c r="K754" s="2408"/>
      <c r="L754" s="2409"/>
    </row>
    <row r="755" spans="1:12" ht="12" customHeight="1" x14ac:dyDescent="0.3">
      <c r="A755" s="2394" t="s">
        <v>4464</v>
      </c>
      <c r="B755" s="2395" t="s">
        <v>3465</v>
      </c>
      <c r="C755" s="2406">
        <v>0</v>
      </c>
      <c r="D755" s="2396"/>
      <c r="E755" s="2406">
        <v>0</v>
      </c>
      <c r="F755" s="2406">
        <v>0</v>
      </c>
      <c r="G755" s="2407">
        <v>0</v>
      </c>
      <c r="H755" s="2407">
        <v>0</v>
      </c>
      <c r="I755" s="2408"/>
      <c r="J755" s="2408"/>
      <c r="K755" s="2408"/>
      <c r="L755" s="2409"/>
    </row>
    <row r="756" spans="1:12" ht="12" customHeight="1" x14ac:dyDescent="0.3">
      <c r="A756" s="2394" t="s">
        <v>4465</v>
      </c>
      <c r="B756" s="2395" t="s">
        <v>3466</v>
      </c>
      <c r="C756" s="2406">
        <v>0</v>
      </c>
      <c r="D756" s="2396"/>
      <c r="E756" s="2406">
        <v>0</v>
      </c>
      <c r="F756" s="2406">
        <v>0</v>
      </c>
      <c r="G756" s="2407">
        <v>0</v>
      </c>
      <c r="H756" s="2407">
        <v>0</v>
      </c>
      <c r="I756" s="2408"/>
      <c r="J756" s="2408"/>
      <c r="K756" s="2408"/>
      <c r="L756" s="2409"/>
    </row>
    <row r="757" spans="1:12" ht="12" customHeight="1" x14ac:dyDescent="0.3">
      <c r="A757" s="2394" t="s">
        <v>4466</v>
      </c>
      <c r="B757" s="2395" t="s">
        <v>3467</v>
      </c>
      <c r="C757" s="2406">
        <v>0</v>
      </c>
      <c r="D757" s="2396"/>
      <c r="E757" s="2406">
        <v>0</v>
      </c>
      <c r="F757" s="2406">
        <v>0</v>
      </c>
      <c r="G757" s="2407">
        <v>0</v>
      </c>
      <c r="H757" s="2407">
        <v>0</v>
      </c>
      <c r="I757" s="2408"/>
      <c r="J757" s="2408"/>
      <c r="K757" s="2408"/>
      <c r="L757" s="2409"/>
    </row>
    <row r="758" spans="1:12" ht="12" customHeight="1" x14ac:dyDescent="0.3">
      <c r="A758" s="2394" t="s">
        <v>4467</v>
      </c>
      <c r="B758" s="2395" t="s">
        <v>3470</v>
      </c>
      <c r="C758" s="2406">
        <v>0</v>
      </c>
      <c r="D758" s="2396"/>
      <c r="E758" s="2406">
        <v>0</v>
      </c>
      <c r="F758" s="2406">
        <v>0</v>
      </c>
      <c r="G758" s="2407">
        <v>0</v>
      </c>
      <c r="H758" s="2407">
        <v>0</v>
      </c>
      <c r="I758" s="2408"/>
      <c r="J758" s="2408"/>
      <c r="K758" s="2408"/>
      <c r="L758" s="2409"/>
    </row>
    <row r="759" spans="1:12" ht="12" customHeight="1" x14ac:dyDescent="0.3">
      <c r="A759" s="2394" t="s">
        <v>4468</v>
      </c>
      <c r="B759" s="2395" t="s">
        <v>3471</v>
      </c>
      <c r="C759" s="2406">
        <v>0</v>
      </c>
      <c r="D759" s="2396"/>
      <c r="E759" s="2406">
        <v>0</v>
      </c>
      <c r="F759" s="2406">
        <v>0</v>
      </c>
      <c r="G759" s="2407">
        <v>0</v>
      </c>
      <c r="H759" s="2407">
        <v>0</v>
      </c>
      <c r="I759" s="2408"/>
      <c r="J759" s="2408"/>
      <c r="K759" s="2408"/>
      <c r="L759" s="2409"/>
    </row>
    <row r="760" spans="1:12" ht="12" customHeight="1" x14ac:dyDescent="0.3">
      <c r="A760" s="2394" t="s">
        <v>4469</v>
      </c>
      <c r="B760" s="2395" t="s">
        <v>3472</v>
      </c>
      <c r="C760" s="2406">
        <v>0</v>
      </c>
      <c r="D760" s="2396"/>
      <c r="E760" s="2406">
        <v>0</v>
      </c>
      <c r="F760" s="2406">
        <v>0</v>
      </c>
      <c r="G760" s="2407">
        <v>0</v>
      </c>
      <c r="H760" s="2407">
        <v>0</v>
      </c>
      <c r="I760" s="2408"/>
      <c r="J760" s="2408"/>
      <c r="K760" s="2408"/>
      <c r="L760" s="2409"/>
    </row>
    <row r="761" spans="1:12" ht="12" customHeight="1" x14ac:dyDescent="0.3">
      <c r="A761" s="2394" t="s">
        <v>4470</v>
      </c>
      <c r="B761" s="2395" t="s">
        <v>3473</v>
      </c>
      <c r="C761" s="2406">
        <v>0</v>
      </c>
      <c r="D761" s="2396"/>
      <c r="E761" s="2406">
        <v>0</v>
      </c>
      <c r="F761" s="2406">
        <v>0</v>
      </c>
      <c r="G761" s="2407">
        <v>0</v>
      </c>
      <c r="H761" s="2407">
        <v>0</v>
      </c>
      <c r="I761" s="2408"/>
      <c r="J761" s="2408"/>
      <c r="K761" s="2408"/>
      <c r="L761" s="2409"/>
    </row>
    <row r="762" spans="1:12" ht="12" customHeight="1" x14ac:dyDescent="0.3">
      <c r="A762" s="2394" t="s">
        <v>4471</v>
      </c>
      <c r="B762" s="2395" t="s">
        <v>3474</v>
      </c>
      <c r="C762" s="2406">
        <v>0</v>
      </c>
      <c r="D762" s="2396"/>
      <c r="E762" s="2406">
        <v>0</v>
      </c>
      <c r="F762" s="2406">
        <v>0</v>
      </c>
      <c r="G762" s="2407">
        <v>0</v>
      </c>
      <c r="H762" s="2407">
        <v>0</v>
      </c>
      <c r="I762" s="2408"/>
      <c r="J762" s="2408"/>
      <c r="K762" s="2408"/>
      <c r="L762" s="2409"/>
    </row>
    <row r="763" spans="1:12" ht="12.75" customHeight="1" x14ac:dyDescent="0.3">
      <c r="A763" s="2394" t="s">
        <v>4472</v>
      </c>
      <c r="B763" s="2395" t="s">
        <v>3475</v>
      </c>
      <c r="C763" s="2406">
        <v>0</v>
      </c>
      <c r="D763" s="2396"/>
      <c r="E763" s="2406">
        <v>0</v>
      </c>
      <c r="F763" s="2406">
        <v>0</v>
      </c>
      <c r="G763" s="2407">
        <v>0</v>
      </c>
      <c r="H763" s="2407">
        <v>0</v>
      </c>
      <c r="I763" s="2408"/>
      <c r="J763" s="2408"/>
      <c r="K763" s="2419"/>
      <c r="L763" s="2409"/>
    </row>
    <row r="764" spans="1:12" ht="12" customHeight="1" x14ac:dyDescent="0.3">
      <c r="A764" s="2394" t="s">
        <v>4473</v>
      </c>
      <c r="B764" s="2395" t="s">
        <v>3476</v>
      </c>
      <c r="C764" s="2406">
        <v>0</v>
      </c>
      <c r="D764" s="2396"/>
      <c r="E764" s="2406">
        <v>0</v>
      </c>
      <c r="F764" s="2406">
        <v>0</v>
      </c>
      <c r="G764" s="2407">
        <v>0</v>
      </c>
      <c r="H764" s="2407">
        <v>0</v>
      </c>
      <c r="I764" s="2408"/>
      <c r="J764" s="2408"/>
      <c r="K764" s="2408"/>
      <c r="L764" s="2409"/>
    </row>
    <row r="765" spans="1:12" ht="12" customHeight="1" x14ac:dyDescent="0.3">
      <c r="A765" s="2394" t="s">
        <v>4474</v>
      </c>
      <c r="B765" s="2395" t="s">
        <v>3477</v>
      </c>
      <c r="C765" s="2406">
        <v>0</v>
      </c>
      <c r="D765" s="2396"/>
      <c r="E765" s="2406">
        <v>0</v>
      </c>
      <c r="F765" s="2406">
        <v>0</v>
      </c>
      <c r="G765" s="2407">
        <v>0</v>
      </c>
      <c r="H765" s="2407">
        <v>0</v>
      </c>
      <c r="I765" s="2408"/>
      <c r="J765" s="2408"/>
      <c r="K765" s="2408"/>
      <c r="L765" s="2409"/>
    </row>
    <row r="766" spans="1:12" ht="12" customHeight="1" x14ac:dyDescent="0.3">
      <c r="A766" s="2394" t="s">
        <v>4475</v>
      </c>
      <c r="B766" s="2395" t="s">
        <v>3478</v>
      </c>
      <c r="C766" s="2406">
        <v>0</v>
      </c>
      <c r="D766" s="2396"/>
      <c r="E766" s="2406">
        <v>0</v>
      </c>
      <c r="F766" s="2406">
        <v>0</v>
      </c>
      <c r="G766" s="2407">
        <v>0</v>
      </c>
      <c r="H766" s="2407">
        <v>0</v>
      </c>
      <c r="I766" s="2408"/>
      <c r="J766" s="2408"/>
      <c r="K766" s="2408"/>
      <c r="L766" s="2409"/>
    </row>
    <row r="767" spans="1:12" ht="12" customHeight="1" x14ac:dyDescent="0.3">
      <c r="A767" s="2394" t="s">
        <v>4476</v>
      </c>
      <c r="B767" s="2395" t="s">
        <v>3481</v>
      </c>
      <c r="C767" s="2406">
        <v>0</v>
      </c>
      <c r="D767" s="2396"/>
      <c r="E767" s="2406">
        <v>0</v>
      </c>
      <c r="F767" s="2406">
        <v>0</v>
      </c>
      <c r="G767" s="2407">
        <v>0</v>
      </c>
      <c r="H767" s="2407">
        <v>0</v>
      </c>
      <c r="I767" s="2408"/>
      <c r="J767" s="2408"/>
      <c r="K767" s="2408"/>
      <c r="L767" s="2409"/>
    </row>
    <row r="768" spans="1:12" ht="12" customHeight="1" x14ac:dyDescent="0.3">
      <c r="A768" s="2394" t="s">
        <v>4477</v>
      </c>
      <c r="B768" s="2395" t="s">
        <v>3482</v>
      </c>
      <c r="C768" s="2406">
        <v>0</v>
      </c>
      <c r="D768" s="2396"/>
      <c r="E768" s="2406">
        <v>0</v>
      </c>
      <c r="F768" s="2406">
        <v>0</v>
      </c>
      <c r="G768" s="2407">
        <v>0</v>
      </c>
      <c r="H768" s="2407">
        <v>0</v>
      </c>
      <c r="I768" s="2408"/>
      <c r="J768" s="2408"/>
      <c r="K768" s="2408"/>
      <c r="L768" s="2409"/>
    </row>
    <row r="769" spans="1:12" ht="12" customHeight="1" x14ac:dyDescent="0.3">
      <c r="A769" s="2394" t="s">
        <v>4478</v>
      </c>
      <c r="B769" s="2395" t="s">
        <v>3483</v>
      </c>
      <c r="C769" s="2406">
        <v>0</v>
      </c>
      <c r="D769" s="2396"/>
      <c r="E769" s="2406">
        <v>0</v>
      </c>
      <c r="F769" s="2406">
        <v>0</v>
      </c>
      <c r="G769" s="2407">
        <v>0</v>
      </c>
      <c r="H769" s="2407">
        <v>0</v>
      </c>
      <c r="I769" s="2408"/>
      <c r="J769" s="2408"/>
      <c r="K769" s="2408"/>
      <c r="L769" s="2409"/>
    </row>
    <row r="770" spans="1:12" ht="12" customHeight="1" x14ac:dyDescent="0.3">
      <c r="A770" s="2394" t="s">
        <v>4479</v>
      </c>
      <c r="B770" s="2395" t="s">
        <v>3484</v>
      </c>
      <c r="C770" s="2406">
        <v>0</v>
      </c>
      <c r="D770" s="2396"/>
      <c r="E770" s="2406">
        <v>0</v>
      </c>
      <c r="F770" s="2406">
        <v>0</v>
      </c>
      <c r="G770" s="2407">
        <v>0</v>
      </c>
      <c r="H770" s="2407">
        <v>0</v>
      </c>
      <c r="I770" s="2408"/>
      <c r="J770" s="2408"/>
      <c r="K770" s="2408"/>
      <c r="L770" s="2409"/>
    </row>
    <row r="771" spans="1:12" ht="12" customHeight="1" x14ac:dyDescent="0.3">
      <c r="A771" s="2394" t="s">
        <v>4480</v>
      </c>
      <c r="B771" s="2395" t="s">
        <v>3485</v>
      </c>
      <c r="C771" s="2406">
        <v>0</v>
      </c>
      <c r="D771" s="2396"/>
      <c r="E771" s="2406">
        <v>0</v>
      </c>
      <c r="F771" s="2406">
        <v>0</v>
      </c>
      <c r="G771" s="2407">
        <v>0</v>
      </c>
      <c r="H771" s="2407">
        <v>0</v>
      </c>
      <c r="I771" s="2408"/>
      <c r="J771" s="2408"/>
      <c r="K771" s="2420"/>
      <c r="L771" s="2409"/>
    </row>
    <row r="772" spans="1:12" ht="12.75" customHeight="1" x14ac:dyDescent="0.3">
      <c r="A772" s="2394" t="s">
        <v>4481</v>
      </c>
      <c r="B772" s="2395" t="s">
        <v>3486</v>
      </c>
      <c r="C772" s="2406">
        <v>0</v>
      </c>
      <c r="D772" s="2396"/>
      <c r="E772" s="2406">
        <v>0</v>
      </c>
      <c r="F772" s="2406">
        <v>0</v>
      </c>
      <c r="G772" s="2407">
        <v>0</v>
      </c>
      <c r="H772" s="2407">
        <v>0</v>
      </c>
      <c r="I772" s="2408"/>
      <c r="J772" s="2408"/>
      <c r="K772" s="2421"/>
      <c r="L772" s="2409"/>
    </row>
    <row r="773" spans="1:12" ht="12" customHeight="1" x14ac:dyDescent="0.3">
      <c r="A773" s="2394" t="s">
        <v>4482</v>
      </c>
      <c r="B773" s="2395" t="s">
        <v>3487</v>
      </c>
      <c r="C773" s="2406">
        <v>0</v>
      </c>
      <c r="D773" s="2396"/>
      <c r="E773" s="2406">
        <v>0</v>
      </c>
      <c r="F773" s="2406">
        <v>0</v>
      </c>
      <c r="G773" s="2407">
        <v>0</v>
      </c>
      <c r="H773" s="2407">
        <v>0</v>
      </c>
      <c r="I773" s="2408"/>
      <c r="J773" s="2408"/>
      <c r="K773" s="2408"/>
      <c r="L773" s="2409"/>
    </row>
    <row r="774" spans="1:12" ht="12" customHeight="1" x14ac:dyDescent="0.3">
      <c r="A774" s="2394" t="s">
        <v>4483</v>
      </c>
      <c r="B774" s="2395" t="s">
        <v>3488</v>
      </c>
      <c r="C774" s="2406">
        <v>0</v>
      </c>
      <c r="D774" s="2396"/>
      <c r="E774" s="2406">
        <v>0</v>
      </c>
      <c r="F774" s="2406">
        <v>0</v>
      </c>
      <c r="G774" s="2407">
        <v>0</v>
      </c>
      <c r="H774" s="2407">
        <v>0</v>
      </c>
      <c r="I774" s="2408"/>
      <c r="J774" s="2408"/>
      <c r="K774" s="2408"/>
      <c r="L774" s="2409"/>
    </row>
    <row r="775" spans="1:12" ht="12" customHeight="1" x14ac:dyDescent="0.3">
      <c r="A775" s="2394" t="s">
        <v>4484</v>
      </c>
      <c r="B775" s="2395" t="s">
        <v>3489</v>
      </c>
      <c r="C775" s="2406" t="s">
        <v>8035</v>
      </c>
      <c r="D775" s="2396"/>
      <c r="E775" s="2406">
        <v>0</v>
      </c>
      <c r="F775" s="2406">
        <v>0</v>
      </c>
      <c r="G775" s="2407">
        <v>0</v>
      </c>
      <c r="H775" s="2407" t="s">
        <v>8035</v>
      </c>
      <c r="I775" s="2408"/>
      <c r="J775" s="2408"/>
      <c r="K775" s="2408"/>
      <c r="L775" s="2409"/>
    </row>
    <row r="776" spans="1:12" ht="12" customHeight="1" x14ac:dyDescent="0.3">
      <c r="A776" s="2394" t="s">
        <v>4485</v>
      </c>
      <c r="B776" s="2395" t="s">
        <v>3492</v>
      </c>
      <c r="C776" s="2406">
        <v>0</v>
      </c>
      <c r="D776" s="2396"/>
      <c r="E776" s="2406">
        <v>0</v>
      </c>
      <c r="F776" s="2406">
        <v>0</v>
      </c>
      <c r="G776" s="2407">
        <v>0</v>
      </c>
      <c r="H776" s="2407">
        <v>0</v>
      </c>
      <c r="I776" s="2408"/>
      <c r="J776" s="2408"/>
      <c r="K776" s="2408"/>
      <c r="L776" s="2409"/>
    </row>
    <row r="777" spans="1:12" ht="12" customHeight="1" x14ac:dyDescent="0.3">
      <c r="A777" s="2394" t="s">
        <v>4486</v>
      </c>
      <c r="B777" s="2395" t="s">
        <v>3493</v>
      </c>
      <c r="C777" s="2406">
        <v>0</v>
      </c>
      <c r="D777" s="2396"/>
      <c r="E777" s="2406">
        <v>0</v>
      </c>
      <c r="F777" s="2406">
        <v>0</v>
      </c>
      <c r="G777" s="2407">
        <v>0</v>
      </c>
      <c r="H777" s="2407">
        <v>0</v>
      </c>
      <c r="I777" s="2408"/>
      <c r="J777" s="2408"/>
      <c r="K777" s="2408"/>
      <c r="L777" s="2409"/>
    </row>
    <row r="778" spans="1:12" ht="12" customHeight="1" x14ac:dyDescent="0.3">
      <c r="A778" s="2394" t="s">
        <v>4487</v>
      </c>
      <c r="B778" s="2395" t="s">
        <v>3494</v>
      </c>
      <c r="C778" s="2406">
        <v>0</v>
      </c>
      <c r="D778" s="2396"/>
      <c r="E778" s="2406">
        <v>0</v>
      </c>
      <c r="F778" s="2406">
        <v>0</v>
      </c>
      <c r="G778" s="2407">
        <v>0</v>
      </c>
      <c r="H778" s="2407">
        <v>0</v>
      </c>
      <c r="I778" s="2408"/>
      <c r="J778" s="2408"/>
      <c r="K778" s="2408"/>
      <c r="L778" s="2409"/>
    </row>
    <row r="779" spans="1:12" ht="12" customHeight="1" x14ac:dyDescent="0.3">
      <c r="A779" s="2394" t="s">
        <v>4488</v>
      </c>
      <c r="B779" s="2395" t="s">
        <v>3495</v>
      </c>
      <c r="C779" s="2406">
        <v>0</v>
      </c>
      <c r="D779" s="2396"/>
      <c r="E779" s="2406">
        <v>0</v>
      </c>
      <c r="F779" s="2406">
        <v>0</v>
      </c>
      <c r="G779" s="2407">
        <v>0</v>
      </c>
      <c r="H779" s="2407">
        <v>0</v>
      </c>
      <c r="I779" s="2408"/>
      <c r="J779" s="2408"/>
      <c r="K779" s="2408"/>
      <c r="L779" s="2409"/>
    </row>
    <row r="780" spans="1:12" ht="12" customHeight="1" x14ac:dyDescent="0.3">
      <c r="A780" s="2394" t="s">
        <v>4489</v>
      </c>
      <c r="B780" s="2395" t="s">
        <v>3496</v>
      </c>
      <c r="C780" s="2406">
        <v>0</v>
      </c>
      <c r="D780" s="2396"/>
      <c r="E780" s="2406">
        <v>0</v>
      </c>
      <c r="F780" s="2406">
        <v>0</v>
      </c>
      <c r="G780" s="2407">
        <v>0</v>
      </c>
      <c r="H780" s="2407">
        <v>0</v>
      </c>
      <c r="I780" s="2408"/>
      <c r="J780" s="2408"/>
      <c r="K780" s="2408"/>
      <c r="L780" s="2409"/>
    </row>
    <row r="781" spans="1:12" ht="12" customHeight="1" x14ac:dyDescent="0.3">
      <c r="A781" s="2394" t="s">
        <v>4490</v>
      </c>
      <c r="B781" s="2395" t="s">
        <v>3497</v>
      </c>
      <c r="C781" s="2406">
        <v>0</v>
      </c>
      <c r="D781" s="2396"/>
      <c r="E781" s="2406">
        <v>0</v>
      </c>
      <c r="F781" s="2406">
        <v>0</v>
      </c>
      <c r="G781" s="2407">
        <v>0</v>
      </c>
      <c r="H781" s="2407">
        <v>0</v>
      </c>
      <c r="I781" s="2408"/>
      <c r="J781" s="2408"/>
      <c r="K781" s="2408"/>
      <c r="L781" s="2409"/>
    </row>
    <row r="782" spans="1:12" ht="12" customHeight="1" x14ac:dyDescent="0.3">
      <c r="A782" s="2394" t="s">
        <v>4491</v>
      </c>
      <c r="B782" s="2395" t="s">
        <v>3498</v>
      </c>
      <c r="C782" s="2406">
        <v>0</v>
      </c>
      <c r="D782" s="2396"/>
      <c r="E782" s="2406">
        <v>0</v>
      </c>
      <c r="F782" s="2406">
        <v>0</v>
      </c>
      <c r="G782" s="2407">
        <v>0</v>
      </c>
      <c r="H782" s="2407">
        <v>0</v>
      </c>
      <c r="I782" s="2408"/>
      <c r="J782" s="2408"/>
      <c r="K782" s="2408"/>
      <c r="L782" s="2409"/>
    </row>
    <row r="783" spans="1:12" ht="12" customHeight="1" x14ac:dyDescent="0.3">
      <c r="A783" s="2394" t="s">
        <v>4492</v>
      </c>
      <c r="B783" s="2395" t="s">
        <v>3499</v>
      </c>
      <c r="C783" s="2406">
        <v>0</v>
      </c>
      <c r="D783" s="2396"/>
      <c r="E783" s="2406">
        <v>0</v>
      </c>
      <c r="F783" s="2406">
        <v>0</v>
      </c>
      <c r="G783" s="2407">
        <v>0</v>
      </c>
      <c r="H783" s="2407">
        <v>0</v>
      </c>
      <c r="I783" s="2408"/>
      <c r="J783" s="2408"/>
      <c r="K783" s="2408"/>
      <c r="L783" s="2409"/>
    </row>
    <row r="784" spans="1:12" ht="12" customHeight="1" x14ac:dyDescent="0.3">
      <c r="A784" s="2394" t="s">
        <v>4493</v>
      </c>
      <c r="B784" s="2395" t="s">
        <v>3500</v>
      </c>
      <c r="C784" s="2406">
        <v>0</v>
      </c>
      <c r="D784" s="2396"/>
      <c r="E784" s="2406">
        <v>0</v>
      </c>
      <c r="F784" s="2406">
        <v>0</v>
      </c>
      <c r="G784" s="2407">
        <v>0</v>
      </c>
      <c r="H784" s="2407">
        <v>0</v>
      </c>
      <c r="I784" s="2408"/>
      <c r="J784" s="2408"/>
      <c r="K784" s="2408"/>
      <c r="L784" s="2409"/>
    </row>
    <row r="785" spans="1:12" ht="12" customHeight="1" x14ac:dyDescent="0.3">
      <c r="A785" s="2394" t="s">
        <v>4494</v>
      </c>
      <c r="B785" s="2395" t="s">
        <v>3506</v>
      </c>
      <c r="C785" s="2406" t="s">
        <v>8227</v>
      </c>
      <c r="D785" s="2396"/>
      <c r="E785" s="2406">
        <v>0</v>
      </c>
      <c r="F785" s="2406">
        <v>0</v>
      </c>
      <c r="G785" s="2407">
        <v>0</v>
      </c>
      <c r="H785" s="2407" t="s">
        <v>8227</v>
      </c>
      <c r="I785" s="2408"/>
      <c r="J785" s="2408"/>
      <c r="K785" s="2408"/>
      <c r="L785" s="2409"/>
    </row>
    <row r="786" spans="1:12" ht="12" customHeight="1" x14ac:dyDescent="0.3">
      <c r="A786" s="2394" t="s">
        <v>4495</v>
      </c>
      <c r="B786" s="2395" t="s">
        <v>3507</v>
      </c>
      <c r="C786" s="2406" t="s">
        <v>8152</v>
      </c>
      <c r="D786" s="2396"/>
      <c r="E786" s="2406">
        <v>0</v>
      </c>
      <c r="F786" s="2406">
        <v>0</v>
      </c>
      <c r="G786" s="2407">
        <v>0</v>
      </c>
      <c r="H786" s="2407" t="s">
        <v>8152</v>
      </c>
      <c r="I786" s="2408"/>
      <c r="J786" s="2408"/>
      <c r="K786" s="2408"/>
      <c r="L786" s="2409"/>
    </row>
    <row r="787" spans="1:12" ht="12" customHeight="1" x14ac:dyDescent="0.3">
      <c r="A787" s="2394" t="s">
        <v>4496</v>
      </c>
      <c r="B787" s="2395" t="s">
        <v>3508</v>
      </c>
      <c r="C787" s="2406">
        <v>0</v>
      </c>
      <c r="D787" s="2396"/>
      <c r="E787" s="2406">
        <v>0</v>
      </c>
      <c r="F787" s="2406">
        <v>0</v>
      </c>
      <c r="G787" s="2407">
        <v>0</v>
      </c>
      <c r="H787" s="2407">
        <v>0</v>
      </c>
      <c r="I787" s="2408"/>
      <c r="J787" s="2408"/>
      <c r="K787" s="2408"/>
      <c r="L787" s="2409"/>
    </row>
    <row r="788" spans="1:12" ht="12" customHeight="1" x14ac:dyDescent="0.3">
      <c r="A788" s="2394" t="s">
        <v>4497</v>
      </c>
      <c r="B788" s="2395" t="s">
        <v>3509</v>
      </c>
      <c r="C788" s="2406">
        <v>0</v>
      </c>
      <c r="D788" s="2396"/>
      <c r="E788" s="2406">
        <v>0</v>
      </c>
      <c r="F788" s="2406">
        <v>0</v>
      </c>
      <c r="G788" s="2407">
        <v>0</v>
      </c>
      <c r="H788" s="2407">
        <v>0</v>
      </c>
      <c r="I788" s="2408"/>
      <c r="J788" s="2408"/>
      <c r="K788" s="2408"/>
      <c r="L788" s="2409"/>
    </row>
    <row r="789" spans="1:12" ht="12" customHeight="1" x14ac:dyDescent="0.3">
      <c r="A789" s="2394" t="s">
        <v>4498</v>
      </c>
      <c r="B789" s="2395" t="s">
        <v>3510</v>
      </c>
      <c r="C789" s="2406">
        <v>0</v>
      </c>
      <c r="D789" s="2396"/>
      <c r="E789" s="2406">
        <v>0</v>
      </c>
      <c r="F789" s="2406">
        <v>0</v>
      </c>
      <c r="G789" s="2407">
        <v>0</v>
      </c>
      <c r="H789" s="2407">
        <v>0</v>
      </c>
      <c r="I789" s="2408"/>
      <c r="J789" s="2408"/>
      <c r="K789" s="2408"/>
      <c r="L789" s="2409"/>
    </row>
    <row r="790" spans="1:12" ht="12" customHeight="1" x14ac:dyDescent="0.3">
      <c r="A790" s="2394" t="s">
        <v>4499</v>
      </c>
      <c r="B790" s="2395" t="s">
        <v>3511</v>
      </c>
      <c r="C790" s="2406" t="s">
        <v>8228</v>
      </c>
      <c r="D790" s="2396"/>
      <c r="E790" s="2406">
        <v>0</v>
      </c>
      <c r="F790" s="2406">
        <v>50000</v>
      </c>
      <c r="G790" s="2407" t="s">
        <v>7556</v>
      </c>
      <c r="H790" s="2407" t="s">
        <v>8317</v>
      </c>
      <c r="I790" s="2408"/>
      <c r="J790" s="2408"/>
      <c r="K790" s="2408"/>
      <c r="L790" s="2409"/>
    </row>
    <row r="791" spans="1:12" ht="12" customHeight="1" x14ac:dyDescent="0.3">
      <c r="A791" s="2394" t="s">
        <v>4500</v>
      </c>
      <c r="B791" s="2395" t="s">
        <v>3512</v>
      </c>
      <c r="C791" s="2406">
        <v>0</v>
      </c>
      <c r="D791" s="2396"/>
      <c r="E791" s="2406">
        <v>0</v>
      </c>
      <c r="F791" s="2406">
        <v>0</v>
      </c>
      <c r="G791" s="2407">
        <v>0</v>
      </c>
      <c r="H791" s="2407">
        <v>0</v>
      </c>
      <c r="I791" s="2408"/>
      <c r="J791" s="2408"/>
      <c r="K791" s="2408"/>
      <c r="L791" s="2409"/>
    </row>
    <row r="792" spans="1:12" ht="12" customHeight="1" x14ac:dyDescent="0.3">
      <c r="A792" s="2394" t="s">
        <v>4501</v>
      </c>
      <c r="B792" s="2395" t="s">
        <v>3513</v>
      </c>
      <c r="C792" s="2406">
        <v>0</v>
      </c>
      <c r="D792" s="2396"/>
      <c r="E792" s="2406">
        <v>0</v>
      </c>
      <c r="F792" s="2406">
        <v>0</v>
      </c>
      <c r="G792" s="2407">
        <v>0</v>
      </c>
      <c r="H792" s="2407">
        <v>0</v>
      </c>
      <c r="I792" s="2408"/>
      <c r="J792" s="2408"/>
      <c r="K792" s="2408"/>
      <c r="L792" s="2409"/>
    </row>
    <row r="793" spans="1:12" ht="12" customHeight="1" x14ac:dyDescent="0.3">
      <c r="A793" s="2394" t="s">
        <v>4502</v>
      </c>
      <c r="B793" s="2395" t="s">
        <v>3514</v>
      </c>
      <c r="C793" s="2406" t="s">
        <v>7977</v>
      </c>
      <c r="D793" s="2396"/>
      <c r="E793" s="2406">
        <v>0</v>
      </c>
      <c r="F793" s="2406">
        <v>0</v>
      </c>
      <c r="G793" s="2407">
        <v>0</v>
      </c>
      <c r="H793" s="2407" t="s">
        <v>7977</v>
      </c>
      <c r="I793" s="2408"/>
      <c r="J793" s="2408"/>
      <c r="K793" s="2408"/>
      <c r="L793" s="2409"/>
    </row>
    <row r="794" spans="1:12" ht="12" customHeight="1" x14ac:dyDescent="0.3">
      <c r="A794" s="2394" t="s">
        <v>4503</v>
      </c>
      <c r="B794" s="2395" t="s">
        <v>3517</v>
      </c>
      <c r="C794" s="2406">
        <v>0</v>
      </c>
      <c r="D794" s="2396"/>
      <c r="E794" s="2406">
        <v>0</v>
      </c>
      <c r="F794" s="2406">
        <v>0</v>
      </c>
      <c r="G794" s="2407">
        <v>0</v>
      </c>
      <c r="H794" s="2407">
        <v>0</v>
      </c>
      <c r="I794" s="2408"/>
      <c r="J794" s="2408"/>
      <c r="K794" s="2408"/>
      <c r="L794" s="2409"/>
    </row>
    <row r="795" spans="1:12" ht="12" customHeight="1" x14ac:dyDescent="0.3">
      <c r="A795" s="2394" t="s">
        <v>4504</v>
      </c>
      <c r="B795" s="2395" t="s">
        <v>3518</v>
      </c>
      <c r="C795" s="2406">
        <v>0</v>
      </c>
      <c r="D795" s="2396"/>
      <c r="E795" s="2406">
        <v>0</v>
      </c>
      <c r="F795" s="2406">
        <v>0</v>
      </c>
      <c r="G795" s="2407">
        <v>0</v>
      </c>
      <c r="H795" s="2407">
        <v>0</v>
      </c>
      <c r="I795" s="2408"/>
      <c r="J795" s="2408"/>
      <c r="K795" s="2408"/>
      <c r="L795" s="2409"/>
    </row>
    <row r="796" spans="1:12" ht="12" customHeight="1" x14ac:dyDescent="0.3">
      <c r="A796" s="2394" t="s">
        <v>4505</v>
      </c>
      <c r="B796" s="2395" t="s">
        <v>3519</v>
      </c>
      <c r="C796" s="2406">
        <v>0</v>
      </c>
      <c r="D796" s="2396"/>
      <c r="E796" s="2406">
        <v>0</v>
      </c>
      <c r="F796" s="2406">
        <v>0</v>
      </c>
      <c r="G796" s="2407">
        <v>0</v>
      </c>
      <c r="H796" s="2407">
        <v>0</v>
      </c>
      <c r="I796" s="2408"/>
      <c r="J796" s="2408"/>
      <c r="K796" s="2408"/>
      <c r="L796" s="2409"/>
    </row>
    <row r="797" spans="1:12" ht="12" customHeight="1" x14ac:dyDescent="0.3">
      <c r="A797" s="2394" t="s">
        <v>4506</v>
      </c>
      <c r="B797" s="2395" t="s">
        <v>3522</v>
      </c>
      <c r="C797" s="2406">
        <v>0</v>
      </c>
      <c r="D797" s="2396"/>
      <c r="E797" s="2406">
        <v>0</v>
      </c>
      <c r="F797" s="2406">
        <v>0</v>
      </c>
      <c r="G797" s="2407">
        <v>0</v>
      </c>
      <c r="H797" s="2407">
        <v>0</v>
      </c>
      <c r="I797" s="2408"/>
      <c r="J797" s="2408"/>
      <c r="K797" s="2408"/>
      <c r="L797" s="2409"/>
    </row>
    <row r="798" spans="1:12" ht="12" customHeight="1" x14ac:dyDescent="0.3">
      <c r="A798" s="2394" t="s">
        <v>4507</v>
      </c>
      <c r="B798" s="2395" t="s">
        <v>3523</v>
      </c>
      <c r="C798" s="2406">
        <v>0</v>
      </c>
      <c r="D798" s="2396"/>
      <c r="E798" s="2406">
        <v>0</v>
      </c>
      <c r="F798" s="2406">
        <v>0</v>
      </c>
      <c r="G798" s="2407">
        <v>0</v>
      </c>
      <c r="H798" s="2407">
        <v>0</v>
      </c>
      <c r="I798" s="2408"/>
      <c r="J798" s="2408"/>
      <c r="K798" s="2408"/>
      <c r="L798" s="2409"/>
    </row>
    <row r="799" spans="1:12" ht="12" customHeight="1" x14ac:dyDescent="0.3">
      <c r="A799" s="2394" t="s">
        <v>4508</v>
      </c>
      <c r="B799" s="2395" t="s">
        <v>3524</v>
      </c>
      <c r="C799" s="2406">
        <v>0</v>
      </c>
      <c r="D799" s="2396"/>
      <c r="E799" s="2406">
        <v>0</v>
      </c>
      <c r="F799" s="2406">
        <v>0</v>
      </c>
      <c r="G799" s="2407">
        <v>0</v>
      </c>
      <c r="H799" s="2407">
        <v>0</v>
      </c>
      <c r="I799" s="2408"/>
      <c r="J799" s="2408"/>
      <c r="K799" s="2408"/>
      <c r="L799" s="2409"/>
    </row>
    <row r="800" spans="1:12" ht="12" customHeight="1" x14ac:dyDescent="0.3">
      <c r="A800" s="2394" t="s">
        <v>4509</v>
      </c>
      <c r="B800" s="2395" t="s">
        <v>3525</v>
      </c>
      <c r="C800" s="2406">
        <v>0</v>
      </c>
      <c r="D800" s="2396"/>
      <c r="E800" s="2406">
        <v>0</v>
      </c>
      <c r="F800" s="2406">
        <v>0</v>
      </c>
      <c r="G800" s="2407">
        <v>0</v>
      </c>
      <c r="H800" s="2407">
        <v>0</v>
      </c>
      <c r="I800" s="2408"/>
      <c r="J800" s="2408"/>
      <c r="K800" s="2408"/>
      <c r="L800" s="2409"/>
    </row>
    <row r="801" spans="1:12" ht="12" customHeight="1" x14ac:dyDescent="0.3">
      <c r="A801" s="2394" t="s">
        <v>4510</v>
      </c>
      <c r="B801" s="2395" t="s">
        <v>3526</v>
      </c>
      <c r="C801" s="2406">
        <v>0</v>
      </c>
      <c r="D801" s="2396"/>
      <c r="E801" s="2406">
        <v>0</v>
      </c>
      <c r="F801" s="2406">
        <v>0</v>
      </c>
      <c r="G801" s="2407">
        <v>0</v>
      </c>
      <c r="H801" s="2407">
        <v>0</v>
      </c>
      <c r="I801" s="2408"/>
      <c r="J801" s="2408"/>
      <c r="K801" s="2408"/>
      <c r="L801" s="2409"/>
    </row>
    <row r="802" spans="1:12" ht="12" customHeight="1" x14ac:dyDescent="0.3">
      <c r="A802" s="2394" t="s">
        <v>4511</v>
      </c>
      <c r="B802" s="2395" t="s">
        <v>3527</v>
      </c>
      <c r="C802" s="2406">
        <v>0</v>
      </c>
      <c r="D802" s="2396"/>
      <c r="E802" s="2406">
        <v>0</v>
      </c>
      <c r="F802" s="2406">
        <v>0</v>
      </c>
      <c r="G802" s="2407">
        <v>0</v>
      </c>
      <c r="H802" s="2407">
        <v>0</v>
      </c>
      <c r="I802" s="2408"/>
      <c r="J802" s="2408"/>
      <c r="K802" s="2408"/>
      <c r="L802" s="2409"/>
    </row>
    <row r="803" spans="1:12" ht="12" customHeight="1" x14ac:dyDescent="0.3">
      <c r="A803" s="2394" t="s">
        <v>4512</v>
      </c>
      <c r="B803" s="2395" t="s">
        <v>3528</v>
      </c>
      <c r="C803" s="2406">
        <v>0</v>
      </c>
      <c r="D803" s="2396"/>
      <c r="E803" s="2406">
        <v>0</v>
      </c>
      <c r="F803" s="2406">
        <v>0</v>
      </c>
      <c r="G803" s="2407">
        <v>0</v>
      </c>
      <c r="H803" s="2407">
        <v>0</v>
      </c>
      <c r="I803" s="2408"/>
      <c r="J803" s="2408"/>
      <c r="K803" s="2408"/>
      <c r="L803" s="2409"/>
    </row>
    <row r="804" spans="1:12" ht="12" customHeight="1" x14ac:dyDescent="0.3">
      <c r="A804" s="2394" t="s">
        <v>4513</v>
      </c>
      <c r="B804" s="2395" t="s">
        <v>3529</v>
      </c>
      <c r="C804" s="2406">
        <v>0</v>
      </c>
      <c r="D804" s="2396"/>
      <c r="E804" s="2406">
        <v>0</v>
      </c>
      <c r="F804" s="2406">
        <v>0</v>
      </c>
      <c r="G804" s="2407">
        <v>0</v>
      </c>
      <c r="H804" s="2407">
        <v>0</v>
      </c>
      <c r="I804" s="2408"/>
      <c r="J804" s="2408"/>
      <c r="K804" s="2408"/>
      <c r="L804" s="2409"/>
    </row>
    <row r="805" spans="1:12" ht="12" customHeight="1" x14ac:dyDescent="0.3">
      <c r="A805" s="2394" t="s">
        <v>4514</v>
      </c>
      <c r="B805" s="2395" t="s">
        <v>3534</v>
      </c>
      <c r="C805" s="2406">
        <v>0</v>
      </c>
      <c r="D805" s="2396"/>
      <c r="E805" s="2406">
        <v>0</v>
      </c>
      <c r="F805" s="2406">
        <v>0</v>
      </c>
      <c r="G805" s="2407">
        <v>0</v>
      </c>
      <c r="H805" s="2407">
        <v>0</v>
      </c>
      <c r="I805" s="2408"/>
      <c r="J805" s="2408"/>
      <c r="K805" s="2408"/>
      <c r="L805" s="2409"/>
    </row>
    <row r="806" spans="1:12" ht="12.75" customHeight="1" x14ac:dyDescent="0.3">
      <c r="A806" s="2394" t="s">
        <v>4515</v>
      </c>
      <c r="B806" s="2395" t="s">
        <v>3535</v>
      </c>
      <c r="C806" s="2406">
        <v>0</v>
      </c>
      <c r="D806" s="2396"/>
      <c r="E806" s="2406">
        <v>0</v>
      </c>
      <c r="F806" s="2406">
        <v>0</v>
      </c>
      <c r="G806" s="2407">
        <v>0</v>
      </c>
      <c r="H806" s="2407">
        <v>0</v>
      </c>
      <c r="I806" s="2408"/>
      <c r="J806" s="2408"/>
      <c r="K806" s="2422"/>
      <c r="L806" s="2409"/>
    </row>
    <row r="807" spans="1:12" ht="12.75" customHeight="1" x14ac:dyDescent="0.3">
      <c r="A807" s="2394" t="s">
        <v>4516</v>
      </c>
      <c r="B807" s="2395" t="s">
        <v>3538</v>
      </c>
      <c r="C807" s="2406">
        <v>0</v>
      </c>
      <c r="D807" s="2396"/>
      <c r="E807" s="2406">
        <v>0</v>
      </c>
      <c r="F807" s="2406">
        <v>0</v>
      </c>
      <c r="G807" s="2407">
        <v>0</v>
      </c>
      <c r="H807" s="2407">
        <v>0</v>
      </c>
      <c r="I807" s="2408"/>
      <c r="J807" s="2408"/>
      <c r="K807" s="2418"/>
      <c r="L807" s="2409"/>
    </row>
    <row r="808" spans="1:12" ht="12.75" customHeight="1" x14ac:dyDescent="0.3">
      <c r="A808" s="2394" t="s">
        <v>4517</v>
      </c>
      <c r="B808" s="2395" t="s">
        <v>3541</v>
      </c>
      <c r="C808" s="2406">
        <v>0</v>
      </c>
      <c r="D808" s="2396"/>
      <c r="E808" s="2406">
        <v>0</v>
      </c>
      <c r="F808" s="2406">
        <v>0</v>
      </c>
      <c r="G808" s="2407">
        <v>0</v>
      </c>
      <c r="H808" s="2407">
        <v>0</v>
      </c>
      <c r="I808" s="2408"/>
      <c r="J808" s="2408"/>
      <c r="K808" s="2418"/>
      <c r="L808" s="2409"/>
    </row>
    <row r="809" spans="1:12" ht="12.75" customHeight="1" x14ac:dyDescent="0.3">
      <c r="A809" s="2394" t="s">
        <v>4518</v>
      </c>
      <c r="B809" s="2395" t="s">
        <v>3544</v>
      </c>
      <c r="C809" s="2406">
        <v>0</v>
      </c>
      <c r="D809" s="2396"/>
      <c r="E809" s="2406">
        <v>0</v>
      </c>
      <c r="F809" s="2406">
        <v>0</v>
      </c>
      <c r="G809" s="2407">
        <v>0</v>
      </c>
      <c r="H809" s="2407">
        <v>0</v>
      </c>
      <c r="I809" s="2408"/>
      <c r="J809" s="2408"/>
      <c r="K809" s="2418"/>
      <c r="L809" s="2409"/>
    </row>
    <row r="810" spans="1:12" ht="12.75" customHeight="1" x14ac:dyDescent="0.3">
      <c r="A810" s="2394" t="s">
        <v>4519</v>
      </c>
      <c r="B810" s="2395" t="s">
        <v>3545</v>
      </c>
      <c r="C810" s="2406">
        <v>0</v>
      </c>
      <c r="D810" s="2396"/>
      <c r="E810" s="2406">
        <v>0</v>
      </c>
      <c r="F810" s="2406">
        <v>0</v>
      </c>
      <c r="G810" s="2407">
        <v>0</v>
      </c>
      <c r="H810" s="2407">
        <v>0</v>
      </c>
      <c r="I810" s="2408"/>
      <c r="J810" s="2408"/>
      <c r="K810" s="2418"/>
      <c r="L810" s="2409"/>
    </row>
    <row r="811" spans="1:12" ht="12.75" customHeight="1" x14ac:dyDescent="0.3">
      <c r="A811" s="2394" t="s">
        <v>4520</v>
      </c>
      <c r="B811" s="2395" t="s">
        <v>3546</v>
      </c>
      <c r="C811" s="2406">
        <v>0</v>
      </c>
      <c r="D811" s="2396"/>
      <c r="E811" s="2406">
        <v>0</v>
      </c>
      <c r="F811" s="2406">
        <v>0</v>
      </c>
      <c r="G811" s="2407">
        <v>0</v>
      </c>
      <c r="H811" s="2407">
        <v>0</v>
      </c>
      <c r="I811" s="2408"/>
      <c r="J811" s="2408"/>
      <c r="K811" s="2418"/>
      <c r="L811" s="2409"/>
    </row>
    <row r="812" spans="1:12" ht="12.75" customHeight="1" x14ac:dyDescent="0.3">
      <c r="A812" s="2394" t="s">
        <v>4521</v>
      </c>
      <c r="B812" s="2395" t="s">
        <v>3549</v>
      </c>
      <c r="C812" s="2406">
        <v>0</v>
      </c>
      <c r="D812" s="2396"/>
      <c r="E812" s="2406">
        <v>0</v>
      </c>
      <c r="F812" s="2406">
        <v>0</v>
      </c>
      <c r="G812" s="2407">
        <v>0</v>
      </c>
      <c r="H812" s="2407">
        <v>0</v>
      </c>
      <c r="I812" s="2408"/>
      <c r="J812" s="2408"/>
      <c r="K812" s="2418"/>
      <c r="L812" s="2409"/>
    </row>
    <row r="813" spans="1:12" ht="12.75" customHeight="1" x14ac:dyDescent="0.3">
      <c r="A813" s="2394" t="s">
        <v>4522</v>
      </c>
      <c r="B813" s="2395" t="s">
        <v>3552</v>
      </c>
      <c r="C813" s="2406">
        <v>0</v>
      </c>
      <c r="D813" s="2396"/>
      <c r="E813" s="2406">
        <v>0</v>
      </c>
      <c r="F813" s="2406">
        <v>0</v>
      </c>
      <c r="G813" s="2407">
        <v>0</v>
      </c>
      <c r="H813" s="2407">
        <v>0</v>
      </c>
      <c r="I813" s="2408"/>
      <c r="J813" s="2408"/>
      <c r="K813" s="2418"/>
      <c r="L813" s="2409"/>
    </row>
    <row r="814" spans="1:12" ht="12.75" customHeight="1" x14ac:dyDescent="0.3">
      <c r="A814" s="2394" t="s">
        <v>4523</v>
      </c>
      <c r="B814" s="2395" t="s">
        <v>3553</v>
      </c>
      <c r="C814" s="2406">
        <v>0</v>
      </c>
      <c r="D814" s="2396"/>
      <c r="E814" s="2406">
        <v>0</v>
      </c>
      <c r="F814" s="2406">
        <v>0</v>
      </c>
      <c r="G814" s="2407">
        <v>0</v>
      </c>
      <c r="H814" s="2407">
        <v>0</v>
      </c>
      <c r="I814" s="2408"/>
      <c r="J814" s="2408"/>
      <c r="K814" s="2418"/>
      <c r="L814" s="2409"/>
    </row>
    <row r="815" spans="1:12" ht="12.75" customHeight="1" x14ac:dyDescent="0.3">
      <c r="A815" s="2394" t="s">
        <v>4524</v>
      </c>
      <c r="B815" s="2395" t="s">
        <v>3554</v>
      </c>
      <c r="C815" s="2406">
        <v>0</v>
      </c>
      <c r="D815" s="2396"/>
      <c r="E815" s="2406">
        <v>0</v>
      </c>
      <c r="F815" s="2406">
        <v>0</v>
      </c>
      <c r="G815" s="2407">
        <v>0</v>
      </c>
      <c r="H815" s="2407">
        <v>0</v>
      </c>
      <c r="I815" s="2408"/>
      <c r="J815" s="2408"/>
      <c r="K815" s="2418"/>
      <c r="L815" s="2409"/>
    </row>
    <row r="816" spans="1:12" ht="12.75" customHeight="1" x14ac:dyDescent="0.3">
      <c r="A816" s="2394" t="s">
        <v>4525</v>
      </c>
      <c r="B816" s="2395" t="s">
        <v>3555</v>
      </c>
      <c r="C816" s="2406">
        <v>0</v>
      </c>
      <c r="D816" s="2396"/>
      <c r="E816" s="2406">
        <v>0</v>
      </c>
      <c r="F816" s="2406">
        <v>0</v>
      </c>
      <c r="G816" s="2407">
        <v>0</v>
      </c>
      <c r="H816" s="2407">
        <v>0</v>
      </c>
      <c r="I816" s="2408"/>
      <c r="J816" s="2408"/>
      <c r="K816" s="2418"/>
      <c r="L816" s="2409"/>
    </row>
    <row r="817" spans="1:12" ht="12" customHeight="1" x14ac:dyDescent="0.3">
      <c r="A817" s="2394" t="s">
        <v>4526</v>
      </c>
      <c r="B817" s="2395" t="s">
        <v>3556</v>
      </c>
      <c r="C817" s="2406">
        <v>0</v>
      </c>
      <c r="D817" s="2396"/>
      <c r="E817" s="2406">
        <v>0</v>
      </c>
      <c r="F817" s="2406">
        <v>0</v>
      </c>
      <c r="G817" s="2407">
        <v>0</v>
      </c>
      <c r="H817" s="2407">
        <v>0</v>
      </c>
      <c r="I817" s="2408"/>
      <c r="J817" s="2408"/>
      <c r="K817" s="2408"/>
      <c r="L817" s="2409"/>
    </row>
    <row r="818" spans="1:12" ht="12" customHeight="1" x14ac:dyDescent="0.3">
      <c r="A818" s="2394" t="s">
        <v>4527</v>
      </c>
      <c r="B818" s="2395" t="s">
        <v>350</v>
      </c>
      <c r="C818" s="2406">
        <v>0</v>
      </c>
      <c r="D818" s="2396"/>
      <c r="E818" s="2406">
        <v>0</v>
      </c>
      <c r="F818" s="2406">
        <v>0</v>
      </c>
      <c r="G818" s="2407">
        <v>0</v>
      </c>
      <c r="H818" s="2407">
        <v>0</v>
      </c>
      <c r="I818" s="2408"/>
      <c r="J818" s="2408"/>
      <c r="K818" s="2408"/>
      <c r="L818" s="2409"/>
    </row>
    <row r="819" spans="1:12" ht="12" customHeight="1" x14ac:dyDescent="0.3">
      <c r="A819" s="2394" t="s">
        <v>4528</v>
      </c>
      <c r="B819" s="2395" t="s">
        <v>3557</v>
      </c>
      <c r="C819" s="2406">
        <v>0</v>
      </c>
      <c r="D819" s="2396"/>
      <c r="E819" s="2406">
        <v>0</v>
      </c>
      <c r="F819" s="2406">
        <v>0</v>
      </c>
      <c r="G819" s="2407">
        <v>0</v>
      </c>
      <c r="H819" s="2407">
        <v>0</v>
      </c>
      <c r="I819" s="2408"/>
      <c r="J819" s="2408"/>
      <c r="K819" s="2408"/>
      <c r="L819" s="2409"/>
    </row>
    <row r="820" spans="1:12" ht="12" customHeight="1" x14ac:dyDescent="0.3">
      <c r="A820" s="2394" t="s">
        <v>4529</v>
      </c>
      <c r="B820" s="2395" t="s">
        <v>3558</v>
      </c>
      <c r="C820" s="2406">
        <v>0</v>
      </c>
      <c r="D820" s="2396"/>
      <c r="E820" s="2406">
        <v>0</v>
      </c>
      <c r="F820" s="2406">
        <v>0</v>
      </c>
      <c r="G820" s="2407">
        <v>0</v>
      </c>
      <c r="H820" s="2407">
        <v>0</v>
      </c>
      <c r="I820" s="2408"/>
      <c r="J820" s="2408"/>
      <c r="K820" s="2408"/>
      <c r="L820" s="2409"/>
    </row>
    <row r="821" spans="1:12" ht="12" customHeight="1" x14ac:dyDescent="0.3">
      <c r="A821" s="2394" t="s">
        <v>4530</v>
      </c>
      <c r="B821" s="2395" t="s">
        <v>3563</v>
      </c>
      <c r="C821" s="2406">
        <v>0</v>
      </c>
      <c r="D821" s="2396"/>
      <c r="E821" s="2406">
        <v>0</v>
      </c>
      <c r="F821" s="2406">
        <v>0</v>
      </c>
      <c r="G821" s="2407">
        <v>0</v>
      </c>
      <c r="H821" s="2407">
        <v>0</v>
      </c>
      <c r="I821" s="2408"/>
      <c r="J821" s="2408"/>
      <c r="K821" s="2408"/>
      <c r="L821" s="2409"/>
    </row>
    <row r="822" spans="1:12" ht="12" customHeight="1" x14ac:dyDescent="0.3">
      <c r="A822" s="2394" t="s">
        <v>4531</v>
      </c>
      <c r="B822" s="2395" t="s">
        <v>3564</v>
      </c>
      <c r="C822" s="2406" t="s">
        <v>8229</v>
      </c>
      <c r="D822" s="2396"/>
      <c r="E822" s="2406">
        <v>0</v>
      </c>
      <c r="F822" s="2406">
        <v>7361800</v>
      </c>
      <c r="G822" s="2407" t="s">
        <v>8517</v>
      </c>
      <c r="H822" s="2407" t="s">
        <v>8520</v>
      </c>
      <c r="I822" s="2408"/>
      <c r="J822" s="2408"/>
      <c r="K822" s="2408"/>
      <c r="L822" s="2409"/>
    </row>
    <row r="823" spans="1:12" ht="12" customHeight="1" x14ac:dyDescent="0.3">
      <c r="A823" s="2394" t="s">
        <v>4532</v>
      </c>
      <c r="B823" s="2395" t="s">
        <v>3564</v>
      </c>
      <c r="C823" s="2406" t="s">
        <v>8230</v>
      </c>
      <c r="D823" s="2396"/>
      <c r="E823" s="2406">
        <v>0</v>
      </c>
      <c r="F823" s="2406">
        <v>6216400</v>
      </c>
      <c r="G823" s="2407" t="s">
        <v>8518</v>
      </c>
      <c r="H823" s="2407" t="s">
        <v>8521</v>
      </c>
      <c r="I823" s="2408"/>
      <c r="J823" s="2408"/>
      <c r="K823" s="2408"/>
      <c r="L823" s="2409"/>
    </row>
    <row r="824" spans="1:12" ht="12" customHeight="1" x14ac:dyDescent="0.3">
      <c r="A824" s="2394" t="s">
        <v>4533</v>
      </c>
      <c r="B824" s="2395" t="s">
        <v>3565</v>
      </c>
      <c r="C824" s="2406" t="s">
        <v>8231</v>
      </c>
      <c r="D824" s="2396"/>
      <c r="E824" s="2406">
        <v>0</v>
      </c>
      <c r="F824" s="2406">
        <v>500000</v>
      </c>
      <c r="G824" s="2407" t="s">
        <v>8310</v>
      </c>
      <c r="H824" s="2407" t="s">
        <v>8318</v>
      </c>
      <c r="I824" s="2408"/>
      <c r="J824" s="2408"/>
      <c r="K824" s="2408"/>
      <c r="L824" s="2409"/>
    </row>
    <row r="825" spans="1:12" ht="12.75" customHeight="1" x14ac:dyDescent="0.3">
      <c r="A825" s="2394" t="s">
        <v>4534</v>
      </c>
      <c r="B825" s="2395" t="s">
        <v>3566</v>
      </c>
      <c r="C825" s="2406">
        <v>0</v>
      </c>
      <c r="D825" s="2396"/>
      <c r="E825" s="2406">
        <v>0</v>
      </c>
      <c r="F825" s="2406">
        <v>0</v>
      </c>
      <c r="G825" s="2407">
        <v>0</v>
      </c>
      <c r="H825" s="2407">
        <v>0</v>
      </c>
      <c r="I825" s="2408"/>
      <c r="J825" s="2408"/>
      <c r="K825" s="2418"/>
      <c r="L825" s="2409"/>
    </row>
    <row r="826" spans="1:12" ht="12" customHeight="1" x14ac:dyDescent="0.3">
      <c r="A826" s="2394" t="s">
        <v>4535</v>
      </c>
      <c r="B826" s="2395" t="s">
        <v>3567</v>
      </c>
      <c r="C826" s="2406">
        <v>0</v>
      </c>
      <c r="D826" s="2396"/>
      <c r="E826" s="2406">
        <v>0</v>
      </c>
      <c r="F826" s="2406">
        <v>0</v>
      </c>
      <c r="G826" s="2407">
        <v>0</v>
      </c>
      <c r="H826" s="2407">
        <v>0</v>
      </c>
      <c r="I826" s="2408"/>
      <c r="J826" s="2408"/>
      <c r="K826" s="2408"/>
      <c r="L826" s="2409"/>
    </row>
    <row r="827" spans="1:12" ht="12.75" customHeight="1" x14ac:dyDescent="0.3">
      <c r="A827" s="2394" t="s">
        <v>4536</v>
      </c>
      <c r="B827" s="2395" t="s">
        <v>3568</v>
      </c>
      <c r="C827" s="2406">
        <v>0</v>
      </c>
      <c r="D827" s="2396"/>
      <c r="E827" s="2406">
        <v>0</v>
      </c>
      <c r="F827" s="2406">
        <v>0</v>
      </c>
      <c r="G827" s="2407">
        <v>0</v>
      </c>
      <c r="H827" s="2407">
        <v>0</v>
      </c>
      <c r="I827" s="2408"/>
      <c r="J827" s="2408"/>
      <c r="K827" s="2418"/>
      <c r="L827" s="2409"/>
    </row>
    <row r="828" spans="1:12" ht="12" customHeight="1" x14ac:dyDescent="0.3">
      <c r="A828" s="2394" t="s">
        <v>4537</v>
      </c>
      <c r="B828" s="2395" t="s">
        <v>3569</v>
      </c>
      <c r="C828" s="2406">
        <v>0</v>
      </c>
      <c r="D828" s="2396"/>
      <c r="E828" s="2406">
        <v>0</v>
      </c>
      <c r="F828" s="2406">
        <v>0</v>
      </c>
      <c r="G828" s="2407">
        <v>0</v>
      </c>
      <c r="H828" s="2407">
        <v>0</v>
      </c>
      <c r="I828" s="2408"/>
      <c r="J828" s="2408"/>
      <c r="K828" s="2408"/>
      <c r="L828" s="2409"/>
    </row>
    <row r="829" spans="1:12" ht="12" customHeight="1" x14ac:dyDescent="0.3">
      <c r="A829" s="2394" t="s">
        <v>4538</v>
      </c>
      <c r="B829" s="2395" t="s">
        <v>3570</v>
      </c>
      <c r="C829" s="2406">
        <v>0</v>
      </c>
      <c r="D829" s="2396"/>
      <c r="E829" s="2406">
        <v>0</v>
      </c>
      <c r="F829" s="2406">
        <v>0</v>
      </c>
      <c r="G829" s="2407">
        <v>0</v>
      </c>
      <c r="H829" s="2407">
        <v>0</v>
      </c>
      <c r="I829" s="2408"/>
      <c r="J829" s="2408"/>
      <c r="K829" s="2408"/>
      <c r="L829" s="2409"/>
    </row>
    <row r="830" spans="1:12" ht="12" customHeight="1" x14ac:dyDescent="0.3">
      <c r="A830" s="2394" t="s">
        <v>4539</v>
      </c>
      <c r="B830" s="2395" t="s">
        <v>3573</v>
      </c>
      <c r="C830" s="2406" t="s">
        <v>8099</v>
      </c>
      <c r="D830" s="2396"/>
      <c r="E830" s="2406">
        <v>0</v>
      </c>
      <c r="F830" s="2406">
        <v>0</v>
      </c>
      <c r="G830" s="2407">
        <v>0</v>
      </c>
      <c r="H830" s="2407" t="s">
        <v>8099</v>
      </c>
      <c r="I830" s="2408"/>
      <c r="J830" s="2408"/>
      <c r="K830" s="2408"/>
      <c r="L830" s="2409"/>
    </row>
    <row r="831" spans="1:12" ht="12" customHeight="1" x14ac:dyDescent="0.3">
      <c r="A831" s="2394" t="s">
        <v>4540</v>
      </c>
      <c r="B831" s="2395" t="s">
        <v>3574</v>
      </c>
      <c r="C831" s="2406" t="s">
        <v>8100</v>
      </c>
      <c r="D831" s="2396"/>
      <c r="E831" s="2406">
        <v>0</v>
      </c>
      <c r="F831" s="2406">
        <v>0</v>
      </c>
      <c r="G831" s="2407">
        <v>0</v>
      </c>
      <c r="H831" s="2407" t="s">
        <v>8100</v>
      </c>
      <c r="I831" s="2408"/>
      <c r="J831" s="2408"/>
      <c r="K831" s="2408"/>
      <c r="L831" s="2409"/>
    </row>
    <row r="832" spans="1:12" ht="12" customHeight="1" x14ac:dyDescent="0.3">
      <c r="A832" s="2394" t="s">
        <v>4541</v>
      </c>
      <c r="B832" s="2395" t="s">
        <v>3577</v>
      </c>
      <c r="C832" s="2406">
        <v>0</v>
      </c>
      <c r="D832" s="2396"/>
      <c r="E832" s="2406">
        <v>0</v>
      </c>
      <c r="F832" s="2406">
        <v>0</v>
      </c>
      <c r="G832" s="2407">
        <v>0</v>
      </c>
      <c r="H832" s="2407">
        <v>0</v>
      </c>
      <c r="I832" s="2408"/>
      <c r="J832" s="2408"/>
      <c r="K832" s="2408"/>
      <c r="L832" s="2409"/>
    </row>
    <row r="833" spans="1:12" ht="12" customHeight="1" x14ac:dyDescent="0.3">
      <c r="A833" s="2394" t="s">
        <v>4542</v>
      </c>
      <c r="B833" s="2395" t="s">
        <v>3582</v>
      </c>
      <c r="C833" s="2406">
        <v>0</v>
      </c>
      <c r="D833" s="2396"/>
      <c r="E833" s="2406">
        <v>0</v>
      </c>
      <c r="F833" s="2406">
        <v>0</v>
      </c>
      <c r="G833" s="2407">
        <v>0</v>
      </c>
      <c r="H833" s="2407">
        <v>0</v>
      </c>
      <c r="I833" s="2408"/>
      <c r="J833" s="2408"/>
      <c r="K833" s="2408"/>
      <c r="L833" s="2409"/>
    </row>
    <row r="834" spans="1:12" ht="12" customHeight="1" x14ac:dyDescent="0.3">
      <c r="A834" s="2394" t="s">
        <v>4543</v>
      </c>
      <c r="B834" s="2395" t="s">
        <v>3583</v>
      </c>
      <c r="C834" s="2406">
        <v>46150000</v>
      </c>
      <c r="D834" s="2396"/>
      <c r="E834" s="2406">
        <v>3400000</v>
      </c>
      <c r="F834" s="2406">
        <v>0</v>
      </c>
      <c r="G834" s="2407">
        <v>3400000</v>
      </c>
      <c r="H834" s="2407">
        <v>49550000</v>
      </c>
      <c r="I834" s="2408"/>
      <c r="J834" s="2408"/>
      <c r="K834" s="2408"/>
      <c r="L834" s="2409"/>
    </row>
    <row r="835" spans="1:12" ht="12" customHeight="1" x14ac:dyDescent="0.3">
      <c r="A835" s="2394" t="s">
        <v>4544</v>
      </c>
      <c r="B835" s="2395" t="s">
        <v>3584</v>
      </c>
      <c r="C835" s="2406">
        <v>20668000</v>
      </c>
      <c r="D835" s="2396"/>
      <c r="E835" s="2406">
        <v>550000</v>
      </c>
      <c r="F835" s="2406">
        <v>0</v>
      </c>
      <c r="G835" s="2407">
        <v>550000</v>
      </c>
      <c r="H835" s="2407">
        <v>21218000</v>
      </c>
      <c r="I835" s="2408"/>
      <c r="J835" s="2408"/>
      <c r="K835" s="2408"/>
      <c r="L835" s="2409"/>
    </row>
    <row r="836" spans="1:12" ht="12" customHeight="1" x14ac:dyDescent="0.3">
      <c r="A836" s="2394" t="s">
        <v>4545</v>
      </c>
      <c r="B836" s="2395" t="s">
        <v>3585</v>
      </c>
      <c r="C836" s="2406">
        <v>0</v>
      </c>
      <c r="D836" s="2396"/>
      <c r="E836" s="2406">
        <v>0</v>
      </c>
      <c r="F836" s="2406">
        <v>0</v>
      </c>
      <c r="G836" s="2407">
        <v>0</v>
      </c>
      <c r="H836" s="2407">
        <v>0</v>
      </c>
      <c r="I836" s="2408"/>
      <c r="J836" s="2408"/>
      <c r="K836" s="2408"/>
      <c r="L836" s="2409"/>
    </row>
    <row r="837" spans="1:12" ht="12" customHeight="1" x14ac:dyDescent="0.3">
      <c r="A837" s="2394" t="s">
        <v>4546</v>
      </c>
      <c r="B837" s="2395" t="s">
        <v>3588</v>
      </c>
      <c r="C837" s="2406">
        <v>0</v>
      </c>
      <c r="D837" s="2396"/>
      <c r="E837" s="2406">
        <v>0</v>
      </c>
      <c r="F837" s="2406">
        <v>0</v>
      </c>
      <c r="G837" s="2407">
        <v>0</v>
      </c>
      <c r="H837" s="2407">
        <v>0</v>
      </c>
      <c r="I837" s="2408"/>
      <c r="J837" s="2408"/>
      <c r="K837" s="2408"/>
      <c r="L837" s="2409"/>
    </row>
    <row r="838" spans="1:12" ht="12" customHeight="1" x14ac:dyDescent="0.3">
      <c r="A838" s="2394" t="s">
        <v>4547</v>
      </c>
      <c r="B838" s="2395" t="s">
        <v>3589</v>
      </c>
      <c r="C838" s="2406">
        <v>0</v>
      </c>
      <c r="D838" s="2396"/>
      <c r="E838" s="2406">
        <v>0</v>
      </c>
      <c r="F838" s="2406">
        <v>0</v>
      </c>
      <c r="G838" s="2407">
        <v>0</v>
      </c>
      <c r="H838" s="2407">
        <v>0</v>
      </c>
      <c r="I838" s="2408"/>
      <c r="J838" s="2408"/>
      <c r="K838" s="2408"/>
      <c r="L838" s="2409"/>
    </row>
    <row r="839" spans="1:12" ht="12" customHeight="1" x14ac:dyDescent="0.3">
      <c r="A839" s="2394" t="s">
        <v>4548</v>
      </c>
      <c r="B839" s="2395" t="s">
        <v>3590</v>
      </c>
      <c r="C839" s="2406">
        <v>0</v>
      </c>
      <c r="D839" s="2396"/>
      <c r="E839" s="2406">
        <v>0</v>
      </c>
      <c r="F839" s="2406">
        <v>0</v>
      </c>
      <c r="G839" s="2407">
        <v>0</v>
      </c>
      <c r="H839" s="2407">
        <v>0</v>
      </c>
      <c r="I839" s="2408"/>
      <c r="J839" s="2408"/>
      <c r="K839" s="2408"/>
      <c r="L839" s="2409"/>
    </row>
    <row r="840" spans="1:12" ht="12" customHeight="1" x14ac:dyDescent="0.3">
      <c r="A840" s="2394" t="s">
        <v>4549</v>
      </c>
      <c r="B840" s="2395" t="s">
        <v>3591</v>
      </c>
      <c r="C840" s="2406">
        <v>0</v>
      </c>
      <c r="D840" s="2396"/>
      <c r="E840" s="2406">
        <v>0</v>
      </c>
      <c r="F840" s="2406">
        <v>0</v>
      </c>
      <c r="G840" s="2407">
        <v>0</v>
      </c>
      <c r="H840" s="2407">
        <v>0</v>
      </c>
      <c r="I840" s="2408"/>
      <c r="J840" s="2408"/>
      <c r="K840" s="2408"/>
      <c r="L840" s="2409"/>
    </row>
    <row r="841" spans="1:12" ht="12" customHeight="1" x14ac:dyDescent="0.3">
      <c r="A841" s="2423" t="s">
        <v>3598</v>
      </c>
      <c r="B841" s="2424" t="s">
        <v>3599</v>
      </c>
      <c r="C841" s="2425">
        <v>0</v>
      </c>
      <c r="D841" s="2426"/>
      <c r="E841" s="2425">
        <v>0</v>
      </c>
      <c r="F841" s="2425">
        <v>0</v>
      </c>
      <c r="G841" s="2425">
        <v>0</v>
      </c>
      <c r="H841" s="2425">
        <v>0</v>
      </c>
      <c r="I841" s="2427"/>
      <c r="J841" s="2427"/>
      <c r="K841" s="2428"/>
      <c r="L841" s="2429"/>
    </row>
    <row r="842" spans="1:12" ht="12.75" customHeight="1" x14ac:dyDescent="0.3">
      <c r="A842" s="2394" t="s">
        <v>3600</v>
      </c>
      <c r="B842" s="2395" t="s">
        <v>3601</v>
      </c>
      <c r="C842" s="2406">
        <v>0</v>
      </c>
      <c r="D842" s="2396"/>
      <c r="E842" s="2406">
        <v>0</v>
      </c>
      <c r="F842" s="2406">
        <v>0</v>
      </c>
      <c r="G842" s="2430">
        <v>0</v>
      </c>
      <c r="H842" s="2407">
        <v>0</v>
      </c>
      <c r="I842" s="2408"/>
      <c r="J842" s="2408"/>
      <c r="K842" s="2671" t="s">
        <v>2586</v>
      </c>
      <c r="L842" s="2409"/>
    </row>
    <row r="843" spans="1:12" ht="12" customHeight="1" x14ac:dyDescent="0.3">
      <c r="A843" s="2394" t="s">
        <v>3602</v>
      </c>
      <c r="B843" s="2395" t="s">
        <v>3603</v>
      </c>
      <c r="C843" s="2406">
        <v>0</v>
      </c>
      <c r="D843" s="2396"/>
      <c r="E843" s="2406">
        <v>0</v>
      </c>
      <c r="F843" s="2406">
        <v>0</v>
      </c>
      <c r="G843" s="2430">
        <v>0</v>
      </c>
      <c r="H843" s="2407">
        <v>0</v>
      </c>
      <c r="I843" s="2408"/>
      <c r="J843" s="2408"/>
      <c r="K843" s="2671" t="s">
        <v>2585</v>
      </c>
      <c r="L843" s="2409"/>
    </row>
    <row r="844" spans="1:12" ht="12" customHeight="1" x14ac:dyDescent="0.3">
      <c r="A844" s="2394" t="s">
        <v>3604</v>
      </c>
      <c r="B844" s="2395" t="s">
        <v>3605</v>
      </c>
      <c r="C844" s="2406">
        <v>0</v>
      </c>
      <c r="D844" s="2396"/>
      <c r="E844" s="2406">
        <v>0</v>
      </c>
      <c r="F844" s="2406">
        <v>0</v>
      </c>
      <c r="G844" s="2430">
        <v>0</v>
      </c>
      <c r="H844" s="2407">
        <v>0</v>
      </c>
      <c r="I844" s="2408"/>
      <c r="J844" s="2408"/>
      <c r="K844" s="2671" t="s">
        <v>2586</v>
      </c>
      <c r="L844" s="2409"/>
    </row>
    <row r="845" spans="1:12" ht="12" customHeight="1" x14ac:dyDescent="0.3">
      <c r="A845" s="2394" t="s">
        <v>3606</v>
      </c>
      <c r="B845" s="2395" t="s">
        <v>3607</v>
      </c>
      <c r="C845" s="2406">
        <v>0</v>
      </c>
      <c r="D845" s="2396"/>
      <c r="E845" s="2406">
        <v>0</v>
      </c>
      <c r="F845" s="2406">
        <v>0</v>
      </c>
      <c r="G845" s="2430">
        <v>0</v>
      </c>
      <c r="H845" s="2407">
        <v>0</v>
      </c>
      <c r="I845" s="2408"/>
      <c r="J845" s="2408"/>
      <c r="K845" s="2671" t="s">
        <v>2585</v>
      </c>
      <c r="L845" s="2409"/>
    </row>
    <row r="846" spans="1:12" ht="12" customHeight="1" x14ac:dyDescent="0.3">
      <c r="A846" s="2394" t="s">
        <v>3608</v>
      </c>
      <c r="B846" s="2395" t="s">
        <v>3609</v>
      </c>
      <c r="C846" s="2406">
        <v>0</v>
      </c>
      <c r="D846" s="2396"/>
      <c r="E846" s="2406">
        <v>0</v>
      </c>
      <c r="F846" s="2406">
        <v>0</v>
      </c>
      <c r="G846" s="2430">
        <v>0</v>
      </c>
      <c r="H846" s="2407">
        <v>0</v>
      </c>
      <c r="I846" s="2408"/>
      <c r="J846" s="2408"/>
      <c r="K846" s="2671" t="s">
        <v>6505</v>
      </c>
      <c r="L846" s="2409"/>
    </row>
    <row r="847" spans="1:12" ht="12" customHeight="1" x14ac:dyDescent="0.3">
      <c r="A847" s="2394" t="s">
        <v>3610</v>
      </c>
      <c r="B847" s="2395" t="s">
        <v>3611</v>
      </c>
      <c r="C847" s="2406">
        <v>0</v>
      </c>
      <c r="D847" s="2396"/>
      <c r="E847" s="2406">
        <v>0</v>
      </c>
      <c r="F847" s="2406">
        <v>0</v>
      </c>
      <c r="G847" s="2430">
        <v>0</v>
      </c>
      <c r="H847" s="2407">
        <v>0</v>
      </c>
      <c r="I847" s="2408"/>
      <c r="J847" s="2408"/>
      <c r="K847" s="2671" t="s">
        <v>6505</v>
      </c>
      <c r="L847" s="2409"/>
    </row>
    <row r="848" spans="1:12" ht="12" customHeight="1" x14ac:dyDescent="0.3">
      <c r="A848" s="2394" t="s">
        <v>3612</v>
      </c>
      <c r="B848" s="2395" t="s">
        <v>3613</v>
      </c>
      <c r="C848" s="2406">
        <v>0</v>
      </c>
      <c r="D848" s="2396"/>
      <c r="E848" s="2406">
        <v>0</v>
      </c>
      <c r="F848" s="2406">
        <v>0</v>
      </c>
      <c r="G848" s="2430">
        <v>0</v>
      </c>
      <c r="H848" s="2407">
        <v>0</v>
      </c>
      <c r="I848" s="2408"/>
      <c r="J848" s="2408"/>
      <c r="K848" s="2671" t="s">
        <v>2586</v>
      </c>
      <c r="L848" s="2409"/>
    </row>
    <row r="849" spans="1:12" ht="12" customHeight="1" x14ac:dyDescent="0.3">
      <c r="A849" s="2394" t="s">
        <v>3614</v>
      </c>
      <c r="B849" s="2395" t="s">
        <v>3615</v>
      </c>
      <c r="C849" s="2406">
        <v>0</v>
      </c>
      <c r="D849" s="2396"/>
      <c r="E849" s="2406">
        <v>0</v>
      </c>
      <c r="F849" s="2406">
        <v>0</v>
      </c>
      <c r="G849" s="2430">
        <v>0</v>
      </c>
      <c r="H849" s="2407">
        <v>0</v>
      </c>
      <c r="I849" s="2408"/>
      <c r="J849" s="2408"/>
      <c r="K849" s="2671" t="s">
        <v>2586</v>
      </c>
      <c r="L849" s="2409"/>
    </row>
    <row r="850" spans="1:12" ht="12" customHeight="1" x14ac:dyDescent="0.3">
      <c r="A850" s="2394" t="s">
        <v>3616</v>
      </c>
      <c r="B850" s="2395" t="s">
        <v>3617</v>
      </c>
      <c r="C850" s="2406">
        <v>0</v>
      </c>
      <c r="D850" s="2396"/>
      <c r="E850" s="2406">
        <v>0</v>
      </c>
      <c r="F850" s="2406">
        <v>0</v>
      </c>
      <c r="G850" s="2430">
        <v>0</v>
      </c>
      <c r="H850" s="2407">
        <v>0</v>
      </c>
      <c r="I850" s="2408"/>
      <c r="J850" s="2408"/>
      <c r="K850" s="2671" t="s">
        <v>2586</v>
      </c>
      <c r="L850" s="2409"/>
    </row>
    <row r="851" spans="1:12" ht="12" customHeight="1" x14ac:dyDescent="0.3">
      <c r="A851" s="2394" t="s">
        <v>3618</v>
      </c>
      <c r="B851" s="2395" t="s">
        <v>3619</v>
      </c>
      <c r="C851" s="2406">
        <v>0</v>
      </c>
      <c r="D851" s="2396"/>
      <c r="E851" s="2406">
        <v>0</v>
      </c>
      <c r="F851" s="2406">
        <v>0</v>
      </c>
      <c r="G851" s="2430">
        <v>0</v>
      </c>
      <c r="H851" s="2407">
        <v>0</v>
      </c>
      <c r="I851" s="2408"/>
      <c r="J851" s="2408"/>
      <c r="K851" s="2671"/>
      <c r="L851" s="2409"/>
    </row>
    <row r="852" spans="1:12" ht="12" customHeight="1" x14ac:dyDescent="0.3">
      <c r="A852" s="2394" t="s">
        <v>3620</v>
      </c>
      <c r="B852" s="2395" t="s">
        <v>3621</v>
      </c>
      <c r="C852" s="2406">
        <v>0</v>
      </c>
      <c r="D852" s="2396"/>
      <c r="E852" s="2406">
        <v>0</v>
      </c>
      <c r="F852" s="2406">
        <v>0</v>
      </c>
      <c r="G852" s="2430">
        <v>0</v>
      </c>
      <c r="H852" s="2407">
        <v>0</v>
      </c>
      <c r="I852" s="2408"/>
      <c r="J852" s="2408"/>
      <c r="K852" s="2671" t="s">
        <v>6506</v>
      </c>
      <c r="L852" s="2409"/>
    </row>
    <row r="853" spans="1:12" ht="12" customHeight="1" x14ac:dyDescent="0.3">
      <c r="A853" s="2394" t="s">
        <v>3622</v>
      </c>
      <c r="B853" s="2395" t="s">
        <v>3623</v>
      </c>
      <c r="C853" s="2406">
        <v>0</v>
      </c>
      <c r="D853" s="2396"/>
      <c r="E853" s="2406">
        <v>0</v>
      </c>
      <c r="F853" s="2406">
        <v>0</v>
      </c>
      <c r="G853" s="2430">
        <v>0</v>
      </c>
      <c r="H853" s="2407">
        <v>0</v>
      </c>
      <c r="I853" s="2408"/>
      <c r="J853" s="2408"/>
      <c r="K853" s="2671" t="s">
        <v>6507</v>
      </c>
      <c r="L853" s="2409"/>
    </row>
    <row r="854" spans="1:12" ht="12" customHeight="1" x14ac:dyDescent="0.3">
      <c r="A854" s="2394" t="s">
        <v>3624</v>
      </c>
      <c r="B854" s="2395" t="s">
        <v>3625</v>
      </c>
      <c r="C854" s="2406">
        <v>0</v>
      </c>
      <c r="D854" s="2396"/>
      <c r="E854" s="2406">
        <v>0</v>
      </c>
      <c r="F854" s="2406">
        <v>0</v>
      </c>
      <c r="G854" s="2430">
        <v>0</v>
      </c>
      <c r="H854" s="2407">
        <v>0</v>
      </c>
      <c r="I854" s="2408"/>
      <c r="J854" s="2408"/>
      <c r="K854" s="2671" t="s">
        <v>6508</v>
      </c>
      <c r="L854" s="2409"/>
    </row>
    <row r="855" spans="1:12" ht="12" customHeight="1" x14ac:dyDescent="0.3">
      <c r="A855" s="2394" t="s">
        <v>3626</v>
      </c>
      <c r="B855" s="2395" t="s">
        <v>3627</v>
      </c>
      <c r="C855" s="2406">
        <v>0</v>
      </c>
      <c r="D855" s="2396"/>
      <c r="E855" s="2406">
        <v>0</v>
      </c>
      <c r="F855" s="2406">
        <v>0</v>
      </c>
      <c r="G855" s="2430">
        <v>0</v>
      </c>
      <c r="H855" s="2407">
        <v>0</v>
      </c>
      <c r="I855" s="2408"/>
      <c r="J855" s="2408"/>
      <c r="K855" s="2671" t="s">
        <v>6509</v>
      </c>
      <c r="L855" s="2409"/>
    </row>
    <row r="856" spans="1:12" ht="12" customHeight="1" x14ac:dyDescent="0.3">
      <c r="A856" s="2394" t="s">
        <v>3628</v>
      </c>
      <c r="B856" s="2395" t="s">
        <v>3629</v>
      </c>
      <c r="C856" s="2406">
        <v>0</v>
      </c>
      <c r="D856" s="2396"/>
      <c r="E856" s="2406">
        <v>0</v>
      </c>
      <c r="F856" s="2406">
        <v>0</v>
      </c>
      <c r="G856" s="2430">
        <v>0</v>
      </c>
      <c r="H856" s="2407">
        <v>0</v>
      </c>
      <c r="I856" s="2408"/>
      <c r="J856" s="2408"/>
      <c r="K856" s="2671" t="s">
        <v>6510</v>
      </c>
      <c r="L856" s="2409"/>
    </row>
    <row r="857" spans="1:12" ht="12" customHeight="1" x14ac:dyDescent="0.3">
      <c r="A857" s="2394" t="s">
        <v>3630</v>
      </c>
      <c r="B857" s="2395" t="s">
        <v>3631</v>
      </c>
      <c r="C857" s="2406">
        <v>0</v>
      </c>
      <c r="D857" s="2396"/>
      <c r="E857" s="2406">
        <v>0</v>
      </c>
      <c r="F857" s="2406">
        <v>0</v>
      </c>
      <c r="G857" s="2430">
        <v>0</v>
      </c>
      <c r="H857" s="2407">
        <v>0</v>
      </c>
      <c r="I857" s="2408"/>
      <c r="J857" s="2408"/>
      <c r="K857" s="2671" t="s">
        <v>6511</v>
      </c>
      <c r="L857" s="2409"/>
    </row>
    <row r="858" spans="1:12" ht="12" customHeight="1" x14ac:dyDescent="0.3">
      <c r="A858" s="2394" t="s">
        <v>3632</v>
      </c>
      <c r="B858" s="2395" t="s">
        <v>3633</v>
      </c>
      <c r="C858" s="2406">
        <v>0</v>
      </c>
      <c r="D858" s="2396"/>
      <c r="E858" s="2406">
        <v>0</v>
      </c>
      <c r="F858" s="2406">
        <v>0</v>
      </c>
      <c r="G858" s="2430">
        <v>0</v>
      </c>
      <c r="H858" s="2407">
        <v>0</v>
      </c>
      <c r="I858" s="2408"/>
      <c r="J858" s="2408"/>
      <c r="K858" s="2671" t="s">
        <v>6512</v>
      </c>
      <c r="L858" s="2409"/>
    </row>
    <row r="859" spans="1:12" ht="12" customHeight="1" x14ac:dyDescent="0.3">
      <c r="A859" s="2394" t="s">
        <v>3634</v>
      </c>
      <c r="B859" s="2395" t="s">
        <v>3635</v>
      </c>
      <c r="C859" s="2406">
        <v>0</v>
      </c>
      <c r="D859" s="2396"/>
      <c r="E859" s="2406">
        <v>0</v>
      </c>
      <c r="F859" s="2406">
        <v>0</v>
      </c>
      <c r="G859" s="2430">
        <v>0</v>
      </c>
      <c r="H859" s="2407">
        <v>0</v>
      </c>
      <c r="I859" s="2408"/>
      <c r="J859" s="2408"/>
      <c r="K859" s="2671" t="s">
        <v>6513</v>
      </c>
      <c r="L859" s="2409"/>
    </row>
    <row r="860" spans="1:12" ht="12" customHeight="1" x14ac:dyDescent="0.3">
      <c r="A860" s="2394" t="s">
        <v>3636</v>
      </c>
      <c r="B860" s="2395" t="s">
        <v>3637</v>
      </c>
      <c r="C860" s="2406">
        <v>0</v>
      </c>
      <c r="D860" s="2396"/>
      <c r="E860" s="2406">
        <v>0</v>
      </c>
      <c r="F860" s="2406">
        <v>0</v>
      </c>
      <c r="G860" s="2430">
        <v>0</v>
      </c>
      <c r="H860" s="2407">
        <v>0</v>
      </c>
      <c r="I860" s="2408"/>
      <c r="J860" s="2408"/>
      <c r="K860" s="2671" t="s">
        <v>6514</v>
      </c>
      <c r="L860" s="2409"/>
    </row>
    <row r="861" spans="1:12" ht="12" customHeight="1" x14ac:dyDescent="0.3">
      <c r="A861" s="2394" t="s">
        <v>3638</v>
      </c>
      <c r="B861" s="2395" t="s">
        <v>334</v>
      </c>
      <c r="C861" s="2406">
        <v>0</v>
      </c>
      <c r="D861" s="2396"/>
      <c r="E861" s="2406">
        <v>0</v>
      </c>
      <c r="F861" s="2406">
        <v>0</v>
      </c>
      <c r="G861" s="2430">
        <v>0</v>
      </c>
      <c r="H861" s="2407">
        <v>0</v>
      </c>
      <c r="I861" s="2408"/>
      <c r="J861" s="2408"/>
      <c r="K861" s="2671"/>
      <c r="L861" s="2409"/>
    </row>
    <row r="862" spans="1:12" ht="12" customHeight="1" x14ac:dyDescent="0.3">
      <c r="A862" s="2394" t="s">
        <v>3639</v>
      </c>
      <c r="B862" s="2395" t="s">
        <v>3640</v>
      </c>
      <c r="C862" s="2406">
        <v>0</v>
      </c>
      <c r="D862" s="2396"/>
      <c r="E862" s="2406">
        <v>0</v>
      </c>
      <c r="F862" s="2406">
        <v>0</v>
      </c>
      <c r="G862" s="2430">
        <v>0</v>
      </c>
      <c r="H862" s="2407">
        <v>0</v>
      </c>
      <c r="I862" s="2408"/>
      <c r="J862" s="2408"/>
      <c r="K862" s="2671" t="s">
        <v>6515</v>
      </c>
      <c r="L862" s="2409"/>
    </row>
    <row r="863" spans="1:12" ht="12" customHeight="1" x14ac:dyDescent="0.3">
      <c r="A863" s="2394" t="s">
        <v>3641</v>
      </c>
      <c r="B863" s="2395" t="s">
        <v>3642</v>
      </c>
      <c r="C863" s="2406">
        <v>0</v>
      </c>
      <c r="D863" s="2396"/>
      <c r="E863" s="2406">
        <v>0</v>
      </c>
      <c r="F863" s="2406">
        <v>0</v>
      </c>
      <c r="G863" s="2430">
        <v>0</v>
      </c>
      <c r="H863" s="2407">
        <v>0</v>
      </c>
      <c r="I863" s="2408"/>
      <c r="J863" s="2408"/>
      <c r="K863" s="2671" t="s">
        <v>6515</v>
      </c>
      <c r="L863" s="2409"/>
    </row>
    <row r="864" spans="1:12" ht="12" customHeight="1" x14ac:dyDescent="0.3">
      <c r="A864" s="2394" t="s">
        <v>3643</v>
      </c>
      <c r="B864" s="2395" t="s">
        <v>3644</v>
      </c>
      <c r="C864" s="2406">
        <v>0</v>
      </c>
      <c r="D864" s="2396"/>
      <c r="E864" s="2406">
        <v>0</v>
      </c>
      <c r="F864" s="2406">
        <v>0</v>
      </c>
      <c r="G864" s="2430">
        <v>0</v>
      </c>
      <c r="H864" s="2407">
        <v>0</v>
      </c>
      <c r="I864" s="2408"/>
      <c r="J864" s="2408"/>
      <c r="K864" s="2671" t="s">
        <v>6515</v>
      </c>
      <c r="L864" s="2409"/>
    </row>
    <row r="865" spans="1:12" ht="12" customHeight="1" x14ac:dyDescent="0.3">
      <c r="A865" s="2394" t="s">
        <v>3645</v>
      </c>
      <c r="B865" s="2395" t="s">
        <v>3646</v>
      </c>
      <c r="C865" s="2406">
        <v>0</v>
      </c>
      <c r="D865" s="2396"/>
      <c r="E865" s="2406">
        <v>0</v>
      </c>
      <c r="F865" s="2406">
        <v>0</v>
      </c>
      <c r="G865" s="2430">
        <v>0</v>
      </c>
      <c r="H865" s="2407">
        <v>0</v>
      </c>
      <c r="I865" s="2408"/>
      <c r="J865" s="2408"/>
      <c r="K865" s="2671" t="s">
        <v>6515</v>
      </c>
      <c r="L865" s="2409"/>
    </row>
    <row r="866" spans="1:12" ht="12" customHeight="1" x14ac:dyDescent="0.3">
      <c r="A866" s="2394" t="s">
        <v>3647</v>
      </c>
      <c r="B866" s="2395" t="s">
        <v>3648</v>
      </c>
      <c r="C866" s="2406">
        <v>0</v>
      </c>
      <c r="D866" s="2396"/>
      <c r="E866" s="2406">
        <v>0</v>
      </c>
      <c r="F866" s="2406">
        <v>0</v>
      </c>
      <c r="G866" s="2430">
        <v>0</v>
      </c>
      <c r="H866" s="2407">
        <v>0</v>
      </c>
      <c r="I866" s="2408"/>
      <c r="J866" s="2408"/>
      <c r="K866" s="2671" t="s">
        <v>6516</v>
      </c>
      <c r="L866" s="2409"/>
    </row>
    <row r="867" spans="1:12" ht="12" customHeight="1" x14ac:dyDescent="0.3">
      <c r="A867" s="2394" t="s">
        <v>3649</v>
      </c>
      <c r="B867" s="2395" t="s">
        <v>3650</v>
      </c>
      <c r="C867" s="2406">
        <v>0</v>
      </c>
      <c r="D867" s="2396"/>
      <c r="E867" s="2406">
        <v>0</v>
      </c>
      <c r="F867" s="2406">
        <v>0</v>
      </c>
      <c r="G867" s="2430">
        <v>0</v>
      </c>
      <c r="H867" s="2407">
        <v>0</v>
      </c>
      <c r="I867" s="2408"/>
      <c r="J867" s="2408"/>
      <c r="K867" s="2671" t="s">
        <v>6517</v>
      </c>
      <c r="L867" s="2409"/>
    </row>
    <row r="868" spans="1:12" ht="12" customHeight="1" x14ac:dyDescent="0.3">
      <c r="A868" s="2394" t="s">
        <v>3651</v>
      </c>
      <c r="B868" s="2395" t="s">
        <v>3652</v>
      </c>
      <c r="C868" s="2406">
        <v>0</v>
      </c>
      <c r="D868" s="2396"/>
      <c r="E868" s="2406">
        <v>0</v>
      </c>
      <c r="F868" s="2406">
        <v>0</v>
      </c>
      <c r="G868" s="2430">
        <v>0</v>
      </c>
      <c r="H868" s="2407">
        <v>0</v>
      </c>
      <c r="I868" s="2408"/>
      <c r="J868" s="2408"/>
      <c r="K868" s="2671" t="s">
        <v>6518</v>
      </c>
      <c r="L868" s="2409"/>
    </row>
    <row r="869" spans="1:12" ht="12" customHeight="1" x14ac:dyDescent="0.3">
      <c r="A869" s="2394" t="s">
        <v>3653</v>
      </c>
      <c r="B869" s="2395" t="s">
        <v>3654</v>
      </c>
      <c r="C869" s="2406">
        <v>0</v>
      </c>
      <c r="D869" s="2396"/>
      <c r="E869" s="2406">
        <v>0</v>
      </c>
      <c r="F869" s="2406">
        <v>0</v>
      </c>
      <c r="G869" s="2430">
        <v>0</v>
      </c>
      <c r="H869" s="2407">
        <v>0</v>
      </c>
      <c r="I869" s="2408"/>
      <c r="J869" s="2408"/>
      <c r="K869" s="2671" t="s">
        <v>6518</v>
      </c>
      <c r="L869" s="2409"/>
    </row>
    <row r="870" spans="1:12" ht="12" customHeight="1" x14ac:dyDescent="0.3">
      <c r="A870" s="2394" t="s">
        <v>3655</v>
      </c>
      <c r="B870" s="2395" t="s">
        <v>3656</v>
      </c>
      <c r="C870" s="2406">
        <v>0</v>
      </c>
      <c r="D870" s="2396"/>
      <c r="E870" s="2406">
        <v>0</v>
      </c>
      <c r="F870" s="2406">
        <v>0</v>
      </c>
      <c r="G870" s="2430">
        <v>0</v>
      </c>
      <c r="H870" s="2407">
        <v>0</v>
      </c>
      <c r="I870" s="2408"/>
      <c r="J870" s="2408"/>
      <c r="K870" s="2671" t="s">
        <v>6519</v>
      </c>
      <c r="L870" s="2409"/>
    </row>
    <row r="871" spans="1:12" ht="12" customHeight="1" x14ac:dyDescent="0.3">
      <c r="A871" s="2394" t="s">
        <v>3657</v>
      </c>
      <c r="B871" s="2395" t="s">
        <v>3658</v>
      </c>
      <c r="C871" s="2406">
        <v>0</v>
      </c>
      <c r="D871" s="2396"/>
      <c r="E871" s="2406">
        <v>0</v>
      </c>
      <c r="F871" s="2406">
        <v>0</v>
      </c>
      <c r="G871" s="2430">
        <v>0</v>
      </c>
      <c r="H871" s="2407">
        <v>0</v>
      </c>
      <c r="I871" s="2408"/>
      <c r="J871" s="2408"/>
      <c r="K871" s="2671" t="s">
        <v>6520</v>
      </c>
      <c r="L871" s="2409"/>
    </row>
    <row r="872" spans="1:12" ht="12" customHeight="1" x14ac:dyDescent="0.3">
      <c r="A872" s="2394" t="s">
        <v>3659</v>
      </c>
      <c r="B872" s="2395" t="s">
        <v>3660</v>
      </c>
      <c r="C872" s="2406">
        <v>0</v>
      </c>
      <c r="D872" s="2396"/>
      <c r="E872" s="2406">
        <v>0</v>
      </c>
      <c r="F872" s="2406">
        <v>0</v>
      </c>
      <c r="G872" s="2430">
        <v>0</v>
      </c>
      <c r="H872" s="2407">
        <v>0</v>
      </c>
      <c r="I872" s="2408"/>
      <c r="J872" s="2408"/>
      <c r="K872" s="2671" t="s">
        <v>6520</v>
      </c>
      <c r="L872" s="2409"/>
    </row>
    <row r="873" spans="1:12" ht="12" customHeight="1" x14ac:dyDescent="0.3">
      <c r="A873" s="2394" t="s">
        <v>3661</v>
      </c>
      <c r="B873" s="2395" t="s">
        <v>3662</v>
      </c>
      <c r="C873" s="2406">
        <v>0</v>
      </c>
      <c r="D873" s="2396"/>
      <c r="E873" s="2406">
        <v>0</v>
      </c>
      <c r="F873" s="2406">
        <v>0</v>
      </c>
      <c r="G873" s="2430">
        <v>0</v>
      </c>
      <c r="H873" s="2407">
        <v>0</v>
      </c>
      <c r="I873" s="2408"/>
      <c r="J873" s="2408"/>
      <c r="K873" s="2671" t="s">
        <v>6521</v>
      </c>
      <c r="L873" s="2409"/>
    </row>
    <row r="874" spans="1:12" ht="12" customHeight="1" x14ac:dyDescent="0.3">
      <c r="A874" s="2394" t="s">
        <v>3663</v>
      </c>
      <c r="B874" s="2395" t="s">
        <v>3664</v>
      </c>
      <c r="C874" s="2406">
        <v>0</v>
      </c>
      <c r="D874" s="2396"/>
      <c r="E874" s="2406">
        <v>0</v>
      </c>
      <c r="F874" s="2406">
        <v>0</v>
      </c>
      <c r="G874" s="2430">
        <v>0</v>
      </c>
      <c r="H874" s="2407">
        <v>0</v>
      </c>
      <c r="I874" s="2408"/>
      <c r="J874" s="2408"/>
      <c r="K874" s="2671" t="s">
        <v>6522</v>
      </c>
      <c r="L874" s="2409"/>
    </row>
    <row r="875" spans="1:12" ht="12" customHeight="1" x14ac:dyDescent="0.3">
      <c r="A875" s="2394" t="s">
        <v>3665</v>
      </c>
      <c r="B875" s="2395" t="s">
        <v>3666</v>
      </c>
      <c r="C875" s="2406">
        <v>0</v>
      </c>
      <c r="D875" s="2396"/>
      <c r="E875" s="2406">
        <v>0</v>
      </c>
      <c r="F875" s="2406">
        <v>0</v>
      </c>
      <c r="G875" s="2430">
        <v>0</v>
      </c>
      <c r="H875" s="2407">
        <v>0</v>
      </c>
      <c r="I875" s="2408"/>
      <c r="J875" s="2408"/>
      <c r="K875" s="2671" t="s">
        <v>6523</v>
      </c>
      <c r="L875" s="2409"/>
    </row>
    <row r="876" spans="1:12" ht="12" customHeight="1" x14ac:dyDescent="0.3">
      <c r="A876" s="2394" t="s">
        <v>3667</v>
      </c>
      <c r="B876" s="2395" t="s">
        <v>3668</v>
      </c>
      <c r="C876" s="2406">
        <v>0</v>
      </c>
      <c r="D876" s="2396"/>
      <c r="E876" s="2406">
        <v>0</v>
      </c>
      <c r="F876" s="2406">
        <v>0</v>
      </c>
      <c r="G876" s="2430">
        <v>0</v>
      </c>
      <c r="H876" s="2407">
        <v>0</v>
      </c>
      <c r="I876" s="2408"/>
      <c r="J876" s="2408"/>
      <c r="K876" s="2671" t="s">
        <v>6524</v>
      </c>
      <c r="L876" s="2409"/>
    </row>
    <row r="877" spans="1:12" ht="12" customHeight="1" x14ac:dyDescent="0.3">
      <c r="A877" s="2394" t="s">
        <v>3669</v>
      </c>
      <c r="B877" s="2395" t="s">
        <v>350</v>
      </c>
      <c r="C877" s="2406">
        <v>0</v>
      </c>
      <c r="D877" s="2396"/>
      <c r="E877" s="2406">
        <v>0</v>
      </c>
      <c r="F877" s="2406">
        <v>0</v>
      </c>
      <c r="G877" s="2430">
        <v>0</v>
      </c>
      <c r="H877" s="2407">
        <v>0</v>
      </c>
      <c r="I877" s="2408"/>
      <c r="J877" s="2408"/>
      <c r="K877" s="2671" t="s">
        <v>6524</v>
      </c>
      <c r="L877" s="2409"/>
    </row>
    <row r="878" spans="1:12" ht="12" customHeight="1" x14ac:dyDescent="0.3">
      <c r="A878" s="2394" t="s">
        <v>3670</v>
      </c>
      <c r="B878" s="2395" t="s">
        <v>3671</v>
      </c>
      <c r="C878" s="2406">
        <v>0</v>
      </c>
      <c r="D878" s="2396"/>
      <c r="E878" s="2406">
        <v>0</v>
      </c>
      <c r="F878" s="2406">
        <v>0</v>
      </c>
      <c r="G878" s="2430">
        <v>0</v>
      </c>
      <c r="H878" s="2407">
        <v>0</v>
      </c>
      <c r="I878" s="2408"/>
      <c r="J878" s="2408"/>
      <c r="K878" s="2671"/>
      <c r="L878" s="2409"/>
    </row>
    <row r="879" spans="1:12" ht="12" customHeight="1" x14ac:dyDescent="0.3">
      <c r="A879" s="2394" t="s">
        <v>3672</v>
      </c>
      <c r="B879" s="2395" t="s">
        <v>3673</v>
      </c>
      <c r="C879" s="2406">
        <v>0</v>
      </c>
      <c r="D879" s="2396"/>
      <c r="E879" s="2406">
        <v>0</v>
      </c>
      <c r="F879" s="2406">
        <v>0</v>
      </c>
      <c r="G879" s="2430">
        <v>0</v>
      </c>
      <c r="H879" s="2407">
        <v>0</v>
      </c>
      <c r="I879" s="2408"/>
      <c r="J879" s="2408"/>
      <c r="K879" s="2671" t="s">
        <v>6525</v>
      </c>
      <c r="L879" s="2409"/>
    </row>
    <row r="880" spans="1:12" ht="12" customHeight="1" x14ac:dyDescent="0.3">
      <c r="A880" s="2394" t="s">
        <v>3674</v>
      </c>
      <c r="B880" s="2395" t="s">
        <v>3675</v>
      </c>
      <c r="C880" s="2406">
        <v>0</v>
      </c>
      <c r="D880" s="2396"/>
      <c r="E880" s="2406">
        <v>0</v>
      </c>
      <c r="F880" s="2406">
        <v>0</v>
      </c>
      <c r="G880" s="2430">
        <v>0</v>
      </c>
      <c r="H880" s="2407">
        <v>0</v>
      </c>
      <c r="I880" s="2408"/>
      <c r="J880" s="2408"/>
      <c r="K880" s="2671" t="s">
        <v>6526</v>
      </c>
      <c r="L880" s="2409"/>
    </row>
    <row r="881" spans="1:12" ht="12" customHeight="1" x14ac:dyDescent="0.3">
      <c r="A881" s="2394" t="s">
        <v>3676</v>
      </c>
      <c r="B881" s="2395" t="s">
        <v>3677</v>
      </c>
      <c r="C881" s="2406">
        <v>0</v>
      </c>
      <c r="D881" s="2396"/>
      <c r="E881" s="2406">
        <v>0</v>
      </c>
      <c r="F881" s="2406">
        <v>0</v>
      </c>
      <c r="G881" s="2430">
        <v>0</v>
      </c>
      <c r="H881" s="2407">
        <v>0</v>
      </c>
      <c r="I881" s="2408"/>
      <c r="J881" s="2408"/>
      <c r="K881" s="2671" t="s">
        <v>6526</v>
      </c>
      <c r="L881" s="2409"/>
    </row>
    <row r="882" spans="1:12" ht="12" customHeight="1" x14ac:dyDescent="0.3">
      <c r="A882" s="2394" t="s">
        <v>3678</v>
      </c>
      <c r="B882" s="2395" t="s">
        <v>3679</v>
      </c>
      <c r="C882" s="2406">
        <v>0</v>
      </c>
      <c r="D882" s="2396"/>
      <c r="E882" s="2406">
        <v>0</v>
      </c>
      <c r="F882" s="2406">
        <v>0</v>
      </c>
      <c r="G882" s="2430">
        <v>0</v>
      </c>
      <c r="H882" s="2407">
        <v>0</v>
      </c>
      <c r="I882" s="2408"/>
      <c r="J882" s="2408"/>
      <c r="K882" s="2671" t="s">
        <v>6526</v>
      </c>
      <c r="L882" s="2409"/>
    </row>
    <row r="883" spans="1:12" ht="12" customHeight="1" x14ac:dyDescent="0.3">
      <c r="A883" s="2394" t="s">
        <v>3680</v>
      </c>
      <c r="B883" s="2395" t="s">
        <v>3681</v>
      </c>
      <c r="C883" s="2406">
        <v>0</v>
      </c>
      <c r="D883" s="2396"/>
      <c r="E883" s="2406">
        <v>0</v>
      </c>
      <c r="F883" s="2406">
        <v>0</v>
      </c>
      <c r="G883" s="2430">
        <v>0</v>
      </c>
      <c r="H883" s="2407">
        <v>0</v>
      </c>
      <c r="I883" s="2408"/>
      <c r="J883" s="2408"/>
      <c r="K883" s="2671" t="s">
        <v>6526</v>
      </c>
      <c r="L883" s="2409"/>
    </row>
    <row r="884" spans="1:12" ht="12" customHeight="1" x14ac:dyDescent="0.3">
      <c r="A884" s="2394" t="s">
        <v>3682</v>
      </c>
      <c r="B884" s="2395" t="s">
        <v>3683</v>
      </c>
      <c r="C884" s="2406">
        <v>0</v>
      </c>
      <c r="D884" s="2396"/>
      <c r="E884" s="2406">
        <v>0</v>
      </c>
      <c r="F884" s="2406">
        <v>0</v>
      </c>
      <c r="G884" s="2430">
        <v>0</v>
      </c>
      <c r="H884" s="2407">
        <v>0</v>
      </c>
      <c r="I884" s="2408"/>
      <c r="J884" s="2408"/>
      <c r="K884" s="2671" t="s">
        <v>6527</v>
      </c>
      <c r="L884" s="2409"/>
    </row>
    <row r="885" spans="1:12" ht="12" customHeight="1" x14ac:dyDescent="0.3">
      <c r="A885" s="2394" t="s">
        <v>3684</v>
      </c>
      <c r="B885" s="2395" t="s">
        <v>3685</v>
      </c>
      <c r="C885" s="2406">
        <v>0</v>
      </c>
      <c r="D885" s="2396"/>
      <c r="E885" s="2406">
        <v>0</v>
      </c>
      <c r="F885" s="2406">
        <v>0</v>
      </c>
      <c r="G885" s="2430">
        <v>0</v>
      </c>
      <c r="H885" s="2407">
        <v>0</v>
      </c>
      <c r="I885" s="2408"/>
      <c r="J885" s="2408"/>
      <c r="K885" s="2671" t="s">
        <v>6528</v>
      </c>
      <c r="L885" s="2409"/>
    </row>
    <row r="886" spans="1:12" ht="12" customHeight="1" x14ac:dyDescent="0.3">
      <c r="A886" s="2394" t="s">
        <v>3686</v>
      </c>
      <c r="B886" s="2395" t="s">
        <v>3687</v>
      </c>
      <c r="C886" s="2406">
        <v>0</v>
      </c>
      <c r="D886" s="2396"/>
      <c r="E886" s="2406">
        <v>0</v>
      </c>
      <c r="F886" s="2406">
        <v>0</v>
      </c>
      <c r="G886" s="2430">
        <v>0</v>
      </c>
      <c r="H886" s="2407">
        <v>0</v>
      </c>
      <c r="I886" s="2408"/>
      <c r="J886" s="2408"/>
      <c r="K886" s="2671" t="s">
        <v>6528</v>
      </c>
      <c r="L886" s="2409"/>
    </row>
    <row r="887" spans="1:12" ht="12" customHeight="1" x14ac:dyDescent="0.3">
      <c r="A887" s="2394" t="s">
        <v>3688</v>
      </c>
      <c r="B887" s="2395" t="s">
        <v>3689</v>
      </c>
      <c r="C887" s="2406">
        <v>0</v>
      </c>
      <c r="D887" s="2396"/>
      <c r="E887" s="2406">
        <v>0</v>
      </c>
      <c r="F887" s="2406">
        <v>0</v>
      </c>
      <c r="G887" s="2430">
        <v>0</v>
      </c>
      <c r="H887" s="2407">
        <v>0</v>
      </c>
      <c r="I887" s="2408"/>
      <c r="J887" s="2408"/>
      <c r="K887" s="2671" t="s">
        <v>6528</v>
      </c>
      <c r="L887" s="2409"/>
    </row>
    <row r="888" spans="1:12" ht="12" customHeight="1" x14ac:dyDescent="0.3">
      <c r="A888" s="2394" t="s">
        <v>3690</v>
      </c>
      <c r="B888" s="2395" t="s">
        <v>3691</v>
      </c>
      <c r="C888" s="2406">
        <v>0</v>
      </c>
      <c r="D888" s="2396"/>
      <c r="E888" s="2406">
        <v>0</v>
      </c>
      <c r="F888" s="2406">
        <v>0</v>
      </c>
      <c r="G888" s="2430">
        <v>0</v>
      </c>
      <c r="H888" s="2407">
        <v>0</v>
      </c>
      <c r="I888" s="2408"/>
      <c r="J888" s="2408"/>
      <c r="K888" s="2671"/>
      <c r="L888" s="2409"/>
    </row>
    <row r="889" spans="1:12" ht="12" customHeight="1" x14ac:dyDescent="0.3">
      <c r="A889" s="2394" t="s">
        <v>3692</v>
      </c>
      <c r="B889" s="2395" t="s">
        <v>3693</v>
      </c>
      <c r="C889" s="2406">
        <v>0</v>
      </c>
      <c r="D889" s="2396"/>
      <c r="E889" s="2406">
        <v>0</v>
      </c>
      <c r="F889" s="2406">
        <v>0</v>
      </c>
      <c r="G889" s="2430">
        <v>0</v>
      </c>
      <c r="H889" s="2407">
        <v>0</v>
      </c>
      <c r="I889" s="2408"/>
      <c r="J889" s="2408"/>
      <c r="K889" s="2671" t="s">
        <v>6529</v>
      </c>
      <c r="L889" s="2409"/>
    </row>
    <row r="890" spans="1:12" ht="12" customHeight="1" x14ac:dyDescent="0.3">
      <c r="A890" s="2394" t="s">
        <v>3694</v>
      </c>
      <c r="B890" s="2395" t="s">
        <v>3695</v>
      </c>
      <c r="C890" s="2406">
        <v>0</v>
      </c>
      <c r="D890" s="2396"/>
      <c r="E890" s="2406">
        <v>0</v>
      </c>
      <c r="F890" s="2406">
        <v>0</v>
      </c>
      <c r="G890" s="2430">
        <v>0</v>
      </c>
      <c r="H890" s="2407">
        <v>0</v>
      </c>
      <c r="I890" s="2408"/>
      <c r="J890" s="2408"/>
      <c r="K890" s="2671" t="s">
        <v>6530</v>
      </c>
      <c r="L890" s="2409"/>
    </row>
    <row r="891" spans="1:12" ht="12" customHeight="1" x14ac:dyDescent="0.3">
      <c r="A891" s="2394" t="s">
        <v>3696</v>
      </c>
      <c r="B891" s="2395" t="s">
        <v>3697</v>
      </c>
      <c r="C891" s="2406">
        <v>0</v>
      </c>
      <c r="D891" s="2396"/>
      <c r="E891" s="2406">
        <v>0</v>
      </c>
      <c r="F891" s="2406">
        <v>0</v>
      </c>
      <c r="G891" s="2430">
        <v>0</v>
      </c>
      <c r="H891" s="2407">
        <v>0</v>
      </c>
      <c r="I891" s="2408"/>
      <c r="J891" s="2408"/>
      <c r="K891" s="2671" t="s">
        <v>6531</v>
      </c>
      <c r="L891" s="2409"/>
    </row>
    <row r="892" spans="1:12" ht="12" customHeight="1" x14ac:dyDescent="0.3">
      <c r="A892" s="2394" t="s">
        <v>3698</v>
      </c>
      <c r="B892" s="2395" t="s">
        <v>3699</v>
      </c>
      <c r="C892" s="2406">
        <v>0</v>
      </c>
      <c r="D892" s="2396"/>
      <c r="E892" s="2406">
        <v>0</v>
      </c>
      <c r="F892" s="2406">
        <v>0</v>
      </c>
      <c r="G892" s="2430">
        <v>0</v>
      </c>
      <c r="H892" s="2407">
        <v>0</v>
      </c>
      <c r="I892" s="2408"/>
      <c r="J892" s="2408"/>
      <c r="K892" s="2671" t="s">
        <v>6532</v>
      </c>
      <c r="L892" s="2409"/>
    </row>
    <row r="893" spans="1:12" ht="12.75" customHeight="1" x14ac:dyDescent="0.3">
      <c r="A893" s="2394" t="s">
        <v>3700</v>
      </c>
      <c r="B893" s="2395" t="s">
        <v>3701</v>
      </c>
      <c r="C893" s="2406">
        <v>0</v>
      </c>
      <c r="D893" s="2396"/>
      <c r="E893" s="2406">
        <v>0</v>
      </c>
      <c r="F893" s="2406">
        <v>0</v>
      </c>
      <c r="G893" s="2430">
        <v>0</v>
      </c>
      <c r="H893" s="2407">
        <v>0</v>
      </c>
      <c r="I893" s="2408"/>
      <c r="J893" s="2408"/>
      <c r="K893" s="2671" t="s">
        <v>6533</v>
      </c>
      <c r="L893" s="2409"/>
    </row>
    <row r="894" spans="1:12" ht="12" customHeight="1" x14ac:dyDescent="0.3">
      <c r="A894" s="2394" t="s">
        <v>3702</v>
      </c>
      <c r="B894" s="2395" t="s">
        <v>3703</v>
      </c>
      <c r="C894" s="2406">
        <v>0</v>
      </c>
      <c r="D894" s="2396"/>
      <c r="E894" s="2406">
        <v>0</v>
      </c>
      <c r="F894" s="2406">
        <v>0</v>
      </c>
      <c r="G894" s="2430">
        <v>0</v>
      </c>
      <c r="H894" s="2407">
        <v>0</v>
      </c>
      <c r="I894" s="2408"/>
      <c r="J894" s="2408"/>
      <c r="K894" s="2671" t="s">
        <v>6534</v>
      </c>
      <c r="L894" s="2409"/>
    </row>
    <row r="895" spans="1:12" ht="12" customHeight="1" x14ac:dyDescent="0.3">
      <c r="A895" s="2394" t="s">
        <v>3704</v>
      </c>
      <c r="B895" s="2395" t="s">
        <v>3705</v>
      </c>
      <c r="C895" s="2406">
        <v>0</v>
      </c>
      <c r="D895" s="2396"/>
      <c r="E895" s="2406">
        <v>0</v>
      </c>
      <c r="F895" s="2406">
        <v>0</v>
      </c>
      <c r="G895" s="2430">
        <v>0</v>
      </c>
      <c r="H895" s="2407">
        <v>0</v>
      </c>
      <c r="I895" s="2408"/>
      <c r="J895" s="2408"/>
      <c r="K895" s="2671" t="s">
        <v>6534</v>
      </c>
      <c r="L895" s="2409"/>
    </row>
    <row r="896" spans="1:12" ht="12" customHeight="1" x14ac:dyDescent="0.3">
      <c r="A896" s="2394" t="s">
        <v>3706</v>
      </c>
      <c r="B896" s="2395" t="s">
        <v>3707</v>
      </c>
      <c r="C896" s="2406">
        <v>0</v>
      </c>
      <c r="D896" s="2396"/>
      <c r="E896" s="2406">
        <v>0</v>
      </c>
      <c r="F896" s="2406">
        <v>0</v>
      </c>
      <c r="G896" s="2430">
        <v>0</v>
      </c>
      <c r="H896" s="2407">
        <v>0</v>
      </c>
      <c r="I896" s="2408"/>
      <c r="J896" s="2408"/>
      <c r="K896" s="2671" t="s">
        <v>6535</v>
      </c>
      <c r="L896" s="2409"/>
    </row>
    <row r="897" spans="1:12" ht="12" customHeight="1" x14ac:dyDescent="0.3">
      <c r="A897" s="2394" t="s">
        <v>3708</v>
      </c>
      <c r="B897" s="2395" t="s">
        <v>350</v>
      </c>
      <c r="C897" s="2406">
        <v>0</v>
      </c>
      <c r="D897" s="2396"/>
      <c r="E897" s="2406">
        <v>0</v>
      </c>
      <c r="F897" s="2406">
        <v>0</v>
      </c>
      <c r="G897" s="2430">
        <v>0</v>
      </c>
      <c r="H897" s="2407">
        <v>0</v>
      </c>
      <c r="I897" s="2408"/>
      <c r="J897" s="2408"/>
      <c r="K897" s="2671" t="s">
        <v>6536</v>
      </c>
      <c r="L897" s="2409"/>
    </row>
    <row r="898" spans="1:12" ht="12" customHeight="1" x14ac:dyDescent="0.3">
      <c r="A898" s="2394" t="s">
        <v>3709</v>
      </c>
      <c r="B898" s="2395" t="s">
        <v>3710</v>
      </c>
      <c r="C898" s="2406">
        <v>0</v>
      </c>
      <c r="D898" s="2396"/>
      <c r="E898" s="2406">
        <v>0</v>
      </c>
      <c r="F898" s="2406">
        <v>0</v>
      </c>
      <c r="G898" s="2430">
        <v>0</v>
      </c>
      <c r="H898" s="2407">
        <v>0</v>
      </c>
      <c r="I898" s="2408"/>
      <c r="J898" s="2408"/>
      <c r="K898" s="2671"/>
      <c r="L898" s="2409"/>
    </row>
    <row r="899" spans="1:12" ht="12" customHeight="1" x14ac:dyDescent="0.3">
      <c r="A899" s="2394" t="s">
        <v>3711</v>
      </c>
      <c r="B899" s="2395" t="s">
        <v>3712</v>
      </c>
      <c r="C899" s="2406">
        <v>0</v>
      </c>
      <c r="D899" s="2396"/>
      <c r="E899" s="2406">
        <v>0</v>
      </c>
      <c r="F899" s="2406">
        <v>0</v>
      </c>
      <c r="G899" s="2430">
        <v>0</v>
      </c>
      <c r="H899" s="2407">
        <v>0</v>
      </c>
      <c r="I899" s="2408"/>
      <c r="J899" s="2408"/>
      <c r="K899" s="2671" t="s">
        <v>6517</v>
      </c>
      <c r="L899" s="2409"/>
    </row>
    <row r="900" spans="1:12" ht="12" customHeight="1" x14ac:dyDescent="0.3">
      <c r="A900" s="2394" t="s">
        <v>3713</v>
      </c>
      <c r="B900" s="2395" t="s">
        <v>3714</v>
      </c>
      <c r="C900" s="2406">
        <v>0</v>
      </c>
      <c r="D900" s="2396"/>
      <c r="E900" s="2406">
        <v>0</v>
      </c>
      <c r="F900" s="2406">
        <v>0</v>
      </c>
      <c r="G900" s="2430">
        <v>0</v>
      </c>
      <c r="H900" s="2407">
        <v>0</v>
      </c>
      <c r="I900" s="2408"/>
      <c r="J900" s="2408"/>
      <c r="K900" s="2671" t="s">
        <v>6536</v>
      </c>
      <c r="L900" s="2409"/>
    </row>
    <row r="901" spans="1:12" ht="12.75" customHeight="1" x14ac:dyDescent="0.3">
      <c r="A901" s="2394" t="s">
        <v>3715</v>
      </c>
      <c r="B901" s="2395" t="s">
        <v>3716</v>
      </c>
      <c r="C901" s="2406">
        <v>0</v>
      </c>
      <c r="D901" s="2396"/>
      <c r="E901" s="2406">
        <v>0</v>
      </c>
      <c r="F901" s="2406">
        <v>0</v>
      </c>
      <c r="G901" s="2430">
        <v>0</v>
      </c>
      <c r="H901" s="2407">
        <v>0</v>
      </c>
      <c r="I901" s="2408"/>
      <c r="J901" s="2408"/>
      <c r="K901" s="2671" t="s">
        <v>6517</v>
      </c>
      <c r="L901" s="2409"/>
    </row>
    <row r="902" spans="1:12" ht="12" customHeight="1" x14ac:dyDescent="0.3">
      <c r="A902" s="2394" t="s">
        <v>3717</v>
      </c>
      <c r="B902" s="2395" t="s">
        <v>3718</v>
      </c>
      <c r="C902" s="2406">
        <v>0</v>
      </c>
      <c r="D902" s="2396"/>
      <c r="E902" s="2406">
        <v>0</v>
      </c>
      <c r="F902" s="2406">
        <v>0</v>
      </c>
      <c r="G902" s="2430">
        <v>0</v>
      </c>
      <c r="H902" s="2407">
        <v>0</v>
      </c>
      <c r="I902" s="2408"/>
      <c r="J902" s="2408"/>
      <c r="K902" s="2671" t="s">
        <v>6516</v>
      </c>
      <c r="L902" s="2409"/>
    </row>
    <row r="903" spans="1:12" ht="12" customHeight="1" x14ac:dyDescent="0.3">
      <c r="A903" s="2394" t="s">
        <v>3719</v>
      </c>
      <c r="B903" s="2395" t="s">
        <v>3720</v>
      </c>
      <c r="C903" s="2406">
        <v>0</v>
      </c>
      <c r="D903" s="2396"/>
      <c r="E903" s="2406">
        <v>0</v>
      </c>
      <c r="F903" s="2406">
        <v>0</v>
      </c>
      <c r="G903" s="2430">
        <v>0</v>
      </c>
      <c r="H903" s="2407">
        <v>0</v>
      </c>
      <c r="I903" s="2408"/>
      <c r="J903" s="2408"/>
      <c r="K903" s="2671" t="s">
        <v>6515</v>
      </c>
      <c r="L903" s="2409"/>
    </row>
    <row r="904" spans="1:12" ht="12" customHeight="1" x14ac:dyDescent="0.3">
      <c r="A904" s="2394" t="s">
        <v>3721</v>
      </c>
      <c r="B904" s="2395" t="s">
        <v>675</v>
      </c>
      <c r="C904" s="2406">
        <v>0</v>
      </c>
      <c r="D904" s="2396"/>
      <c r="E904" s="2406">
        <v>0</v>
      </c>
      <c r="F904" s="2406">
        <v>0</v>
      </c>
      <c r="G904" s="2430">
        <v>0</v>
      </c>
      <c r="H904" s="2407">
        <v>0</v>
      </c>
      <c r="I904" s="2408"/>
      <c r="J904" s="2408"/>
      <c r="K904" s="2671" t="s">
        <v>6535</v>
      </c>
      <c r="L904" s="2409"/>
    </row>
    <row r="905" spans="1:12" ht="12" customHeight="1" x14ac:dyDescent="0.3">
      <c r="A905" s="2394" t="s">
        <v>3722</v>
      </c>
      <c r="B905" s="2395" t="s">
        <v>3723</v>
      </c>
      <c r="C905" s="2406">
        <v>0</v>
      </c>
      <c r="D905" s="2396"/>
      <c r="E905" s="2406">
        <v>0</v>
      </c>
      <c r="F905" s="2406">
        <v>0</v>
      </c>
      <c r="G905" s="2430">
        <v>0</v>
      </c>
      <c r="H905" s="2407">
        <v>0</v>
      </c>
      <c r="I905" s="2408"/>
      <c r="J905" s="2408"/>
      <c r="K905" s="2671" t="s">
        <v>6523</v>
      </c>
      <c r="L905" s="2409"/>
    </row>
    <row r="906" spans="1:12" ht="12" customHeight="1" x14ac:dyDescent="0.3">
      <c r="A906" s="2394" t="s">
        <v>3724</v>
      </c>
      <c r="B906" s="2395" t="s">
        <v>3249</v>
      </c>
      <c r="C906" s="2406">
        <v>0</v>
      </c>
      <c r="D906" s="2396"/>
      <c r="E906" s="2406">
        <v>0</v>
      </c>
      <c r="F906" s="2406">
        <v>0</v>
      </c>
      <c r="G906" s="2430">
        <v>0</v>
      </c>
      <c r="H906" s="2407">
        <v>0</v>
      </c>
      <c r="I906" s="2408"/>
      <c r="J906" s="2408"/>
      <c r="K906" s="2671" t="s">
        <v>6520</v>
      </c>
      <c r="L906" s="2409"/>
    </row>
    <row r="907" spans="1:12" ht="12" customHeight="1" x14ac:dyDescent="0.3">
      <c r="A907" s="2394" t="s">
        <v>3725</v>
      </c>
      <c r="B907" s="2395" t="s">
        <v>350</v>
      </c>
      <c r="C907" s="2406">
        <v>0</v>
      </c>
      <c r="D907" s="2396"/>
      <c r="E907" s="2406">
        <v>0</v>
      </c>
      <c r="F907" s="2406">
        <v>0</v>
      </c>
      <c r="G907" s="2430">
        <v>0</v>
      </c>
      <c r="H907" s="2407">
        <v>0</v>
      </c>
      <c r="I907" s="2408"/>
      <c r="J907" s="2408"/>
      <c r="K907" s="2671" t="s">
        <v>6536</v>
      </c>
      <c r="L907" s="2409"/>
    </row>
    <row r="908" spans="1:12" ht="12" customHeight="1" x14ac:dyDescent="0.3">
      <c r="A908" s="2394" t="s">
        <v>3726</v>
      </c>
      <c r="B908" s="2395" t="s">
        <v>3727</v>
      </c>
      <c r="C908" s="2406">
        <v>0</v>
      </c>
      <c r="D908" s="2396"/>
      <c r="E908" s="2406">
        <v>0</v>
      </c>
      <c r="F908" s="2406">
        <v>0</v>
      </c>
      <c r="G908" s="2430">
        <v>0</v>
      </c>
      <c r="H908" s="2407">
        <v>0</v>
      </c>
      <c r="I908" s="2408"/>
      <c r="J908" s="2408"/>
      <c r="K908" s="2671"/>
      <c r="L908" s="2409"/>
    </row>
    <row r="909" spans="1:12" ht="12.75" customHeight="1" x14ac:dyDescent="0.3">
      <c r="A909" s="2394" t="s">
        <v>3728</v>
      </c>
      <c r="B909" s="2395" t="s">
        <v>3729</v>
      </c>
      <c r="C909" s="2406">
        <v>0</v>
      </c>
      <c r="D909" s="2396"/>
      <c r="E909" s="2406">
        <v>0</v>
      </c>
      <c r="F909" s="2406">
        <v>0</v>
      </c>
      <c r="G909" s="2430">
        <v>0</v>
      </c>
      <c r="H909" s="2407">
        <v>0</v>
      </c>
      <c r="I909" s="2408"/>
      <c r="J909" s="2408"/>
      <c r="K909" s="2671" t="s">
        <v>6515</v>
      </c>
      <c r="L909" s="2409"/>
    </row>
    <row r="910" spans="1:12" ht="12" customHeight="1" x14ac:dyDescent="0.3">
      <c r="A910" s="2394" t="s">
        <v>3730</v>
      </c>
      <c r="B910" s="2395" t="s">
        <v>3731</v>
      </c>
      <c r="C910" s="2406">
        <v>0</v>
      </c>
      <c r="D910" s="2396"/>
      <c r="E910" s="2406">
        <v>0</v>
      </c>
      <c r="F910" s="2406">
        <v>0</v>
      </c>
      <c r="G910" s="2430">
        <v>0</v>
      </c>
      <c r="H910" s="2407">
        <v>0</v>
      </c>
      <c r="I910" s="2408"/>
      <c r="J910" s="2408"/>
      <c r="K910" s="2671" t="s">
        <v>6516</v>
      </c>
      <c r="L910" s="2409"/>
    </row>
    <row r="911" spans="1:12" ht="12" customHeight="1" x14ac:dyDescent="0.3">
      <c r="A911" s="2394" t="s">
        <v>3732</v>
      </c>
      <c r="B911" s="2395" t="s">
        <v>3733</v>
      </c>
      <c r="C911" s="2406">
        <v>0</v>
      </c>
      <c r="D911" s="2396"/>
      <c r="E911" s="2406">
        <v>0</v>
      </c>
      <c r="F911" s="2406">
        <v>0</v>
      </c>
      <c r="G911" s="2430">
        <v>0</v>
      </c>
      <c r="H911" s="2407">
        <v>0</v>
      </c>
      <c r="I911" s="2408"/>
      <c r="J911" s="2408"/>
      <c r="K911" s="2671" t="s">
        <v>6518</v>
      </c>
      <c r="L911" s="2409"/>
    </row>
    <row r="912" spans="1:12" ht="12.75" customHeight="1" x14ac:dyDescent="0.3">
      <c r="A912" s="2394" t="s">
        <v>3734</v>
      </c>
      <c r="B912" s="2395" t="s">
        <v>3735</v>
      </c>
      <c r="C912" s="2406">
        <v>0</v>
      </c>
      <c r="D912" s="2396"/>
      <c r="E912" s="2406">
        <v>0</v>
      </c>
      <c r="F912" s="2406">
        <v>0</v>
      </c>
      <c r="G912" s="2430">
        <v>0</v>
      </c>
      <c r="H912" s="2407">
        <v>0</v>
      </c>
      <c r="I912" s="2408"/>
      <c r="J912" s="2408"/>
      <c r="K912" s="2671" t="s">
        <v>6521</v>
      </c>
      <c r="L912" s="2409"/>
    </row>
    <row r="913" spans="1:12" ht="12" customHeight="1" x14ac:dyDescent="0.3">
      <c r="A913" s="2394" t="s">
        <v>3736</v>
      </c>
      <c r="B913" s="2395" t="s">
        <v>3737</v>
      </c>
      <c r="C913" s="2406">
        <v>0</v>
      </c>
      <c r="D913" s="2396"/>
      <c r="E913" s="2406">
        <v>0</v>
      </c>
      <c r="F913" s="2406">
        <v>0</v>
      </c>
      <c r="G913" s="2430">
        <v>0</v>
      </c>
      <c r="H913" s="2407">
        <v>0</v>
      </c>
      <c r="I913" s="2408"/>
      <c r="J913" s="2408"/>
      <c r="K913" s="2671" t="s">
        <v>6520</v>
      </c>
      <c r="L913" s="2409"/>
    </row>
    <row r="914" spans="1:12" ht="12" customHeight="1" x14ac:dyDescent="0.3">
      <c r="A914" s="2394" t="s">
        <v>3738</v>
      </c>
      <c r="B914" s="2395" t="s">
        <v>3739</v>
      </c>
      <c r="C914" s="2406">
        <v>0</v>
      </c>
      <c r="D914" s="2396"/>
      <c r="E914" s="2406">
        <v>0</v>
      </c>
      <c r="F914" s="2406">
        <v>0</v>
      </c>
      <c r="G914" s="2430">
        <v>0</v>
      </c>
      <c r="H914" s="2407">
        <v>0</v>
      </c>
      <c r="I914" s="2408"/>
      <c r="J914" s="2408"/>
      <c r="K914" s="2671" t="s">
        <v>6518</v>
      </c>
      <c r="L914" s="2409"/>
    </row>
    <row r="915" spans="1:12" ht="12" customHeight="1" x14ac:dyDescent="0.3">
      <c r="A915" s="2394" t="s">
        <v>3740</v>
      </c>
      <c r="B915" s="2395" t="s">
        <v>3741</v>
      </c>
      <c r="C915" s="2406">
        <v>0</v>
      </c>
      <c r="D915" s="2396"/>
      <c r="E915" s="2406">
        <v>0</v>
      </c>
      <c r="F915" s="2406">
        <v>0</v>
      </c>
      <c r="G915" s="2430">
        <v>0</v>
      </c>
      <c r="H915" s="2407">
        <v>0</v>
      </c>
      <c r="I915" s="2408"/>
      <c r="J915" s="2408"/>
      <c r="K915" s="2671" t="s">
        <v>6536</v>
      </c>
      <c r="L915" s="2409"/>
    </row>
    <row r="916" spans="1:12" ht="12" customHeight="1" x14ac:dyDescent="0.3">
      <c r="A916" s="2394" t="s">
        <v>3742</v>
      </c>
      <c r="B916" s="2395" t="s">
        <v>350</v>
      </c>
      <c r="C916" s="2406">
        <v>0</v>
      </c>
      <c r="D916" s="2396"/>
      <c r="E916" s="2406">
        <v>0</v>
      </c>
      <c r="F916" s="2406">
        <v>0</v>
      </c>
      <c r="G916" s="2430">
        <v>0</v>
      </c>
      <c r="H916" s="2407">
        <v>0</v>
      </c>
      <c r="I916" s="2408"/>
      <c r="J916" s="2408"/>
      <c r="K916" s="2671" t="s">
        <v>6536</v>
      </c>
      <c r="L916" s="2409"/>
    </row>
    <row r="917" spans="1:12" ht="12" customHeight="1" x14ac:dyDescent="0.3">
      <c r="A917" s="2394" t="s">
        <v>3743</v>
      </c>
      <c r="B917" s="2395" t="s">
        <v>3744</v>
      </c>
      <c r="C917" s="2406">
        <v>0</v>
      </c>
      <c r="D917" s="2396"/>
      <c r="E917" s="2406">
        <v>0</v>
      </c>
      <c r="F917" s="2406">
        <v>0</v>
      </c>
      <c r="G917" s="2430">
        <v>0</v>
      </c>
      <c r="H917" s="2407">
        <v>0</v>
      </c>
      <c r="I917" s="2408"/>
      <c r="J917" s="2408"/>
      <c r="K917" s="2671" t="s">
        <v>6536</v>
      </c>
      <c r="L917" s="2409"/>
    </row>
    <row r="918" spans="1:12" ht="12.75" customHeight="1" x14ac:dyDescent="0.3">
      <c r="A918" s="2394" t="s">
        <v>3745</v>
      </c>
      <c r="B918" s="2395" t="s">
        <v>3746</v>
      </c>
      <c r="C918" s="2406">
        <v>0</v>
      </c>
      <c r="D918" s="2396"/>
      <c r="E918" s="2406">
        <v>0</v>
      </c>
      <c r="F918" s="2406">
        <v>0</v>
      </c>
      <c r="G918" s="2430">
        <v>0</v>
      </c>
      <c r="H918" s="2407">
        <v>0</v>
      </c>
      <c r="I918" s="2408"/>
      <c r="J918" s="2408"/>
      <c r="K918" s="2671" t="s">
        <v>6536</v>
      </c>
      <c r="L918" s="2409"/>
    </row>
    <row r="919" spans="1:12" ht="12" customHeight="1" x14ac:dyDescent="0.3">
      <c r="A919" s="2394" t="s">
        <v>3747</v>
      </c>
      <c r="B919" s="2395" t="s">
        <v>3748</v>
      </c>
      <c r="C919" s="2406">
        <v>0</v>
      </c>
      <c r="D919" s="2396"/>
      <c r="E919" s="2406">
        <v>0</v>
      </c>
      <c r="F919" s="2406">
        <v>0</v>
      </c>
      <c r="G919" s="2430">
        <v>0</v>
      </c>
      <c r="H919" s="2407">
        <v>0</v>
      </c>
      <c r="I919" s="2408"/>
      <c r="J919" s="2408"/>
      <c r="K919" s="2671" t="s">
        <v>6536</v>
      </c>
      <c r="L919" s="2409"/>
    </row>
    <row r="920" spans="1:12" ht="12" customHeight="1" x14ac:dyDescent="0.3">
      <c r="A920" s="2394" t="s">
        <v>3749</v>
      </c>
      <c r="B920" s="2395" t="s">
        <v>3750</v>
      </c>
      <c r="C920" s="2406">
        <v>0</v>
      </c>
      <c r="D920" s="2396"/>
      <c r="E920" s="2406">
        <v>0</v>
      </c>
      <c r="F920" s="2406">
        <v>0</v>
      </c>
      <c r="G920" s="2430">
        <v>0</v>
      </c>
      <c r="H920" s="2407">
        <v>0</v>
      </c>
      <c r="I920" s="2408"/>
      <c r="J920" s="2408"/>
      <c r="K920" s="2671" t="s">
        <v>6537</v>
      </c>
      <c r="L920" s="2409"/>
    </row>
    <row r="921" spans="1:12" ht="12" customHeight="1" x14ac:dyDescent="0.3">
      <c r="A921" s="2394" t="s">
        <v>3751</v>
      </c>
      <c r="B921" s="2395" t="s">
        <v>3752</v>
      </c>
      <c r="C921" s="2406">
        <v>0</v>
      </c>
      <c r="D921" s="2396"/>
      <c r="E921" s="2406">
        <v>0</v>
      </c>
      <c r="F921" s="2406">
        <v>0</v>
      </c>
      <c r="G921" s="2430">
        <v>0</v>
      </c>
      <c r="H921" s="2407">
        <v>0</v>
      </c>
      <c r="I921" s="2408"/>
      <c r="J921" s="2408"/>
      <c r="K921" s="2671" t="s">
        <v>6538</v>
      </c>
      <c r="L921" s="2409"/>
    </row>
    <row r="922" spans="1:12" ht="12" customHeight="1" x14ac:dyDescent="0.3">
      <c r="A922" s="2394" t="s">
        <v>3753</v>
      </c>
      <c r="B922" s="2395" t="s">
        <v>3754</v>
      </c>
      <c r="C922" s="2406">
        <v>0</v>
      </c>
      <c r="D922" s="2396"/>
      <c r="E922" s="2406">
        <v>0</v>
      </c>
      <c r="F922" s="2406">
        <v>0</v>
      </c>
      <c r="G922" s="2430">
        <v>0</v>
      </c>
      <c r="H922" s="2407">
        <v>0</v>
      </c>
      <c r="I922" s="2408"/>
      <c r="J922" s="2408"/>
      <c r="K922" s="2671" t="s">
        <v>6539</v>
      </c>
      <c r="L922" s="2409"/>
    </row>
    <row r="923" spans="1:12" ht="12" customHeight="1" x14ac:dyDescent="0.3">
      <c r="A923" s="2394" t="s">
        <v>3755</v>
      </c>
      <c r="B923" s="2395" t="s">
        <v>350</v>
      </c>
      <c r="C923" s="2406">
        <v>0</v>
      </c>
      <c r="D923" s="2396"/>
      <c r="E923" s="2406">
        <v>0</v>
      </c>
      <c r="F923" s="2406">
        <v>0</v>
      </c>
      <c r="G923" s="2430">
        <v>0</v>
      </c>
      <c r="H923" s="2407">
        <v>0</v>
      </c>
      <c r="I923" s="2408"/>
      <c r="J923" s="2408"/>
      <c r="K923" s="2671" t="s">
        <v>6536</v>
      </c>
      <c r="L923" s="2409"/>
    </row>
    <row r="924" spans="1:12" ht="12" customHeight="1" x14ac:dyDescent="0.3">
      <c r="A924" s="2394" t="s">
        <v>3758</v>
      </c>
      <c r="B924" s="2395" t="s">
        <v>3599</v>
      </c>
      <c r="C924" s="2406">
        <v>0</v>
      </c>
      <c r="D924" s="2396"/>
      <c r="E924" s="2406">
        <v>0</v>
      </c>
      <c r="F924" s="2406">
        <v>0</v>
      </c>
      <c r="G924" s="2431">
        <v>0</v>
      </c>
      <c r="H924" s="2407">
        <v>0</v>
      </c>
      <c r="I924" s="2408"/>
      <c r="J924" s="2408"/>
      <c r="K924" s="2671"/>
      <c r="L924" s="2409"/>
    </row>
    <row r="925" spans="1:12" ht="12" customHeight="1" x14ac:dyDescent="0.3">
      <c r="A925" s="2394" t="s">
        <v>3759</v>
      </c>
      <c r="B925" s="2395" t="s">
        <v>3601</v>
      </c>
      <c r="C925" s="2406">
        <v>0</v>
      </c>
      <c r="D925" s="2396"/>
      <c r="E925" s="2406">
        <v>0</v>
      </c>
      <c r="F925" s="2406">
        <v>0</v>
      </c>
      <c r="G925" s="2431">
        <v>0</v>
      </c>
      <c r="H925" s="2407">
        <v>0</v>
      </c>
      <c r="I925" s="2408"/>
      <c r="J925" s="2408"/>
      <c r="K925" s="2671" t="s">
        <v>2586</v>
      </c>
      <c r="L925" s="2409"/>
    </row>
    <row r="926" spans="1:12" ht="12.75" customHeight="1" x14ac:dyDescent="0.3">
      <c r="A926" s="2394" t="s">
        <v>3760</v>
      </c>
      <c r="B926" s="2395" t="s">
        <v>3603</v>
      </c>
      <c r="C926" s="2406">
        <v>1495000</v>
      </c>
      <c r="D926" s="2396"/>
      <c r="E926" s="2406">
        <v>0</v>
      </c>
      <c r="F926" s="2406">
        <v>0</v>
      </c>
      <c r="G926" s="2431">
        <v>0</v>
      </c>
      <c r="H926" s="2407">
        <v>1495000</v>
      </c>
      <c r="I926" s="2408"/>
      <c r="J926" s="2408"/>
      <c r="K926" s="2671" t="s">
        <v>2585</v>
      </c>
      <c r="L926" s="2409"/>
    </row>
    <row r="927" spans="1:12" ht="12" customHeight="1" x14ac:dyDescent="0.3">
      <c r="A927" s="2394" t="s">
        <v>3761</v>
      </c>
      <c r="B927" s="2395" t="s">
        <v>3605</v>
      </c>
      <c r="C927" s="2406">
        <v>0</v>
      </c>
      <c r="D927" s="2396"/>
      <c r="E927" s="2406">
        <v>0</v>
      </c>
      <c r="F927" s="2406">
        <v>0</v>
      </c>
      <c r="G927" s="2431">
        <v>0</v>
      </c>
      <c r="H927" s="2407">
        <v>0</v>
      </c>
      <c r="I927" s="2408"/>
      <c r="J927" s="2408"/>
      <c r="K927" s="2671" t="s">
        <v>2586</v>
      </c>
      <c r="L927" s="2409"/>
    </row>
    <row r="928" spans="1:12" ht="12" customHeight="1" x14ac:dyDescent="0.3">
      <c r="A928" s="2394" t="s">
        <v>3762</v>
      </c>
      <c r="B928" s="2395" t="s">
        <v>3607</v>
      </c>
      <c r="C928" s="2406">
        <v>3030000</v>
      </c>
      <c r="D928" s="2396"/>
      <c r="E928" s="2406">
        <v>0</v>
      </c>
      <c r="F928" s="2406">
        <v>0</v>
      </c>
      <c r="G928" s="2431">
        <v>0</v>
      </c>
      <c r="H928" s="2407">
        <v>3030000</v>
      </c>
      <c r="I928" s="2408"/>
      <c r="J928" s="2408"/>
      <c r="K928" s="2671" t="s">
        <v>2585</v>
      </c>
      <c r="L928" s="2409"/>
    </row>
    <row r="929" spans="1:12" ht="12" customHeight="1" x14ac:dyDescent="0.3">
      <c r="A929" s="2394" t="s">
        <v>3763</v>
      </c>
      <c r="B929" s="2395" t="s">
        <v>3609</v>
      </c>
      <c r="C929" s="2406">
        <v>0</v>
      </c>
      <c r="D929" s="2396"/>
      <c r="E929" s="2406">
        <v>0</v>
      </c>
      <c r="F929" s="2406">
        <v>0</v>
      </c>
      <c r="G929" s="2431">
        <v>0</v>
      </c>
      <c r="H929" s="2407">
        <v>0</v>
      </c>
      <c r="I929" s="2408"/>
      <c r="J929" s="2408"/>
      <c r="K929" s="2671" t="s">
        <v>6505</v>
      </c>
      <c r="L929" s="2409"/>
    </row>
    <row r="930" spans="1:12" ht="12" customHeight="1" x14ac:dyDescent="0.3">
      <c r="A930" s="2394" t="s">
        <v>3764</v>
      </c>
      <c r="B930" s="2395" t="s">
        <v>3611</v>
      </c>
      <c r="C930" s="2406">
        <v>3440000</v>
      </c>
      <c r="D930" s="2396"/>
      <c r="E930" s="2406">
        <v>0</v>
      </c>
      <c r="F930" s="2406">
        <v>0</v>
      </c>
      <c r="G930" s="2431">
        <v>0</v>
      </c>
      <c r="H930" s="2407">
        <v>3440000</v>
      </c>
      <c r="I930" s="2408"/>
      <c r="J930" s="2408"/>
      <c r="K930" s="2671" t="s">
        <v>6505</v>
      </c>
      <c r="L930" s="2409"/>
    </row>
    <row r="931" spans="1:12" ht="12" customHeight="1" x14ac:dyDescent="0.3">
      <c r="A931" s="2394" t="s">
        <v>3765</v>
      </c>
      <c r="B931" s="2395" t="s">
        <v>3613</v>
      </c>
      <c r="C931" s="2406">
        <v>0</v>
      </c>
      <c r="D931" s="2396"/>
      <c r="E931" s="2406">
        <v>0</v>
      </c>
      <c r="F931" s="2406">
        <v>0</v>
      </c>
      <c r="G931" s="2431">
        <v>0</v>
      </c>
      <c r="H931" s="2407">
        <v>0</v>
      </c>
      <c r="I931" s="2408"/>
      <c r="J931" s="2408"/>
      <c r="K931" s="2671" t="s">
        <v>2586</v>
      </c>
      <c r="L931" s="2409"/>
    </row>
    <row r="932" spans="1:12" ht="12" customHeight="1" x14ac:dyDescent="0.3">
      <c r="A932" s="2394" t="s">
        <v>3766</v>
      </c>
      <c r="B932" s="2395" t="s">
        <v>3615</v>
      </c>
      <c r="C932" s="2406">
        <v>0</v>
      </c>
      <c r="D932" s="2396"/>
      <c r="E932" s="2406">
        <v>0</v>
      </c>
      <c r="F932" s="2406">
        <v>0</v>
      </c>
      <c r="G932" s="2431">
        <v>0</v>
      </c>
      <c r="H932" s="2407">
        <v>0</v>
      </c>
      <c r="I932" s="2408"/>
      <c r="J932" s="2408"/>
      <c r="K932" s="2671" t="s">
        <v>2586</v>
      </c>
      <c r="L932" s="2409"/>
    </row>
    <row r="933" spans="1:12" ht="12" customHeight="1" x14ac:dyDescent="0.3">
      <c r="A933" s="2394" t="s">
        <v>3767</v>
      </c>
      <c r="B933" s="2395" t="s">
        <v>3617</v>
      </c>
      <c r="C933" s="2406">
        <v>665000</v>
      </c>
      <c r="D933" s="2396"/>
      <c r="E933" s="2406">
        <v>0</v>
      </c>
      <c r="F933" s="2406">
        <v>0</v>
      </c>
      <c r="G933" s="2431">
        <v>0</v>
      </c>
      <c r="H933" s="2407">
        <v>665000</v>
      </c>
      <c r="I933" s="2408"/>
      <c r="J933" s="2408"/>
      <c r="K933" s="2671" t="s">
        <v>2586</v>
      </c>
      <c r="L933" s="2409"/>
    </row>
    <row r="934" spans="1:12" ht="12.75" customHeight="1" x14ac:dyDescent="0.3">
      <c r="A934" s="2394" t="s">
        <v>3768</v>
      </c>
      <c r="B934" s="2395" t="s">
        <v>3619</v>
      </c>
      <c r="C934" s="2406">
        <v>0</v>
      </c>
      <c r="D934" s="2396"/>
      <c r="E934" s="2406">
        <v>0</v>
      </c>
      <c r="F934" s="2406">
        <v>0</v>
      </c>
      <c r="G934" s="2431">
        <v>0</v>
      </c>
      <c r="H934" s="2407">
        <v>0</v>
      </c>
      <c r="I934" s="2408"/>
      <c r="J934" s="2408"/>
      <c r="K934" s="2672"/>
      <c r="L934" s="2409"/>
    </row>
    <row r="935" spans="1:12" ht="12" customHeight="1" x14ac:dyDescent="0.3">
      <c r="A935" s="2394" t="s">
        <v>3769</v>
      </c>
      <c r="B935" s="2395" t="s">
        <v>3621</v>
      </c>
      <c r="C935" s="2406">
        <v>0</v>
      </c>
      <c r="D935" s="2396"/>
      <c r="E935" s="2406">
        <v>0</v>
      </c>
      <c r="F935" s="2406">
        <v>0</v>
      </c>
      <c r="G935" s="2431">
        <v>0</v>
      </c>
      <c r="H935" s="2407">
        <v>0</v>
      </c>
      <c r="I935" s="2408"/>
      <c r="J935" s="2408"/>
      <c r="K935" s="2672" t="s">
        <v>6506</v>
      </c>
      <c r="L935" s="2409"/>
    </row>
    <row r="936" spans="1:12" ht="12" customHeight="1" x14ac:dyDescent="0.3">
      <c r="A936" s="2394" t="s">
        <v>3770</v>
      </c>
      <c r="B936" s="2395" t="s">
        <v>3623</v>
      </c>
      <c r="C936" s="2406">
        <v>0</v>
      </c>
      <c r="D936" s="2396"/>
      <c r="E936" s="2406">
        <v>0</v>
      </c>
      <c r="F936" s="2406">
        <v>0</v>
      </c>
      <c r="G936" s="2431">
        <v>0</v>
      </c>
      <c r="H936" s="2407">
        <v>0</v>
      </c>
      <c r="I936" s="2408"/>
      <c r="J936" s="2408"/>
      <c r="K936" s="2671" t="s">
        <v>6507</v>
      </c>
      <c r="L936" s="2409"/>
    </row>
    <row r="937" spans="1:12" ht="12" customHeight="1" x14ac:dyDescent="0.3">
      <c r="A937" s="2394" t="s">
        <v>3771</v>
      </c>
      <c r="B937" s="2395" t="s">
        <v>3625</v>
      </c>
      <c r="C937" s="2406">
        <v>0</v>
      </c>
      <c r="D937" s="2396"/>
      <c r="E937" s="2406">
        <v>0</v>
      </c>
      <c r="F937" s="2406">
        <v>0</v>
      </c>
      <c r="G937" s="2431">
        <v>0</v>
      </c>
      <c r="H937" s="2407">
        <v>0</v>
      </c>
      <c r="I937" s="2408"/>
      <c r="J937" s="2408"/>
      <c r="K937" s="2671" t="s">
        <v>6508</v>
      </c>
      <c r="L937" s="2409"/>
    </row>
    <row r="938" spans="1:12" ht="12" customHeight="1" x14ac:dyDescent="0.3">
      <c r="A938" s="2394" t="s">
        <v>3772</v>
      </c>
      <c r="B938" s="2395" t="s">
        <v>3627</v>
      </c>
      <c r="C938" s="2406">
        <v>0</v>
      </c>
      <c r="D938" s="2396"/>
      <c r="E938" s="2406">
        <v>0</v>
      </c>
      <c r="F938" s="2406">
        <v>0</v>
      </c>
      <c r="G938" s="2431">
        <v>0</v>
      </c>
      <c r="H938" s="2407">
        <v>0</v>
      </c>
      <c r="I938" s="2408"/>
      <c r="J938" s="2408"/>
      <c r="K938" s="2671" t="s">
        <v>6509</v>
      </c>
      <c r="L938" s="2409"/>
    </row>
    <row r="939" spans="1:12" ht="12" customHeight="1" x14ac:dyDescent="0.3">
      <c r="A939" s="2394" t="s">
        <v>3773</v>
      </c>
      <c r="B939" s="2395" t="s">
        <v>3629</v>
      </c>
      <c r="C939" s="2406">
        <v>0</v>
      </c>
      <c r="D939" s="2396"/>
      <c r="E939" s="2406">
        <v>0</v>
      </c>
      <c r="F939" s="2406">
        <v>0</v>
      </c>
      <c r="G939" s="2431">
        <v>0</v>
      </c>
      <c r="H939" s="2407">
        <v>0</v>
      </c>
      <c r="I939" s="2408"/>
      <c r="J939" s="2408"/>
      <c r="K939" s="2671" t="s">
        <v>6510</v>
      </c>
      <c r="L939" s="2409"/>
    </row>
    <row r="940" spans="1:12" ht="12" customHeight="1" x14ac:dyDescent="0.3">
      <c r="A940" s="2394" t="s">
        <v>3774</v>
      </c>
      <c r="B940" s="2395" t="s">
        <v>3631</v>
      </c>
      <c r="C940" s="2406">
        <v>0</v>
      </c>
      <c r="D940" s="2396"/>
      <c r="E940" s="2406">
        <v>0</v>
      </c>
      <c r="F940" s="2406">
        <v>0</v>
      </c>
      <c r="G940" s="2431">
        <v>0</v>
      </c>
      <c r="H940" s="2407">
        <v>0</v>
      </c>
      <c r="I940" s="2408"/>
      <c r="J940" s="2408"/>
      <c r="K940" s="2671" t="s">
        <v>6511</v>
      </c>
      <c r="L940" s="2409"/>
    </row>
    <row r="941" spans="1:12" ht="12" customHeight="1" x14ac:dyDescent="0.3">
      <c r="A941" s="2394" t="s">
        <v>3775</v>
      </c>
      <c r="B941" s="2395" t="s">
        <v>3633</v>
      </c>
      <c r="C941" s="2406">
        <v>0</v>
      </c>
      <c r="D941" s="2396"/>
      <c r="E941" s="2406">
        <v>0</v>
      </c>
      <c r="F941" s="2406">
        <v>0</v>
      </c>
      <c r="G941" s="2431">
        <v>0</v>
      </c>
      <c r="H941" s="2407">
        <v>0</v>
      </c>
      <c r="I941" s="2408"/>
      <c r="J941" s="2408"/>
      <c r="K941" s="2671" t="s">
        <v>6512</v>
      </c>
      <c r="L941" s="2409"/>
    </row>
    <row r="942" spans="1:12" ht="12.75" customHeight="1" x14ac:dyDescent="0.3">
      <c r="A942" s="2432" t="s">
        <v>3776</v>
      </c>
      <c r="B942" s="2433" t="s">
        <v>3635</v>
      </c>
      <c r="C942" s="2406">
        <v>0</v>
      </c>
      <c r="D942" s="2396"/>
      <c r="E942" s="2406">
        <v>0</v>
      </c>
      <c r="F942" s="2406">
        <v>0</v>
      </c>
      <c r="G942" s="2431">
        <v>0</v>
      </c>
      <c r="H942" s="2407">
        <v>0</v>
      </c>
      <c r="I942" s="2408"/>
      <c r="J942" s="2408"/>
      <c r="K942" s="2671" t="s">
        <v>6513</v>
      </c>
      <c r="L942" s="2409"/>
    </row>
    <row r="943" spans="1:12" ht="12" customHeight="1" x14ac:dyDescent="0.3">
      <c r="A943" s="2394" t="s">
        <v>3777</v>
      </c>
      <c r="B943" s="2395" t="s">
        <v>3637</v>
      </c>
      <c r="C943" s="2406">
        <v>0</v>
      </c>
      <c r="D943" s="2396"/>
      <c r="E943" s="2406">
        <v>0</v>
      </c>
      <c r="F943" s="2406">
        <v>0</v>
      </c>
      <c r="G943" s="2431">
        <v>0</v>
      </c>
      <c r="H943" s="2407">
        <v>0</v>
      </c>
      <c r="I943" s="2408"/>
      <c r="J943" s="2408"/>
      <c r="K943" s="2671" t="s">
        <v>6514</v>
      </c>
      <c r="L943" s="2409"/>
    </row>
    <row r="944" spans="1:12" ht="12" customHeight="1" x14ac:dyDescent="0.3">
      <c r="A944" s="2394" t="s">
        <v>3778</v>
      </c>
      <c r="B944" s="2395" t="s">
        <v>334</v>
      </c>
      <c r="C944" s="2406">
        <v>0</v>
      </c>
      <c r="D944" s="2396"/>
      <c r="E944" s="2406">
        <v>0</v>
      </c>
      <c r="F944" s="2406">
        <v>0</v>
      </c>
      <c r="G944" s="2431">
        <v>0</v>
      </c>
      <c r="H944" s="2407">
        <v>0</v>
      </c>
      <c r="I944" s="2408"/>
      <c r="J944" s="2408"/>
      <c r="K944" s="2671"/>
      <c r="L944" s="2409"/>
    </row>
    <row r="945" spans="1:12" ht="12" customHeight="1" x14ac:dyDescent="0.3">
      <c r="A945" s="2394" t="s">
        <v>3779</v>
      </c>
      <c r="B945" s="2395" t="s">
        <v>3640</v>
      </c>
      <c r="C945" s="2406">
        <v>510000</v>
      </c>
      <c r="D945" s="2396"/>
      <c r="E945" s="2406">
        <v>0</v>
      </c>
      <c r="F945" s="2406">
        <v>0</v>
      </c>
      <c r="G945" s="2431">
        <v>0</v>
      </c>
      <c r="H945" s="2407">
        <v>510000</v>
      </c>
      <c r="I945" s="2408"/>
      <c r="J945" s="2408"/>
      <c r="K945" s="2671" t="s">
        <v>6515</v>
      </c>
      <c r="L945" s="2409"/>
    </row>
    <row r="946" spans="1:12" ht="12" customHeight="1" x14ac:dyDescent="0.3">
      <c r="A946" s="2394" t="s">
        <v>3780</v>
      </c>
      <c r="B946" s="2395" t="s">
        <v>3642</v>
      </c>
      <c r="C946" s="2406">
        <v>0</v>
      </c>
      <c r="D946" s="2396"/>
      <c r="E946" s="2406">
        <v>0</v>
      </c>
      <c r="F946" s="2406">
        <v>0</v>
      </c>
      <c r="G946" s="2431">
        <v>0</v>
      </c>
      <c r="H946" s="2407">
        <v>0</v>
      </c>
      <c r="I946" s="2408"/>
      <c r="J946" s="2408"/>
      <c r="K946" s="2671" t="s">
        <v>6515</v>
      </c>
      <c r="L946" s="2409"/>
    </row>
    <row r="947" spans="1:12" ht="12" customHeight="1" x14ac:dyDescent="0.3">
      <c r="A947" s="2394" t="s">
        <v>3781</v>
      </c>
      <c r="B947" s="2395" t="s">
        <v>3644</v>
      </c>
      <c r="C947" s="2406">
        <v>1900000</v>
      </c>
      <c r="D947" s="2396"/>
      <c r="E947" s="2406">
        <v>0</v>
      </c>
      <c r="F947" s="2406">
        <v>0</v>
      </c>
      <c r="G947" s="2431">
        <v>0</v>
      </c>
      <c r="H947" s="2407">
        <v>1900000</v>
      </c>
      <c r="I947" s="2408"/>
      <c r="J947" s="2408"/>
      <c r="K947" s="2671" t="s">
        <v>6515</v>
      </c>
      <c r="L947" s="2409"/>
    </row>
    <row r="948" spans="1:12" ht="12" customHeight="1" x14ac:dyDescent="0.3">
      <c r="A948" s="2394" t="s">
        <v>3782</v>
      </c>
      <c r="B948" s="2395" t="s">
        <v>3646</v>
      </c>
      <c r="C948" s="2406">
        <v>2194300</v>
      </c>
      <c r="D948" s="2396"/>
      <c r="E948" s="2406">
        <v>0</v>
      </c>
      <c r="F948" s="2406">
        <v>0</v>
      </c>
      <c r="G948" s="2431">
        <v>0</v>
      </c>
      <c r="H948" s="2407">
        <v>2194300</v>
      </c>
      <c r="I948" s="2408"/>
      <c r="J948" s="2408"/>
      <c r="K948" s="2671" t="s">
        <v>6515</v>
      </c>
      <c r="L948" s="2409"/>
    </row>
    <row r="949" spans="1:12" ht="12" customHeight="1" x14ac:dyDescent="0.3">
      <c r="A949" s="2394" t="s">
        <v>3783</v>
      </c>
      <c r="B949" s="2395" t="s">
        <v>3648</v>
      </c>
      <c r="C949" s="2406">
        <v>4258500</v>
      </c>
      <c r="D949" s="2396"/>
      <c r="E949" s="2406">
        <v>459500</v>
      </c>
      <c r="F949" s="2406">
        <v>0</v>
      </c>
      <c r="G949" s="2431">
        <v>459500</v>
      </c>
      <c r="H949" s="2407">
        <v>4718000</v>
      </c>
      <c r="I949" s="2408"/>
      <c r="J949" s="2408"/>
      <c r="K949" s="2671" t="s">
        <v>6516</v>
      </c>
      <c r="L949" s="2409"/>
    </row>
    <row r="950" spans="1:12" ht="12.75" customHeight="1" x14ac:dyDescent="0.3">
      <c r="A950" s="2394" t="s">
        <v>3784</v>
      </c>
      <c r="B950" s="2395" t="s">
        <v>3650</v>
      </c>
      <c r="C950" s="2406">
        <v>7008500</v>
      </c>
      <c r="D950" s="2396"/>
      <c r="E950" s="2406">
        <v>240000</v>
      </c>
      <c r="F950" s="2406">
        <v>0</v>
      </c>
      <c r="G950" s="2431">
        <v>240000</v>
      </c>
      <c r="H950" s="2407">
        <v>7248500</v>
      </c>
      <c r="I950" s="2408"/>
      <c r="J950" s="2408"/>
      <c r="K950" s="2671" t="s">
        <v>6517</v>
      </c>
      <c r="L950" s="2409"/>
    </row>
    <row r="951" spans="1:12" ht="12" customHeight="1" x14ac:dyDescent="0.3">
      <c r="A951" s="2394" t="s">
        <v>3785</v>
      </c>
      <c r="B951" s="2395" t="s">
        <v>3652</v>
      </c>
      <c r="C951" s="2406">
        <v>1654900</v>
      </c>
      <c r="D951" s="2396"/>
      <c r="E951" s="2406">
        <v>0</v>
      </c>
      <c r="F951" s="2406">
        <v>0</v>
      </c>
      <c r="G951" s="2431">
        <v>0</v>
      </c>
      <c r="H951" s="2407">
        <v>1654900</v>
      </c>
      <c r="I951" s="2408"/>
      <c r="J951" s="2408"/>
      <c r="K951" s="2671" t="s">
        <v>6518</v>
      </c>
      <c r="L951" s="2409"/>
    </row>
    <row r="952" spans="1:12" ht="12" customHeight="1" x14ac:dyDescent="0.3">
      <c r="A952" s="2394" t="s">
        <v>3786</v>
      </c>
      <c r="B952" s="2395" t="s">
        <v>3654</v>
      </c>
      <c r="C952" s="2406">
        <v>1113900</v>
      </c>
      <c r="D952" s="2396"/>
      <c r="E952" s="2406">
        <v>0</v>
      </c>
      <c r="F952" s="2406">
        <v>0</v>
      </c>
      <c r="G952" s="2431">
        <v>0</v>
      </c>
      <c r="H952" s="2407">
        <v>1113900</v>
      </c>
      <c r="I952" s="2408"/>
      <c r="J952" s="2408"/>
      <c r="K952" s="2671" t="s">
        <v>6518</v>
      </c>
      <c r="L952" s="2409"/>
    </row>
    <row r="953" spans="1:12" ht="12" customHeight="1" x14ac:dyDescent="0.3">
      <c r="A953" s="2394" t="s">
        <v>3787</v>
      </c>
      <c r="B953" s="2395" t="s">
        <v>3656</v>
      </c>
      <c r="C953" s="2406">
        <v>0</v>
      </c>
      <c r="D953" s="2396"/>
      <c r="E953" s="2406">
        <v>0</v>
      </c>
      <c r="F953" s="2406">
        <v>0</v>
      </c>
      <c r="G953" s="2431">
        <v>0</v>
      </c>
      <c r="H953" s="2407">
        <v>0</v>
      </c>
      <c r="I953" s="2408"/>
      <c r="J953" s="2408"/>
      <c r="K953" s="2671"/>
      <c r="L953" s="2409"/>
    </row>
    <row r="954" spans="1:12" ht="12" customHeight="1" x14ac:dyDescent="0.3">
      <c r="A954" s="2394" t="s">
        <v>3788</v>
      </c>
      <c r="B954" s="2395" t="s">
        <v>3658</v>
      </c>
      <c r="C954" s="2406">
        <v>0</v>
      </c>
      <c r="D954" s="2396"/>
      <c r="E954" s="2406">
        <v>0</v>
      </c>
      <c r="F954" s="2406">
        <v>0</v>
      </c>
      <c r="G954" s="2431">
        <v>0</v>
      </c>
      <c r="H954" s="2407">
        <v>0</v>
      </c>
      <c r="I954" s="2408"/>
      <c r="J954" s="2408"/>
      <c r="K954" s="2671" t="s">
        <v>6519</v>
      </c>
      <c r="L954" s="2409"/>
    </row>
    <row r="955" spans="1:12" ht="12" customHeight="1" x14ac:dyDescent="0.3">
      <c r="A955" s="2394" t="s">
        <v>3789</v>
      </c>
      <c r="B955" s="2395" t="s">
        <v>3660</v>
      </c>
      <c r="C955" s="2406">
        <v>9140500</v>
      </c>
      <c r="D955" s="2396"/>
      <c r="E955" s="2406">
        <v>674600</v>
      </c>
      <c r="F955" s="2406">
        <v>0</v>
      </c>
      <c r="G955" s="2431">
        <v>674600</v>
      </c>
      <c r="H955" s="2407">
        <v>9815100</v>
      </c>
      <c r="I955" s="2408"/>
      <c r="J955" s="2408"/>
      <c r="K955" s="2671" t="s">
        <v>6520</v>
      </c>
      <c r="L955" s="2409"/>
    </row>
    <row r="956" spans="1:12" ht="12" customHeight="1" x14ac:dyDescent="0.3">
      <c r="A956" s="2394" t="s">
        <v>3790</v>
      </c>
      <c r="B956" s="2395" t="s">
        <v>3662</v>
      </c>
      <c r="C956" s="2406">
        <v>0</v>
      </c>
      <c r="D956" s="2396"/>
      <c r="E956" s="2406">
        <v>0</v>
      </c>
      <c r="F956" s="2406">
        <v>0</v>
      </c>
      <c r="G956" s="2431">
        <v>0</v>
      </c>
      <c r="H956" s="2407">
        <v>0</v>
      </c>
      <c r="I956" s="2408"/>
      <c r="J956" s="2408"/>
      <c r="K956" s="2671" t="s">
        <v>6521</v>
      </c>
      <c r="L956" s="2409"/>
    </row>
    <row r="957" spans="1:12" ht="12" customHeight="1" x14ac:dyDescent="0.3">
      <c r="A957" s="2394" t="s">
        <v>3791</v>
      </c>
      <c r="B957" s="2395" t="s">
        <v>3664</v>
      </c>
      <c r="C957" s="2406">
        <v>2749500</v>
      </c>
      <c r="D957" s="2396"/>
      <c r="E957" s="2406">
        <v>500000</v>
      </c>
      <c r="F957" s="2406">
        <v>0</v>
      </c>
      <c r="G957" s="2431">
        <v>500000</v>
      </c>
      <c r="H957" s="2407">
        <v>3249500</v>
      </c>
      <c r="I957" s="2408"/>
      <c r="J957" s="2408"/>
      <c r="K957" s="2671" t="s">
        <v>6522</v>
      </c>
      <c r="L957" s="2409"/>
    </row>
    <row r="958" spans="1:12" ht="12" customHeight="1" x14ac:dyDescent="0.3">
      <c r="A958" s="2394" t="s">
        <v>3792</v>
      </c>
      <c r="B958" s="2395" t="s">
        <v>3666</v>
      </c>
      <c r="C958" s="2406">
        <v>0</v>
      </c>
      <c r="D958" s="2396"/>
      <c r="E958" s="2406">
        <v>0</v>
      </c>
      <c r="F958" s="2406">
        <v>0</v>
      </c>
      <c r="G958" s="2431">
        <v>0</v>
      </c>
      <c r="H958" s="2407">
        <v>0</v>
      </c>
      <c r="I958" s="2408"/>
      <c r="J958" s="2408"/>
      <c r="K958" s="2671" t="s">
        <v>6523</v>
      </c>
      <c r="L958" s="2409"/>
    </row>
    <row r="959" spans="1:12" ht="12" customHeight="1" x14ac:dyDescent="0.3">
      <c r="A959" s="2394" t="s">
        <v>3793</v>
      </c>
      <c r="B959" s="2395" t="s">
        <v>3668</v>
      </c>
      <c r="C959" s="2406">
        <v>0</v>
      </c>
      <c r="D959" s="2396"/>
      <c r="E959" s="2406">
        <v>0</v>
      </c>
      <c r="F959" s="2406">
        <v>0</v>
      </c>
      <c r="G959" s="2431">
        <v>0</v>
      </c>
      <c r="H959" s="2407">
        <v>0</v>
      </c>
      <c r="I959" s="2408"/>
      <c r="J959" s="2408"/>
      <c r="K959" s="2671" t="s">
        <v>6524</v>
      </c>
      <c r="L959" s="2409"/>
    </row>
    <row r="960" spans="1:12" ht="12" customHeight="1" x14ac:dyDescent="0.3">
      <c r="A960" s="2394" t="s">
        <v>3794</v>
      </c>
      <c r="B960" s="2395" t="s">
        <v>350</v>
      </c>
      <c r="C960" s="2406">
        <v>0</v>
      </c>
      <c r="D960" s="2396"/>
      <c r="E960" s="2406">
        <v>0</v>
      </c>
      <c r="F960" s="2406">
        <v>0</v>
      </c>
      <c r="G960" s="2431">
        <v>0</v>
      </c>
      <c r="H960" s="2407">
        <v>0</v>
      </c>
      <c r="I960" s="2408"/>
      <c r="J960" s="2408"/>
      <c r="K960" s="2671" t="s">
        <v>6524</v>
      </c>
      <c r="L960" s="2409"/>
    </row>
    <row r="961" spans="1:12" ht="12" customHeight="1" x14ac:dyDescent="0.3">
      <c r="A961" s="2394" t="s">
        <v>3795</v>
      </c>
      <c r="B961" s="2395" t="s">
        <v>3671</v>
      </c>
      <c r="C961" s="2406">
        <v>0</v>
      </c>
      <c r="D961" s="2396"/>
      <c r="E961" s="2406">
        <v>0</v>
      </c>
      <c r="F961" s="2406">
        <v>0</v>
      </c>
      <c r="G961" s="2431">
        <v>0</v>
      </c>
      <c r="H961" s="2407">
        <v>0</v>
      </c>
      <c r="I961" s="2408"/>
      <c r="J961" s="2408"/>
      <c r="K961" s="2671"/>
      <c r="L961" s="2409"/>
    </row>
    <row r="962" spans="1:12" ht="12" customHeight="1" x14ac:dyDescent="0.3">
      <c r="A962" s="2394" t="s">
        <v>3796</v>
      </c>
      <c r="B962" s="2395" t="s">
        <v>3673</v>
      </c>
      <c r="C962" s="2406">
        <v>75000</v>
      </c>
      <c r="D962" s="2396"/>
      <c r="E962" s="2406">
        <v>2500000</v>
      </c>
      <c r="F962" s="2406">
        <v>0</v>
      </c>
      <c r="G962" s="2431">
        <v>2500000</v>
      </c>
      <c r="H962" s="2407">
        <v>2575000</v>
      </c>
      <c r="I962" s="2408"/>
      <c r="J962" s="2408"/>
      <c r="K962" s="2671" t="s">
        <v>6525</v>
      </c>
      <c r="L962" s="2409"/>
    </row>
    <row r="963" spans="1:12" ht="12" customHeight="1" x14ac:dyDescent="0.3">
      <c r="A963" s="2394" t="s">
        <v>3797</v>
      </c>
      <c r="B963" s="2395" t="s">
        <v>3675</v>
      </c>
      <c r="C963" s="2406">
        <v>2090000</v>
      </c>
      <c r="D963" s="2396"/>
      <c r="E963" s="2406">
        <v>37500</v>
      </c>
      <c r="F963" s="2406">
        <v>0</v>
      </c>
      <c r="G963" s="2431">
        <v>37500</v>
      </c>
      <c r="H963" s="2407">
        <v>2127500</v>
      </c>
      <c r="I963" s="2408"/>
      <c r="J963" s="2408"/>
      <c r="K963" s="2671" t="s">
        <v>6526</v>
      </c>
      <c r="L963" s="2409"/>
    </row>
    <row r="964" spans="1:12" ht="12" customHeight="1" x14ac:dyDescent="0.3">
      <c r="A964" s="2394" t="s">
        <v>3798</v>
      </c>
      <c r="B964" s="2395" t="s">
        <v>3677</v>
      </c>
      <c r="C964" s="2406">
        <v>0</v>
      </c>
      <c r="D964" s="2396"/>
      <c r="E964" s="2406">
        <v>0</v>
      </c>
      <c r="F964" s="2406">
        <v>0</v>
      </c>
      <c r="G964" s="2431">
        <v>0</v>
      </c>
      <c r="H964" s="2407">
        <v>0</v>
      </c>
      <c r="I964" s="2408"/>
      <c r="J964" s="2408"/>
      <c r="K964" s="2671" t="s">
        <v>6526</v>
      </c>
      <c r="L964" s="2409"/>
    </row>
    <row r="965" spans="1:12" ht="12" customHeight="1" x14ac:dyDescent="0.3">
      <c r="A965" s="2394" t="s">
        <v>3799</v>
      </c>
      <c r="B965" s="2395" t="s">
        <v>3679</v>
      </c>
      <c r="C965" s="2406">
        <v>270400</v>
      </c>
      <c r="D965" s="2396"/>
      <c r="E965" s="2406">
        <v>0</v>
      </c>
      <c r="F965" s="2406">
        <v>0</v>
      </c>
      <c r="G965" s="2431">
        <v>0</v>
      </c>
      <c r="H965" s="2407">
        <v>270400</v>
      </c>
      <c r="I965" s="2408"/>
      <c r="J965" s="2408"/>
      <c r="K965" s="2671" t="s">
        <v>6526</v>
      </c>
      <c r="L965" s="2409"/>
    </row>
    <row r="966" spans="1:12" ht="12" customHeight="1" x14ac:dyDescent="0.3">
      <c r="A966" s="2394" t="s">
        <v>3800</v>
      </c>
      <c r="B966" s="2395" t="s">
        <v>3681</v>
      </c>
      <c r="C966" s="2406">
        <v>0</v>
      </c>
      <c r="D966" s="2396"/>
      <c r="E966" s="2406">
        <v>0</v>
      </c>
      <c r="F966" s="2406">
        <v>0</v>
      </c>
      <c r="G966" s="2431">
        <v>0</v>
      </c>
      <c r="H966" s="2407">
        <v>0</v>
      </c>
      <c r="I966" s="2408"/>
      <c r="J966" s="2408"/>
      <c r="K966" s="2671" t="s">
        <v>6526</v>
      </c>
      <c r="L966" s="2409"/>
    </row>
    <row r="967" spans="1:12" ht="12" customHeight="1" x14ac:dyDescent="0.3">
      <c r="A967" s="2394" t="s">
        <v>3801</v>
      </c>
      <c r="B967" s="2395" t="s">
        <v>3683</v>
      </c>
      <c r="C967" s="2406">
        <v>0</v>
      </c>
      <c r="D967" s="2396"/>
      <c r="E967" s="2406">
        <v>0</v>
      </c>
      <c r="F967" s="2406">
        <v>0</v>
      </c>
      <c r="G967" s="2431">
        <v>0</v>
      </c>
      <c r="H967" s="2407">
        <v>0</v>
      </c>
      <c r="I967" s="2408"/>
      <c r="J967" s="2408"/>
      <c r="K967" s="2671" t="s">
        <v>6527</v>
      </c>
      <c r="L967" s="2409"/>
    </row>
    <row r="968" spans="1:12" ht="12.75" customHeight="1" x14ac:dyDescent="0.3">
      <c r="A968" s="2394" t="s">
        <v>3802</v>
      </c>
      <c r="B968" s="2395" t="s">
        <v>3685</v>
      </c>
      <c r="C968" s="2406">
        <v>80000</v>
      </c>
      <c r="D968" s="2396"/>
      <c r="E968" s="2406">
        <v>0</v>
      </c>
      <c r="F968" s="2406">
        <v>0</v>
      </c>
      <c r="G968" s="2431">
        <v>0</v>
      </c>
      <c r="H968" s="2407">
        <v>80000</v>
      </c>
      <c r="I968" s="2408"/>
      <c r="J968" s="2408"/>
      <c r="K968" s="2671" t="s">
        <v>6528</v>
      </c>
      <c r="L968" s="2409"/>
    </row>
    <row r="969" spans="1:12" ht="12" customHeight="1" x14ac:dyDescent="0.3">
      <c r="A969" s="2394" t="s">
        <v>3803</v>
      </c>
      <c r="B969" s="2395" t="s">
        <v>3687</v>
      </c>
      <c r="C969" s="2406">
        <v>0</v>
      </c>
      <c r="D969" s="2396"/>
      <c r="E969" s="2406">
        <v>0</v>
      </c>
      <c r="F969" s="2406">
        <v>0</v>
      </c>
      <c r="G969" s="2431">
        <v>0</v>
      </c>
      <c r="H969" s="2407">
        <v>0</v>
      </c>
      <c r="I969" s="2408"/>
      <c r="J969" s="2408"/>
      <c r="K969" s="2671" t="s">
        <v>6528</v>
      </c>
      <c r="L969" s="2409"/>
    </row>
    <row r="970" spans="1:12" ht="12" customHeight="1" x14ac:dyDescent="0.3">
      <c r="A970" s="2394" t="s">
        <v>3804</v>
      </c>
      <c r="B970" s="2395" t="s">
        <v>3689</v>
      </c>
      <c r="C970" s="2406">
        <v>6175000</v>
      </c>
      <c r="D970" s="2396"/>
      <c r="E970" s="2406">
        <v>0</v>
      </c>
      <c r="F970" s="2406">
        <v>0</v>
      </c>
      <c r="G970" s="2431">
        <v>0</v>
      </c>
      <c r="H970" s="2407">
        <v>6175000</v>
      </c>
      <c r="I970" s="2408"/>
      <c r="J970" s="2408"/>
      <c r="K970" s="2671" t="s">
        <v>6528</v>
      </c>
      <c r="L970" s="2409"/>
    </row>
    <row r="971" spans="1:12" ht="12" customHeight="1" x14ac:dyDescent="0.3">
      <c r="A971" s="2394" t="s">
        <v>3805</v>
      </c>
      <c r="B971" s="2395" t="s">
        <v>3691</v>
      </c>
      <c r="C971" s="2406">
        <v>0</v>
      </c>
      <c r="D971" s="2396"/>
      <c r="E971" s="2406">
        <v>0</v>
      </c>
      <c r="F971" s="2406">
        <v>0</v>
      </c>
      <c r="G971" s="2431">
        <v>0</v>
      </c>
      <c r="H971" s="2407">
        <v>0</v>
      </c>
      <c r="I971" s="2408"/>
      <c r="J971" s="2408"/>
      <c r="K971" s="2671"/>
      <c r="L971" s="2409"/>
    </row>
    <row r="972" spans="1:12" ht="12" customHeight="1" x14ac:dyDescent="0.3">
      <c r="A972" s="2394" t="s">
        <v>3806</v>
      </c>
      <c r="B972" s="2395" t="s">
        <v>3693</v>
      </c>
      <c r="C972" s="2406">
        <v>0</v>
      </c>
      <c r="D972" s="2396"/>
      <c r="E972" s="2406">
        <v>0</v>
      </c>
      <c r="F972" s="2406">
        <v>0</v>
      </c>
      <c r="G972" s="2431">
        <v>0</v>
      </c>
      <c r="H972" s="2407">
        <v>0</v>
      </c>
      <c r="I972" s="2408"/>
      <c r="J972" s="2408"/>
      <c r="K972" s="2671" t="s">
        <v>6529</v>
      </c>
      <c r="L972" s="2409"/>
    </row>
    <row r="973" spans="1:12" ht="12" customHeight="1" x14ac:dyDescent="0.3">
      <c r="A973" s="2394" t="s">
        <v>3807</v>
      </c>
      <c r="B973" s="2395" t="s">
        <v>3695</v>
      </c>
      <c r="C973" s="2406">
        <v>0</v>
      </c>
      <c r="D973" s="2396"/>
      <c r="E973" s="2406">
        <v>0</v>
      </c>
      <c r="F973" s="2406">
        <v>0</v>
      </c>
      <c r="G973" s="2431">
        <v>0</v>
      </c>
      <c r="H973" s="2407">
        <v>0</v>
      </c>
      <c r="I973" s="2408"/>
      <c r="J973" s="2408"/>
      <c r="K973" s="2671" t="s">
        <v>6530</v>
      </c>
      <c r="L973" s="2409"/>
    </row>
    <row r="974" spans="1:12" ht="12" customHeight="1" x14ac:dyDescent="0.3">
      <c r="A974" s="2394" t="s">
        <v>3808</v>
      </c>
      <c r="B974" s="2395" t="s">
        <v>3697</v>
      </c>
      <c r="C974" s="2406">
        <v>0</v>
      </c>
      <c r="D974" s="2396"/>
      <c r="E974" s="2406">
        <v>0</v>
      </c>
      <c r="F974" s="2406">
        <v>0</v>
      </c>
      <c r="G974" s="2431">
        <v>0</v>
      </c>
      <c r="H974" s="2407">
        <v>0</v>
      </c>
      <c r="I974" s="2408"/>
      <c r="J974" s="2408"/>
      <c r="K974" s="2671" t="s">
        <v>6531</v>
      </c>
      <c r="L974" s="2409"/>
    </row>
    <row r="975" spans="1:12" ht="12" customHeight="1" x14ac:dyDescent="0.3">
      <c r="A975" s="2394" t="s">
        <v>3809</v>
      </c>
      <c r="B975" s="2395" t="s">
        <v>3699</v>
      </c>
      <c r="C975" s="2406">
        <v>0</v>
      </c>
      <c r="D975" s="2396"/>
      <c r="E975" s="2406">
        <v>0</v>
      </c>
      <c r="F975" s="2406">
        <v>0</v>
      </c>
      <c r="G975" s="2431">
        <v>0</v>
      </c>
      <c r="H975" s="2407">
        <v>0</v>
      </c>
      <c r="I975" s="2408"/>
      <c r="J975" s="2408"/>
      <c r="K975" s="2671" t="s">
        <v>6532</v>
      </c>
      <c r="L975" s="2409"/>
    </row>
    <row r="976" spans="1:12" ht="12.75" customHeight="1" x14ac:dyDescent="0.3">
      <c r="A976" s="2394" t="s">
        <v>3810</v>
      </c>
      <c r="B976" s="2395" t="s">
        <v>3701</v>
      </c>
      <c r="C976" s="2406">
        <v>5601500</v>
      </c>
      <c r="D976" s="2396"/>
      <c r="E976" s="2406">
        <v>0</v>
      </c>
      <c r="F976" s="2406">
        <v>0</v>
      </c>
      <c r="G976" s="2431">
        <v>0</v>
      </c>
      <c r="H976" s="2407">
        <v>5601500</v>
      </c>
      <c r="I976" s="2408"/>
      <c r="J976" s="2408"/>
      <c r="K976" s="2671" t="s">
        <v>6533</v>
      </c>
      <c r="L976" s="2409"/>
    </row>
    <row r="977" spans="1:12" ht="12" customHeight="1" x14ac:dyDescent="0.3">
      <c r="A977" s="2394" t="s">
        <v>3811</v>
      </c>
      <c r="B977" s="2395" t="s">
        <v>3703</v>
      </c>
      <c r="C977" s="2406">
        <v>1360800</v>
      </c>
      <c r="D977" s="2396"/>
      <c r="E977" s="2406">
        <v>0</v>
      </c>
      <c r="F977" s="2406">
        <v>0</v>
      </c>
      <c r="G977" s="2431">
        <v>0</v>
      </c>
      <c r="H977" s="2407">
        <v>1360800</v>
      </c>
      <c r="I977" s="2408"/>
      <c r="J977" s="2408"/>
      <c r="K977" s="2671" t="s">
        <v>6534</v>
      </c>
      <c r="L977" s="2409"/>
    </row>
    <row r="978" spans="1:12" ht="12" customHeight="1" x14ac:dyDescent="0.3">
      <c r="A978" s="2394" t="s">
        <v>3812</v>
      </c>
      <c r="B978" s="2395" t="s">
        <v>3705</v>
      </c>
      <c r="C978" s="2406">
        <v>0</v>
      </c>
      <c r="D978" s="2396"/>
      <c r="E978" s="2406">
        <v>0</v>
      </c>
      <c r="F978" s="2406">
        <v>0</v>
      </c>
      <c r="G978" s="2431">
        <v>0</v>
      </c>
      <c r="H978" s="2407">
        <v>0</v>
      </c>
      <c r="I978" s="2408"/>
      <c r="J978" s="2408"/>
      <c r="K978" s="2671" t="s">
        <v>6534</v>
      </c>
      <c r="L978" s="2409"/>
    </row>
    <row r="979" spans="1:12" ht="12" customHeight="1" x14ac:dyDescent="0.3">
      <c r="A979" s="2394" t="s">
        <v>3813</v>
      </c>
      <c r="B979" s="2395" t="s">
        <v>3707</v>
      </c>
      <c r="C979" s="2406">
        <v>4700500</v>
      </c>
      <c r="D979" s="2396"/>
      <c r="E979" s="2406">
        <v>0</v>
      </c>
      <c r="F979" s="2406">
        <v>0</v>
      </c>
      <c r="G979" s="2431">
        <v>0</v>
      </c>
      <c r="H979" s="2407">
        <v>4700500</v>
      </c>
      <c r="I979" s="2408"/>
      <c r="J979" s="2408"/>
      <c r="K979" s="2671" t="s">
        <v>6535</v>
      </c>
      <c r="L979" s="2409"/>
    </row>
    <row r="980" spans="1:12" ht="12" customHeight="1" x14ac:dyDescent="0.3">
      <c r="A980" s="2394" t="s">
        <v>3814</v>
      </c>
      <c r="B980" s="2395" t="s">
        <v>350</v>
      </c>
      <c r="C980" s="2406">
        <v>0</v>
      </c>
      <c r="D980" s="2396"/>
      <c r="E980" s="2406">
        <v>0</v>
      </c>
      <c r="F980" s="2406">
        <v>0</v>
      </c>
      <c r="G980" s="2431">
        <v>0</v>
      </c>
      <c r="H980" s="2407">
        <v>0</v>
      </c>
      <c r="I980" s="2408"/>
      <c r="J980" s="2408"/>
      <c r="K980" s="2671" t="s">
        <v>6536</v>
      </c>
      <c r="L980" s="2409"/>
    </row>
    <row r="981" spans="1:12" ht="12" customHeight="1" x14ac:dyDescent="0.3">
      <c r="A981" s="2394" t="s">
        <v>3815</v>
      </c>
      <c r="B981" s="2395" t="s">
        <v>3710</v>
      </c>
      <c r="C981" s="2406">
        <v>0</v>
      </c>
      <c r="D981" s="2396"/>
      <c r="E981" s="2406">
        <v>0</v>
      </c>
      <c r="F981" s="2406">
        <v>0</v>
      </c>
      <c r="G981" s="2431">
        <v>0</v>
      </c>
      <c r="H981" s="2407">
        <v>0</v>
      </c>
      <c r="I981" s="2408"/>
      <c r="J981" s="2408"/>
      <c r="K981" s="2671"/>
      <c r="L981" s="2409"/>
    </row>
    <row r="982" spans="1:12" ht="12" customHeight="1" x14ac:dyDescent="0.3">
      <c r="A982" s="2394" t="s">
        <v>3816</v>
      </c>
      <c r="B982" s="2395" t="s">
        <v>3712</v>
      </c>
      <c r="C982" s="2406">
        <v>0</v>
      </c>
      <c r="D982" s="2396"/>
      <c r="E982" s="2406">
        <v>1790900</v>
      </c>
      <c r="F982" s="2406">
        <v>0</v>
      </c>
      <c r="G982" s="2431">
        <v>1790900</v>
      </c>
      <c r="H982" s="2407">
        <v>1790900</v>
      </c>
      <c r="I982" s="2408"/>
      <c r="J982" s="2408"/>
      <c r="K982" s="2671" t="s">
        <v>6517</v>
      </c>
      <c r="L982" s="2409"/>
    </row>
    <row r="983" spans="1:12" ht="12" customHeight="1" x14ac:dyDescent="0.3">
      <c r="A983" s="2394" t="s">
        <v>3817</v>
      </c>
      <c r="B983" s="2395" t="s">
        <v>3714</v>
      </c>
      <c r="C983" s="2406">
        <v>0</v>
      </c>
      <c r="D983" s="2396"/>
      <c r="E983" s="2406">
        <v>0</v>
      </c>
      <c r="F983" s="2406">
        <v>0</v>
      </c>
      <c r="G983" s="2431">
        <v>0</v>
      </c>
      <c r="H983" s="2407">
        <v>0</v>
      </c>
      <c r="I983" s="2408"/>
      <c r="J983" s="2408"/>
      <c r="K983" s="2671" t="s">
        <v>6536</v>
      </c>
      <c r="L983" s="2409"/>
    </row>
    <row r="984" spans="1:12" ht="12.75" customHeight="1" x14ac:dyDescent="0.3">
      <c r="A984" s="2394" t="s">
        <v>3818</v>
      </c>
      <c r="B984" s="2395" t="s">
        <v>3716</v>
      </c>
      <c r="C984" s="2406">
        <v>5849100</v>
      </c>
      <c r="D984" s="2396"/>
      <c r="E984" s="2406">
        <v>0</v>
      </c>
      <c r="F984" s="2406">
        <v>0</v>
      </c>
      <c r="G984" s="2431">
        <v>0</v>
      </c>
      <c r="H984" s="2407">
        <v>5849100</v>
      </c>
      <c r="I984" s="2408"/>
      <c r="J984" s="2408"/>
      <c r="K984" s="2671" t="s">
        <v>6517</v>
      </c>
      <c r="L984" s="2409"/>
    </row>
    <row r="985" spans="1:12" ht="12" customHeight="1" x14ac:dyDescent="0.3">
      <c r="A985" s="2394" t="s">
        <v>3819</v>
      </c>
      <c r="B985" s="2395" t="s">
        <v>3718</v>
      </c>
      <c r="C985" s="2406">
        <v>0</v>
      </c>
      <c r="D985" s="2396"/>
      <c r="E985" s="2406">
        <v>0</v>
      </c>
      <c r="F985" s="2406">
        <v>0</v>
      </c>
      <c r="G985" s="2431">
        <v>0</v>
      </c>
      <c r="H985" s="2407">
        <v>0</v>
      </c>
      <c r="I985" s="2408"/>
      <c r="J985" s="2408"/>
      <c r="K985" s="2671" t="s">
        <v>6516</v>
      </c>
      <c r="L985" s="2409"/>
    </row>
    <row r="986" spans="1:12" ht="12" customHeight="1" x14ac:dyDescent="0.3">
      <c r="A986" s="2394" t="s">
        <v>3820</v>
      </c>
      <c r="B986" s="2395" t="s">
        <v>3720</v>
      </c>
      <c r="C986" s="2406">
        <v>0</v>
      </c>
      <c r="D986" s="2396"/>
      <c r="E986" s="2406">
        <v>0</v>
      </c>
      <c r="F986" s="2406">
        <v>0</v>
      </c>
      <c r="G986" s="2431">
        <v>0</v>
      </c>
      <c r="H986" s="2407">
        <v>0</v>
      </c>
      <c r="I986" s="2408"/>
      <c r="J986" s="2408"/>
      <c r="K986" s="2671" t="s">
        <v>6515</v>
      </c>
      <c r="L986" s="2409"/>
    </row>
    <row r="987" spans="1:12" ht="12.75" customHeight="1" x14ac:dyDescent="0.3">
      <c r="A987" s="2394" t="s">
        <v>3821</v>
      </c>
      <c r="B987" s="2395" t="s">
        <v>675</v>
      </c>
      <c r="C987" s="2406">
        <v>0</v>
      </c>
      <c r="D987" s="2396"/>
      <c r="E987" s="2406">
        <v>0</v>
      </c>
      <c r="F987" s="2406">
        <v>0</v>
      </c>
      <c r="G987" s="2431">
        <v>0</v>
      </c>
      <c r="H987" s="2407">
        <v>0</v>
      </c>
      <c r="I987" s="2408"/>
      <c r="J987" s="2408"/>
      <c r="K987" s="2671" t="s">
        <v>6535</v>
      </c>
      <c r="L987" s="2409"/>
    </row>
    <row r="988" spans="1:12" ht="12" customHeight="1" x14ac:dyDescent="0.3">
      <c r="A988" s="2394" t="s">
        <v>3822</v>
      </c>
      <c r="B988" s="2395" t="s">
        <v>3723</v>
      </c>
      <c r="C988" s="2406">
        <v>0</v>
      </c>
      <c r="D988" s="2396"/>
      <c r="E988" s="2406">
        <v>0</v>
      </c>
      <c r="F988" s="2406">
        <v>0</v>
      </c>
      <c r="G988" s="2431">
        <v>0</v>
      </c>
      <c r="H988" s="2407">
        <v>0</v>
      </c>
      <c r="I988" s="2408"/>
      <c r="J988" s="2408"/>
      <c r="K988" s="2671" t="s">
        <v>6523</v>
      </c>
      <c r="L988" s="2409"/>
    </row>
    <row r="989" spans="1:12" ht="12" customHeight="1" x14ac:dyDescent="0.3">
      <c r="A989" s="2394" t="s">
        <v>3823</v>
      </c>
      <c r="B989" s="2395" t="s">
        <v>3249</v>
      </c>
      <c r="C989" s="2406">
        <v>0</v>
      </c>
      <c r="D989" s="2396"/>
      <c r="E989" s="2406">
        <v>0</v>
      </c>
      <c r="F989" s="2406">
        <v>0</v>
      </c>
      <c r="G989" s="2431">
        <v>0</v>
      </c>
      <c r="H989" s="2407">
        <v>0</v>
      </c>
      <c r="I989" s="2408"/>
      <c r="J989" s="2408"/>
      <c r="K989" s="2671" t="s">
        <v>6520</v>
      </c>
      <c r="L989" s="2409"/>
    </row>
    <row r="990" spans="1:12" ht="12" customHeight="1" x14ac:dyDescent="0.3">
      <c r="A990" s="2394" t="s">
        <v>3824</v>
      </c>
      <c r="B990" s="2395" t="s">
        <v>350</v>
      </c>
      <c r="C990" s="2406">
        <v>0</v>
      </c>
      <c r="D990" s="2396"/>
      <c r="E990" s="2406">
        <v>0</v>
      </c>
      <c r="F990" s="2406">
        <v>0</v>
      </c>
      <c r="G990" s="2431">
        <v>0</v>
      </c>
      <c r="H990" s="2407">
        <v>0</v>
      </c>
      <c r="I990" s="2408"/>
      <c r="J990" s="2408"/>
      <c r="K990" s="2671" t="s">
        <v>6536</v>
      </c>
      <c r="L990" s="2409"/>
    </row>
    <row r="991" spans="1:12" ht="12" customHeight="1" x14ac:dyDescent="0.3">
      <c r="A991" s="2394" t="s">
        <v>3825</v>
      </c>
      <c r="B991" s="2395" t="s">
        <v>3727</v>
      </c>
      <c r="C991" s="2406">
        <v>0</v>
      </c>
      <c r="D991" s="2396"/>
      <c r="E991" s="2406">
        <v>0</v>
      </c>
      <c r="F991" s="2406">
        <v>0</v>
      </c>
      <c r="G991" s="2431">
        <v>0</v>
      </c>
      <c r="H991" s="2407">
        <v>0</v>
      </c>
      <c r="I991" s="2408"/>
      <c r="J991" s="2408"/>
      <c r="K991" s="2671"/>
      <c r="L991" s="2409"/>
    </row>
    <row r="992" spans="1:12" ht="12" customHeight="1" x14ac:dyDescent="0.3">
      <c r="A992" s="2394" t="s">
        <v>3826</v>
      </c>
      <c r="B992" s="2395" t="s">
        <v>3729</v>
      </c>
      <c r="C992" s="2406">
        <v>0</v>
      </c>
      <c r="D992" s="2396"/>
      <c r="E992" s="2406">
        <v>0</v>
      </c>
      <c r="F992" s="2406">
        <v>0</v>
      </c>
      <c r="G992" s="2431">
        <v>0</v>
      </c>
      <c r="H992" s="2407">
        <v>0</v>
      </c>
      <c r="I992" s="2408"/>
      <c r="J992" s="2408"/>
      <c r="K992" s="2671" t="s">
        <v>6515</v>
      </c>
      <c r="L992" s="2409"/>
    </row>
    <row r="993" spans="1:12" ht="12.75" customHeight="1" x14ac:dyDescent="0.3">
      <c r="A993" s="2394" t="s">
        <v>3827</v>
      </c>
      <c r="B993" s="2395" t="s">
        <v>3731</v>
      </c>
      <c r="C993" s="2406">
        <v>0</v>
      </c>
      <c r="D993" s="2396"/>
      <c r="E993" s="2406">
        <v>0</v>
      </c>
      <c r="F993" s="2406">
        <v>0</v>
      </c>
      <c r="G993" s="2431">
        <v>0</v>
      </c>
      <c r="H993" s="2407">
        <v>0</v>
      </c>
      <c r="I993" s="2408"/>
      <c r="J993" s="2408"/>
      <c r="K993" s="2671" t="s">
        <v>6516</v>
      </c>
      <c r="L993" s="2409"/>
    </row>
    <row r="994" spans="1:12" ht="12" customHeight="1" x14ac:dyDescent="0.3">
      <c r="A994" s="2394" t="s">
        <v>3828</v>
      </c>
      <c r="B994" s="2395" t="s">
        <v>3733</v>
      </c>
      <c r="C994" s="2406">
        <v>0</v>
      </c>
      <c r="D994" s="2396"/>
      <c r="E994" s="2406">
        <v>0</v>
      </c>
      <c r="F994" s="2406">
        <v>0</v>
      </c>
      <c r="G994" s="2431">
        <v>0</v>
      </c>
      <c r="H994" s="2407">
        <v>0</v>
      </c>
      <c r="I994" s="2408"/>
      <c r="J994" s="2408"/>
      <c r="K994" s="2671" t="s">
        <v>6518</v>
      </c>
      <c r="L994" s="2409"/>
    </row>
    <row r="995" spans="1:12" ht="12" customHeight="1" x14ac:dyDescent="0.3">
      <c r="A995" s="2394" t="s">
        <v>3829</v>
      </c>
      <c r="B995" s="2395" t="s">
        <v>3735</v>
      </c>
      <c r="C995" s="2406">
        <v>0</v>
      </c>
      <c r="D995" s="2396"/>
      <c r="E995" s="2406">
        <v>0</v>
      </c>
      <c r="F995" s="2406">
        <v>0</v>
      </c>
      <c r="G995" s="2431">
        <v>0</v>
      </c>
      <c r="H995" s="2407">
        <v>0</v>
      </c>
      <c r="I995" s="2408"/>
      <c r="J995" s="2408"/>
      <c r="K995" s="2671" t="s">
        <v>6521</v>
      </c>
      <c r="L995" s="2409"/>
    </row>
    <row r="996" spans="1:12" ht="12" customHeight="1" x14ac:dyDescent="0.3">
      <c r="A996" s="2394" t="s">
        <v>3830</v>
      </c>
      <c r="B996" s="2395" t="s">
        <v>3737</v>
      </c>
      <c r="C996" s="2406">
        <v>0</v>
      </c>
      <c r="D996" s="2396"/>
      <c r="E996" s="2406">
        <v>0</v>
      </c>
      <c r="F996" s="2406">
        <v>0</v>
      </c>
      <c r="G996" s="2431">
        <v>0</v>
      </c>
      <c r="H996" s="2407">
        <v>0</v>
      </c>
      <c r="I996" s="2408"/>
      <c r="J996" s="2408"/>
      <c r="K996" s="2671" t="s">
        <v>6520</v>
      </c>
      <c r="L996" s="2409"/>
    </row>
    <row r="997" spans="1:12" ht="12" customHeight="1" x14ac:dyDescent="0.3">
      <c r="A997" s="2394" t="s">
        <v>3831</v>
      </c>
      <c r="B997" s="2395" t="s">
        <v>3739</v>
      </c>
      <c r="C997" s="2406">
        <v>0</v>
      </c>
      <c r="D997" s="2396"/>
      <c r="E997" s="2406">
        <v>0</v>
      </c>
      <c r="F997" s="2406">
        <v>0</v>
      </c>
      <c r="G997" s="2431">
        <v>0</v>
      </c>
      <c r="H997" s="2407">
        <v>0</v>
      </c>
      <c r="I997" s="2408"/>
      <c r="J997" s="2408"/>
      <c r="K997" s="2671" t="s">
        <v>6518</v>
      </c>
      <c r="L997" s="2409"/>
    </row>
    <row r="998" spans="1:12" ht="12" customHeight="1" x14ac:dyDescent="0.3">
      <c r="A998" s="2394" t="s">
        <v>3832</v>
      </c>
      <c r="B998" s="2395" t="s">
        <v>3741</v>
      </c>
      <c r="C998" s="2406">
        <v>1340500</v>
      </c>
      <c r="D998" s="2396"/>
      <c r="E998" s="2406">
        <v>0</v>
      </c>
      <c r="F998" s="2406">
        <v>0</v>
      </c>
      <c r="G998" s="2431">
        <v>0</v>
      </c>
      <c r="H998" s="2407">
        <v>1340500</v>
      </c>
      <c r="I998" s="2408"/>
      <c r="J998" s="2408"/>
      <c r="K998" s="2671" t="s">
        <v>6536</v>
      </c>
      <c r="L998" s="2409"/>
    </row>
    <row r="999" spans="1:12" ht="12" customHeight="1" x14ac:dyDescent="0.3">
      <c r="A999" s="2394" t="s">
        <v>3833</v>
      </c>
      <c r="B999" s="2395" t="s">
        <v>350</v>
      </c>
      <c r="C999" s="2406">
        <v>0</v>
      </c>
      <c r="D999" s="2396"/>
      <c r="E999" s="2406">
        <v>0</v>
      </c>
      <c r="F999" s="2406">
        <v>0</v>
      </c>
      <c r="G999" s="2431">
        <v>0</v>
      </c>
      <c r="H999" s="2407">
        <v>0</v>
      </c>
      <c r="I999" s="2408"/>
      <c r="J999" s="2408"/>
      <c r="K999" s="2671" t="s">
        <v>6536</v>
      </c>
      <c r="L999" s="2409"/>
    </row>
    <row r="1000" spans="1:12" ht="12" customHeight="1" x14ac:dyDescent="0.3">
      <c r="A1000" s="2394" t="s">
        <v>3834</v>
      </c>
      <c r="B1000" s="2395" t="s">
        <v>3744</v>
      </c>
      <c r="C1000" s="2406">
        <v>0</v>
      </c>
      <c r="D1000" s="2396"/>
      <c r="E1000" s="2406">
        <v>0</v>
      </c>
      <c r="F1000" s="2406">
        <v>0</v>
      </c>
      <c r="G1000" s="2431">
        <v>0</v>
      </c>
      <c r="H1000" s="2407">
        <v>0</v>
      </c>
      <c r="I1000" s="2408"/>
      <c r="J1000" s="2408"/>
      <c r="K1000" s="2671"/>
      <c r="L1000" s="2409"/>
    </row>
    <row r="1001" spans="1:12" ht="12.75" customHeight="1" x14ac:dyDescent="0.3">
      <c r="A1001" s="2394" t="s">
        <v>3835</v>
      </c>
      <c r="B1001" s="2395" t="s">
        <v>3746</v>
      </c>
      <c r="C1001" s="2406">
        <v>0</v>
      </c>
      <c r="D1001" s="2396"/>
      <c r="E1001" s="2406">
        <v>0</v>
      </c>
      <c r="F1001" s="2406">
        <v>0</v>
      </c>
      <c r="G1001" s="2431">
        <v>0</v>
      </c>
      <c r="H1001" s="2407">
        <v>0</v>
      </c>
      <c r="I1001" s="2408"/>
      <c r="J1001" s="2408"/>
      <c r="K1001" s="2671" t="s">
        <v>6536</v>
      </c>
      <c r="L1001" s="2409"/>
    </row>
    <row r="1002" spans="1:12" ht="12" customHeight="1" x14ac:dyDescent="0.3">
      <c r="A1002" s="2394" t="s">
        <v>3836</v>
      </c>
      <c r="B1002" s="2395" t="s">
        <v>3748</v>
      </c>
      <c r="C1002" s="2406">
        <v>0</v>
      </c>
      <c r="D1002" s="2396"/>
      <c r="E1002" s="2406">
        <v>0</v>
      </c>
      <c r="F1002" s="2406">
        <v>0</v>
      </c>
      <c r="G1002" s="2431">
        <v>0</v>
      </c>
      <c r="H1002" s="2407">
        <v>0</v>
      </c>
      <c r="I1002" s="2408"/>
      <c r="J1002" s="2408"/>
      <c r="K1002" s="2671" t="s">
        <v>6536</v>
      </c>
      <c r="L1002" s="2409"/>
    </row>
    <row r="1003" spans="1:12" ht="12" customHeight="1" x14ac:dyDescent="0.3">
      <c r="A1003" s="2394" t="s">
        <v>3837</v>
      </c>
      <c r="B1003" s="2395" t="s">
        <v>3750</v>
      </c>
      <c r="C1003" s="2406">
        <v>575000</v>
      </c>
      <c r="D1003" s="2396"/>
      <c r="E1003" s="2406">
        <v>0</v>
      </c>
      <c r="F1003" s="2406">
        <v>0</v>
      </c>
      <c r="G1003" s="2431">
        <v>0</v>
      </c>
      <c r="H1003" s="2407">
        <v>575000</v>
      </c>
      <c r="I1003" s="2408"/>
      <c r="J1003" s="2408"/>
      <c r="K1003" s="2671" t="s">
        <v>6537</v>
      </c>
      <c r="L1003" s="2409"/>
    </row>
    <row r="1004" spans="1:12" ht="12" customHeight="1" x14ac:dyDescent="0.3">
      <c r="A1004" s="2394" t="s">
        <v>3838</v>
      </c>
      <c r="B1004" s="2395" t="s">
        <v>3752</v>
      </c>
      <c r="C1004" s="2406">
        <v>19184400</v>
      </c>
      <c r="D1004" s="2396"/>
      <c r="E1004" s="2406">
        <v>1159300</v>
      </c>
      <c r="F1004" s="2406">
        <v>0</v>
      </c>
      <c r="G1004" s="2431">
        <v>1159300</v>
      </c>
      <c r="H1004" s="2407">
        <v>20343700</v>
      </c>
      <c r="I1004" s="2408"/>
      <c r="J1004" s="2408"/>
      <c r="K1004" s="2671" t="s">
        <v>6538</v>
      </c>
      <c r="L1004" s="2409"/>
    </row>
    <row r="1005" spans="1:12" ht="12" customHeight="1" x14ac:dyDescent="0.3">
      <c r="A1005" s="2394" t="s">
        <v>3839</v>
      </c>
      <c r="B1005" s="2395" t="s">
        <v>3754</v>
      </c>
      <c r="C1005" s="2406">
        <v>100000</v>
      </c>
      <c r="D1005" s="2396"/>
      <c r="E1005" s="2406">
        <v>0</v>
      </c>
      <c r="F1005" s="2406">
        <v>0</v>
      </c>
      <c r="G1005" s="2431">
        <v>0</v>
      </c>
      <c r="H1005" s="2407">
        <v>100000</v>
      </c>
      <c r="I1005" s="2408"/>
      <c r="J1005" s="2408"/>
      <c r="K1005" s="2671" t="s">
        <v>6539</v>
      </c>
      <c r="L1005" s="2409"/>
    </row>
    <row r="1006" spans="1:12" ht="12" customHeight="1" x14ac:dyDescent="0.3">
      <c r="A1006" s="2394" t="s">
        <v>3840</v>
      </c>
      <c r="B1006" s="2395" t="s">
        <v>350</v>
      </c>
      <c r="C1006" s="2406">
        <v>2500</v>
      </c>
      <c r="D1006" s="2396"/>
      <c r="E1006" s="2406">
        <v>0</v>
      </c>
      <c r="F1006" s="2406">
        <v>0</v>
      </c>
      <c r="G1006" s="2431">
        <v>0</v>
      </c>
      <c r="H1006" s="2407">
        <v>2500</v>
      </c>
      <c r="I1006" s="2408"/>
      <c r="J1006" s="2408"/>
      <c r="K1006" s="2671" t="s">
        <v>6536</v>
      </c>
      <c r="L1006" s="2409"/>
    </row>
    <row r="1007" spans="1:12" ht="12" customHeight="1" x14ac:dyDescent="0.3">
      <c r="A1007" s="2394" t="s">
        <v>3843</v>
      </c>
      <c r="B1007" s="2395" t="s">
        <v>3599</v>
      </c>
      <c r="C1007" s="2406">
        <v>0</v>
      </c>
      <c r="D1007" s="2396"/>
      <c r="E1007" s="2406">
        <v>0</v>
      </c>
      <c r="F1007" s="2406">
        <v>0</v>
      </c>
      <c r="G1007" s="2434">
        <v>0</v>
      </c>
      <c r="H1007" s="2407">
        <v>0</v>
      </c>
      <c r="I1007" s="2408"/>
      <c r="J1007" s="2408"/>
      <c r="K1007" s="2671"/>
      <c r="L1007" s="2409"/>
    </row>
    <row r="1008" spans="1:12" ht="12" customHeight="1" x14ac:dyDescent="0.3">
      <c r="A1008" s="2394" t="s">
        <v>3844</v>
      </c>
      <c r="B1008" s="2395" t="s">
        <v>3601</v>
      </c>
      <c r="C1008" s="2406">
        <v>0</v>
      </c>
      <c r="D1008" s="2396"/>
      <c r="E1008" s="2406">
        <v>0</v>
      </c>
      <c r="F1008" s="2406">
        <v>0</v>
      </c>
      <c r="G1008" s="2434">
        <v>0</v>
      </c>
      <c r="H1008" s="2407">
        <v>0</v>
      </c>
      <c r="I1008" s="2408"/>
      <c r="J1008" s="2408"/>
      <c r="K1008" s="2671" t="s">
        <v>2586</v>
      </c>
      <c r="L1008" s="2409"/>
    </row>
    <row r="1009" spans="1:12" ht="12.75" customHeight="1" x14ac:dyDescent="0.3">
      <c r="A1009" s="2394" t="s">
        <v>3845</v>
      </c>
      <c r="B1009" s="2395" t="s">
        <v>3603</v>
      </c>
      <c r="C1009" s="2406">
        <v>1125000</v>
      </c>
      <c r="D1009" s="2396"/>
      <c r="E1009" s="2406">
        <v>0</v>
      </c>
      <c r="F1009" s="2406">
        <v>0</v>
      </c>
      <c r="G1009" s="2434">
        <v>0</v>
      </c>
      <c r="H1009" s="2407">
        <v>1125000</v>
      </c>
      <c r="I1009" s="2408"/>
      <c r="J1009" s="2408"/>
      <c r="K1009" s="2671" t="s">
        <v>2586</v>
      </c>
      <c r="L1009" s="2409"/>
    </row>
    <row r="1010" spans="1:12" ht="12" customHeight="1" x14ac:dyDescent="0.3">
      <c r="A1010" s="2394" t="s">
        <v>3846</v>
      </c>
      <c r="B1010" s="2395" t="s">
        <v>3605</v>
      </c>
      <c r="C1010" s="2406">
        <v>0</v>
      </c>
      <c r="D1010" s="2396"/>
      <c r="E1010" s="2406">
        <v>0</v>
      </c>
      <c r="F1010" s="2406">
        <v>0</v>
      </c>
      <c r="G1010" s="2434">
        <v>0</v>
      </c>
      <c r="H1010" s="2407">
        <v>0</v>
      </c>
      <c r="I1010" s="2408"/>
      <c r="J1010" s="2408"/>
      <c r="K1010" s="2671" t="s">
        <v>2585</v>
      </c>
      <c r="L1010" s="2409"/>
    </row>
    <row r="1011" spans="1:12" ht="12" customHeight="1" x14ac:dyDescent="0.3">
      <c r="A1011" s="2394" t="s">
        <v>3847</v>
      </c>
      <c r="B1011" s="2395" t="s">
        <v>3607</v>
      </c>
      <c r="C1011" s="2406">
        <v>3280000</v>
      </c>
      <c r="D1011" s="2396"/>
      <c r="E1011" s="2406">
        <v>0</v>
      </c>
      <c r="F1011" s="2406">
        <v>0</v>
      </c>
      <c r="G1011" s="2434">
        <v>0</v>
      </c>
      <c r="H1011" s="2407">
        <v>3280000</v>
      </c>
      <c r="I1011" s="2408"/>
      <c r="J1011" s="2408"/>
      <c r="K1011" s="2671" t="s">
        <v>2585</v>
      </c>
      <c r="L1011" s="2409"/>
    </row>
    <row r="1012" spans="1:12" ht="12" customHeight="1" x14ac:dyDescent="0.3">
      <c r="A1012" s="2394" t="s">
        <v>3848</v>
      </c>
      <c r="B1012" s="2395" t="s">
        <v>3609</v>
      </c>
      <c r="C1012" s="2406">
        <v>0</v>
      </c>
      <c r="D1012" s="2396"/>
      <c r="E1012" s="2406">
        <v>0</v>
      </c>
      <c r="F1012" s="2406">
        <v>0</v>
      </c>
      <c r="G1012" s="2434">
        <v>0</v>
      </c>
      <c r="H1012" s="2407">
        <v>0</v>
      </c>
      <c r="I1012" s="2408"/>
      <c r="J1012" s="2408"/>
      <c r="K1012" s="2671" t="s">
        <v>2585</v>
      </c>
      <c r="L1012" s="2409"/>
    </row>
    <row r="1013" spans="1:12" ht="12" customHeight="1" x14ac:dyDescent="0.3">
      <c r="A1013" s="2394" t="s">
        <v>3849</v>
      </c>
      <c r="B1013" s="2395" t="s">
        <v>3611</v>
      </c>
      <c r="C1013" s="2406">
        <v>1955000</v>
      </c>
      <c r="D1013" s="2396"/>
      <c r="E1013" s="2406">
        <v>0</v>
      </c>
      <c r="F1013" s="2406">
        <v>0</v>
      </c>
      <c r="G1013" s="2434">
        <v>0</v>
      </c>
      <c r="H1013" s="2407">
        <v>1955000</v>
      </c>
      <c r="I1013" s="2408"/>
      <c r="J1013" s="2408"/>
      <c r="K1013" s="2671" t="s">
        <v>6505</v>
      </c>
      <c r="L1013" s="2409"/>
    </row>
    <row r="1014" spans="1:12" ht="12" customHeight="1" x14ac:dyDescent="0.3">
      <c r="A1014" s="2394" t="s">
        <v>3850</v>
      </c>
      <c r="B1014" s="2395" t="s">
        <v>3613</v>
      </c>
      <c r="C1014" s="2406">
        <v>0</v>
      </c>
      <c r="D1014" s="2396"/>
      <c r="E1014" s="2406">
        <v>0</v>
      </c>
      <c r="F1014" s="2406">
        <v>0</v>
      </c>
      <c r="G1014" s="2434">
        <v>0</v>
      </c>
      <c r="H1014" s="2407">
        <v>0</v>
      </c>
      <c r="I1014" s="2408"/>
      <c r="J1014" s="2408"/>
      <c r="K1014" s="2671" t="s">
        <v>6505</v>
      </c>
      <c r="L1014" s="2409"/>
    </row>
    <row r="1015" spans="1:12" ht="12" customHeight="1" x14ac:dyDescent="0.3">
      <c r="A1015" s="2394" t="s">
        <v>3851</v>
      </c>
      <c r="B1015" s="2395" t="s">
        <v>3615</v>
      </c>
      <c r="C1015" s="2406">
        <v>0</v>
      </c>
      <c r="D1015" s="2396"/>
      <c r="E1015" s="2406">
        <v>0</v>
      </c>
      <c r="F1015" s="2406">
        <v>0</v>
      </c>
      <c r="G1015" s="2434">
        <v>0</v>
      </c>
      <c r="H1015" s="2407">
        <v>0</v>
      </c>
      <c r="I1015" s="2408"/>
      <c r="J1015" s="2408"/>
      <c r="K1015" s="2671" t="s">
        <v>2586</v>
      </c>
      <c r="L1015" s="2409"/>
    </row>
    <row r="1016" spans="1:12" ht="12" customHeight="1" x14ac:dyDescent="0.3">
      <c r="A1016" s="2394" t="s">
        <v>3852</v>
      </c>
      <c r="B1016" s="2395" t="s">
        <v>3617</v>
      </c>
      <c r="C1016" s="2406">
        <v>475000</v>
      </c>
      <c r="D1016" s="2396"/>
      <c r="E1016" s="2406">
        <v>0</v>
      </c>
      <c r="F1016" s="2406">
        <v>0</v>
      </c>
      <c r="G1016" s="2434">
        <v>0</v>
      </c>
      <c r="H1016" s="2407">
        <v>475000</v>
      </c>
      <c r="I1016" s="2408"/>
      <c r="J1016" s="2408"/>
      <c r="K1016" s="2671" t="s">
        <v>2586</v>
      </c>
      <c r="L1016" s="2409"/>
    </row>
    <row r="1017" spans="1:12" ht="12.75" customHeight="1" x14ac:dyDescent="0.3">
      <c r="A1017" s="2394" t="s">
        <v>3853</v>
      </c>
      <c r="B1017" s="2395" t="s">
        <v>3619</v>
      </c>
      <c r="C1017" s="2406">
        <v>0</v>
      </c>
      <c r="D1017" s="2396"/>
      <c r="E1017" s="2406">
        <v>0</v>
      </c>
      <c r="F1017" s="2406">
        <v>0</v>
      </c>
      <c r="G1017" s="2434">
        <v>0</v>
      </c>
      <c r="H1017" s="2407">
        <v>0</v>
      </c>
      <c r="I1017" s="2408"/>
      <c r="J1017" s="2408"/>
      <c r="K1017" s="2671"/>
      <c r="L1017" s="2409"/>
    </row>
    <row r="1018" spans="1:12" ht="12" customHeight="1" x14ac:dyDescent="0.3">
      <c r="A1018" s="2394" t="s">
        <v>3854</v>
      </c>
      <c r="B1018" s="2395" t="s">
        <v>3621</v>
      </c>
      <c r="C1018" s="2406">
        <v>0</v>
      </c>
      <c r="D1018" s="2396"/>
      <c r="E1018" s="2406">
        <v>0</v>
      </c>
      <c r="F1018" s="2406">
        <v>0</v>
      </c>
      <c r="G1018" s="2434">
        <v>0</v>
      </c>
      <c r="H1018" s="2407">
        <v>0</v>
      </c>
      <c r="I1018" s="2408"/>
      <c r="J1018" s="2408"/>
      <c r="K1018" s="2671" t="s">
        <v>6506</v>
      </c>
      <c r="L1018" s="2409"/>
    </row>
    <row r="1019" spans="1:12" ht="12" customHeight="1" x14ac:dyDescent="0.3">
      <c r="A1019" s="2394" t="s">
        <v>3855</v>
      </c>
      <c r="B1019" s="2395" t="s">
        <v>3623</v>
      </c>
      <c r="C1019" s="2406">
        <v>0</v>
      </c>
      <c r="D1019" s="2396"/>
      <c r="E1019" s="2406">
        <v>0</v>
      </c>
      <c r="F1019" s="2406">
        <v>0</v>
      </c>
      <c r="G1019" s="2434">
        <v>0</v>
      </c>
      <c r="H1019" s="2407">
        <v>0</v>
      </c>
      <c r="I1019" s="2408"/>
      <c r="J1019" s="2408"/>
      <c r="K1019" s="2671" t="s">
        <v>6507</v>
      </c>
      <c r="L1019" s="2409"/>
    </row>
    <row r="1020" spans="1:12" ht="12" customHeight="1" x14ac:dyDescent="0.3">
      <c r="A1020" s="2394" t="s">
        <v>3856</v>
      </c>
      <c r="B1020" s="2395" t="s">
        <v>3625</v>
      </c>
      <c r="C1020" s="2406">
        <v>0</v>
      </c>
      <c r="D1020" s="2396"/>
      <c r="E1020" s="2406">
        <v>0</v>
      </c>
      <c r="F1020" s="2406">
        <v>0</v>
      </c>
      <c r="G1020" s="2434">
        <v>0</v>
      </c>
      <c r="H1020" s="2407">
        <v>0</v>
      </c>
      <c r="I1020" s="2408"/>
      <c r="J1020" s="2408"/>
      <c r="K1020" s="2671" t="s">
        <v>6508</v>
      </c>
      <c r="L1020" s="2409"/>
    </row>
    <row r="1021" spans="1:12" ht="12" customHeight="1" x14ac:dyDescent="0.3">
      <c r="A1021" s="2394" t="s">
        <v>3857</v>
      </c>
      <c r="B1021" s="2395" t="s">
        <v>3627</v>
      </c>
      <c r="C1021" s="2406">
        <v>0</v>
      </c>
      <c r="D1021" s="2396"/>
      <c r="E1021" s="2406">
        <v>0</v>
      </c>
      <c r="F1021" s="2406">
        <v>0</v>
      </c>
      <c r="G1021" s="2434">
        <v>0</v>
      </c>
      <c r="H1021" s="2407">
        <v>0</v>
      </c>
      <c r="I1021" s="2408"/>
      <c r="J1021" s="2408"/>
      <c r="K1021" s="2671" t="s">
        <v>6509</v>
      </c>
      <c r="L1021" s="2409"/>
    </row>
    <row r="1022" spans="1:12" ht="12" customHeight="1" x14ac:dyDescent="0.3">
      <c r="A1022" s="2394" t="s">
        <v>3858</v>
      </c>
      <c r="B1022" s="2395" t="s">
        <v>3629</v>
      </c>
      <c r="C1022" s="2406">
        <v>74800</v>
      </c>
      <c r="D1022" s="2396"/>
      <c r="E1022" s="2406">
        <v>0</v>
      </c>
      <c r="F1022" s="2406">
        <v>0</v>
      </c>
      <c r="G1022" s="2434">
        <v>0</v>
      </c>
      <c r="H1022" s="2407">
        <v>74800</v>
      </c>
      <c r="I1022" s="2408"/>
      <c r="J1022" s="2408"/>
      <c r="K1022" s="2671" t="s">
        <v>6510</v>
      </c>
      <c r="L1022" s="2409"/>
    </row>
    <row r="1023" spans="1:12" ht="12" customHeight="1" x14ac:dyDescent="0.3">
      <c r="A1023" s="2394" t="s">
        <v>3859</v>
      </c>
      <c r="B1023" s="2395" t="s">
        <v>3631</v>
      </c>
      <c r="C1023" s="2406">
        <v>0</v>
      </c>
      <c r="D1023" s="2396"/>
      <c r="E1023" s="2406">
        <v>0</v>
      </c>
      <c r="F1023" s="2406">
        <v>0</v>
      </c>
      <c r="G1023" s="2434">
        <v>0</v>
      </c>
      <c r="H1023" s="2407">
        <v>0</v>
      </c>
      <c r="I1023" s="2408"/>
      <c r="J1023" s="2408"/>
      <c r="K1023" s="2671" t="s">
        <v>6511</v>
      </c>
      <c r="L1023" s="2409"/>
    </row>
    <row r="1024" spans="1:12" ht="12" customHeight="1" x14ac:dyDescent="0.3">
      <c r="A1024" s="2394" t="s">
        <v>3860</v>
      </c>
      <c r="B1024" s="2395" t="s">
        <v>3633</v>
      </c>
      <c r="C1024" s="2406">
        <v>0</v>
      </c>
      <c r="D1024" s="2396"/>
      <c r="E1024" s="2406">
        <v>0</v>
      </c>
      <c r="F1024" s="2406">
        <v>0</v>
      </c>
      <c r="G1024" s="2434">
        <v>0</v>
      </c>
      <c r="H1024" s="2407">
        <v>0</v>
      </c>
      <c r="I1024" s="2408"/>
      <c r="J1024" s="2408"/>
      <c r="K1024" s="2671" t="s">
        <v>6512</v>
      </c>
      <c r="L1024" s="2409"/>
    </row>
    <row r="1025" spans="1:12" ht="12.75" customHeight="1" x14ac:dyDescent="0.3">
      <c r="A1025" s="2394" t="s">
        <v>3861</v>
      </c>
      <c r="B1025" s="2395" t="s">
        <v>3635</v>
      </c>
      <c r="C1025" s="2406">
        <v>0</v>
      </c>
      <c r="D1025" s="2396"/>
      <c r="E1025" s="2406">
        <v>0</v>
      </c>
      <c r="F1025" s="2406">
        <v>0</v>
      </c>
      <c r="G1025" s="2434">
        <v>0</v>
      </c>
      <c r="H1025" s="2407">
        <v>0</v>
      </c>
      <c r="I1025" s="2408"/>
      <c r="J1025" s="2408"/>
      <c r="K1025" s="2671" t="s">
        <v>6513</v>
      </c>
      <c r="L1025" s="2409"/>
    </row>
    <row r="1026" spans="1:12" ht="12" customHeight="1" x14ac:dyDescent="0.3">
      <c r="A1026" s="2394" t="s">
        <v>3862</v>
      </c>
      <c r="B1026" s="2395" t="s">
        <v>3637</v>
      </c>
      <c r="C1026" s="2406">
        <v>0</v>
      </c>
      <c r="D1026" s="2396"/>
      <c r="E1026" s="2406">
        <v>0</v>
      </c>
      <c r="F1026" s="2406">
        <v>0</v>
      </c>
      <c r="G1026" s="2434">
        <v>0</v>
      </c>
      <c r="H1026" s="2407">
        <v>0</v>
      </c>
      <c r="I1026" s="2408"/>
      <c r="J1026" s="2408"/>
      <c r="K1026" s="2671" t="s">
        <v>6514</v>
      </c>
      <c r="L1026" s="2409"/>
    </row>
    <row r="1027" spans="1:12" ht="12" customHeight="1" x14ac:dyDescent="0.3">
      <c r="A1027" s="2394" t="s">
        <v>3863</v>
      </c>
      <c r="B1027" s="2395" t="s">
        <v>334</v>
      </c>
      <c r="C1027" s="2406">
        <v>0</v>
      </c>
      <c r="D1027" s="2396"/>
      <c r="E1027" s="2406">
        <v>0</v>
      </c>
      <c r="F1027" s="2406">
        <v>0</v>
      </c>
      <c r="G1027" s="2434">
        <v>0</v>
      </c>
      <c r="H1027" s="2407">
        <v>0</v>
      </c>
      <c r="I1027" s="2408"/>
      <c r="J1027" s="2408"/>
      <c r="K1027" s="1242"/>
      <c r="L1027" s="2409"/>
    </row>
    <row r="1028" spans="1:12" ht="12" customHeight="1" x14ac:dyDescent="0.3">
      <c r="A1028" s="2394" t="s">
        <v>3864</v>
      </c>
      <c r="B1028" s="2395" t="s">
        <v>3640</v>
      </c>
      <c r="C1028" s="2406">
        <v>477500</v>
      </c>
      <c r="D1028" s="2396"/>
      <c r="E1028" s="2406">
        <v>0</v>
      </c>
      <c r="F1028" s="2406">
        <v>0</v>
      </c>
      <c r="G1028" s="2434">
        <v>0</v>
      </c>
      <c r="H1028" s="2407">
        <v>477500</v>
      </c>
      <c r="I1028" s="2408"/>
      <c r="J1028" s="2408"/>
      <c r="K1028" s="1242" t="s">
        <v>6514</v>
      </c>
      <c r="L1028" s="2409"/>
    </row>
    <row r="1029" spans="1:12" ht="12" customHeight="1" x14ac:dyDescent="0.3">
      <c r="A1029" s="2394" t="s">
        <v>3865</v>
      </c>
      <c r="B1029" s="2395" t="s">
        <v>3642</v>
      </c>
      <c r="C1029" s="2406">
        <v>0</v>
      </c>
      <c r="D1029" s="2396"/>
      <c r="E1029" s="2406">
        <v>0</v>
      </c>
      <c r="F1029" s="2406">
        <v>0</v>
      </c>
      <c r="G1029" s="2434">
        <v>0</v>
      </c>
      <c r="H1029" s="2407">
        <v>0</v>
      </c>
      <c r="I1029" s="2408"/>
      <c r="J1029" s="2408"/>
      <c r="K1029" s="2671" t="s">
        <v>6515</v>
      </c>
      <c r="L1029" s="2409"/>
    </row>
    <row r="1030" spans="1:12" ht="12" customHeight="1" x14ac:dyDescent="0.3">
      <c r="A1030" s="2394" t="s">
        <v>3866</v>
      </c>
      <c r="B1030" s="2395" t="s">
        <v>3644</v>
      </c>
      <c r="C1030" s="2406">
        <v>551700</v>
      </c>
      <c r="D1030" s="2396"/>
      <c r="E1030" s="2406">
        <v>37500</v>
      </c>
      <c r="F1030" s="2406">
        <v>0</v>
      </c>
      <c r="G1030" s="2434">
        <v>37500</v>
      </c>
      <c r="H1030" s="2407">
        <v>589200</v>
      </c>
      <c r="I1030" s="2408"/>
      <c r="J1030" s="2408"/>
      <c r="K1030" s="2671" t="s">
        <v>6515</v>
      </c>
      <c r="L1030" s="2409"/>
    </row>
    <row r="1031" spans="1:12" ht="12" customHeight="1" x14ac:dyDescent="0.3">
      <c r="A1031" s="2394" t="s">
        <v>3867</v>
      </c>
      <c r="B1031" s="2395" t="s">
        <v>3646</v>
      </c>
      <c r="C1031" s="2406">
        <v>2305000</v>
      </c>
      <c r="D1031" s="2396"/>
      <c r="E1031" s="2406">
        <v>0</v>
      </c>
      <c r="F1031" s="2406">
        <v>0</v>
      </c>
      <c r="G1031" s="2434">
        <v>0</v>
      </c>
      <c r="H1031" s="2407">
        <v>2305000</v>
      </c>
      <c r="I1031" s="2408"/>
      <c r="J1031" s="2408"/>
      <c r="K1031" s="2671" t="s">
        <v>6515</v>
      </c>
      <c r="L1031" s="2409"/>
    </row>
    <row r="1032" spans="1:12" ht="12" customHeight="1" x14ac:dyDescent="0.3">
      <c r="A1032" s="2394" t="s">
        <v>3868</v>
      </c>
      <c r="B1032" s="2395" t="s">
        <v>3648</v>
      </c>
      <c r="C1032" s="2406">
        <v>3925000</v>
      </c>
      <c r="D1032" s="2396"/>
      <c r="E1032" s="2406">
        <v>370000</v>
      </c>
      <c r="F1032" s="2406">
        <v>0</v>
      </c>
      <c r="G1032" s="2434">
        <v>370000</v>
      </c>
      <c r="H1032" s="2407">
        <v>4295000</v>
      </c>
      <c r="I1032" s="2408"/>
      <c r="J1032" s="2408"/>
      <c r="K1032" s="2671" t="s">
        <v>6516</v>
      </c>
      <c r="L1032" s="2409"/>
    </row>
    <row r="1033" spans="1:12" ht="12.75" customHeight="1" x14ac:dyDescent="0.3">
      <c r="A1033" s="2394" t="s">
        <v>3869</v>
      </c>
      <c r="B1033" s="2395" t="s">
        <v>3650</v>
      </c>
      <c r="C1033" s="2406">
        <v>6079000</v>
      </c>
      <c r="D1033" s="2396"/>
      <c r="E1033" s="2406">
        <v>240000</v>
      </c>
      <c r="F1033" s="2406">
        <v>0</v>
      </c>
      <c r="G1033" s="2434">
        <v>240000</v>
      </c>
      <c r="H1033" s="2407">
        <v>6319000</v>
      </c>
      <c r="I1033" s="2408"/>
      <c r="J1033" s="2408"/>
      <c r="K1033" s="2671" t="s">
        <v>6517</v>
      </c>
      <c r="L1033" s="2409"/>
    </row>
    <row r="1034" spans="1:12" ht="12" customHeight="1" x14ac:dyDescent="0.3">
      <c r="A1034" s="2394" t="s">
        <v>3870</v>
      </c>
      <c r="B1034" s="2395" t="s">
        <v>3652</v>
      </c>
      <c r="C1034" s="2406">
        <v>1464400</v>
      </c>
      <c r="D1034" s="2396"/>
      <c r="E1034" s="2406">
        <v>0</v>
      </c>
      <c r="F1034" s="2406">
        <v>0</v>
      </c>
      <c r="G1034" s="2434">
        <v>0</v>
      </c>
      <c r="H1034" s="2407">
        <v>1464400</v>
      </c>
      <c r="I1034" s="2408"/>
      <c r="J1034" s="2408"/>
      <c r="K1034" s="2671" t="s">
        <v>6518</v>
      </c>
      <c r="L1034" s="2409"/>
    </row>
    <row r="1035" spans="1:12" ht="12" customHeight="1" x14ac:dyDescent="0.3">
      <c r="A1035" s="2394" t="s">
        <v>3871</v>
      </c>
      <c r="B1035" s="2395" t="s">
        <v>3654</v>
      </c>
      <c r="C1035" s="2406">
        <v>2086900</v>
      </c>
      <c r="D1035" s="2396"/>
      <c r="E1035" s="2406">
        <v>0</v>
      </c>
      <c r="F1035" s="2406">
        <v>0</v>
      </c>
      <c r="G1035" s="2434">
        <v>0</v>
      </c>
      <c r="H1035" s="2407">
        <v>2086900</v>
      </c>
      <c r="I1035" s="2408"/>
      <c r="J1035" s="2408"/>
      <c r="K1035" s="2671" t="s">
        <v>6518</v>
      </c>
      <c r="L1035" s="2409"/>
    </row>
    <row r="1036" spans="1:12" ht="12" customHeight="1" x14ac:dyDescent="0.3">
      <c r="A1036" s="2394" t="s">
        <v>3872</v>
      </c>
      <c r="B1036" s="2395" t="s">
        <v>3656</v>
      </c>
      <c r="C1036" s="2406">
        <v>0</v>
      </c>
      <c r="D1036" s="2396"/>
      <c r="E1036" s="2406">
        <v>0</v>
      </c>
      <c r="F1036" s="2406">
        <v>0</v>
      </c>
      <c r="G1036" s="2434">
        <v>0</v>
      </c>
      <c r="H1036" s="2407">
        <v>0</v>
      </c>
      <c r="I1036" s="2408"/>
      <c r="J1036" s="2408"/>
      <c r="K1036" s="2671"/>
      <c r="L1036" s="2409"/>
    </row>
    <row r="1037" spans="1:12" ht="12" customHeight="1" x14ac:dyDescent="0.3">
      <c r="A1037" s="2394" t="s">
        <v>3873</v>
      </c>
      <c r="B1037" s="2395" t="s">
        <v>3658</v>
      </c>
      <c r="C1037" s="2406">
        <v>0</v>
      </c>
      <c r="D1037" s="2396"/>
      <c r="E1037" s="2406">
        <v>0</v>
      </c>
      <c r="F1037" s="2406">
        <v>0</v>
      </c>
      <c r="G1037" s="2434">
        <v>0</v>
      </c>
      <c r="H1037" s="2407">
        <v>0</v>
      </c>
      <c r="I1037" s="2408"/>
      <c r="J1037" s="2408"/>
      <c r="K1037" s="2671" t="s">
        <v>6519</v>
      </c>
      <c r="L1037" s="2409"/>
    </row>
    <row r="1038" spans="1:12" ht="12" customHeight="1" x14ac:dyDescent="0.3">
      <c r="A1038" s="2394" t="s">
        <v>3874</v>
      </c>
      <c r="B1038" s="2395" t="s">
        <v>3660</v>
      </c>
      <c r="C1038" s="2406">
        <v>6607300</v>
      </c>
      <c r="D1038" s="2396"/>
      <c r="E1038" s="2406">
        <v>674600</v>
      </c>
      <c r="F1038" s="2406">
        <v>0</v>
      </c>
      <c r="G1038" s="2434">
        <v>674600</v>
      </c>
      <c r="H1038" s="2407">
        <v>7281900</v>
      </c>
      <c r="I1038" s="2408"/>
      <c r="J1038" s="2408"/>
      <c r="K1038" s="2671" t="s">
        <v>6520</v>
      </c>
      <c r="L1038" s="2409"/>
    </row>
    <row r="1039" spans="1:12" ht="12" customHeight="1" x14ac:dyDescent="0.3">
      <c r="A1039" s="2394" t="s">
        <v>3875</v>
      </c>
      <c r="B1039" s="2395" t="s">
        <v>3662</v>
      </c>
      <c r="C1039" s="2406">
        <v>200000</v>
      </c>
      <c r="D1039" s="2396"/>
      <c r="E1039" s="2406">
        <v>0</v>
      </c>
      <c r="F1039" s="2406">
        <v>0</v>
      </c>
      <c r="G1039" s="2434">
        <v>0</v>
      </c>
      <c r="H1039" s="2407">
        <v>200000</v>
      </c>
      <c r="I1039" s="2408"/>
      <c r="J1039" s="2408"/>
      <c r="K1039" s="2671" t="s">
        <v>6521</v>
      </c>
      <c r="L1039" s="2409"/>
    </row>
    <row r="1040" spans="1:12" ht="12.75" customHeight="1" x14ac:dyDescent="0.3">
      <c r="A1040" s="2394" t="s">
        <v>3876</v>
      </c>
      <c r="B1040" s="2395" t="s">
        <v>3664</v>
      </c>
      <c r="C1040" s="2406">
        <v>10602100</v>
      </c>
      <c r="D1040" s="2396"/>
      <c r="E1040" s="2406">
        <v>60000</v>
      </c>
      <c r="F1040" s="2406">
        <v>0</v>
      </c>
      <c r="G1040" s="2434">
        <v>60000</v>
      </c>
      <c r="H1040" s="2407">
        <v>10662100</v>
      </c>
      <c r="I1040" s="2408"/>
      <c r="J1040" s="2408"/>
      <c r="K1040" s="2671" t="s">
        <v>6522</v>
      </c>
      <c r="L1040" s="2409"/>
    </row>
    <row r="1041" spans="1:12" ht="12" customHeight="1" x14ac:dyDescent="0.3">
      <c r="A1041" s="2394" t="s">
        <v>3877</v>
      </c>
      <c r="B1041" s="2395" t="s">
        <v>3666</v>
      </c>
      <c r="C1041" s="2406">
        <v>0</v>
      </c>
      <c r="D1041" s="2396"/>
      <c r="E1041" s="2406">
        <v>0</v>
      </c>
      <c r="F1041" s="2406">
        <v>0</v>
      </c>
      <c r="G1041" s="2434">
        <v>0</v>
      </c>
      <c r="H1041" s="2407">
        <v>0</v>
      </c>
      <c r="I1041" s="2408"/>
      <c r="J1041" s="2408"/>
      <c r="K1041" s="2671" t="s">
        <v>6523</v>
      </c>
      <c r="L1041" s="2409"/>
    </row>
    <row r="1042" spans="1:12" ht="12" customHeight="1" x14ac:dyDescent="0.3">
      <c r="A1042" s="2394" t="s">
        <v>3878</v>
      </c>
      <c r="B1042" s="2395" t="s">
        <v>3668</v>
      </c>
      <c r="C1042" s="2406">
        <v>0</v>
      </c>
      <c r="D1042" s="2396"/>
      <c r="E1042" s="2406">
        <v>0</v>
      </c>
      <c r="F1042" s="2406">
        <v>0</v>
      </c>
      <c r="G1042" s="2434">
        <v>0</v>
      </c>
      <c r="H1042" s="2407">
        <v>0</v>
      </c>
      <c r="I1042" s="2408"/>
      <c r="J1042" s="2408"/>
      <c r="K1042" s="2671" t="s">
        <v>6524</v>
      </c>
      <c r="L1042" s="2409"/>
    </row>
    <row r="1043" spans="1:12" ht="12" customHeight="1" x14ac:dyDescent="0.3">
      <c r="A1043" s="2394" t="s">
        <v>3879</v>
      </c>
      <c r="B1043" s="2395" t="s">
        <v>350</v>
      </c>
      <c r="C1043" s="2406">
        <v>0</v>
      </c>
      <c r="D1043" s="2396"/>
      <c r="E1043" s="2406">
        <v>0</v>
      </c>
      <c r="F1043" s="2406">
        <v>0</v>
      </c>
      <c r="G1043" s="2434">
        <v>0</v>
      </c>
      <c r="H1043" s="2407">
        <v>0</v>
      </c>
      <c r="I1043" s="2408"/>
      <c r="J1043" s="2408"/>
      <c r="K1043" s="2671" t="s">
        <v>6536</v>
      </c>
      <c r="L1043" s="2409"/>
    </row>
    <row r="1044" spans="1:12" ht="12" customHeight="1" x14ac:dyDescent="0.3">
      <c r="A1044" s="2394" t="s">
        <v>3880</v>
      </c>
      <c r="B1044" s="2395" t="s">
        <v>3671</v>
      </c>
      <c r="C1044" s="2406">
        <v>0</v>
      </c>
      <c r="D1044" s="2396"/>
      <c r="E1044" s="2406">
        <v>0</v>
      </c>
      <c r="F1044" s="2406">
        <v>0</v>
      </c>
      <c r="G1044" s="2434">
        <v>0</v>
      </c>
      <c r="H1044" s="2407">
        <v>0</v>
      </c>
      <c r="I1044" s="2408"/>
      <c r="J1044" s="2408"/>
      <c r="K1044" s="2671"/>
      <c r="L1044" s="2409"/>
    </row>
    <row r="1045" spans="1:12" ht="12" customHeight="1" x14ac:dyDescent="0.3">
      <c r="A1045" s="2394" t="s">
        <v>3881</v>
      </c>
      <c r="B1045" s="2395" t="s">
        <v>3673</v>
      </c>
      <c r="C1045" s="2406">
        <v>0</v>
      </c>
      <c r="D1045" s="2396"/>
      <c r="E1045" s="2406">
        <v>2500000</v>
      </c>
      <c r="F1045" s="2406">
        <v>0</v>
      </c>
      <c r="G1045" s="2434">
        <v>2500000</v>
      </c>
      <c r="H1045" s="2407">
        <v>2500000</v>
      </c>
      <c r="I1045" s="2408"/>
      <c r="J1045" s="2408"/>
      <c r="K1045" s="2671" t="s">
        <v>6525</v>
      </c>
      <c r="L1045" s="2409"/>
    </row>
    <row r="1046" spans="1:12" ht="12" customHeight="1" x14ac:dyDescent="0.3">
      <c r="A1046" s="2394" t="s">
        <v>3882</v>
      </c>
      <c r="B1046" s="2395" t="s">
        <v>3675</v>
      </c>
      <c r="C1046" s="2406">
        <v>950000</v>
      </c>
      <c r="D1046" s="2396"/>
      <c r="E1046" s="2406">
        <v>0</v>
      </c>
      <c r="F1046" s="2406">
        <v>0</v>
      </c>
      <c r="G1046" s="2434">
        <v>0</v>
      </c>
      <c r="H1046" s="2407">
        <v>950000</v>
      </c>
      <c r="I1046" s="2408"/>
      <c r="J1046" s="2408"/>
      <c r="K1046" s="2671" t="s">
        <v>6526</v>
      </c>
      <c r="L1046" s="2409"/>
    </row>
    <row r="1047" spans="1:12" ht="12" customHeight="1" x14ac:dyDescent="0.3">
      <c r="A1047" s="2394" t="s">
        <v>3883</v>
      </c>
      <c r="B1047" s="2395" t="s">
        <v>3677</v>
      </c>
      <c r="C1047" s="2406">
        <v>0</v>
      </c>
      <c r="D1047" s="2396"/>
      <c r="E1047" s="2406">
        <v>0</v>
      </c>
      <c r="F1047" s="2406">
        <v>0</v>
      </c>
      <c r="G1047" s="2434">
        <v>0</v>
      </c>
      <c r="H1047" s="2407">
        <v>0</v>
      </c>
      <c r="I1047" s="2408"/>
      <c r="J1047" s="2408"/>
      <c r="K1047" s="2671" t="s">
        <v>6526</v>
      </c>
      <c r="L1047" s="2409"/>
    </row>
    <row r="1048" spans="1:12" ht="12" customHeight="1" x14ac:dyDescent="0.3">
      <c r="A1048" s="2394" t="s">
        <v>3884</v>
      </c>
      <c r="B1048" s="2395" t="s">
        <v>3679</v>
      </c>
      <c r="C1048" s="2406">
        <v>0</v>
      </c>
      <c r="D1048" s="2396"/>
      <c r="E1048" s="2406">
        <v>0</v>
      </c>
      <c r="F1048" s="2406">
        <v>0</v>
      </c>
      <c r="G1048" s="2434">
        <v>0</v>
      </c>
      <c r="H1048" s="2407">
        <v>0</v>
      </c>
      <c r="I1048" s="2408"/>
      <c r="J1048" s="2408"/>
      <c r="K1048" s="2671" t="s">
        <v>6526</v>
      </c>
      <c r="L1048" s="2409"/>
    </row>
    <row r="1049" spans="1:12" ht="12" customHeight="1" x14ac:dyDescent="0.3">
      <c r="A1049" s="2394" t="s">
        <v>3885</v>
      </c>
      <c r="B1049" s="2395" t="s">
        <v>3681</v>
      </c>
      <c r="C1049" s="2406">
        <v>0</v>
      </c>
      <c r="D1049" s="2396"/>
      <c r="E1049" s="2406">
        <v>0</v>
      </c>
      <c r="F1049" s="2406">
        <v>0</v>
      </c>
      <c r="G1049" s="2434">
        <v>0</v>
      </c>
      <c r="H1049" s="2407">
        <v>0</v>
      </c>
      <c r="I1049" s="2408"/>
      <c r="J1049" s="2408"/>
      <c r="K1049" s="2671" t="s">
        <v>6526</v>
      </c>
      <c r="L1049" s="2409"/>
    </row>
    <row r="1050" spans="1:12" ht="12.75" customHeight="1" x14ac:dyDescent="0.3">
      <c r="A1050" s="2394" t="s">
        <v>3886</v>
      </c>
      <c r="B1050" s="2395" t="s">
        <v>3683</v>
      </c>
      <c r="C1050" s="2406">
        <v>0</v>
      </c>
      <c r="D1050" s="2396"/>
      <c r="E1050" s="2406">
        <v>0</v>
      </c>
      <c r="F1050" s="2406">
        <v>0</v>
      </c>
      <c r="G1050" s="2434">
        <v>0</v>
      </c>
      <c r="H1050" s="2407">
        <v>0</v>
      </c>
      <c r="I1050" s="2408"/>
      <c r="J1050" s="2408"/>
      <c r="K1050" s="2671" t="s">
        <v>6527</v>
      </c>
      <c r="L1050" s="2409"/>
    </row>
    <row r="1051" spans="1:12" ht="12" customHeight="1" x14ac:dyDescent="0.3">
      <c r="A1051" s="2394" t="s">
        <v>3887</v>
      </c>
      <c r="B1051" s="2395" t="s">
        <v>3685</v>
      </c>
      <c r="C1051" s="2406">
        <v>0</v>
      </c>
      <c r="D1051" s="2396"/>
      <c r="E1051" s="2406">
        <v>0</v>
      </c>
      <c r="F1051" s="2406">
        <v>0</v>
      </c>
      <c r="G1051" s="2434">
        <v>0</v>
      </c>
      <c r="H1051" s="2407">
        <v>0</v>
      </c>
      <c r="I1051" s="2408"/>
      <c r="J1051" s="2408"/>
      <c r="K1051" s="2671" t="s">
        <v>6528</v>
      </c>
      <c r="L1051" s="2409"/>
    </row>
    <row r="1052" spans="1:12" ht="12" customHeight="1" x14ac:dyDescent="0.3">
      <c r="A1052" s="2394" t="s">
        <v>3888</v>
      </c>
      <c r="B1052" s="2395" t="s">
        <v>3687</v>
      </c>
      <c r="C1052" s="2406">
        <v>0</v>
      </c>
      <c r="D1052" s="2396"/>
      <c r="E1052" s="2406">
        <v>0</v>
      </c>
      <c r="F1052" s="2406">
        <v>0</v>
      </c>
      <c r="G1052" s="2434">
        <v>0</v>
      </c>
      <c r="H1052" s="2407">
        <v>0</v>
      </c>
      <c r="I1052" s="2408"/>
      <c r="J1052" s="2408"/>
      <c r="K1052" s="2671" t="s">
        <v>6528</v>
      </c>
      <c r="L1052" s="2409"/>
    </row>
    <row r="1053" spans="1:12" ht="12" customHeight="1" x14ac:dyDescent="0.3">
      <c r="A1053" s="2394" t="s">
        <v>3889</v>
      </c>
      <c r="B1053" s="2395" t="s">
        <v>3689</v>
      </c>
      <c r="C1053" s="2406">
        <v>0</v>
      </c>
      <c r="D1053" s="2396"/>
      <c r="E1053" s="2406">
        <v>0</v>
      </c>
      <c r="F1053" s="2406">
        <v>0</v>
      </c>
      <c r="G1053" s="2434">
        <v>0</v>
      </c>
      <c r="H1053" s="2407">
        <v>0</v>
      </c>
      <c r="I1053" s="2408"/>
      <c r="J1053" s="2408"/>
      <c r="K1053" s="2671" t="s">
        <v>6528</v>
      </c>
      <c r="L1053" s="2409"/>
    </row>
    <row r="1054" spans="1:12" ht="12" customHeight="1" x14ac:dyDescent="0.3">
      <c r="A1054" s="2394" t="s">
        <v>3890</v>
      </c>
      <c r="B1054" s="2395" t="s">
        <v>3691</v>
      </c>
      <c r="C1054" s="2406">
        <v>0</v>
      </c>
      <c r="D1054" s="2396"/>
      <c r="E1054" s="2406">
        <v>0</v>
      </c>
      <c r="F1054" s="2406">
        <v>0</v>
      </c>
      <c r="G1054" s="2434">
        <v>0</v>
      </c>
      <c r="H1054" s="2407">
        <v>0</v>
      </c>
      <c r="I1054" s="2408"/>
      <c r="J1054" s="2408"/>
      <c r="K1054" s="2671"/>
      <c r="L1054" s="2409"/>
    </row>
    <row r="1055" spans="1:12" ht="12" customHeight="1" x14ac:dyDescent="0.3">
      <c r="A1055" s="2394" t="s">
        <v>3891</v>
      </c>
      <c r="B1055" s="2395" t="s">
        <v>3693</v>
      </c>
      <c r="C1055" s="2406">
        <v>0</v>
      </c>
      <c r="D1055" s="2396"/>
      <c r="E1055" s="2406">
        <v>0</v>
      </c>
      <c r="F1055" s="2406">
        <v>0</v>
      </c>
      <c r="G1055" s="2434">
        <v>0</v>
      </c>
      <c r="H1055" s="2407">
        <v>0</v>
      </c>
      <c r="I1055" s="2408"/>
      <c r="J1055" s="2408"/>
      <c r="K1055" s="2671" t="s">
        <v>6529</v>
      </c>
      <c r="L1055" s="2409"/>
    </row>
    <row r="1056" spans="1:12" ht="12" customHeight="1" x14ac:dyDescent="0.3">
      <c r="A1056" s="2394" t="s">
        <v>3892</v>
      </c>
      <c r="B1056" s="2395" t="s">
        <v>3695</v>
      </c>
      <c r="C1056" s="2406">
        <v>0</v>
      </c>
      <c r="D1056" s="2396"/>
      <c r="E1056" s="2406">
        <v>0</v>
      </c>
      <c r="F1056" s="2406">
        <v>0</v>
      </c>
      <c r="G1056" s="2434">
        <v>0</v>
      </c>
      <c r="H1056" s="2407">
        <v>0</v>
      </c>
      <c r="I1056" s="2408"/>
      <c r="J1056" s="2408"/>
      <c r="K1056" s="2671" t="s">
        <v>6530</v>
      </c>
      <c r="L1056" s="2409"/>
    </row>
    <row r="1057" spans="1:12" ht="12" customHeight="1" x14ac:dyDescent="0.3">
      <c r="A1057" s="2394" t="s">
        <v>3893</v>
      </c>
      <c r="B1057" s="2395" t="s">
        <v>3697</v>
      </c>
      <c r="C1057" s="2406">
        <v>1712500</v>
      </c>
      <c r="D1057" s="2396"/>
      <c r="E1057" s="2406">
        <v>0</v>
      </c>
      <c r="F1057" s="2406">
        <v>0</v>
      </c>
      <c r="G1057" s="2434">
        <v>0</v>
      </c>
      <c r="H1057" s="2407">
        <v>1712500</v>
      </c>
      <c r="I1057" s="2408"/>
      <c r="J1057" s="2408"/>
      <c r="K1057" s="2671" t="s">
        <v>6531</v>
      </c>
      <c r="L1057" s="2409"/>
    </row>
    <row r="1058" spans="1:12" ht="12" customHeight="1" x14ac:dyDescent="0.3">
      <c r="A1058" s="2394" t="s">
        <v>3894</v>
      </c>
      <c r="B1058" s="2395" t="s">
        <v>3699</v>
      </c>
      <c r="C1058" s="2406">
        <v>0</v>
      </c>
      <c r="D1058" s="2396"/>
      <c r="E1058" s="2406">
        <v>0</v>
      </c>
      <c r="F1058" s="2406">
        <v>0</v>
      </c>
      <c r="G1058" s="2434">
        <v>0</v>
      </c>
      <c r="H1058" s="2407">
        <v>0</v>
      </c>
      <c r="I1058" s="2408"/>
      <c r="J1058" s="2408"/>
      <c r="K1058" s="2671" t="s">
        <v>6532</v>
      </c>
      <c r="L1058" s="2409"/>
    </row>
    <row r="1059" spans="1:12" ht="12" customHeight="1" x14ac:dyDescent="0.3">
      <c r="A1059" s="2394" t="s">
        <v>3895</v>
      </c>
      <c r="B1059" s="2395" t="s">
        <v>3701</v>
      </c>
      <c r="C1059" s="2406">
        <v>6369500</v>
      </c>
      <c r="D1059" s="2396"/>
      <c r="E1059" s="2406">
        <v>0</v>
      </c>
      <c r="F1059" s="2406">
        <v>0</v>
      </c>
      <c r="G1059" s="2434">
        <v>0</v>
      </c>
      <c r="H1059" s="2407">
        <v>6369500</v>
      </c>
      <c r="I1059" s="2408"/>
      <c r="J1059" s="2408"/>
      <c r="K1059" s="2671" t="s">
        <v>6533</v>
      </c>
      <c r="L1059" s="2409"/>
    </row>
    <row r="1060" spans="1:12" ht="12" customHeight="1" x14ac:dyDescent="0.3">
      <c r="A1060" s="2394" t="s">
        <v>3896</v>
      </c>
      <c r="B1060" s="2395" t="s">
        <v>3703</v>
      </c>
      <c r="C1060" s="2406">
        <v>1360800</v>
      </c>
      <c r="D1060" s="2396"/>
      <c r="E1060" s="2406">
        <v>0</v>
      </c>
      <c r="F1060" s="2406">
        <v>0</v>
      </c>
      <c r="G1060" s="2434">
        <v>0</v>
      </c>
      <c r="H1060" s="2407">
        <v>1360800</v>
      </c>
      <c r="I1060" s="2408"/>
      <c r="J1060" s="2408"/>
      <c r="K1060" s="2671" t="s">
        <v>6534</v>
      </c>
      <c r="L1060" s="2409"/>
    </row>
    <row r="1061" spans="1:12" ht="12" customHeight="1" x14ac:dyDescent="0.3">
      <c r="A1061" s="2394" t="s">
        <v>3897</v>
      </c>
      <c r="B1061" s="2395" t="s">
        <v>3705</v>
      </c>
      <c r="C1061" s="2406">
        <v>0</v>
      </c>
      <c r="D1061" s="2396"/>
      <c r="E1061" s="2406">
        <v>0</v>
      </c>
      <c r="F1061" s="2406">
        <v>0</v>
      </c>
      <c r="G1061" s="2434">
        <v>0</v>
      </c>
      <c r="H1061" s="2407">
        <v>0</v>
      </c>
      <c r="I1061" s="2408"/>
      <c r="J1061" s="2408"/>
      <c r="K1061" s="2671" t="s">
        <v>6534</v>
      </c>
      <c r="L1061" s="2409"/>
    </row>
    <row r="1062" spans="1:12" ht="12" customHeight="1" x14ac:dyDescent="0.3">
      <c r="A1062" s="2394" t="s">
        <v>3898</v>
      </c>
      <c r="B1062" s="2395" t="s">
        <v>3707</v>
      </c>
      <c r="C1062" s="2406">
        <v>5206400</v>
      </c>
      <c r="D1062" s="2396"/>
      <c r="E1062" s="2406">
        <v>0</v>
      </c>
      <c r="F1062" s="2406">
        <v>0</v>
      </c>
      <c r="G1062" s="2434">
        <v>0</v>
      </c>
      <c r="H1062" s="2407">
        <v>5206400</v>
      </c>
      <c r="I1062" s="2408"/>
      <c r="J1062" s="2408"/>
      <c r="K1062" s="2671" t="s">
        <v>6535</v>
      </c>
      <c r="L1062" s="2409"/>
    </row>
    <row r="1063" spans="1:12" ht="12" customHeight="1" x14ac:dyDescent="0.3">
      <c r="A1063" s="2394" t="s">
        <v>3899</v>
      </c>
      <c r="B1063" s="2395" t="s">
        <v>350</v>
      </c>
      <c r="C1063" s="2406">
        <v>0</v>
      </c>
      <c r="D1063" s="2396"/>
      <c r="E1063" s="2406">
        <v>0</v>
      </c>
      <c r="F1063" s="2406">
        <v>0</v>
      </c>
      <c r="G1063" s="2434">
        <v>0</v>
      </c>
      <c r="H1063" s="2407">
        <v>0</v>
      </c>
      <c r="I1063" s="2408"/>
      <c r="J1063" s="2408"/>
      <c r="K1063" s="2671" t="s">
        <v>6536</v>
      </c>
      <c r="L1063" s="2409"/>
    </row>
    <row r="1064" spans="1:12" ht="12" customHeight="1" x14ac:dyDescent="0.3">
      <c r="A1064" s="2394" t="s">
        <v>3900</v>
      </c>
      <c r="B1064" s="2395" t="s">
        <v>3710</v>
      </c>
      <c r="C1064" s="2406">
        <v>0</v>
      </c>
      <c r="D1064" s="2396"/>
      <c r="E1064" s="2406">
        <v>0</v>
      </c>
      <c r="F1064" s="2406">
        <v>0</v>
      </c>
      <c r="G1064" s="2434">
        <v>0</v>
      </c>
      <c r="H1064" s="2407">
        <v>0</v>
      </c>
      <c r="I1064" s="2408"/>
      <c r="J1064" s="2408"/>
      <c r="K1064" s="2671"/>
      <c r="L1064" s="2409"/>
    </row>
    <row r="1065" spans="1:12" ht="12" customHeight="1" x14ac:dyDescent="0.3">
      <c r="A1065" s="2394" t="s">
        <v>3901</v>
      </c>
      <c r="B1065" s="2395" t="s">
        <v>3712</v>
      </c>
      <c r="C1065" s="2406">
        <v>0</v>
      </c>
      <c r="D1065" s="2396"/>
      <c r="E1065" s="2406">
        <v>2314300</v>
      </c>
      <c r="F1065" s="2406">
        <v>0</v>
      </c>
      <c r="G1065" s="2434">
        <v>2314300</v>
      </c>
      <c r="H1065" s="2407">
        <v>2314300</v>
      </c>
      <c r="I1065" s="2408"/>
      <c r="J1065" s="2408"/>
      <c r="K1065" s="2671" t="s">
        <v>6517</v>
      </c>
      <c r="L1065" s="2409"/>
    </row>
    <row r="1066" spans="1:12" ht="12" customHeight="1" x14ac:dyDescent="0.3">
      <c r="A1066" s="2394" t="s">
        <v>3902</v>
      </c>
      <c r="B1066" s="2395" t="s">
        <v>3714</v>
      </c>
      <c r="C1066" s="2406">
        <v>0</v>
      </c>
      <c r="D1066" s="2396"/>
      <c r="E1066" s="2406">
        <v>0</v>
      </c>
      <c r="F1066" s="2406">
        <v>0</v>
      </c>
      <c r="G1066" s="2434">
        <v>0</v>
      </c>
      <c r="H1066" s="2407">
        <v>0</v>
      </c>
      <c r="I1066" s="2408"/>
      <c r="J1066" s="2408"/>
      <c r="K1066" s="2671" t="s">
        <v>6536</v>
      </c>
      <c r="L1066" s="2409"/>
    </row>
    <row r="1067" spans="1:12" ht="12" customHeight="1" x14ac:dyDescent="0.3">
      <c r="A1067" s="2394" t="s">
        <v>3903</v>
      </c>
      <c r="B1067" s="2395" t="s">
        <v>3716</v>
      </c>
      <c r="C1067" s="2406">
        <v>7785900</v>
      </c>
      <c r="D1067" s="2396"/>
      <c r="E1067" s="2406">
        <v>0</v>
      </c>
      <c r="F1067" s="2406">
        <v>0</v>
      </c>
      <c r="G1067" s="2434">
        <v>0</v>
      </c>
      <c r="H1067" s="2407">
        <v>7785900</v>
      </c>
      <c r="I1067" s="2408"/>
      <c r="J1067" s="2408"/>
      <c r="K1067" s="2671" t="s">
        <v>6517</v>
      </c>
      <c r="L1067" s="2409"/>
    </row>
    <row r="1068" spans="1:12" ht="12" customHeight="1" x14ac:dyDescent="0.3">
      <c r="A1068" s="2394" t="s">
        <v>3904</v>
      </c>
      <c r="B1068" s="2395" t="s">
        <v>3718</v>
      </c>
      <c r="C1068" s="2406">
        <v>0</v>
      </c>
      <c r="D1068" s="2396"/>
      <c r="E1068" s="2406">
        <v>0</v>
      </c>
      <c r="F1068" s="2406">
        <v>0</v>
      </c>
      <c r="G1068" s="2434">
        <v>0</v>
      </c>
      <c r="H1068" s="2407">
        <v>0</v>
      </c>
      <c r="I1068" s="2408"/>
      <c r="J1068" s="2408"/>
      <c r="K1068" s="2671" t="s">
        <v>6516</v>
      </c>
      <c r="L1068" s="2409"/>
    </row>
    <row r="1069" spans="1:12" ht="12" customHeight="1" x14ac:dyDescent="0.3">
      <c r="A1069" s="2394" t="s">
        <v>3905</v>
      </c>
      <c r="B1069" s="2395" t="s">
        <v>3720</v>
      </c>
      <c r="C1069" s="2406">
        <v>0</v>
      </c>
      <c r="D1069" s="2396"/>
      <c r="E1069" s="2406">
        <v>0</v>
      </c>
      <c r="F1069" s="2406">
        <v>0</v>
      </c>
      <c r="G1069" s="2434">
        <v>0</v>
      </c>
      <c r="H1069" s="2407">
        <v>0</v>
      </c>
      <c r="I1069" s="2408"/>
      <c r="J1069" s="2408"/>
      <c r="K1069" s="2671" t="s">
        <v>6515</v>
      </c>
      <c r="L1069" s="2409"/>
    </row>
    <row r="1070" spans="1:12" ht="12" customHeight="1" x14ac:dyDescent="0.3">
      <c r="A1070" s="2394" t="s">
        <v>3906</v>
      </c>
      <c r="B1070" s="2395" t="s">
        <v>675</v>
      </c>
      <c r="C1070" s="2406">
        <v>0</v>
      </c>
      <c r="D1070" s="2396"/>
      <c r="E1070" s="2406">
        <v>0</v>
      </c>
      <c r="F1070" s="2406">
        <v>0</v>
      </c>
      <c r="G1070" s="2434">
        <v>0</v>
      </c>
      <c r="H1070" s="2407">
        <v>0</v>
      </c>
      <c r="I1070" s="2408"/>
      <c r="J1070" s="2408"/>
      <c r="K1070" s="2671" t="s">
        <v>6535</v>
      </c>
      <c r="L1070" s="2409"/>
    </row>
    <row r="1071" spans="1:12" ht="12" customHeight="1" x14ac:dyDescent="0.3">
      <c r="A1071" s="2394" t="s">
        <v>3907</v>
      </c>
      <c r="B1071" s="2395" t="s">
        <v>3723</v>
      </c>
      <c r="C1071" s="2406">
        <v>0</v>
      </c>
      <c r="D1071" s="2396"/>
      <c r="E1071" s="2406">
        <v>0</v>
      </c>
      <c r="F1071" s="2406">
        <v>0</v>
      </c>
      <c r="G1071" s="2434">
        <v>0</v>
      </c>
      <c r="H1071" s="2407">
        <v>0</v>
      </c>
      <c r="I1071" s="2408"/>
      <c r="J1071" s="2408"/>
      <c r="K1071" s="2671" t="s">
        <v>6523</v>
      </c>
      <c r="L1071" s="2409"/>
    </row>
    <row r="1072" spans="1:12" ht="12" customHeight="1" x14ac:dyDescent="0.3">
      <c r="A1072" s="2394" t="s">
        <v>3908</v>
      </c>
      <c r="B1072" s="2395" t="s">
        <v>3249</v>
      </c>
      <c r="C1072" s="2406">
        <v>0</v>
      </c>
      <c r="D1072" s="2396"/>
      <c r="E1072" s="2406">
        <v>0</v>
      </c>
      <c r="F1072" s="2406">
        <v>0</v>
      </c>
      <c r="G1072" s="2434">
        <v>0</v>
      </c>
      <c r="H1072" s="2407">
        <v>0</v>
      </c>
      <c r="I1072" s="2408"/>
      <c r="J1072" s="2408"/>
      <c r="K1072" s="2671" t="s">
        <v>6520</v>
      </c>
      <c r="L1072" s="2409"/>
    </row>
    <row r="1073" spans="1:12" ht="12" customHeight="1" x14ac:dyDescent="0.3">
      <c r="A1073" s="2394" t="s">
        <v>3909</v>
      </c>
      <c r="B1073" s="2395" t="s">
        <v>350</v>
      </c>
      <c r="C1073" s="2406">
        <v>1752500</v>
      </c>
      <c r="D1073" s="2396"/>
      <c r="E1073" s="2406">
        <v>0</v>
      </c>
      <c r="F1073" s="2406">
        <v>0</v>
      </c>
      <c r="G1073" s="2434">
        <v>0</v>
      </c>
      <c r="H1073" s="2407">
        <v>1752500</v>
      </c>
      <c r="I1073" s="2408"/>
      <c r="J1073" s="2408"/>
      <c r="K1073" s="2673" t="s">
        <v>6536</v>
      </c>
      <c r="L1073" s="2409"/>
    </row>
    <row r="1074" spans="1:12" ht="12" customHeight="1" x14ac:dyDescent="0.3">
      <c r="A1074" s="2394" t="s">
        <v>3910</v>
      </c>
      <c r="B1074" s="2395" t="s">
        <v>3727</v>
      </c>
      <c r="C1074" s="2406">
        <v>0</v>
      </c>
      <c r="D1074" s="2396"/>
      <c r="E1074" s="2406">
        <v>0</v>
      </c>
      <c r="F1074" s="2406">
        <v>0</v>
      </c>
      <c r="G1074" s="2434">
        <v>0</v>
      </c>
      <c r="H1074" s="2407">
        <v>0</v>
      </c>
      <c r="I1074" s="2408"/>
      <c r="J1074" s="2408"/>
      <c r="K1074" s="2671"/>
      <c r="L1074" s="2409"/>
    </row>
    <row r="1075" spans="1:12" ht="12" customHeight="1" x14ac:dyDescent="0.3">
      <c r="A1075" s="2394" t="s">
        <v>3911</v>
      </c>
      <c r="B1075" s="2395" t="s">
        <v>3729</v>
      </c>
      <c r="C1075" s="2406">
        <v>0</v>
      </c>
      <c r="D1075" s="2396"/>
      <c r="E1075" s="2406">
        <v>0</v>
      </c>
      <c r="F1075" s="2406">
        <v>0</v>
      </c>
      <c r="G1075" s="2434">
        <v>0</v>
      </c>
      <c r="H1075" s="2407">
        <v>0</v>
      </c>
      <c r="I1075" s="2408"/>
      <c r="J1075" s="2408"/>
      <c r="K1075" s="2671" t="s">
        <v>6515</v>
      </c>
      <c r="L1075" s="2409"/>
    </row>
    <row r="1076" spans="1:12" ht="12" customHeight="1" x14ac:dyDescent="0.3">
      <c r="A1076" s="2394" t="s">
        <v>3912</v>
      </c>
      <c r="B1076" s="2395" t="s">
        <v>3731</v>
      </c>
      <c r="C1076" s="2406">
        <v>0</v>
      </c>
      <c r="D1076" s="2396"/>
      <c r="E1076" s="2406">
        <v>0</v>
      </c>
      <c r="F1076" s="2406">
        <v>0</v>
      </c>
      <c r="G1076" s="2434">
        <v>0</v>
      </c>
      <c r="H1076" s="2407">
        <v>0</v>
      </c>
      <c r="I1076" s="2408"/>
      <c r="J1076" s="2408"/>
      <c r="K1076" s="2671" t="s">
        <v>6516</v>
      </c>
      <c r="L1076" s="2409"/>
    </row>
    <row r="1077" spans="1:12" ht="12" customHeight="1" x14ac:dyDescent="0.3">
      <c r="A1077" s="2394" t="s">
        <v>3913</v>
      </c>
      <c r="B1077" s="2395" t="s">
        <v>3733</v>
      </c>
      <c r="C1077" s="2406">
        <v>0</v>
      </c>
      <c r="D1077" s="2396"/>
      <c r="E1077" s="2406">
        <v>0</v>
      </c>
      <c r="F1077" s="2406">
        <v>0</v>
      </c>
      <c r="G1077" s="2434">
        <v>0</v>
      </c>
      <c r="H1077" s="2407">
        <v>0</v>
      </c>
      <c r="I1077" s="2408"/>
      <c r="J1077" s="2408"/>
      <c r="K1077" s="2671" t="s">
        <v>6518</v>
      </c>
      <c r="L1077" s="2409"/>
    </row>
    <row r="1078" spans="1:12" ht="12" customHeight="1" x14ac:dyDescent="0.3">
      <c r="A1078" s="2394" t="s">
        <v>3914</v>
      </c>
      <c r="B1078" s="2395" t="s">
        <v>3735</v>
      </c>
      <c r="C1078" s="2406">
        <v>0</v>
      </c>
      <c r="D1078" s="2396"/>
      <c r="E1078" s="2406">
        <v>0</v>
      </c>
      <c r="F1078" s="2406">
        <v>0</v>
      </c>
      <c r="G1078" s="2434">
        <v>0</v>
      </c>
      <c r="H1078" s="2407">
        <v>0</v>
      </c>
      <c r="I1078" s="2408"/>
      <c r="J1078" s="2408"/>
      <c r="K1078" s="2671" t="s">
        <v>6521</v>
      </c>
      <c r="L1078" s="2409"/>
    </row>
    <row r="1079" spans="1:12" ht="12" customHeight="1" x14ac:dyDescent="0.3">
      <c r="A1079" s="2394" t="s">
        <v>3915</v>
      </c>
      <c r="B1079" s="2395" t="s">
        <v>3737</v>
      </c>
      <c r="C1079" s="2406">
        <v>0</v>
      </c>
      <c r="D1079" s="2396"/>
      <c r="E1079" s="2406">
        <v>0</v>
      </c>
      <c r="F1079" s="2406">
        <v>0</v>
      </c>
      <c r="G1079" s="2434">
        <v>0</v>
      </c>
      <c r="H1079" s="2407">
        <v>0</v>
      </c>
      <c r="I1079" s="2408"/>
      <c r="J1079" s="2408"/>
      <c r="K1079" s="2671" t="s">
        <v>6520</v>
      </c>
      <c r="L1079" s="2409"/>
    </row>
    <row r="1080" spans="1:12" ht="12" customHeight="1" x14ac:dyDescent="0.3">
      <c r="A1080" s="2394" t="s">
        <v>3916</v>
      </c>
      <c r="B1080" s="2395" t="s">
        <v>3739</v>
      </c>
      <c r="C1080" s="2406">
        <v>0</v>
      </c>
      <c r="D1080" s="2396"/>
      <c r="E1080" s="2406">
        <v>0</v>
      </c>
      <c r="F1080" s="2406">
        <v>0</v>
      </c>
      <c r="G1080" s="2434">
        <v>0</v>
      </c>
      <c r="H1080" s="2407">
        <v>0</v>
      </c>
      <c r="I1080" s="2408"/>
      <c r="J1080" s="2408"/>
      <c r="K1080" s="2671" t="s">
        <v>6518</v>
      </c>
      <c r="L1080" s="2409"/>
    </row>
    <row r="1081" spans="1:12" ht="12" customHeight="1" x14ac:dyDescent="0.3">
      <c r="A1081" s="2394" t="s">
        <v>3917</v>
      </c>
      <c r="B1081" s="2395" t="s">
        <v>3741</v>
      </c>
      <c r="C1081" s="2406">
        <v>1340500</v>
      </c>
      <c r="D1081" s="2396"/>
      <c r="E1081" s="2406">
        <v>0</v>
      </c>
      <c r="F1081" s="2406">
        <v>0</v>
      </c>
      <c r="G1081" s="2434">
        <v>0</v>
      </c>
      <c r="H1081" s="2407">
        <v>1340500</v>
      </c>
      <c r="I1081" s="2408"/>
      <c r="J1081" s="2408"/>
      <c r="K1081" s="2671" t="s">
        <v>6536</v>
      </c>
      <c r="L1081" s="2409"/>
    </row>
    <row r="1082" spans="1:12" ht="12" customHeight="1" x14ac:dyDescent="0.3">
      <c r="A1082" s="2394" t="s">
        <v>3918</v>
      </c>
      <c r="B1082" s="2395" t="s">
        <v>350</v>
      </c>
      <c r="C1082" s="2406">
        <v>0</v>
      </c>
      <c r="D1082" s="2396"/>
      <c r="E1082" s="2406">
        <v>0</v>
      </c>
      <c r="F1082" s="2406">
        <v>0</v>
      </c>
      <c r="G1082" s="2434">
        <v>0</v>
      </c>
      <c r="H1082" s="2407">
        <v>0</v>
      </c>
      <c r="I1082" s="2408"/>
      <c r="J1082" s="2408"/>
      <c r="K1082" s="2671" t="s">
        <v>6536</v>
      </c>
      <c r="L1082" s="2409"/>
    </row>
    <row r="1083" spans="1:12" ht="12" customHeight="1" x14ac:dyDescent="0.3">
      <c r="A1083" s="2394" t="s">
        <v>3919</v>
      </c>
      <c r="B1083" s="2395" t="s">
        <v>3744</v>
      </c>
      <c r="C1083" s="2406">
        <v>0</v>
      </c>
      <c r="D1083" s="2396"/>
      <c r="E1083" s="2406">
        <v>0</v>
      </c>
      <c r="F1083" s="2406">
        <v>0</v>
      </c>
      <c r="G1083" s="2434">
        <v>0</v>
      </c>
      <c r="H1083" s="2407">
        <v>0</v>
      </c>
      <c r="I1083" s="2408"/>
      <c r="J1083" s="2408"/>
      <c r="K1083" s="2671"/>
      <c r="L1083" s="2409"/>
    </row>
    <row r="1084" spans="1:12" ht="12" customHeight="1" x14ac:dyDescent="0.3">
      <c r="A1084" s="2394" t="s">
        <v>3920</v>
      </c>
      <c r="B1084" s="2395" t="s">
        <v>3746</v>
      </c>
      <c r="C1084" s="2406">
        <v>0</v>
      </c>
      <c r="D1084" s="2396"/>
      <c r="E1084" s="2406">
        <v>0</v>
      </c>
      <c r="F1084" s="2406">
        <v>0</v>
      </c>
      <c r="G1084" s="2434">
        <v>0</v>
      </c>
      <c r="H1084" s="2407">
        <v>0</v>
      </c>
      <c r="I1084" s="2408"/>
      <c r="J1084" s="2408"/>
      <c r="K1084" s="2671" t="s">
        <v>6536</v>
      </c>
      <c r="L1084" s="2409"/>
    </row>
    <row r="1085" spans="1:12" ht="12.75" customHeight="1" x14ac:dyDescent="0.3">
      <c r="A1085" s="2394" t="s">
        <v>3921</v>
      </c>
      <c r="B1085" s="2395" t="s">
        <v>3748</v>
      </c>
      <c r="C1085" s="2406">
        <v>4266500</v>
      </c>
      <c r="D1085" s="2396"/>
      <c r="E1085" s="2406">
        <v>0</v>
      </c>
      <c r="F1085" s="2406">
        <v>0</v>
      </c>
      <c r="G1085" s="2434">
        <v>0</v>
      </c>
      <c r="H1085" s="2407">
        <v>4266500</v>
      </c>
      <c r="I1085" s="2408"/>
      <c r="J1085" s="2408"/>
      <c r="K1085" s="2671" t="s">
        <v>6536</v>
      </c>
      <c r="L1085" s="2409"/>
    </row>
    <row r="1086" spans="1:12" ht="12" customHeight="1" x14ac:dyDescent="0.3">
      <c r="A1086" s="2394" t="s">
        <v>3922</v>
      </c>
      <c r="B1086" s="2395" t="s">
        <v>3750</v>
      </c>
      <c r="C1086" s="2406">
        <v>430000</v>
      </c>
      <c r="D1086" s="2396"/>
      <c r="E1086" s="2406">
        <v>20000</v>
      </c>
      <c r="F1086" s="2406">
        <v>0</v>
      </c>
      <c r="G1086" s="2434">
        <v>20000</v>
      </c>
      <c r="H1086" s="2407">
        <v>450000</v>
      </c>
      <c r="I1086" s="2408"/>
      <c r="J1086" s="2408"/>
      <c r="K1086" s="2671" t="s">
        <v>6537</v>
      </c>
      <c r="L1086" s="2409"/>
    </row>
    <row r="1087" spans="1:12" ht="12" customHeight="1" x14ac:dyDescent="0.3">
      <c r="A1087" s="2394" t="s">
        <v>3923</v>
      </c>
      <c r="B1087" s="2395" t="s">
        <v>3752</v>
      </c>
      <c r="C1087" s="2406">
        <v>22229000</v>
      </c>
      <c r="D1087" s="2396"/>
      <c r="E1087" s="2406">
        <v>0</v>
      </c>
      <c r="F1087" s="2406">
        <v>0</v>
      </c>
      <c r="G1087" s="2434">
        <v>0</v>
      </c>
      <c r="H1087" s="2407">
        <v>22229000</v>
      </c>
      <c r="I1087" s="2408"/>
      <c r="J1087" s="2408"/>
      <c r="K1087" s="2671" t="s">
        <v>6538</v>
      </c>
      <c r="L1087" s="2409"/>
    </row>
    <row r="1088" spans="1:12" ht="12" customHeight="1" x14ac:dyDescent="0.3">
      <c r="A1088" s="2394" t="s">
        <v>3924</v>
      </c>
      <c r="B1088" s="2395" t="s">
        <v>3754</v>
      </c>
      <c r="C1088" s="2406">
        <v>100000</v>
      </c>
      <c r="D1088" s="2396"/>
      <c r="E1088" s="2406">
        <v>0</v>
      </c>
      <c r="F1088" s="2406">
        <v>0</v>
      </c>
      <c r="G1088" s="2434">
        <v>0</v>
      </c>
      <c r="H1088" s="2407">
        <v>100000</v>
      </c>
      <c r="I1088" s="2408"/>
      <c r="J1088" s="2408"/>
      <c r="K1088" s="2672" t="s">
        <v>6539</v>
      </c>
      <c r="L1088" s="2409"/>
    </row>
    <row r="1089" spans="1:12" ht="12" customHeight="1" x14ac:dyDescent="0.3">
      <c r="A1089" s="2394" t="s">
        <v>3925</v>
      </c>
      <c r="B1089" s="2395" t="s">
        <v>350</v>
      </c>
      <c r="C1089" s="2406">
        <v>91713800</v>
      </c>
      <c r="D1089" s="2396"/>
      <c r="E1089" s="2406">
        <v>0</v>
      </c>
      <c r="F1089" s="2406">
        <v>0</v>
      </c>
      <c r="G1089" s="2434">
        <v>0</v>
      </c>
      <c r="H1089" s="2407">
        <v>91713800</v>
      </c>
      <c r="I1089" s="2408"/>
      <c r="J1089" s="2408"/>
      <c r="K1089" s="2671" t="s">
        <v>6536</v>
      </c>
      <c r="L1089" s="2409"/>
    </row>
    <row r="1090" spans="1:12" x14ac:dyDescent="0.3">
      <c r="A1090" s="2394" t="s">
        <v>4550</v>
      </c>
      <c r="B1090" s="2395" t="s">
        <v>3599</v>
      </c>
      <c r="C1090" s="2406">
        <v>0</v>
      </c>
      <c r="D1090" s="2396"/>
      <c r="E1090" s="2406">
        <v>0</v>
      </c>
      <c r="F1090" s="2406">
        <v>0</v>
      </c>
      <c r="G1090" s="2430">
        <v>0</v>
      </c>
      <c r="H1090" s="2407">
        <v>0</v>
      </c>
      <c r="I1090" s="2408"/>
      <c r="J1090" s="2408"/>
      <c r="K1090" s="2674"/>
      <c r="L1090" s="2409"/>
    </row>
    <row r="1091" spans="1:12" ht="12" customHeight="1" x14ac:dyDescent="0.3">
      <c r="A1091" s="2394" t="s">
        <v>4551</v>
      </c>
      <c r="B1091" s="2395" t="s">
        <v>3601</v>
      </c>
      <c r="C1091" s="2406">
        <v>0</v>
      </c>
      <c r="D1091" s="2396"/>
      <c r="E1091" s="2406">
        <v>0</v>
      </c>
      <c r="F1091" s="2406">
        <v>0</v>
      </c>
      <c r="G1091" s="2430">
        <v>0</v>
      </c>
      <c r="H1091" s="2407">
        <v>0</v>
      </c>
      <c r="I1091" s="2408"/>
      <c r="J1091" s="2408"/>
      <c r="K1091" s="2674" t="s">
        <v>2586</v>
      </c>
      <c r="L1091" s="2409"/>
    </row>
    <row r="1092" spans="1:12" ht="12" customHeight="1" x14ac:dyDescent="0.3">
      <c r="A1092" s="2394" t="s">
        <v>4552</v>
      </c>
      <c r="B1092" s="2395" t="s">
        <v>3603</v>
      </c>
      <c r="C1092" s="2406">
        <v>0</v>
      </c>
      <c r="D1092" s="2396"/>
      <c r="E1092" s="2406">
        <v>0</v>
      </c>
      <c r="F1092" s="2406">
        <v>0</v>
      </c>
      <c r="G1092" s="2430">
        <v>0</v>
      </c>
      <c r="H1092" s="2407">
        <v>0</v>
      </c>
      <c r="I1092" s="2408"/>
      <c r="J1092" s="2408"/>
      <c r="K1092" s="2674" t="s">
        <v>2586</v>
      </c>
      <c r="L1092" s="2409"/>
    </row>
    <row r="1093" spans="1:12" ht="12.75" customHeight="1" x14ac:dyDescent="0.3">
      <c r="A1093" s="2394" t="s">
        <v>4553</v>
      </c>
      <c r="B1093" s="2395" t="s">
        <v>3605</v>
      </c>
      <c r="C1093" s="2406">
        <v>0</v>
      </c>
      <c r="D1093" s="2396"/>
      <c r="E1093" s="2406">
        <v>0</v>
      </c>
      <c r="F1093" s="2406">
        <v>0</v>
      </c>
      <c r="G1093" s="2430">
        <v>0</v>
      </c>
      <c r="H1093" s="2407">
        <v>0</v>
      </c>
      <c r="I1093" s="2408"/>
      <c r="J1093" s="2408"/>
      <c r="K1093" s="2674" t="s">
        <v>2585</v>
      </c>
      <c r="L1093" s="2409"/>
    </row>
    <row r="1094" spans="1:12" ht="12" customHeight="1" x14ac:dyDescent="0.3">
      <c r="A1094" s="2394" t="s">
        <v>4554</v>
      </c>
      <c r="B1094" s="2395" t="s">
        <v>3607</v>
      </c>
      <c r="C1094" s="2406">
        <v>0</v>
      </c>
      <c r="D1094" s="2396"/>
      <c r="E1094" s="2406">
        <v>0</v>
      </c>
      <c r="F1094" s="2406">
        <v>0</v>
      </c>
      <c r="G1094" s="2430">
        <v>0</v>
      </c>
      <c r="H1094" s="2407">
        <v>0</v>
      </c>
      <c r="I1094" s="2408"/>
      <c r="J1094" s="2408"/>
      <c r="K1094" s="2674" t="s">
        <v>2586</v>
      </c>
      <c r="L1094" s="2409"/>
    </row>
    <row r="1095" spans="1:12" ht="12" customHeight="1" x14ac:dyDescent="0.3">
      <c r="A1095" s="2394" t="s">
        <v>4555</v>
      </c>
      <c r="B1095" s="2395" t="s">
        <v>3609</v>
      </c>
      <c r="C1095" s="2406">
        <v>0</v>
      </c>
      <c r="D1095" s="2396"/>
      <c r="E1095" s="2406">
        <v>0</v>
      </c>
      <c r="F1095" s="2406">
        <v>0</v>
      </c>
      <c r="G1095" s="2430">
        <v>0</v>
      </c>
      <c r="H1095" s="2407">
        <v>0</v>
      </c>
      <c r="I1095" s="2408"/>
      <c r="J1095" s="2408"/>
      <c r="K1095" s="2674" t="s">
        <v>2585</v>
      </c>
      <c r="L1095" s="2409"/>
    </row>
    <row r="1096" spans="1:12" ht="12" customHeight="1" x14ac:dyDescent="0.3">
      <c r="A1096" s="2394" t="s">
        <v>4556</v>
      </c>
      <c r="B1096" s="2395" t="s">
        <v>3611</v>
      </c>
      <c r="C1096" s="2406">
        <v>0</v>
      </c>
      <c r="D1096" s="2396"/>
      <c r="E1096" s="2406">
        <v>0</v>
      </c>
      <c r="F1096" s="2406">
        <v>0</v>
      </c>
      <c r="G1096" s="2430">
        <v>0</v>
      </c>
      <c r="H1096" s="2407">
        <v>0</v>
      </c>
      <c r="I1096" s="2408"/>
      <c r="J1096" s="2408"/>
      <c r="K1096" s="2674" t="s">
        <v>6505</v>
      </c>
      <c r="L1096" s="2409"/>
    </row>
    <row r="1097" spans="1:12" ht="12" customHeight="1" x14ac:dyDescent="0.3">
      <c r="A1097" s="2394" t="s">
        <v>4557</v>
      </c>
      <c r="B1097" s="2395" t="s">
        <v>3613</v>
      </c>
      <c r="C1097" s="2406">
        <v>0</v>
      </c>
      <c r="D1097" s="2396"/>
      <c r="E1097" s="2406">
        <v>0</v>
      </c>
      <c r="F1097" s="2406">
        <v>0</v>
      </c>
      <c r="G1097" s="2430">
        <v>0</v>
      </c>
      <c r="H1097" s="2407">
        <v>0</v>
      </c>
      <c r="I1097" s="2408"/>
      <c r="J1097" s="2408"/>
      <c r="K1097" s="2674" t="s">
        <v>6505</v>
      </c>
      <c r="L1097" s="2409"/>
    </row>
    <row r="1098" spans="1:12" ht="12" customHeight="1" x14ac:dyDescent="0.3">
      <c r="A1098" s="2394" t="s">
        <v>4558</v>
      </c>
      <c r="B1098" s="2395" t="s">
        <v>3615</v>
      </c>
      <c r="C1098" s="2406">
        <v>0</v>
      </c>
      <c r="D1098" s="2396"/>
      <c r="E1098" s="2406">
        <v>0</v>
      </c>
      <c r="F1098" s="2406">
        <v>0</v>
      </c>
      <c r="G1098" s="2430">
        <v>0</v>
      </c>
      <c r="H1098" s="2407">
        <v>0</v>
      </c>
      <c r="I1098" s="2408"/>
      <c r="J1098" s="2408"/>
      <c r="K1098" s="2674" t="s">
        <v>2586</v>
      </c>
      <c r="L1098" s="2409"/>
    </row>
    <row r="1099" spans="1:12" ht="12" customHeight="1" x14ac:dyDescent="0.3">
      <c r="A1099" s="2394" t="s">
        <v>4559</v>
      </c>
      <c r="B1099" s="2395" t="s">
        <v>3617</v>
      </c>
      <c r="C1099" s="2406">
        <v>0</v>
      </c>
      <c r="D1099" s="2396"/>
      <c r="E1099" s="2406">
        <v>0</v>
      </c>
      <c r="F1099" s="2406">
        <v>0</v>
      </c>
      <c r="G1099" s="2430">
        <v>0</v>
      </c>
      <c r="H1099" s="2407">
        <v>0</v>
      </c>
      <c r="I1099" s="2408"/>
      <c r="J1099" s="2408"/>
      <c r="K1099" s="2674" t="s">
        <v>2586</v>
      </c>
      <c r="L1099" s="2409"/>
    </row>
    <row r="1100" spans="1:12" ht="12" customHeight="1" x14ac:dyDescent="0.3">
      <c r="A1100" s="2394" t="s">
        <v>4560</v>
      </c>
      <c r="B1100" s="2395" t="s">
        <v>3619</v>
      </c>
      <c r="C1100" s="2406">
        <v>0</v>
      </c>
      <c r="D1100" s="2396"/>
      <c r="E1100" s="2406">
        <v>0</v>
      </c>
      <c r="F1100" s="2406">
        <v>0</v>
      </c>
      <c r="G1100" s="2430">
        <v>0</v>
      </c>
      <c r="H1100" s="2407">
        <v>0</v>
      </c>
      <c r="I1100" s="2408"/>
      <c r="J1100" s="2408"/>
      <c r="K1100" s="2674"/>
      <c r="L1100" s="2409"/>
    </row>
    <row r="1101" spans="1:12" ht="12" customHeight="1" x14ac:dyDescent="0.3">
      <c r="A1101" s="2394" t="s">
        <v>4561</v>
      </c>
      <c r="B1101" s="2395" t="s">
        <v>3621</v>
      </c>
      <c r="C1101" s="2406">
        <v>0</v>
      </c>
      <c r="D1101" s="2396"/>
      <c r="E1101" s="2406">
        <v>0</v>
      </c>
      <c r="F1101" s="2406">
        <v>0</v>
      </c>
      <c r="G1101" s="2430">
        <v>0</v>
      </c>
      <c r="H1101" s="2407">
        <v>0</v>
      </c>
      <c r="I1101" s="2408"/>
      <c r="J1101" s="2408"/>
      <c r="K1101" s="2674" t="s">
        <v>6506</v>
      </c>
      <c r="L1101" s="2409"/>
    </row>
    <row r="1102" spans="1:12" ht="12" customHeight="1" x14ac:dyDescent="0.3">
      <c r="A1102" s="2394" t="s">
        <v>4562</v>
      </c>
      <c r="B1102" s="2395" t="s">
        <v>3623</v>
      </c>
      <c r="C1102" s="2406">
        <v>0</v>
      </c>
      <c r="D1102" s="2396"/>
      <c r="E1102" s="2406">
        <v>0</v>
      </c>
      <c r="F1102" s="2406">
        <v>0</v>
      </c>
      <c r="G1102" s="2430">
        <v>0</v>
      </c>
      <c r="H1102" s="2407">
        <v>0</v>
      </c>
      <c r="I1102" s="2408"/>
      <c r="J1102" s="2408"/>
      <c r="K1102" s="2674" t="s">
        <v>6507</v>
      </c>
      <c r="L1102" s="2409"/>
    </row>
    <row r="1103" spans="1:12" ht="12" customHeight="1" x14ac:dyDescent="0.3">
      <c r="A1103" s="2394" t="s">
        <v>4563</v>
      </c>
      <c r="B1103" s="2395" t="s">
        <v>3625</v>
      </c>
      <c r="C1103" s="2406">
        <v>0</v>
      </c>
      <c r="D1103" s="2396"/>
      <c r="E1103" s="2406">
        <v>0</v>
      </c>
      <c r="F1103" s="2406">
        <v>0</v>
      </c>
      <c r="G1103" s="2430">
        <v>0</v>
      </c>
      <c r="H1103" s="2407">
        <v>0</v>
      </c>
      <c r="I1103" s="2408"/>
      <c r="J1103" s="2408"/>
      <c r="K1103" s="2674" t="s">
        <v>6508</v>
      </c>
      <c r="L1103" s="2409"/>
    </row>
    <row r="1104" spans="1:12" ht="12" customHeight="1" x14ac:dyDescent="0.3">
      <c r="A1104" s="2394" t="s">
        <v>4564</v>
      </c>
      <c r="B1104" s="2395" t="s">
        <v>3627</v>
      </c>
      <c r="C1104" s="2406">
        <v>0</v>
      </c>
      <c r="D1104" s="2396"/>
      <c r="E1104" s="2406">
        <v>0</v>
      </c>
      <c r="F1104" s="2406">
        <v>0</v>
      </c>
      <c r="G1104" s="2430">
        <v>0</v>
      </c>
      <c r="H1104" s="2407">
        <v>0</v>
      </c>
      <c r="I1104" s="2408"/>
      <c r="J1104" s="2408"/>
      <c r="K1104" s="2674" t="s">
        <v>6509</v>
      </c>
      <c r="L1104" s="2409"/>
    </row>
    <row r="1105" spans="1:12" ht="12" customHeight="1" x14ac:dyDescent="0.3">
      <c r="A1105" s="2394" t="s">
        <v>4565</v>
      </c>
      <c r="B1105" s="2395" t="s">
        <v>3629</v>
      </c>
      <c r="C1105" s="2406">
        <v>0</v>
      </c>
      <c r="D1105" s="2396"/>
      <c r="E1105" s="2406">
        <v>0</v>
      </c>
      <c r="F1105" s="2406">
        <v>0</v>
      </c>
      <c r="G1105" s="2430">
        <v>0</v>
      </c>
      <c r="H1105" s="2407">
        <v>0</v>
      </c>
      <c r="I1105" s="2408"/>
      <c r="J1105" s="2408"/>
      <c r="K1105" s="2674" t="s">
        <v>6510</v>
      </c>
      <c r="L1105" s="2409"/>
    </row>
    <row r="1106" spans="1:12" ht="12" customHeight="1" x14ac:dyDescent="0.3">
      <c r="A1106" s="2394" t="s">
        <v>4566</v>
      </c>
      <c r="B1106" s="2395" t="s">
        <v>3631</v>
      </c>
      <c r="C1106" s="2406">
        <v>0</v>
      </c>
      <c r="D1106" s="2396"/>
      <c r="E1106" s="2406">
        <v>0</v>
      </c>
      <c r="F1106" s="2406">
        <v>0</v>
      </c>
      <c r="G1106" s="2430">
        <v>0</v>
      </c>
      <c r="H1106" s="2407">
        <v>0</v>
      </c>
      <c r="I1106" s="2408"/>
      <c r="J1106" s="2408"/>
      <c r="K1106" s="2674" t="s">
        <v>6511</v>
      </c>
      <c r="L1106" s="2409"/>
    </row>
    <row r="1107" spans="1:12" ht="12" customHeight="1" x14ac:dyDescent="0.3">
      <c r="A1107" s="2394" t="s">
        <v>4567</v>
      </c>
      <c r="B1107" s="2395" t="s">
        <v>3633</v>
      </c>
      <c r="C1107" s="2406">
        <v>0</v>
      </c>
      <c r="D1107" s="2396"/>
      <c r="E1107" s="2406">
        <v>0</v>
      </c>
      <c r="F1107" s="2406">
        <v>0</v>
      </c>
      <c r="G1107" s="2430">
        <v>0</v>
      </c>
      <c r="H1107" s="2407">
        <v>0</v>
      </c>
      <c r="I1107" s="2408"/>
      <c r="J1107" s="2408"/>
      <c r="K1107" s="2674" t="s">
        <v>6512</v>
      </c>
      <c r="L1107" s="2409"/>
    </row>
    <row r="1108" spans="1:12" ht="12" customHeight="1" x14ac:dyDescent="0.3">
      <c r="A1108" s="2394" t="s">
        <v>4568</v>
      </c>
      <c r="B1108" s="2395" t="s">
        <v>3635</v>
      </c>
      <c r="C1108" s="2406">
        <v>0</v>
      </c>
      <c r="D1108" s="2396"/>
      <c r="E1108" s="2406">
        <v>0</v>
      </c>
      <c r="F1108" s="2406">
        <v>0</v>
      </c>
      <c r="G1108" s="2430">
        <v>0</v>
      </c>
      <c r="H1108" s="2407">
        <v>0</v>
      </c>
      <c r="I1108" s="2408"/>
      <c r="J1108" s="2408"/>
      <c r="K1108" s="2674" t="s">
        <v>6513</v>
      </c>
      <c r="L1108" s="2409"/>
    </row>
    <row r="1109" spans="1:12" ht="12" customHeight="1" x14ac:dyDescent="0.3">
      <c r="A1109" s="2394" t="s">
        <v>4569</v>
      </c>
      <c r="B1109" s="2395" t="s">
        <v>3637</v>
      </c>
      <c r="C1109" s="2406">
        <v>0</v>
      </c>
      <c r="D1109" s="2396"/>
      <c r="E1109" s="2406">
        <v>0</v>
      </c>
      <c r="F1109" s="2406">
        <v>0</v>
      </c>
      <c r="G1109" s="2430">
        <v>0</v>
      </c>
      <c r="H1109" s="2407">
        <v>0</v>
      </c>
      <c r="I1109" s="2408"/>
      <c r="J1109" s="2408"/>
      <c r="K1109" s="2674" t="s">
        <v>6514</v>
      </c>
      <c r="L1109" s="2409"/>
    </row>
    <row r="1110" spans="1:12" ht="12" customHeight="1" x14ac:dyDescent="0.3">
      <c r="A1110" s="2394" t="s">
        <v>4570</v>
      </c>
      <c r="B1110" s="2395" t="s">
        <v>334</v>
      </c>
      <c r="C1110" s="2406">
        <v>0</v>
      </c>
      <c r="D1110" s="2396"/>
      <c r="E1110" s="2406">
        <v>0</v>
      </c>
      <c r="F1110" s="2406">
        <v>0</v>
      </c>
      <c r="G1110" s="2430">
        <v>0</v>
      </c>
      <c r="H1110" s="2407">
        <v>0</v>
      </c>
      <c r="I1110" s="2408"/>
      <c r="J1110" s="2408"/>
      <c r="K1110" s="2674" t="s">
        <v>6515</v>
      </c>
      <c r="L1110" s="2409"/>
    </row>
    <row r="1111" spans="1:12" ht="12" customHeight="1" x14ac:dyDescent="0.3">
      <c r="A1111" s="2394" t="s">
        <v>4571</v>
      </c>
      <c r="B1111" s="2395" t="s">
        <v>3640</v>
      </c>
      <c r="C1111" s="2406">
        <v>0</v>
      </c>
      <c r="D1111" s="2396"/>
      <c r="E1111" s="2406">
        <v>0</v>
      </c>
      <c r="F1111" s="2406">
        <v>0</v>
      </c>
      <c r="G1111" s="2430">
        <v>0</v>
      </c>
      <c r="H1111" s="2407">
        <v>0</v>
      </c>
      <c r="I1111" s="2408"/>
      <c r="J1111" s="2408"/>
      <c r="K1111" s="2674" t="s">
        <v>6515</v>
      </c>
      <c r="L1111" s="2409"/>
    </row>
    <row r="1112" spans="1:12" ht="12" customHeight="1" x14ac:dyDescent="0.3">
      <c r="A1112" s="2394" t="s">
        <v>4572</v>
      </c>
      <c r="B1112" s="2395" t="s">
        <v>3642</v>
      </c>
      <c r="C1112" s="2406">
        <v>0</v>
      </c>
      <c r="D1112" s="2396"/>
      <c r="E1112" s="2406">
        <v>0</v>
      </c>
      <c r="F1112" s="2406">
        <v>0</v>
      </c>
      <c r="G1112" s="2430">
        <v>0</v>
      </c>
      <c r="H1112" s="2407">
        <v>0</v>
      </c>
      <c r="I1112" s="2408"/>
      <c r="J1112" s="2408"/>
      <c r="K1112" s="2674" t="s">
        <v>6515</v>
      </c>
      <c r="L1112" s="2409"/>
    </row>
    <row r="1113" spans="1:12" ht="12" customHeight="1" x14ac:dyDescent="0.3">
      <c r="A1113" s="2394" t="s">
        <v>4573</v>
      </c>
      <c r="B1113" s="2395" t="s">
        <v>3644</v>
      </c>
      <c r="C1113" s="2406">
        <v>0</v>
      </c>
      <c r="D1113" s="2396"/>
      <c r="E1113" s="2406">
        <v>0</v>
      </c>
      <c r="F1113" s="2406">
        <v>0</v>
      </c>
      <c r="G1113" s="2430">
        <v>0</v>
      </c>
      <c r="H1113" s="2407">
        <v>0</v>
      </c>
      <c r="I1113" s="2408"/>
      <c r="J1113" s="2408"/>
      <c r="K1113" s="2674" t="s">
        <v>6515</v>
      </c>
      <c r="L1113" s="2409"/>
    </row>
    <row r="1114" spans="1:12" ht="12" customHeight="1" x14ac:dyDescent="0.3">
      <c r="A1114" s="2394" t="s">
        <v>4574</v>
      </c>
      <c r="B1114" s="2395" t="s">
        <v>3646</v>
      </c>
      <c r="C1114" s="2406">
        <v>0</v>
      </c>
      <c r="D1114" s="2396"/>
      <c r="E1114" s="2406">
        <v>0</v>
      </c>
      <c r="F1114" s="2406">
        <v>0</v>
      </c>
      <c r="G1114" s="2430">
        <v>0</v>
      </c>
      <c r="H1114" s="2407">
        <v>0</v>
      </c>
      <c r="I1114" s="2408"/>
      <c r="J1114" s="2408"/>
      <c r="K1114" s="2674" t="s">
        <v>6516</v>
      </c>
      <c r="L1114" s="2409"/>
    </row>
    <row r="1115" spans="1:12" ht="12" customHeight="1" x14ac:dyDescent="0.3">
      <c r="A1115" s="2394" t="s">
        <v>4575</v>
      </c>
      <c r="B1115" s="2395" t="s">
        <v>3648</v>
      </c>
      <c r="C1115" s="2406">
        <v>0</v>
      </c>
      <c r="D1115" s="2396"/>
      <c r="E1115" s="2406">
        <v>0</v>
      </c>
      <c r="F1115" s="2406">
        <v>0</v>
      </c>
      <c r="G1115" s="2430">
        <v>0</v>
      </c>
      <c r="H1115" s="2407">
        <v>0</v>
      </c>
      <c r="I1115" s="2408"/>
      <c r="J1115" s="2408"/>
      <c r="K1115" s="2674" t="s">
        <v>6517</v>
      </c>
      <c r="L1115" s="2409"/>
    </row>
    <row r="1116" spans="1:12" ht="12" customHeight="1" x14ac:dyDescent="0.3">
      <c r="A1116" s="2394" t="s">
        <v>4576</v>
      </c>
      <c r="B1116" s="2395" t="s">
        <v>3650</v>
      </c>
      <c r="C1116" s="2406">
        <v>0</v>
      </c>
      <c r="D1116" s="2396"/>
      <c r="E1116" s="2406">
        <v>0</v>
      </c>
      <c r="F1116" s="2406">
        <v>0</v>
      </c>
      <c r="G1116" s="2430">
        <v>0</v>
      </c>
      <c r="H1116" s="2407">
        <v>0</v>
      </c>
      <c r="I1116" s="2408"/>
      <c r="J1116" s="2408"/>
      <c r="K1116" s="2674" t="s">
        <v>6518</v>
      </c>
      <c r="L1116" s="2409"/>
    </row>
    <row r="1117" spans="1:12" ht="12" customHeight="1" x14ac:dyDescent="0.3">
      <c r="A1117" s="2394" t="s">
        <v>4577</v>
      </c>
      <c r="B1117" s="2395" t="s">
        <v>3652</v>
      </c>
      <c r="C1117" s="2406">
        <v>86000</v>
      </c>
      <c r="D1117" s="2396"/>
      <c r="E1117" s="2406">
        <v>0</v>
      </c>
      <c r="F1117" s="2406">
        <v>0</v>
      </c>
      <c r="G1117" s="2430">
        <v>0</v>
      </c>
      <c r="H1117" s="2407">
        <v>86000</v>
      </c>
      <c r="I1117" s="2408"/>
      <c r="J1117" s="2408"/>
      <c r="K1117" s="2674" t="s">
        <v>6518</v>
      </c>
      <c r="L1117" s="2409"/>
    </row>
    <row r="1118" spans="1:12" ht="12" customHeight="1" x14ac:dyDescent="0.3">
      <c r="A1118" s="2394" t="s">
        <v>4578</v>
      </c>
      <c r="B1118" s="2395" t="s">
        <v>3654</v>
      </c>
      <c r="C1118" s="2406">
        <v>0</v>
      </c>
      <c r="D1118" s="2396"/>
      <c r="E1118" s="2406">
        <v>0</v>
      </c>
      <c r="F1118" s="2406">
        <v>0</v>
      </c>
      <c r="G1118" s="2430">
        <v>0</v>
      </c>
      <c r="H1118" s="2407">
        <v>0</v>
      </c>
      <c r="I1118" s="2408"/>
      <c r="J1118" s="2408"/>
      <c r="K1118" s="2674" t="s">
        <v>6518</v>
      </c>
      <c r="L1118" s="2409"/>
    </row>
    <row r="1119" spans="1:12" ht="12" customHeight="1" x14ac:dyDescent="0.3">
      <c r="A1119" s="2394" t="s">
        <v>4579</v>
      </c>
      <c r="B1119" s="2395" t="s">
        <v>3656</v>
      </c>
      <c r="C1119" s="2406">
        <v>0</v>
      </c>
      <c r="D1119" s="2396"/>
      <c r="E1119" s="2406">
        <v>0</v>
      </c>
      <c r="F1119" s="2406">
        <v>0</v>
      </c>
      <c r="G1119" s="2430">
        <v>0</v>
      </c>
      <c r="H1119" s="2407">
        <v>0</v>
      </c>
      <c r="I1119" s="2408"/>
      <c r="J1119" s="2408"/>
      <c r="K1119" s="2674"/>
      <c r="L1119" s="2409"/>
    </row>
    <row r="1120" spans="1:12" ht="12" customHeight="1" x14ac:dyDescent="0.3">
      <c r="A1120" s="2394" t="s">
        <v>4580</v>
      </c>
      <c r="B1120" s="2395" t="s">
        <v>3658</v>
      </c>
      <c r="C1120" s="2406">
        <v>0</v>
      </c>
      <c r="D1120" s="2396"/>
      <c r="E1120" s="2406">
        <v>0</v>
      </c>
      <c r="F1120" s="2406">
        <v>0</v>
      </c>
      <c r="G1120" s="2430">
        <v>0</v>
      </c>
      <c r="H1120" s="2407">
        <v>0</v>
      </c>
      <c r="I1120" s="2408"/>
      <c r="J1120" s="2408"/>
      <c r="K1120" s="2674" t="s">
        <v>6519</v>
      </c>
      <c r="L1120" s="2409"/>
    </row>
    <row r="1121" spans="1:12" ht="12" customHeight="1" x14ac:dyDescent="0.3">
      <c r="A1121" s="2394" t="s">
        <v>4581</v>
      </c>
      <c r="B1121" s="2395" t="s">
        <v>3660</v>
      </c>
      <c r="C1121" s="2406">
        <v>137000</v>
      </c>
      <c r="D1121" s="2396"/>
      <c r="E1121" s="2406">
        <v>0</v>
      </c>
      <c r="F1121" s="2406">
        <v>0</v>
      </c>
      <c r="G1121" s="2430">
        <v>0</v>
      </c>
      <c r="H1121" s="2407">
        <v>137000</v>
      </c>
      <c r="I1121" s="2408"/>
      <c r="J1121" s="2408"/>
      <c r="K1121" s="2674" t="s">
        <v>6520</v>
      </c>
      <c r="L1121" s="2409"/>
    </row>
    <row r="1122" spans="1:12" ht="12" customHeight="1" x14ac:dyDescent="0.3">
      <c r="A1122" s="2394" t="s">
        <v>4582</v>
      </c>
      <c r="B1122" s="2395" t="s">
        <v>3662</v>
      </c>
      <c r="C1122" s="2406">
        <v>0</v>
      </c>
      <c r="D1122" s="2396"/>
      <c r="E1122" s="2406">
        <v>0</v>
      </c>
      <c r="F1122" s="2406">
        <v>0</v>
      </c>
      <c r="G1122" s="2430">
        <v>0</v>
      </c>
      <c r="H1122" s="2407">
        <v>0</v>
      </c>
      <c r="I1122" s="2408"/>
      <c r="J1122" s="2408"/>
      <c r="K1122" s="2674" t="s">
        <v>6521</v>
      </c>
      <c r="L1122" s="2409"/>
    </row>
    <row r="1123" spans="1:12" ht="12" customHeight="1" x14ac:dyDescent="0.3">
      <c r="A1123" s="2394" t="s">
        <v>4583</v>
      </c>
      <c r="B1123" s="2395" t="s">
        <v>3664</v>
      </c>
      <c r="C1123" s="2406">
        <v>0</v>
      </c>
      <c r="D1123" s="2396"/>
      <c r="E1123" s="2406">
        <v>0</v>
      </c>
      <c r="F1123" s="2406">
        <v>0</v>
      </c>
      <c r="G1123" s="2430">
        <v>0</v>
      </c>
      <c r="H1123" s="2407">
        <v>0</v>
      </c>
      <c r="I1123" s="2408"/>
      <c r="J1123" s="2408"/>
      <c r="K1123" s="2674" t="s">
        <v>6522</v>
      </c>
      <c r="L1123" s="2409"/>
    </row>
    <row r="1124" spans="1:12" ht="12" customHeight="1" x14ac:dyDescent="0.3">
      <c r="A1124" s="2394" t="s">
        <v>4584</v>
      </c>
      <c r="B1124" s="2395" t="s">
        <v>3666</v>
      </c>
      <c r="C1124" s="2406">
        <v>0</v>
      </c>
      <c r="D1124" s="2396"/>
      <c r="E1124" s="2406">
        <v>0</v>
      </c>
      <c r="F1124" s="2406">
        <v>0</v>
      </c>
      <c r="G1124" s="2430">
        <v>0</v>
      </c>
      <c r="H1124" s="2407">
        <v>0</v>
      </c>
      <c r="I1124" s="2408"/>
      <c r="J1124" s="2408"/>
      <c r="K1124" s="2674" t="s">
        <v>6523</v>
      </c>
      <c r="L1124" s="2409"/>
    </row>
    <row r="1125" spans="1:12" ht="12" customHeight="1" x14ac:dyDescent="0.3">
      <c r="A1125" s="2394" t="s">
        <v>4585</v>
      </c>
      <c r="B1125" s="2395" t="s">
        <v>3668</v>
      </c>
      <c r="C1125" s="2406">
        <v>0</v>
      </c>
      <c r="D1125" s="2396"/>
      <c r="E1125" s="2406">
        <v>0</v>
      </c>
      <c r="F1125" s="2406">
        <v>0</v>
      </c>
      <c r="G1125" s="2430">
        <v>0</v>
      </c>
      <c r="H1125" s="2407">
        <v>0</v>
      </c>
      <c r="I1125" s="2408"/>
      <c r="J1125" s="2408"/>
      <c r="K1125" s="2674" t="s">
        <v>6524</v>
      </c>
      <c r="L1125" s="2409"/>
    </row>
    <row r="1126" spans="1:12" ht="12" customHeight="1" x14ac:dyDescent="0.3">
      <c r="A1126" s="2394" t="s">
        <v>4586</v>
      </c>
      <c r="B1126" s="2395" t="s">
        <v>350</v>
      </c>
      <c r="C1126" s="2406">
        <v>0</v>
      </c>
      <c r="D1126" s="2396"/>
      <c r="E1126" s="2406">
        <v>0</v>
      </c>
      <c r="F1126" s="2406">
        <v>0</v>
      </c>
      <c r="G1126" s="2430">
        <v>0</v>
      </c>
      <c r="H1126" s="2407">
        <v>0</v>
      </c>
      <c r="I1126" s="2408"/>
      <c r="J1126" s="2408"/>
      <c r="K1126" s="2674" t="s">
        <v>6524</v>
      </c>
      <c r="L1126" s="2409"/>
    </row>
    <row r="1127" spans="1:12" ht="12" customHeight="1" x14ac:dyDescent="0.3">
      <c r="A1127" s="2394" t="s">
        <v>4587</v>
      </c>
      <c r="B1127" s="2395" t="s">
        <v>3671</v>
      </c>
      <c r="C1127" s="2406">
        <v>0</v>
      </c>
      <c r="D1127" s="2396"/>
      <c r="E1127" s="2406">
        <v>0</v>
      </c>
      <c r="F1127" s="2406">
        <v>0</v>
      </c>
      <c r="G1127" s="2430">
        <v>0</v>
      </c>
      <c r="H1127" s="2407">
        <v>0</v>
      </c>
      <c r="I1127" s="2408"/>
      <c r="J1127" s="2408"/>
      <c r="K1127" s="2674"/>
      <c r="L1127" s="2409"/>
    </row>
    <row r="1128" spans="1:12" ht="12.75" customHeight="1" x14ac:dyDescent="0.3">
      <c r="A1128" s="2394" t="s">
        <v>4588</v>
      </c>
      <c r="B1128" s="2395" t="s">
        <v>3930</v>
      </c>
      <c r="C1128" s="2406">
        <v>0</v>
      </c>
      <c r="D1128" s="2396"/>
      <c r="E1128" s="2406">
        <v>0</v>
      </c>
      <c r="F1128" s="2406">
        <v>0</v>
      </c>
      <c r="G1128" s="2430">
        <v>0</v>
      </c>
      <c r="H1128" s="2407">
        <v>0</v>
      </c>
      <c r="I1128" s="2408"/>
      <c r="J1128" s="2408"/>
      <c r="K1128" s="2674" t="s">
        <v>6525</v>
      </c>
      <c r="L1128" s="2409"/>
    </row>
    <row r="1129" spans="1:12" ht="12" customHeight="1" x14ac:dyDescent="0.3">
      <c r="A1129" s="2394" t="s">
        <v>4589</v>
      </c>
      <c r="B1129" s="2395" t="s">
        <v>3675</v>
      </c>
      <c r="C1129" s="2406">
        <v>0</v>
      </c>
      <c r="D1129" s="2396"/>
      <c r="E1129" s="2406">
        <v>0</v>
      </c>
      <c r="F1129" s="2406">
        <v>0</v>
      </c>
      <c r="G1129" s="2430">
        <v>0</v>
      </c>
      <c r="H1129" s="2407">
        <v>0</v>
      </c>
      <c r="I1129" s="2408"/>
      <c r="J1129" s="2408"/>
      <c r="K1129" s="2674" t="s">
        <v>6526</v>
      </c>
      <c r="L1129" s="2409"/>
    </row>
    <row r="1130" spans="1:12" ht="12" customHeight="1" x14ac:dyDescent="0.3">
      <c r="A1130" s="2394" t="s">
        <v>4590</v>
      </c>
      <c r="B1130" s="2395" t="s">
        <v>3677</v>
      </c>
      <c r="C1130" s="2406">
        <v>0</v>
      </c>
      <c r="D1130" s="2396"/>
      <c r="E1130" s="2406">
        <v>0</v>
      </c>
      <c r="F1130" s="2406">
        <v>0</v>
      </c>
      <c r="G1130" s="2430">
        <v>0</v>
      </c>
      <c r="H1130" s="2407">
        <v>0</v>
      </c>
      <c r="I1130" s="2408"/>
      <c r="J1130" s="2408"/>
      <c r="K1130" s="2674" t="s">
        <v>6526</v>
      </c>
      <c r="L1130" s="2409"/>
    </row>
    <row r="1131" spans="1:12" ht="12" customHeight="1" x14ac:dyDescent="0.3">
      <c r="A1131" s="2394" t="s">
        <v>4591</v>
      </c>
      <c r="B1131" s="2395" t="s">
        <v>3679</v>
      </c>
      <c r="C1131" s="2406">
        <v>0</v>
      </c>
      <c r="D1131" s="2396"/>
      <c r="E1131" s="2406">
        <v>0</v>
      </c>
      <c r="F1131" s="2406">
        <v>0</v>
      </c>
      <c r="G1131" s="2430">
        <v>0</v>
      </c>
      <c r="H1131" s="2407">
        <v>0</v>
      </c>
      <c r="I1131" s="2408"/>
      <c r="J1131" s="2408"/>
      <c r="K1131" s="2674" t="s">
        <v>6526</v>
      </c>
      <c r="L1131" s="2409"/>
    </row>
    <row r="1132" spans="1:12" ht="12" customHeight="1" x14ac:dyDescent="0.3">
      <c r="A1132" s="2394" t="s">
        <v>4592</v>
      </c>
      <c r="B1132" s="2395" t="s">
        <v>3681</v>
      </c>
      <c r="C1132" s="2406">
        <v>0</v>
      </c>
      <c r="D1132" s="2396"/>
      <c r="E1132" s="2406">
        <v>0</v>
      </c>
      <c r="F1132" s="2406">
        <v>0</v>
      </c>
      <c r="G1132" s="2430">
        <v>0</v>
      </c>
      <c r="H1132" s="2407">
        <v>0</v>
      </c>
      <c r="I1132" s="2408"/>
      <c r="J1132" s="2408"/>
      <c r="K1132" s="2674" t="s">
        <v>6526</v>
      </c>
      <c r="L1132" s="2409"/>
    </row>
    <row r="1133" spans="1:12" ht="12" customHeight="1" x14ac:dyDescent="0.3">
      <c r="A1133" s="2394" t="s">
        <v>4593</v>
      </c>
      <c r="B1133" s="2395" t="s">
        <v>3683</v>
      </c>
      <c r="C1133" s="2406">
        <v>0</v>
      </c>
      <c r="D1133" s="2396"/>
      <c r="E1133" s="2406">
        <v>0</v>
      </c>
      <c r="F1133" s="2406">
        <v>0</v>
      </c>
      <c r="G1133" s="2430">
        <v>0</v>
      </c>
      <c r="H1133" s="2407">
        <v>0</v>
      </c>
      <c r="I1133" s="2408"/>
      <c r="J1133" s="2408"/>
      <c r="K1133" s="2674" t="s">
        <v>6527</v>
      </c>
      <c r="L1133" s="2409"/>
    </row>
    <row r="1134" spans="1:12" ht="12" customHeight="1" x14ac:dyDescent="0.3">
      <c r="A1134" s="2394" t="s">
        <v>4594</v>
      </c>
      <c r="B1134" s="2395" t="s">
        <v>3685</v>
      </c>
      <c r="C1134" s="2406">
        <v>0</v>
      </c>
      <c r="D1134" s="2396"/>
      <c r="E1134" s="2406">
        <v>0</v>
      </c>
      <c r="F1134" s="2406">
        <v>0</v>
      </c>
      <c r="G1134" s="2430">
        <v>0</v>
      </c>
      <c r="H1134" s="2407">
        <v>0</v>
      </c>
      <c r="I1134" s="2408"/>
      <c r="J1134" s="2408"/>
      <c r="K1134" s="2674" t="s">
        <v>6528</v>
      </c>
      <c r="L1134" s="2409"/>
    </row>
    <row r="1135" spans="1:12" ht="12" customHeight="1" x14ac:dyDescent="0.3">
      <c r="A1135" s="2394" t="s">
        <v>4595</v>
      </c>
      <c r="B1135" s="2395" t="s">
        <v>3687</v>
      </c>
      <c r="C1135" s="2406">
        <v>0</v>
      </c>
      <c r="D1135" s="2396"/>
      <c r="E1135" s="2406">
        <v>0</v>
      </c>
      <c r="F1135" s="2406">
        <v>0</v>
      </c>
      <c r="G1135" s="2430">
        <v>0</v>
      </c>
      <c r="H1135" s="2407">
        <v>0</v>
      </c>
      <c r="I1135" s="2408"/>
      <c r="J1135" s="2408"/>
      <c r="K1135" s="2674" t="s">
        <v>6528</v>
      </c>
      <c r="L1135" s="2409"/>
    </row>
    <row r="1136" spans="1:12" ht="12.75" customHeight="1" x14ac:dyDescent="0.3">
      <c r="A1136" s="2394" t="s">
        <v>4596</v>
      </c>
      <c r="B1136" s="2395" t="s">
        <v>3689</v>
      </c>
      <c r="C1136" s="2406">
        <v>0</v>
      </c>
      <c r="D1136" s="2396"/>
      <c r="E1136" s="2406">
        <v>0</v>
      </c>
      <c r="F1136" s="2406">
        <v>0</v>
      </c>
      <c r="G1136" s="2430">
        <v>0</v>
      </c>
      <c r="H1136" s="2407">
        <v>0</v>
      </c>
      <c r="I1136" s="2408"/>
      <c r="J1136" s="2408"/>
      <c r="K1136" s="2674" t="s">
        <v>6528</v>
      </c>
      <c r="L1136" s="2409"/>
    </row>
    <row r="1137" spans="1:12" ht="12" customHeight="1" x14ac:dyDescent="0.3">
      <c r="A1137" s="2394" t="s">
        <v>4597</v>
      </c>
      <c r="B1137" s="2395" t="s">
        <v>3931</v>
      </c>
      <c r="C1137" s="2406">
        <v>0</v>
      </c>
      <c r="D1137" s="2396"/>
      <c r="E1137" s="2406">
        <v>0</v>
      </c>
      <c r="F1137" s="2406">
        <v>0</v>
      </c>
      <c r="G1137" s="2430">
        <v>0</v>
      </c>
      <c r="H1137" s="2407">
        <v>0</v>
      </c>
      <c r="I1137" s="2408"/>
      <c r="J1137" s="2408"/>
      <c r="K1137" s="2674"/>
      <c r="L1137" s="2409"/>
    </row>
    <row r="1138" spans="1:12" ht="12" customHeight="1" x14ac:dyDescent="0.3">
      <c r="A1138" s="2394" t="s">
        <v>4598</v>
      </c>
      <c r="B1138" s="2395" t="s">
        <v>3720</v>
      </c>
      <c r="C1138" s="2406">
        <v>0</v>
      </c>
      <c r="D1138" s="2396"/>
      <c r="E1138" s="2406">
        <v>0</v>
      </c>
      <c r="F1138" s="2406">
        <v>0</v>
      </c>
      <c r="G1138" s="2430">
        <v>0</v>
      </c>
      <c r="H1138" s="2407">
        <v>0</v>
      </c>
      <c r="I1138" s="2408"/>
      <c r="J1138" s="2408"/>
      <c r="K1138" s="2674" t="s">
        <v>6515</v>
      </c>
      <c r="L1138" s="2409"/>
    </row>
    <row r="1139" spans="1:12" ht="12" customHeight="1" x14ac:dyDescent="0.3">
      <c r="A1139" s="2394" t="s">
        <v>4599</v>
      </c>
      <c r="B1139" s="2395" t="s">
        <v>3932</v>
      </c>
      <c r="C1139" s="2406">
        <v>0</v>
      </c>
      <c r="D1139" s="2396"/>
      <c r="E1139" s="2406">
        <v>0</v>
      </c>
      <c r="F1139" s="2406">
        <v>0</v>
      </c>
      <c r="G1139" s="2430">
        <v>0</v>
      </c>
      <c r="H1139" s="2407">
        <v>0</v>
      </c>
      <c r="I1139" s="2408"/>
      <c r="J1139" s="2408"/>
      <c r="K1139" s="2674" t="s">
        <v>6517</v>
      </c>
      <c r="L1139" s="2409"/>
    </row>
    <row r="1140" spans="1:12" ht="12" customHeight="1" x14ac:dyDescent="0.3">
      <c r="A1140" s="2394" t="s">
        <v>4600</v>
      </c>
      <c r="B1140" s="2395" t="s">
        <v>3648</v>
      </c>
      <c r="C1140" s="2406">
        <v>0</v>
      </c>
      <c r="D1140" s="2396"/>
      <c r="E1140" s="2406">
        <v>0</v>
      </c>
      <c r="F1140" s="2406">
        <v>0</v>
      </c>
      <c r="G1140" s="2430">
        <v>0</v>
      </c>
      <c r="H1140" s="2407">
        <v>0</v>
      </c>
      <c r="I1140" s="2408"/>
      <c r="J1140" s="2408"/>
      <c r="K1140" s="2674" t="s">
        <v>6516</v>
      </c>
      <c r="L1140" s="2409"/>
    </row>
    <row r="1141" spans="1:12" ht="12" customHeight="1" x14ac:dyDescent="0.3">
      <c r="A1141" s="2394" t="s">
        <v>4601</v>
      </c>
      <c r="B1141" s="2395" t="s">
        <v>3933</v>
      </c>
      <c r="C1141" s="2406">
        <v>0</v>
      </c>
      <c r="D1141" s="2396"/>
      <c r="E1141" s="2406">
        <v>0</v>
      </c>
      <c r="F1141" s="2406">
        <v>0</v>
      </c>
      <c r="G1141" s="2430">
        <v>0</v>
      </c>
      <c r="H1141" s="2407">
        <v>0</v>
      </c>
      <c r="I1141" s="2408"/>
      <c r="J1141" s="2408"/>
      <c r="K1141" s="2674" t="s">
        <v>6540</v>
      </c>
      <c r="L1141" s="2409"/>
    </row>
    <row r="1142" spans="1:12" ht="12" customHeight="1" x14ac:dyDescent="0.3">
      <c r="A1142" s="2394" t="s">
        <v>4602</v>
      </c>
      <c r="B1142" s="2395" t="s">
        <v>3934</v>
      </c>
      <c r="C1142" s="2406">
        <v>0</v>
      </c>
      <c r="D1142" s="2396"/>
      <c r="E1142" s="2406">
        <v>0</v>
      </c>
      <c r="F1142" s="2406">
        <v>0</v>
      </c>
      <c r="G1142" s="2430">
        <v>0</v>
      </c>
      <c r="H1142" s="2407">
        <v>0</v>
      </c>
      <c r="I1142" s="2408"/>
      <c r="J1142" s="2408"/>
      <c r="K1142" s="2674" t="s">
        <v>6518</v>
      </c>
      <c r="L1142" s="2409"/>
    </row>
    <row r="1143" spans="1:12" ht="12" customHeight="1" x14ac:dyDescent="0.3">
      <c r="A1143" s="2394" t="s">
        <v>4603</v>
      </c>
      <c r="B1143" s="2395" t="s">
        <v>3935</v>
      </c>
      <c r="C1143" s="2406">
        <v>0</v>
      </c>
      <c r="D1143" s="2396"/>
      <c r="E1143" s="2406">
        <v>0</v>
      </c>
      <c r="F1143" s="2406">
        <v>0</v>
      </c>
      <c r="G1143" s="2430">
        <v>0</v>
      </c>
      <c r="H1143" s="2407">
        <v>0</v>
      </c>
      <c r="I1143" s="2408"/>
      <c r="J1143" s="2408"/>
      <c r="K1143" s="2674" t="s">
        <v>6522</v>
      </c>
      <c r="L1143" s="2409"/>
    </row>
    <row r="1144" spans="1:12" ht="12" customHeight="1" x14ac:dyDescent="0.3">
      <c r="A1144" s="2394" t="s">
        <v>4604</v>
      </c>
      <c r="B1144" s="2395" t="s">
        <v>3249</v>
      </c>
      <c r="C1144" s="2406">
        <v>0</v>
      </c>
      <c r="D1144" s="2396"/>
      <c r="E1144" s="2406">
        <v>0</v>
      </c>
      <c r="F1144" s="2406">
        <v>0</v>
      </c>
      <c r="G1144" s="2430">
        <v>0</v>
      </c>
      <c r="H1144" s="2407">
        <v>0</v>
      </c>
      <c r="I1144" s="2408"/>
      <c r="J1144" s="2408"/>
      <c r="K1144" s="2674" t="s">
        <v>6520</v>
      </c>
      <c r="L1144" s="2409"/>
    </row>
    <row r="1145" spans="1:12" ht="12" customHeight="1" x14ac:dyDescent="0.3">
      <c r="A1145" s="2394" t="s">
        <v>4605</v>
      </c>
      <c r="B1145" s="2395" t="s">
        <v>3936</v>
      </c>
      <c r="C1145" s="2406">
        <v>0</v>
      </c>
      <c r="D1145" s="2396"/>
      <c r="E1145" s="2406">
        <v>0</v>
      </c>
      <c r="F1145" s="2406">
        <v>0</v>
      </c>
      <c r="G1145" s="2430">
        <v>0</v>
      </c>
      <c r="H1145" s="2407">
        <v>0</v>
      </c>
      <c r="I1145" s="2408"/>
      <c r="J1145" s="2408"/>
      <c r="K1145" s="2674" t="s">
        <v>6541</v>
      </c>
      <c r="L1145" s="2409"/>
    </row>
    <row r="1146" spans="1:12" ht="12" customHeight="1" x14ac:dyDescent="0.3">
      <c r="A1146" s="2394" t="s">
        <v>4606</v>
      </c>
      <c r="B1146" s="2395" t="s">
        <v>350</v>
      </c>
      <c r="C1146" s="2406">
        <v>0</v>
      </c>
      <c r="D1146" s="2396"/>
      <c r="E1146" s="2406">
        <v>0</v>
      </c>
      <c r="F1146" s="2406">
        <v>0</v>
      </c>
      <c r="G1146" s="2430">
        <v>0</v>
      </c>
      <c r="H1146" s="2407">
        <v>0</v>
      </c>
      <c r="I1146" s="2408"/>
      <c r="J1146" s="2408"/>
      <c r="K1146" s="2674" t="s">
        <v>6536</v>
      </c>
      <c r="L1146" s="2409"/>
    </row>
    <row r="1147" spans="1:12" ht="12" customHeight="1" x14ac:dyDescent="0.3">
      <c r="A1147" s="2394" t="s">
        <v>4607</v>
      </c>
      <c r="B1147" s="2395" t="s">
        <v>3937</v>
      </c>
      <c r="C1147" s="2406">
        <v>0</v>
      </c>
      <c r="D1147" s="2396"/>
      <c r="E1147" s="2406">
        <v>0</v>
      </c>
      <c r="F1147" s="2406">
        <v>0</v>
      </c>
      <c r="G1147" s="2430">
        <v>0</v>
      </c>
      <c r="H1147" s="2407">
        <v>0</v>
      </c>
      <c r="I1147" s="2408"/>
      <c r="J1147" s="2408"/>
      <c r="K1147" s="2674" t="s">
        <v>6518</v>
      </c>
      <c r="L1147" s="2409"/>
    </row>
    <row r="1148" spans="1:12" ht="12" customHeight="1" x14ac:dyDescent="0.3">
      <c r="A1148" s="2394" t="s">
        <v>4608</v>
      </c>
      <c r="B1148" s="2395" t="s">
        <v>3938</v>
      </c>
      <c r="C1148" s="2406">
        <v>0</v>
      </c>
      <c r="D1148" s="2396"/>
      <c r="E1148" s="2406">
        <v>0</v>
      </c>
      <c r="F1148" s="2406">
        <v>0</v>
      </c>
      <c r="G1148" s="2430">
        <v>0</v>
      </c>
      <c r="H1148" s="2407">
        <v>0</v>
      </c>
      <c r="I1148" s="2408"/>
      <c r="J1148" s="2408"/>
      <c r="K1148" s="2674" t="s">
        <v>6542</v>
      </c>
      <c r="L1148" s="2409"/>
    </row>
    <row r="1149" spans="1:12" ht="12" customHeight="1" x14ac:dyDescent="0.3">
      <c r="A1149" s="2394" t="s">
        <v>4609</v>
      </c>
      <c r="B1149" s="2395" t="s">
        <v>3939</v>
      </c>
      <c r="C1149" s="2406">
        <v>0</v>
      </c>
      <c r="D1149" s="2396"/>
      <c r="E1149" s="2406">
        <v>0</v>
      </c>
      <c r="F1149" s="2406">
        <v>0</v>
      </c>
      <c r="G1149" s="2430">
        <v>0</v>
      </c>
      <c r="H1149" s="2407">
        <v>0</v>
      </c>
      <c r="I1149" s="2408"/>
      <c r="J1149" s="2408"/>
      <c r="K1149" s="2674" t="s">
        <v>6541</v>
      </c>
      <c r="L1149" s="2409"/>
    </row>
    <row r="1150" spans="1:12" ht="12" customHeight="1" x14ac:dyDescent="0.3">
      <c r="A1150" s="2394" t="s">
        <v>4610</v>
      </c>
      <c r="B1150" s="2395" t="s">
        <v>3599</v>
      </c>
      <c r="C1150" s="2406">
        <v>0</v>
      </c>
      <c r="D1150" s="2396"/>
      <c r="E1150" s="2406">
        <v>0</v>
      </c>
      <c r="F1150" s="2406">
        <v>0</v>
      </c>
      <c r="G1150" s="2407">
        <v>0</v>
      </c>
      <c r="H1150" s="2407">
        <v>0</v>
      </c>
      <c r="I1150" s="2408"/>
      <c r="J1150" s="2408"/>
      <c r="K1150" s="2674"/>
      <c r="L1150" s="2409"/>
    </row>
    <row r="1151" spans="1:12" ht="12" customHeight="1" x14ac:dyDescent="0.3">
      <c r="A1151" s="2394" t="s">
        <v>4611</v>
      </c>
      <c r="B1151" s="2395" t="s">
        <v>3601</v>
      </c>
      <c r="C1151" s="2406">
        <v>0</v>
      </c>
      <c r="D1151" s="2396"/>
      <c r="E1151" s="2406">
        <v>0</v>
      </c>
      <c r="F1151" s="2406">
        <v>0</v>
      </c>
      <c r="G1151" s="2407">
        <v>0</v>
      </c>
      <c r="H1151" s="2407">
        <v>0</v>
      </c>
      <c r="I1151" s="2408"/>
      <c r="J1151" s="2408"/>
      <c r="K1151" s="2674" t="s">
        <v>2586</v>
      </c>
      <c r="L1151" s="2409"/>
    </row>
    <row r="1152" spans="1:12" ht="12" customHeight="1" x14ac:dyDescent="0.3">
      <c r="A1152" s="2394" t="s">
        <v>4612</v>
      </c>
      <c r="B1152" s="2395" t="s">
        <v>3603</v>
      </c>
      <c r="C1152" s="2406">
        <v>0</v>
      </c>
      <c r="D1152" s="2396"/>
      <c r="E1152" s="2406">
        <v>0</v>
      </c>
      <c r="F1152" s="2406">
        <v>0</v>
      </c>
      <c r="G1152" s="2407">
        <v>0</v>
      </c>
      <c r="H1152" s="2407">
        <v>0</v>
      </c>
      <c r="I1152" s="2408"/>
      <c r="J1152" s="2408"/>
      <c r="K1152" s="2674" t="s">
        <v>2586</v>
      </c>
      <c r="L1152" s="2409"/>
    </row>
    <row r="1153" spans="1:12" ht="12" customHeight="1" x14ac:dyDescent="0.3">
      <c r="A1153" s="2394" t="s">
        <v>4613</v>
      </c>
      <c r="B1153" s="2395" t="s">
        <v>3605</v>
      </c>
      <c r="C1153" s="2406">
        <v>0</v>
      </c>
      <c r="D1153" s="2396"/>
      <c r="E1153" s="2406">
        <v>0</v>
      </c>
      <c r="F1153" s="2406">
        <v>0</v>
      </c>
      <c r="G1153" s="2407">
        <v>0</v>
      </c>
      <c r="H1153" s="2407">
        <v>0</v>
      </c>
      <c r="I1153" s="2408"/>
      <c r="J1153" s="2408"/>
      <c r="K1153" s="2674" t="s">
        <v>2585</v>
      </c>
      <c r="L1153" s="2409"/>
    </row>
    <row r="1154" spans="1:12" ht="12" customHeight="1" x14ac:dyDescent="0.3">
      <c r="A1154" s="2394" t="s">
        <v>4614</v>
      </c>
      <c r="B1154" s="2395" t="s">
        <v>3607</v>
      </c>
      <c r="C1154" s="2406">
        <v>0</v>
      </c>
      <c r="D1154" s="2396"/>
      <c r="E1154" s="2406">
        <v>0</v>
      </c>
      <c r="F1154" s="2406">
        <v>0</v>
      </c>
      <c r="G1154" s="2407">
        <v>0</v>
      </c>
      <c r="H1154" s="2407">
        <v>0</v>
      </c>
      <c r="I1154" s="2408"/>
      <c r="J1154" s="2408"/>
      <c r="K1154" s="2674" t="s">
        <v>2586</v>
      </c>
      <c r="L1154" s="2409"/>
    </row>
    <row r="1155" spans="1:12" ht="12" customHeight="1" x14ac:dyDescent="0.3">
      <c r="A1155" s="2394" t="s">
        <v>4615</v>
      </c>
      <c r="B1155" s="2395" t="s">
        <v>3609</v>
      </c>
      <c r="C1155" s="2406">
        <v>0</v>
      </c>
      <c r="D1155" s="2396"/>
      <c r="E1155" s="2406">
        <v>0</v>
      </c>
      <c r="F1155" s="2406">
        <v>0</v>
      </c>
      <c r="G1155" s="2407">
        <v>0</v>
      </c>
      <c r="H1155" s="2407">
        <v>0</v>
      </c>
      <c r="I1155" s="2408"/>
      <c r="J1155" s="2408"/>
      <c r="K1155" s="2674" t="s">
        <v>2585</v>
      </c>
      <c r="L1155" s="2409"/>
    </row>
    <row r="1156" spans="1:12" ht="12" customHeight="1" x14ac:dyDescent="0.3">
      <c r="A1156" s="2394" t="s">
        <v>4616</v>
      </c>
      <c r="B1156" s="2395" t="s">
        <v>3611</v>
      </c>
      <c r="C1156" s="2406">
        <v>0</v>
      </c>
      <c r="D1156" s="2396"/>
      <c r="E1156" s="2406">
        <v>0</v>
      </c>
      <c r="F1156" s="2406">
        <v>0</v>
      </c>
      <c r="G1156" s="2407">
        <v>0</v>
      </c>
      <c r="H1156" s="2407">
        <v>0</v>
      </c>
      <c r="I1156" s="2408"/>
      <c r="J1156" s="2408"/>
      <c r="K1156" s="2674" t="s">
        <v>6505</v>
      </c>
      <c r="L1156" s="2409"/>
    </row>
    <row r="1157" spans="1:12" ht="12" customHeight="1" x14ac:dyDescent="0.3">
      <c r="A1157" s="2394" t="s">
        <v>4617</v>
      </c>
      <c r="B1157" s="2395" t="s">
        <v>3613</v>
      </c>
      <c r="C1157" s="2406">
        <v>0</v>
      </c>
      <c r="D1157" s="2396"/>
      <c r="E1157" s="2406">
        <v>0</v>
      </c>
      <c r="F1157" s="2406">
        <v>0</v>
      </c>
      <c r="G1157" s="2407">
        <v>0</v>
      </c>
      <c r="H1157" s="2407">
        <v>0</v>
      </c>
      <c r="I1157" s="2408"/>
      <c r="J1157" s="2408"/>
      <c r="K1157" s="2674" t="s">
        <v>6505</v>
      </c>
      <c r="L1157" s="2409"/>
    </row>
    <row r="1158" spans="1:12" ht="12" customHeight="1" x14ac:dyDescent="0.3">
      <c r="A1158" s="2394" t="s">
        <v>4618</v>
      </c>
      <c r="B1158" s="2395" t="s">
        <v>3615</v>
      </c>
      <c r="C1158" s="2406">
        <v>0</v>
      </c>
      <c r="D1158" s="2396"/>
      <c r="E1158" s="2406">
        <v>0</v>
      </c>
      <c r="F1158" s="2406">
        <v>0</v>
      </c>
      <c r="G1158" s="2407">
        <v>0</v>
      </c>
      <c r="H1158" s="2407">
        <v>0</v>
      </c>
      <c r="I1158" s="2408"/>
      <c r="J1158" s="2408"/>
      <c r="K1158" s="2674" t="s">
        <v>2586</v>
      </c>
      <c r="L1158" s="2409"/>
    </row>
    <row r="1159" spans="1:12" ht="12" customHeight="1" x14ac:dyDescent="0.3">
      <c r="A1159" s="2394" t="s">
        <v>4619</v>
      </c>
      <c r="B1159" s="2395" t="s">
        <v>3617</v>
      </c>
      <c r="C1159" s="2406">
        <v>0</v>
      </c>
      <c r="D1159" s="2396"/>
      <c r="E1159" s="2406">
        <v>0</v>
      </c>
      <c r="F1159" s="2406">
        <v>0</v>
      </c>
      <c r="G1159" s="2407">
        <v>0</v>
      </c>
      <c r="H1159" s="2407">
        <v>0</v>
      </c>
      <c r="I1159" s="2408"/>
      <c r="J1159" s="2408"/>
      <c r="K1159" s="2674" t="s">
        <v>2586</v>
      </c>
      <c r="L1159" s="2409"/>
    </row>
    <row r="1160" spans="1:12" ht="12" customHeight="1" x14ac:dyDescent="0.3">
      <c r="A1160" s="2394" t="s">
        <v>4620</v>
      </c>
      <c r="B1160" s="2395" t="s">
        <v>3619</v>
      </c>
      <c r="C1160" s="2406">
        <v>0</v>
      </c>
      <c r="D1160" s="2396"/>
      <c r="E1160" s="2406">
        <v>0</v>
      </c>
      <c r="F1160" s="2406">
        <v>0</v>
      </c>
      <c r="G1160" s="2407">
        <v>0</v>
      </c>
      <c r="H1160" s="2407">
        <v>0</v>
      </c>
      <c r="I1160" s="2408"/>
      <c r="J1160" s="2408"/>
      <c r="K1160" s="2674"/>
      <c r="L1160" s="2409"/>
    </row>
    <row r="1161" spans="1:12" ht="12" customHeight="1" x14ac:dyDescent="0.3">
      <c r="A1161" s="2394" t="s">
        <v>4621</v>
      </c>
      <c r="B1161" s="2395" t="s">
        <v>3621</v>
      </c>
      <c r="C1161" s="2406">
        <v>0</v>
      </c>
      <c r="D1161" s="2396"/>
      <c r="E1161" s="2406">
        <v>0</v>
      </c>
      <c r="F1161" s="2406">
        <v>0</v>
      </c>
      <c r="G1161" s="2407">
        <v>0</v>
      </c>
      <c r="H1161" s="2407">
        <v>0</v>
      </c>
      <c r="I1161" s="2408"/>
      <c r="J1161" s="2408"/>
      <c r="K1161" s="2674" t="s">
        <v>6506</v>
      </c>
      <c r="L1161" s="2409"/>
    </row>
    <row r="1162" spans="1:12" ht="12" customHeight="1" x14ac:dyDescent="0.3">
      <c r="A1162" s="2394" t="s">
        <v>4622</v>
      </c>
      <c r="B1162" s="2395" t="s">
        <v>3623</v>
      </c>
      <c r="C1162" s="2406">
        <v>0</v>
      </c>
      <c r="D1162" s="2396"/>
      <c r="E1162" s="2406">
        <v>0</v>
      </c>
      <c r="F1162" s="2406">
        <v>0</v>
      </c>
      <c r="G1162" s="2407">
        <v>0</v>
      </c>
      <c r="H1162" s="2407">
        <v>0</v>
      </c>
      <c r="I1162" s="2408"/>
      <c r="J1162" s="2408"/>
      <c r="K1162" s="2674" t="s">
        <v>6507</v>
      </c>
      <c r="L1162" s="2409"/>
    </row>
    <row r="1163" spans="1:12" ht="12" customHeight="1" x14ac:dyDescent="0.3">
      <c r="A1163" s="2394" t="s">
        <v>4623</v>
      </c>
      <c r="B1163" s="2395" t="s">
        <v>3625</v>
      </c>
      <c r="C1163" s="2406">
        <v>0</v>
      </c>
      <c r="D1163" s="2396"/>
      <c r="E1163" s="2406">
        <v>0</v>
      </c>
      <c r="F1163" s="2406">
        <v>0</v>
      </c>
      <c r="G1163" s="2407">
        <v>0</v>
      </c>
      <c r="H1163" s="2407">
        <v>0</v>
      </c>
      <c r="I1163" s="2408"/>
      <c r="J1163" s="2408"/>
      <c r="K1163" s="2674" t="s">
        <v>6508</v>
      </c>
      <c r="L1163" s="2409"/>
    </row>
    <row r="1164" spans="1:12" ht="12" customHeight="1" x14ac:dyDescent="0.3">
      <c r="A1164" s="2394" t="s">
        <v>4624</v>
      </c>
      <c r="B1164" s="2395" t="s">
        <v>3627</v>
      </c>
      <c r="C1164" s="2406">
        <v>0</v>
      </c>
      <c r="D1164" s="2396"/>
      <c r="E1164" s="2406">
        <v>0</v>
      </c>
      <c r="F1164" s="2406">
        <v>0</v>
      </c>
      <c r="G1164" s="2407">
        <v>0</v>
      </c>
      <c r="H1164" s="2407">
        <v>0</v>
      </c>
      <c r="I1164" s="2408"/>
      <c r="J1164" s="2408"/>
      <c r="K1164" s="2674" t="s">
        <v>6509</v>
      </c>
      <c r="L1164" s="2409"/>
    </row>
    <row r="1165" spans="1:12" ht="12" customHeight="1" x14ac:dyDescent="0.3">
      <c r="A1165" s="2394" t="s">
        <v>4625</v>
      </c>
      <c r="B1165" s="2395" t="s">
        <v>3629</v>
      </c>
      <c r="C1165" s="2406">
        <v>0</v>
      </c>
      <c r="D1165" s="2396"/>
      <c r="E1165" s="2406">
        <v>0</v>
      </c>
      <c r="F1165" s="2406">
        <v>0</v>
      </c>
      <c r="G1165" s="2407">
        <v>0</v>
      </c>
      <c r="H1165" s="2407">
        <v>0</v>
      </c>
      <c r="I1165" s="2408"/>
      <c r="J1165" s="2408"/>
      <c r="K1165" s="2674" t="s">
        <v>6510</v>
      </c>
      <c r="L1165" s="2409"/>
    </row>
    <row r="1166" spans="1:12" ht="12" customHeight="1" x14ac:dyDescent="0.3">
      <c r="A1166" s="2394" t="s">
        <v>4626</v>
      </c>
      <c r="B1166" s="2395" t="s">
        <v>3631</v>
      </c>
      <c r="C1166" s="2406">
        <v>0</v>
      </c>
      <c r="D1166" s="2396"/>
      <c r="E1166" s="2406">
        <v>0</v>
      </c>
      <c r="F1166" s="2406">
        <v>0</v>
      </c>
      <c r="G1166" s="2407">
        <v>0</v>
      </c>
      <c r="H1166" s="2407">
        <v>0</v>
      </c>
      <c r="I1166" s="2408"/>
      <c r="J1166" s="2408"/>
      <c r="K1166" s="2674" t="s">
        <v>6511</v>
      </c>
      <c r="L1166" s="2409"/>
    </row>
    <row r="1167" spans="1:12" ht="12" customHeight="1" x14ac:dyDescent="0.3">
      <c r="A1167" s="2394" t="s">
        <v>4627</v>
      </c>
      <c r="B1167" s="2395" t="s">
        <v>3633</v>
      </c>
      <c r="C1167" s="2406">
        <v>0</v>
      </c>
      <c r="D1167" s="2396"/>
      <c r="E1167" s="2406">
        <v>0</v>
      </c>
      <c r="F1167" s="2406">
        <v>0</v>
      </c>
      <c r="G1167" s="2407">
        <v>0</v>
      </c>
      <c r="H1167" s="2407">
        <v>0</v>
      </c>
      <c r="I1167" s="2408"/>
      <c r="J1167" s="2408"/>
      <c r="K1167" s="2674" t="s">
        <v>6512</v>
      </c>
      <c r="L1167" s="2409"/>
    </row>
    <row r="1168" spans="1:12" ht="12" customHeight="1" x14ac:dyDescent="0.3">
      <c r="A1168" s="2394" t="s">
        <v>4628</v>
      </c>
      <c r="B1168" s="2395" t="s">
        <v>3635</v>
      </c>
      <c r="C1168" s="2406">
        <v>0</v>
      </c>
      <c r="D1168" s="2396"/>
      <c r="E1168" s="2406">
        <v>0</v>
      </c>
      <c r="F1168" s="2406">
        <v>0</v>
      </c>
      <c r="G1168" s="2407">
        <v>0</v>
      </c>
      <c r="H1168" s="2407">
        <v>0</v>
      </c>
      <c r="I1168" s="2408"/>
      <c r="J1168" s="2408"/>
      <c r="K1168" s="2674" t="s">
        <v>6513</v>
      </c>
      <c r="L1168" s="2409"/>
    </row>
    <row r="1169" spans="1:12" ht="12" customHeight="1" x14ac:dyDescent="0.3">
      <c r="A1169" s="2394" t="s">
        <v>4629</v>
      </c>
      <c r="B1169" s="2395" t="s">
        <v>3637</v>
      </c>
      <c r="C1169" s="2406">
        <v>0</v>
      </c>
      <c r="D1169" s="2396"/>
      <c r="E1169" s="2406">
        <v>0</v>
      </c>
      <c r="F1169" s="2406">
        <v>0</v>
      </c>
      <c r="G1169" s="2407">
        <v>0</v>
      </c>
      <c r="H1169" s="2407">
        <v>0</v>
      </c>
      <c r="I1169" s="2408"/>
      <c r="J1169" s="2408"/>
      <c r="K1169" s="2674" t="s">
        <v>6514</v>
      </c>
      <c r="L1169" s="2409"/>
    </row>
    <row r="1170" spans="1:12" ht="12" customHeight="1" x14ac:dyDescent="0.3">
      <c r="A1170" s="2394" t="s">
        <v>4630</v>
      </c>
      <c r="B1170" s="2395" t="s">
        <v>334</v>
      </c>
      <c r="C1170" s="2406">
        <v>0</v>
      </c>
      <c r="D1170" s="2396"/>
      <c r="E1170" s="2406">
        <v>0</v>
      </c>
      <c r="F1170" s="2406">
        <v>0</v>
      </c>
      <c r="G1170" s="2407">
        <v>0</v>
      </c>
      <c r="H1170" s="2407">
        <v>0</v>
      </c>
      <c r="I1170" s="2408"/>
      <c r="J1170" s="2408"/>
      <c r="K1170" s="2674"/>
      <c r="L1170" s="2409"/>
    </row>
    <row r="1171" spans="1:12" ht="12.75" customHeight="1" x14ac:dyDescent="0.3">
      <c r="A1171" s="2394" t="s">
        <v>4631</v>
      </c>
      <c r="B1171" s="2395" t="s">
        <v>3640</v>
      </c>
      <c r="C1171" s="2406">
        <v>0</v>
      </c>
      <c r="D1171" s="2396"/>
      <c r="E1171" s="2406">
        <v>0</v>
      </c>
      <c r="F1171" s="2406">
        <v>0</v>
      </c>
      <c r="G1171" s="2407">
        <v>0</v>
      </c>
      <c r="H1171" s="2407">
        <v>0</v>
      </c>
      <c r="I1171" s="2408"/>
      <c r="J1171" s="2408"/>
      <c r="K1171" s="2674" t="s">
        <v>6515</v>
      </c>
      <c r="L1171" s="2409"/>
    </row>
    <row r="1172" spans="1:12" ht="12" customHeight="1" x14ac:dyDescent="0.3">
      <c r="A1172" s="2394" t="s">
        <v>4632</v>
      </c>
      <c r="B1172" s="2395" t="s">
        <v>3642</v>
      </c>
      <c r="C1172" s="2406">
        <v>0</v>
      </c>
      <c r="D1172" s="2396"/>
      <c r="E1172" s="2406">
        <v>0</v>
      </c>
      <c r="F1172" s="2406">
        <v>0</v>
      </c>
      <c r="G1172" s="2407">
        <v>0</v>
      </c>
      <c r="H1172" s="2407">
        <v>0</v>
      </c>
      <c r="I1172" s="2408"/>
      <c r="J1172" s="2408"/>
      <c r="K1172" s="2674" t="s">
        <v>6515</v>
      </c>
      <c r="L1172" s="2409"/>
    </row>
    <row r="1173" spans="1:12" ht="12" customHeight="1" x14ac:dyDescent="0.3">
      <c r="A1173" s="2394" t="s">
        <v>4633</v>
      </c>
      <c r="B1173" s="2395" t="s">
        <v>3644</v>
      </c>
      <c r="C1173" s="2406">
        <v>0</v>
      </c>
      <c r="D1173" s="2396"/>
      <c r="E1173" s="2406">
        <v>0</v>
      </c>
      <c r="F1173" s="2406">
        <v>0</v>
      </c>
      <c r="G1173" s="2407">
        <v>0</v>
      </c>
      <c r="H1173" s="2407">
        <v>0</v>
      </c>
      <c r="I1173" s="2408"/>
      <c r="J1173" s="2408"/>
      <c r="K1173" s="2674" t="s">
        <v>6515</v>
      </c>
      <c r="L1173" s="2409"/>
    </row>
    <row r="1174" spans="1:12" ht="12" customHeight="1" x14ac:dyDescent="0.3">
      <c r="A1174" s="2394" t="s">
        <v>4634</v>
      </c>
      <c r="B1174" s="2395" t="s">
        <v>3646</v>
      </c>
      <c r="C1174" s="2406">
        <v>0</v>
      </c>
      <c r="D1174" s="2396"/>
      <c r="E1174" s="2406">
        <v>0</v>
      </c>
      <c r="F1174" s="2406">
        <v>0</v>
      </c>
      <c r="G1174" s="2407">
        <v>0</v>
      </c>
      <c r="H1174" s="2407">
        <v>0</v>
      </c>
      <c r="I1174" s="2408"/>
      <c r="J1174" s="2408"/>
      <c r="K1174" s="2674" t="s">
        <v>6515</v>
      </c>
      <c r="L1174" s="2409"/>
    </row>
    <row r="1175" spans="1:12" s="2435" customFormat="1" ht="12" customHeight="1" x14ac:dyDescent="0.3">
      <c r="A1175" s="2394" t="s">
        <v>4635</v>
      </c>
      <c r="B1175" s="2395" t="s">
        <v>3648</v>
      </c>
      <c r="C1175" s="2406">
        <v>0</v>
      </c>
      <c r="D1175" s="2396"/>
      <c r="E1175" s="2406">
        <v>0</v>
      </c>
      <c r="F1175" s="2406">
        <v>0</v>
      </c>
      <c r="G1175" s="2407">
        <v>0</v>
      </c>
      <c r="H1175" s="2407">
        <v>0</v>
      </c>
      <c r="I1175" s="2408"/>
      <c r="J1175" s="2408"/>
      <c r="K1175" s="2674" t="s">
        <v>6516</v>
      </c>
      <c r="L1175" s="2409"/>
    </row>
    <row r="1176" spans="1:12" ht="12" customHeight="1" x14ac:dyDescent="0.3">
      <c r="A1176" s="2394" t="s">
        <v>4636</v>
      </c>
      <c r="B1176" s="2395" t="s">
        <v>3650</v>
      </c>
      <c r="C1176" s="2406">
        <v>0</v>
      </c>
      <c r="D1176" s="2396"/>
      <c r="E1176" s="2406">
        <v>0</v>
      </c>
      <c r="F1176" s="2406">
        <v>0</v>
      </c>
      <c r="G1176" s="2407">
        <v>0</v>
      </c>
      <c r="H1176" s="2407">
        <v>0</v>
      </c>
      <c r="I1176" s="2408"/>
      <c r="J1176" s="2408"/>
      <c r="K1176" s="2674" t="s">
        <v>6517</v>
      </c>
      <c r="L1176" s="2409"/>
    </row>
    <row r="1177" spans="1:12" ht="12" customHeight="1" x14ac:dyDescent="0.3">
      <c r="A1177" s="2394" t="s">
        <v>4637</v>
      </c>
      <c r="B1177" s="2395" t="s">
        <v>3652</v>
      </c>
      <c r="C1177" s="2406">
        <v>0</v>
      </c>
      <c r="D1177" s="2396"/>
      <c r="E1177" s="2406">
        <v>0</v>
      </c>
      <c r="F1177" s="2406">
        <v>0</v>
      </c>
      <c r="G1177" s="2407">
        <v>0</v>
      </c>
      <c r="H1177" s="2407">
        <v>0</v>
      </c>
      <c r="I1177" s="2408"/>
      <c r="J1177" s="2408"/>
      <c r="K1177" s="2674" t="s">
        <v>6518</v>
      </c>
      <c r="L1177" s="2409"/>
    </row>
    <row r="1178" spans="1:12" ht="12" customHeight="1" x14ac:dyDescent="0.3">
      <c r="A1178" s="2394" t="s">
        <v>4638</v>
      </c>
      <c r="B1178" s="2395" t="s">
        <v>3654</v>
      </c>
      <c r="C1178" s="2406">
        <v>0</v>
      </c>
      <c r="D1178" s="2396"/>
      <c r="E1178" s="2406">
        <v>0</v>
      </c>
      <c r="F1178" s="2406">
        <v>0</v>
      </c>
      <c r="G1178" s="2407">
        <v>0</v>
      </c>
      <c r="H1178" s="2407">
        <v>0</v>
      </c>
      <c r="I1178" s="2408"/>
      <c r="J1178" s="2408"/>
      <c r="K1178" s="2674" t="s">
        <v>6518</v>
      </c>
      <c r="L1178" s="2409"/>
    </row>
    <row r="1179" spans="1:12" ht="12.75" customHeight="1" x14ac:dyDescent="0.3">
      <c r="A1179" s="2394" t="s">
        <v>4639</v>
      </c>
      <c r="B1179" s="2395" t="s">
        <v>3656</v>
      </c>
      <c r="C1179" s="2406">
        <v>0</v>
      </c>
      <c r="D1179" s="2396"/>
      <c r="E1179" s="2406">
        <v>0</v>
      </c>
      <c r="F1179" s="2406">
        <v>0</v>
      </c>
      <c r="G1179" s="2407">
        <v>0</v>
      </c>
      <c r="H1179" s="2407">
        <v>0</v>
      </c>
      <c r="I1179" s="2408"/>
      <c r="J1179" s="2408"/>
      <c r="K1179" s="2674"/>
      <c r="L1179" s="2409"/>
    </row>
    <row r="1180" spans="1:12" ht="12" customHeight="1" x14ac:dyDescent="0.3">
      <c r="A1180" s="2394" t="s">
        <v>4640</v>
      </c>
      <c r="B1180" s="2395" t="s">
        <v>3658</v>
      </c>
      <c r="C1180" s="2406">
        <v>0</v>
      </c>
      <c r="D1180" s="2396"/>
      <c r="E1180" s="2406">
        <v>0</v>
      </c>
      <c r="F1180" s="2406">
        <v>0</v>
      </c>
      <c r="G1180" s="2407">
        <v>0</v>
      </c>
      <c r="H1180" s="2407">
        <v>0</v>
      </c>
      <c r="I1180" s="2408"/>
      <c r="J1180" s="2408"/>
      <c r="K1180" s="2674" t="s">
        <v>6519</v>
      </c>
      <c r="L1180" s="2409"/>
    </row>
    <row r="1181" spans="1:12" ht="12" customHeight="1" x14ac:dyDescent="0.3">
      <c r="A1181" s="2394" t="s">
        <v>4641</v>
      </c>
      <c r="B1181" s="2395" t="s">
        <v>3660</v>
      </c>
      <c r="C1181" s="2406">
        <v>0</v>
      </c>
      <c r="D1181" s="2396"/>
      <c r="E1181" s="2406">
        <v>0</v>
      </c>
      <c r="F1181" s="2406">
        <v>0</v>
      </c>
      <c r="G1181" s="2407">
        <v>0</v>
      </c>
      <c r="H1181" s="2407">
        <v>0</v>
      </c>
      <c r="I1181" s="2408"/>
      <c r="J1181" s="2408"/>
      <c r="K1181" s="2674" t="s">
        <v>6520</v>
      </c>
      <c r="L1181" s="2409"/>
    </row>
    <row r="1182" spans="1:12" ht="12" customHeight="1" x14ac:dyDescent="0.3">
      <c r="A1182" s="2394" t="s">
        <v>4642</v>
      </c>
      <c r="B1182" s="2395" t="s">
        <v>3662</v>
      </c>
      <c r="C1182" s="2406">
        <v>0</v>
      </c>
      <c r="D1182" s="2396"/>
      <c r="E1182" s="2406">
        <v>0</v>
      </c>
      <c r="F1182" s="2406">
        <v>0</v>
      </c>
      <c r="G1182" s="2407">
        <v>0</v>
      </c>
      <c r="H1182" s="2407">
        <v>0</v>
      </c>
      <c r="I1182" s="2408"/>
      <c r="J1182" s="2408"/>
      <c r="K1182" s="2674" t="s">
        <v>6521</v>
      </c>
      <c r="L1182" s="2409"/>
    </row>
    <row r="1183" spans="1:12" ht="12" customHeight="1" x14ac:dyDescent="0.3">
      <c r="A1183" s="2394" t="s">
        <v>4643</v>
      </c>
      <c r="B1183" s="2395" t="s">
        <v>3664</v>
      </c>
      <c r="C1183" s="2406">
        <v>0</v>
      </c>
      <c r="D1183" s="2396"/>
      <c r="E1183" s="2406">
        <v>0</v>
      </c>
      <c r="F1183" s="2406">
        <v>0</v>
      </c>
      <c r="G1183" s="2407">
        <v>0</v>
      </c>
      <c r="H1183" s="2407">
        <v>0</v>
      </c>
      <c r="I1183" s="2408"/>
      <c r="J1183" s="2408"/>
      <c r="K1183" s="2674" t="s">
        <v>6522</v>
      </c>
      <c r="L1183" s="2409"/>
    </row>
    <row r="1184" spans="1:12" ht="12" customHeight="1" x14ac:dyDescent="0.3">
      <c r="A1184" s="2394" t="s">
        <v>4644</v>
      </c>
      <c r="B1184" s="2395" t="s">
        <v>3666</v>
      </c>
      <c r="C1184" s="2406">
        <v>0</v>
      </c>
      <c r="D1184" s="2396"/>
      <c r="E1184" s="2406">
        <v>0</v>
      </c>
      <c r="F1184" s="2406">
        <v>0</v>
      </c>
      <c r="G1184" s="2407">
        <v>0</v>
      </c>
      <c r="H1184" s="2407">
        <v>0</v>
      </c>
      <c r="I1184" s="2408"/>
      <c r="J1184" s="2408"/>
      <c r="K1184" s="2674" t="s">
        <v>6523</v>
      </c>
      <c r="L1184" s="2409"/>
    </row>
    <row r="1185" spans="1:12" ht="12" customHeight="1" x14ac:dyDescent="0.3">
      <c r="A1185" s="2394" t="s">
        <v>4645</v>
      </c>
      <c r="B1185" s="2395" t="s">
        <v>3668</v>
      </c>
      <c r="C1185" s="2406">
        <v>0</v>
      </c>
      <c r="D1185" s="2396"/>
      <c r="E1185" s="2406">
        <v>0</v>
      </c>
      <c r="F1185" s="2406">
        <v>0</v>
      </c>
      <c r="G1185" s="2407">
        <v>0</v>
      </c>
      <c r="H1185" s="2407">
        <v>0</v>
      </c>
      <c r="I1185" s="2408"/>
      <c r="J1185" s="2408"/>
      <c r="K1185" s="2674" t="s">
        <v>6524</v>
      </c>
      <c r="L1185" s="2409"/>
    </row>
    <row r="1186" spans="1:12" ht="12" customHeight="1" x14ac:dyDescent="0.3">
      <c r="A1186" s="2394" t="s">
        <v>4646</v>
      </c>
      <c r="B1186" s="2395" t="s">
        <v>350</v>
      </c>
      <c r="C1186" s="2406">
        <v>0</v>
      </c>
      <c r="D1186" s="2396"/>
      <c r="E1186" s="2406">
        <v>0</v>
      </c>
      <c r="F1186" s="2406">
        <v>0</v>
      </c>
      <c r="G1186" s="2407">
        <v>0</v>
      </c>
      <c r="H1186" s="2407">
        <v>0</v>
      </c>
      <c r="I1186" s="2408"/>
      <c r="J1186" s="2408"/>
      <c r="K1186" s="2674" t="s">
        <v>6524</v>
      </c>
      <c r="L1186" s="2409"/>
    </row>
    <row r="1187" spans="1:12" ht="12" customHeight="1" x14ac:dyDescent="0.3">
      <c r="A1187" s="2394" t="s">
        <v>4647</v>
      </c>
      <c r="B1187" s="2395" t="s">
        <v>3671</v>
      </c>
      <c r="C1187" s="2406">
        <v>0</v>
      </c>
      <c r="D1187" s="2396"/>
      <c r="E1187" s="2406">
        <v>0</v>
      </c>
      <c r="F1187" s="2406">
        <v>0</v>
      </c>
      <c r="G1187" s="2407">
        <v>0</v>
      </c>
      <c r="H1187" s="2407">
        <v>0</v>
      </c>
      <c r="I1187" s="2408"/>
      <c r="J1187" s="2408"/>
      <c r="K1187" s="2674"/>
      <c r="L1187" s="2409"/>
    </row>
    <row r="1188" spans="1:12" ht="12" customHeight="1" x14ac:dyDescent="0.3">
      <c r="A1188" s="2394" t="s">
        <v>4648</v>
      </c>
      <c r="B1188" s="2395" t="s">
        <v>3930</v>
      </c>
      <c r="C1188" s="2406">
        <v>0</v>
      </c>
      <c r="D1188" s="2396"/>
      <c r="E1188" s="2406">
        <v>0</v>
      </c>
      <c r="F1188" s="2406">
        <v>0</v>
      </c>
      <c r="G1188" s="2407">
        <v>0</v>
      </c>
      <c r="H1188" s="2407">
        <v>0</v>
      </c>
      <c r="I1188" s="2408"/>
      <c r="J1188" s="2408"/>
      <c r="K1188" s="2674" t="s">
        <v>6525</v>
      </c>
      <c r="L1188" s="2409"/>
    </row>
    <row r="1189" spans="1:12" ht="12" customHeight="1" x14ac:dyDescent="0.3">
      <c r="A1189" s="2394" t="s">
        <v>4649</v>
      </c>
      <c r="B1189" s="2395" t="s">
        <v>3675</v>
      </c>
      <c r="C1189" s="2406">
        <v>0</v>
      </c>
      <c r="D1189" s="2396"/>
      <c r="E1189" s="2406">
        <v>0</v>
      </c>
      <c r="F1189" s="2406">
        <v>0</v>
      </c>
      <c r="G1189" s="2407">
        <v>0</v>
      </c>
      <c r="H1189" s="2407">
        <v>0</v>
      </c>
      <c r="I1189" s="2408"/>
      <c r="J1189" s="2408"/>
      <c r="K1189" s="2674" t="s">
        <v>6526</v>
      </c>
      <c r="L1189" s="2409"/>
    </row>
    <row r="1190" spans="1:12" ht="12" customHeight="1" x14ac:dyDescent="0.3">
      <c r="A1190" s="2394" t="s">
        <v>4650</v>
      </c>
      <c r="B1190" s="2395" t="s">
        <v>3677</v>
      </c>
      <c r="C1190" s="2406">
        <v>0</v>
      </c>
      <c r="D1190" s="2396"/>
      <c r="E1190" s="2406">
        <v>0</v>
      </c>
      <c r="F1190" s="2406">
        <v>0</v>
      </c>
      <c r="G1190" s="2407">
        <v>0</v>
      </c>
      <c r="H1190" s="2407">
        <v>0</v>
      </c>
      <c r="I1190" s="2408"/>
      <c r="J1190" s="2408"/>
      <c r="K1190" s="2674" t="s">
        <v>6526</v>
      </c>
      <c r="L1190" s="2409"/>
    </row>
    <row r="1191" spans="1:12" ht="12" customHeight="1" x14ac:dyDescent="0.3">
      <c r="A1191" s="2394" t="s">
        <v>4651</v>
      </c>
      <c r="B1191" s="2395" t="s">
        <v>3679</v>
      </c>
      <c r="C1191" s="2406">
        <v>0</v>
      </c>
      <c r="D1191" s="2396"/>
      <c r="E1191" s="2406">
        <v>0</v>
      </c>
      <c r="F1191" s="2406">
        <v>0</v>
      </c>
      <c r="G1191" s="2407">
        <v>0</v>
      </c>
      <c r="H1191" s="2407">
        <v>0</v>
      </c>
      <c r="I1191" s="2408"/>
      <c r="J1191" s="2408"/>
      <c r="K1191" s="2674" t="s">
        <v>6526</v>
      </c>
      <c r="L1191" s="2409"/>
    </row>
    <row r="1192" spans="1:12" ht="12" customHeight="1" x14ac:dyDescent="0.3">
      <c r="A1192" s="2394" t="s">
        <v>4652</v>
      </c>
      <c r="B1192" s="2395" t="s">
        <v>3681</v>
      </c>
      <c r="C1192" s="2406">
        <v>0</v>
      </c>
      <c r="D1192" s="2396"/>
      <c r="E1192" s="2406">
        <v>0</v>
      </c>
      <c r="F1192" s="2406">
        <v>0</v>
      </c>
      <c r="G1192" s="2407">
        <v>0</v>
      </c>
      <c r="H1192" s="2407">
        <v>0</v>
      </c>
      <c r="I1192" s="2408"/>
      <c r="J1192" s="2408"/>
      <c r="K1192" s="2674" t="s">
        <v>6526</v>
      </c>
      <c r="L1192" s="2409"/>
    </row>
    <row r="1193" spans="1:12" ht="12" customHeight="1" x14ac:dyDescent="0.3">
      <c r="A1193" s="2394" t="s">
        <v>4653</v>
      </c>
      <c r="B1193" s="2395" t="s">
        <v>3683</v>
      </c>
      <c r="C1193" s="2406">
        <v>0</v>
      </c>
      <c r="D1193" s="2396"/>
      <c r="E1193" s="2406">
        <v>0</v>
      </c>
      <c r="F1193" s="2406">
        <v>0</v>
      </c>
      <c r="G1193" s="2407">
        <v>0</v>
      </c>
      <c r="H1193" s="2407">
        <v>0</v>
      </c>
      <c r="I1193" s="2408"/>
      <c r="J1193" s="2408"/>
      <c r="K1193" s="2674" t="s">
        <v>6527</v>
      </c>
      <c r="L1193" s="2409"/>
    </row>
    <row r="1194" spans="1:12" ht="12" customHeight="1" x14ac:dyDescent="0.3">
      <c r="A1194" s="2394" t="s">
        <v>4654</v>
      </c>
      <c r="B1194" s="2395" t="s">
        <v>3685</v>
      </c>
      <c r="C1194" s="2406">
        <v>0</v>
      </c>
      <c r="D1194" s="2396"/>
      <c r="E1194" s="2406">
        <v>0</v>
      </c>
      <c r="F1194" s="2406">
        <v>0</v>
      </c>
      <c r="G1194" s="2407">
        <v>0</v>
      </c>
      <c r="H1194" s="2407">
        <v>0</v>
      </c>
      <c r="I1194" s="2408"/>
      <c r="J1194" s="2408"/>
      <c r="K1194" s="2674" t="s">
        <v>6528</v>
      </c>
      <c r="L1194" s="2409"/>
    </row>
    <row r="1195" spans="1:12" ht="12" customHeight="1" x14ac:dyDescent="0.3">
      <c r="A1195" s="2394" t="s">
        <v>4655</v>
      </c>
      <c r="B1195" s="2395" t="s">
        <v>3687</v>
      </c>
      <c r="C1195" s="2406">
        <v>0</v>
      </c>
      <c r="D1195" s="2396"/>
      <c r="E1195" s="2406">
        <v>0</v>
      </c>
      <c r="F1195" s="2406">
        <v>0</v>
      </c>
      <c r="G1195" s="2407">
        <v>0</v>
      </c>
      <c r="H1195" s="2407">
        <v>0</v>
      </c>
      <c r="I1195" s="2408"/>
      <c r="J1195" s="2408"/>
      <c r="K1195" s="2674" t="s">
        <v>6528</v>
      </c>
      <c r="L1195" s="2409"/>
    </row>
    <row r="1196" spans="1:12" ht="12" customHeight="1" x14ac:dyDescent="0.3">
      <c r="A1196" s="2394" t="s">
        <v>4656</v>
      </c>
      <c r="B1196" s="2395" t="s">
        <v>3689</v>
      </c>
      <c r="C1196" s="2406">
        <v>0</v>
      </c>
      <c r="D1196" s="2396"/>
      <c r="E1196" s="2406">
        <v>0</v>
      </c>
      <c r="F1196" s="2406">
        <v>0</v>
      </c>
      <c r="G1196" s="2407">
        <v>0</v>
      </c>
      <c r="H1196" s="2407">
        <v>0</v>
      </c>
      <c r="I1196" s="2408"/>
      <c r="J1196" s="2408"/>
      <c r="K1196" s="2674" t="s">
        <v>6528</v>
      </c>
      <c r="L1196" s="2409"/>
    </row>
    <row r="1197" spans="1:12" ht="12" customHeight="1" x14ac:dyDescent="0.3">
      <c r="A1197" s="2394" t="s">
        <v>4657</v>
      </c>
      <c r="B1197" s="2395" t="s">
        <v>3942</v>
      </c>
      <c r="C1197" s="2406">
        <v>0</v>
      </c>
      <c r="D1197" s="2396"/>
      <c r="E1197" s="2406">
        <v>0</v>
      </c>
      <c r="F1197" s="2406">
        <v>0</v>
      </c>
      <c r="G1197" s="2407">
        <v>0</v>
      </c>
      <c r="H1197" s="2407">
        <v>0</v>
      </c>
      <c r="I1197" s="2408"/>
      <c r="J1197" s="2408"/>
      <c r="K1197" s="2674"/>
      <c r="L1197" s="2409"/>
    </row>
    <row r="1198" spans="1:12" ht="12" customHeight="1" x14ac:dyDescent="0.3">
      <c r="A1198" s="2394" t="s">
        <v>4658</v>
      </c>
      <c r="B1198" s="2395" t="s">
        <v>3943</v>
      </c>
      <c r="C1198" s="2406">
        <v>165431500</v>
      </c>
      <c r="D1198" s="2396"/>
      <c r="E1198" s="2406">
        <v>0</v>
      </c>
      <c r="F1198" s="2406">
        <v>0</v>
      </c>
      <c r="G1198" s="2407">
        <v>0</v>
      </c>
      <c r="H1198" s="2407">
        <v>165431500</v>
      </c>
      <c r="I1198" s="2408"/>
      <c r="J1198" s="2408"/>
      <c r="K1198" s="2674" t="s">
        <v>6543</v>
      </c>
      <c r="L1198" s="2409"/>
    </row>
    <row r="1199" spans="1:12" ht="12" customHeight="1" x14ac:dyDescent="0.3">
      <c r="A1199" s="2394" t="s">
        <v>4659</v>
      </c>
      <c r="B1199" s="2395" t="s">
        <v>3720</v>
      </c>
      <c r="C1199" s="2406">
        <v>0</v>
      </c>
      <c r="D1199" s="2396"/>
      <c r="E1199" s="2406">
        <v>0</v>
      </c>
      <c r="F1199" s="2406">
        <v>0</v>
      </c>
      <c r="G1199" s="2407">
        <v>0</v>
      </c>
      <c r="H1199" s="2407">
        <v>0</v>
      </c>
      <c r="I1199" s="2408"/>
      <c r="J1199" s="2408"/>
      <c r="K1199" s="2674" t="s">
        <v>6515</v>
      </c>
      <c r="L1199" s="2409"/>
    </row>
    <row r="1200" spans="1:12" ht="12" customHeight="1" x14ac:dyDescent="0.3">
      <c r="A1200" s="2394" t="s">
        <v>4660</v>
      </c>
      <c r="B1200" s="2395" t="s">
        <v>3932</v>
      </c>
      <c r="C1200" s="2406">
        <v>544500</v>
      </c>
      <c r="D1200" s="2396"/>
      <c r="E1200" s="2406">
        <v>0</v>
      </c>
      <c r="F1200" s="2406">
        <v>0</v>
      </c>
      <c r="G1200" s="2407">
        <v>0</v>
      </c>
      <c r="H1200" s="2407">
        <v>544500</v>
      </c>
      <c r="I1200" s="2408"/>
      <c r="J1200" s="2408"/>
      <c r="K1200" s="2674" t="s">
        <v>6517</v>
      </c>
      <c r="L1200" s="2409"/>
    </row>
    <row r="1201" spans="1:12" ht="12" customHeight="1" x14ac:dyDescent="0.3">
      <c r="A1201" s="2394" t="s">
        <v>4661</v>
      </c>
      <c r="B1201" s="2395" t="s">
        <v>3648</v>
      </c>
      <c r="C1201" s="2406">
        <v>338000</v>
      </c>
      <c r="D1201" s="2396"/>
      <c r="E1201" s="2406">
        <v>0</v>
      </c>
      <c r="F1201" s="2406">
        <v>0</v>
      </c>
      <c r="G1201" s="2407">
        <v>0</v>
      </c>
      <c r="H1201" s="2407">
        <v>338000</v>
      </c>
      <c r="I1201" s="2408"/>
      <c r="J1201" s="2408"/>
      <c r="K1201" s="2674" t="s">
        <v>6516</v>
      </c>
      <c r="L1201" s="2409"/>
    </row>
    <row r="1202" spans="1:12" ht="12" customHeight="1" x14ac:dyDescent="0.3">
      <c r="A1202" s="2394" t="s">
        <v>4662</v>
      </c>
      <c r="B1202" s="2395" t="s">
        <v>3934</v>
      </c>
      <c r="C1202" s="2406">
        <v>11692000</v>
      </c>
      <c r="D1202" s="2396"/>
      <c r="E1202" s="2406">
        <v>0</v>
      </c>
      <c r="F1202" s="2406">
        <v>0</v>
      </c>
      <c r="G1202" s="2407">
        <v>0</v>
      </c>
      <c r="H1202" s="2407">
        <v>11692000</v>
      </c>
      <c r="I1202" s="2408"/>
      <c r="J1202" s="2408"/>
      <c r="K1202" s="2674" t="s">
        <v>6518</v>
      </c>
      <c r="L1202" s="2409"/>
    </row>
    <row r="1203" spans="1:12" ht="12" customHeight="1" x14ac:dyDescent="0.3">
      <c r="A1203" s="2394" t="s">
        <v>4663</v>
      </c>
      <c r="B1203" s="2395" t="s">
        <v>3935</v>
      </c>
      <c r="C1203" s="2406">
        <v>0</v>
      </c>
      <c r="D1203" s="2396"/>
      <c r="E1203" s="2406">
        <v>0</v>
      </c>
      <c r="F1203" s="2406">
        <v>0</v>
      </c>
      <c r="G1203" s="2407">
        <v>0</v>
      </c>
      <c r="H1203" s="2407">
        <v>0</v>
      </c>
      <c r="I1203" s="2408"/>
      <c r="J1203" s="2408"/>
      <c r="K1203" s="2674" t="s">
        <v>6522</v>
      </c>
      <c r="L1203" s="2409"/>
    </row>
    <row r="1204" spans="1:12" ht="12" customHeight="1" x14ac:dyDescent="0.3">
      <c r="A1204" s="2394" t="s">
        <v>4664</v>
      </c>
      <c r="B1204" s="2395" t="s">
        <v>3249</v>
      </c>
      <c r="C1204" s="2406">
        <v>16823000</v>
      </c>
      <c r="D1204" s="2396"/>
      <c r="E1204" s="2406">
        <v>0</v>
      </c>
      <c r="F1204" s="2406">
        <v>0</v>
      </c>
      <c r="G1204" s="2407">
        <v>0</v>
      </c>
      <c r="H1204" s="2407">
        <v>16823000</v>
      </c>
      <c r="I1204" s="2408"/>
      <c r="J1204" s="2408"/>
      <c r="K1204" s="2674" t="s">
        <v>6520</v>
      </c>
      <c r="L1204" s="2409"/>
    </row>
    <row r="1205" spans="1:12" ht="12" customHeight="1" x14ac:dyDescent="0.3">
      <c r="A1205" s="2394" t="s">
        <v>4665</v>
      </c>
      <c r="B1205" s="2395" t="s">
        <v>350</v>
      </c>
      <c r="C1205" s="2406">
        <v>0</v>
      </c>
      <c r="D1205" s="2396"/>
      <c r="E1205" s="2406">
        <v>0</v>
      </c>
      <c r="F1205" s="2406">
        <v>0</v>
      </c>
      <c r="G1205" s="2407">
        <v>0</v>
      </c>
      <c r="H1205" s="2407">
        <v>0</v>
      </c>
      <c r="I1205" s="2408"/>
      <c r="J1205" s="2408"/>
      <c r="K1205" s="2674" t="s">
        <v>6536</v>
      </c>
      <c r="L1205" s="2409"/>
    </row>
    <row r="1206" spans="1:12" ht="12" customHeight="1" x14ac:dyDescent="0.3">
      <c r="A1206" s="2394" t="s">
        <v>4666</v>
      </c>
      <c r="B1206" s="2395" t="s">
        <v>3944</v>
      </c>
      <c r="C1206" s="2406">
        <v>0</v>
      </c>
      <c r="D1206" s="2396"/>
      <c r="E1206" s="2406">
        <v>0</v>
      </c>
      <c r="F1206" s="2406">
        <v>0</v>
      </c>
      <c r="G1206" s="2407">
        <v>0</v>
      </c>
      <c r="H1206" s="2407">
        <v>0</v>
      </c>
      <c r="I1206" s="2408"/>
      <c r="J1206" s="2408"/>
      <c r="K1206" s="2674"/>
      <c r="L1206" s="2409"/>
    </row>
    <row r="1207" spans="1:12" ht="12" customHeight="1" x14ac:dyDescent="0.3">
      <c r="A1207" s="2394" t="s">
        <v>4667</v>
      </c>
      <c r="B1207" s="2395" t="s">
        <v>3945</v>
      </c>
      <c r="C1207" s="2406">
        <v>17500000</v>
      </c>
      <c r="D1207" s="2396"/>
      <c r="E1207" s="2406">
        <v>0</v>
      </c>
      <c r="F1207" s="2406">
        <v>0</v>
      </c>
      <c r="G1207" s="2407">
        <v>0</v>
      </c>
      <c r="H1207" s="2407">
        <v>17500000</v>
      </c>
      <c r="I1207" s="2408"/>
      <c r="J1207" s="2408"/>
      <c r="K1207" s="2674" t="s">
        <v>6543</v>
      </c>
      <c r="L1207" s="2409"/>
    </row>
    <row r="1208" spans="1:12" ht="12" customHeight="1" x14ac:dyDescent="0.3">
      <c r="A1208" s="2394" t="s">
        <v>4668</v>
      </c>
      <c r="B1208" s="2395" t="s">
        <v>3946</v>
      </c>
      <c r="C1208" s="2406">
        <v>48700000</v>
      </c>
      <c r="D1208" s="2396"/>
      <c r="E1208" s="2406">
        <v>0</v>
      </c>
      <c r="F1208" s="2406">
        <v>0</v>
      </c>
      <c r="G1208" s="2407">
        <v>0</v>
      </c>
      <c r="H1208" s="2407">
        <v>48700000</v>
      </c>
      <c r="I1208" s="2408"/>
      <c r="J1208" s="2408"/>
      <c r="K1208" s="2674" t="s">
        <v>6543</v>
      </c>
      <c r="L1208" s="2409"/>
    </row>
    <row r="1209" spans="1:12" ht="12" customHeight="1" x14ac:dyDescent="0.3">
      <c r="A1209" s="2394" t="s">
        <v>4669</v>
      </c>
      <c r="B1209" s="2395" t="s">
        <v>3720</v>
      </c>
      <c r="C1209" s="2406">
        <v>0</v>
      </c>
      <c r="D1209" s="2396"/>
      <c r="E1209" s="2406">
        <v>40000</v>
      </c>
      <c r="F1209" s="2406">
        <v>0</v>
      </c>
      <c r="G1209" s="2407">
        <v>40000</v>
      </c>
      <c r="H1209" s="2407">
        <v>40000</v>
      </c>
      <c r="I1209" s="2408"/>
      <c r="J1209" s="2408"/>
      <c r="K1209" s="2674" t="s">
        <v>6515</v>
      </c>
      <c r="L1209" s="2409"/>
    </row>
    <row r="1210" spans="1:12" ht="12" customHeight="1" x14ac:dyDescent="0.3">
      <c r="A1210" s="2394" t="s">
        <v>4670</v>
      </c>
      <c r="B1210" s="2395" t="s">
        <v>3932</v>
      </c>
      <c r="C1210" s="2406">
        <v>0</v>
      </c>
      <c r="D1210" s="2396"/>
      <c r="E1210" s="2406">
        <v>0</v>
      </c>
      <c r="F1210" s="2406">
        <v>0</v>
      </c>
      <c r="G1210" s="2407">
        <v>0</v>
      </c>
      <c r="H1210" s="2407">
        <v>0</v>
      </c>
      <c r="I1210" s="2408"/>
      <c r="J1210" s="2408"/>
      <c r="K1210" s="2674" t="s">
        <v>6517</v>
      </c>
      <c r="L1210" s="2409"/>
    </row>
    <row r="1211" spans="1:12" ht="12" customHeight="1" x14ac:dyDescent="0.3">
      <c r="A1211" s="2394" t="s">
        <v>4671</v>
      </c>
      <c r="B1211" s="2395" t="s">
        <v>3718</v>
      </c>
      <c r="C1211" s="2406">
        <v>820000</v>
      </c>
      <c r="D1211" s="2396"/>
      <c r="E1211" s="2406">
        <v>100000</v>
      </c>
      <c r="F1211" s="2406">
        <v>0</v>
      </c>
      <c r="G1211" s="2407">
        <v>100000</v>
      </c>
      <c r="H1211" s="2407">
        <v>920000</v>
      </c>
      <c r="I1211" s="2408"/>
      <c r="J1211" s="2408"/>
      <c r="K1211" s="2674" t="s">
        <v>6516</v>
      </c>
      <c r="L1211" s="2409"/>
    </row>
    <row r="1212" spans="1:12" ht="12" customHeight="1" x14ac:dyDescent="0.3">
      <c r="A1212" s="2394" t="s">
        <v>4672</v>
      </c>
      <c r="B1212" s="2395" t="s">
        <v>3947</v>
      </c>
      <c r="C1212" s="2406">
        <v>1537100</v>
      </c>
      <c r="D1212" s="2396"/>
      <c r="E1212" s="2406">
        <v>0</v>
      </c>
      <c r="F1212" s="2406">
        <v>0</v>
      </c>
      <c r="G1212" s="2407">
        <v>0</v>
      </c>
      <c r="H1212" s="2407">
        <v>1537100</v>
      </c>
      <c r="I1212" s="2408"/>
      <c r="J1212" s="2408"/>
      <c r="K1212" s="2674" t="s">
        <v>6518</v>
      </c>
      <c r="L1212" s="2409"/>
    </row>
    <row r="1213" spans="1:12" ht="12" customHeight="1" x14ac:dyDescent="0.3">
      <c r="A1213" s="2394" t="s">
        <v>4673</v>
      </c>
      <c r="B1213" s="2395" t="s">
        <v>3935</v>
      </c>
      <c r="C1213" s="2406">
        <v>0</v>
      </c>
      <c r="D1213" s="2396"/>
      <c r="E1213" s="2406">
        <v>0</v>
      </c>
      <c r="F1213" s="2406">
        <v>0</v>
      </c>
      <c r="G1213" s="2407">
        <v>0</v>
      </c>
      <c r="H1213" s="2407">
        <v>0</v>
      </c>
      <c r="I1213" s="2408"/>
      <c r="J1213" s="2408"/>
      <c r="K1213" s="2674" t="s">
        <v>6522</v>
      </c>
      <c r="L1213" s="2409"/>
    </row>
    <row r="1214" spans="1:12" ht="12.75" customHeight="1" x14ac:dyDescent="0.3">
      <c r="A1214" s="2394" t="s">
        <v>4674</v>
      </c>
      <c r="B1214" s="2395" t="s">
        <v>3249</v>
      </c>
      <c r="C1214" s="2406">
        <v>0</v>
      </c>
      <c r="D1214" s="2396"/>
      <c r="E1214" s="2406">
        <v>0</v>
      </c>
      <c r="F1214" s="2406">
        <v>0</v>
      </c>
      <c r="G1214" s="2407">
        <v>0</v>
      </c>
      <c r="H1214" s="2407">
        <v>0</v>
      </c>
      <c r="I1214" s="2408"/>
      <c r="J1214" s="2408"/>
      <c r="K1214" s="2674" t="s">
        <v>6520</v>
      </c>
      <c r="L1214" s="2409"/>
    </row>
    <row r="1215" spans="1:12" ht="12" customHeight="1" x14ac:dyDescent="0.3">
      <c r="A1215" s="2394" t="s">
        <v>4675</v>
      </c>
      <c r="B1215" s="2395" t="s">
        <v>350</v>
      </c>
      <c r="C1215" s="2406">
        <v>3640000</v>
      </c>
      <c r="D1215" s="2396"/>
      <c r="E1215" s="2406">
        <v>0</v>
      </c>
      <c r="F1215" s="2406">
        <v>0</v>
      </c>
      <c r="G1215" s="2407">
        <v>0</v>
      </c>
      <c r="H1215" s="2407">
        <v>3640000</v>
      </c>
      <c r="I1215" s="2408"/>
      <c r="J1215" s="2408"/>
      <c r="K1215" s="2674" t="s">
        <v>6522</v>
      </c>
      <c r="L1215" s="2409"/>
    </row>
    <row r="1216" spans="1:12" ht="12" customHeight="1" x14ac:dyDescent="0.3">
      <c r="A1216" s="2394" t="s">
        <v>4676</v>
      </c>
      <c r="B1216" s="2395" t="s">
        <v>320</v>
      </c>
      <c r="C1216" s="2406">
        <v>0</v>
      </c>
      <c r="D1216" s="2396"/>
      <c r="E1216" s="2406">
        <v>0</v>
      </c>
      <c r="F1216" s="2406">
        <v>0</v>
      </c>
      <c r="G1216" s="2407">
        <v>0</v>
      </c>
      <c r="H1216" s="2407">
        <v>0</v>
      </c>
      <c r="I1216" s="2408"/>
      <c r="J1216" s="2408"/>
      <c r="K1216" s="2674" t="s">
        <v>6542</v>
      </c>
      <c r="L1216" s="2409"/>
    </row>
    <row r="1217" spans="1:12" ht="12" customHeight="1" x14ac:dyDescent="0.3">
      <c r="A1217" s="2394" t="s">
        <v>4677</v>
      </c>
      <c r="B1217" s="2395" t="s">
        <v>3948</v>
      </c>
      <c r="C1217" s="2406">
        <v>0</v>
      </c>
      <c r="D1217" s="2396"/>
      <c r="E1217" s="2406">
        <v>0</v>
      </c>
      <c r="F1217" s="2406">
        <v>0</v>
      </c>
      <c r="G1217" s="2407">
        <v>0</v>
      </c>
      <c r="H1217" s="2407">
        <v>0</v>
      </c>
      <c r="I1217" s="2408"/>
      <c r="J1217" s="2408"/>
      <c r="K1217" s="2674" t="s">
        <v>6542</v>
      </c>
      <c r="L1217" s="2409"/>
    </row>
    <row r="1218" spans="1:12" ht="12" customHeight="1" x14ac:dyDescent="0.3">
      <c r="A1218" s="2394" t="s">
        <v>4678</v>
      </c>
      <c r="B1218" s="2395" t="s">
        <v>3949</v>
      </c>
      <c r="C1218" s="2406">
        <v>0</v>
      </c>
      <c r="D1218" s="2396"/>
      <c r="E1218" s="2406">
        <v>0</v>
      </c>
      <c r="F1218" s="2406">
        <v>0</v>
      </c>
      <c r="G1218" s="2407">
        <v>0</v>
      </c>
      <c r="H1218" s="2407">
        <v>0</v>
      </c>
      <c r="I1218" s="2408"/>
      <c r="J1218" s="2408"/>
      <c r="K1218" s="2674" t="s">
        <v>6542</v>
      </c>
      <c r="L1218" s="2409"/>
    </row>
    <row r="1219" spans="1:12" ht="12.75" customHeight="1" x14ac:dyDescent="0.3">
      <c r="A1219" s="2394" t="s">
        <v>4679</v>
      </c>
      <c r="B1219" s="2395" t="s">
        <v>3950</v>
      </c>
      <c r="C1219" s="2406">
        <v>11963300</v>
      </c>
      <c r="D1219" s="2396"/>
      <c r="E1219" s="2406">
        <v>0</v>
      </c>
      <c r="F1219" s="2406">
        <v>0</v>
      </c>
      <c r="G1219" s="2407">
        <v>0</v>
      </c>
      <c r="H1219" s="2407">
        <v>11963300</v>
      </c>
      <c r="I1219" s="2408"/>
      <c r="J1219" s="2408"/>
      <c r="K1219" s="2674" t="s">
        <v>6542</v>
      </c>
      <c r="L1219" s="2409"/>
    </row>
    <row r="1220" spans="1:12" ht="12" customHeight="1" x14ac:dyDescent="0.3">
      <c r="A1220" s="2394" t="s">
        <v>4680</v>
      </c>
      <c r="B1220" s="2395" t="s">
        <v>3951</v>
      </c>
      <c r="C1220" s="2406">
        <v>500000</v>
      </c>
      <c r="D1220" s="2396"/>
      <c r="E1220" s="2406">
        <v>0</v>
      </c>
      <c r="F1220" s="2406">
        <v>0</v>
      </c>
      <c r="G1220" s="2407">
        <v>0</v>
      </c>
      <c r="H1220" s="2407">
        <v>500000</v>
      </c>
      <c r="I1220" s="2408"/>
      <c r="J1220" s="2408"/>
      <c r="K1220" s="2674" t="s">
        <v>6542</v>
      </c>
      <c r="L1220" s="2409"/>
    </row>
    <row r="1221" spans="1:12" ht="12" customHeight="1" x14ac:dyDescent="0.3">
      <c r="A1221" s="2394" t="s">
        <v>4681</v>
      </c>
      <c r="B1221" s="2395" t="s">
        <v>3952</v>
      </c>
      <c r="C1221" s="2406">
        <v>0</v>
      </c>
      <c r="D1221" s="2396"/>
      <c r="E1221" s="2406">
        <v>0</v>
      </c>
      <c r="F1221" s="2406">
        <v>0</v>
      </c>
      <c r="G1221" s="2407">
        <v>0</v>
      </c>
      <c r="H1221" s="2407">
        <v>0</v>
      </c>
      <c r="I1221" s="2408"/>
      <c r="J1221" s="2408"/>
      <c r="K1221" s="2674" t="s">
        <v>6542</v>
      </c>
      <c r="L1221" s="2409"/>
    </row>
    <row r="1222" spans="1:12" ht="12" customHeight="1" x14ac:dyDescent="0.3">
      <c r="A1222" s="2394" t="s">
        <v>4682</v>
      </c>
      <c r="B1222" s="2395" t="s">
        <v>3953</v>
      </c>
      <c r="C1222" s="2406">
        <v>0</v>
      </c>
      <c r="D1222" s="2396"/>
      <c r="E1222" s="2406">
        <v>0</v>
      </c>
      <c r="F1222" s="2406">
        <v>0</v>
      </c>
      <c r="G1222" s="2407">
        <v>0</v>
      </c>
      <c r="H1222" s="2407">
        <v>0</v>
      </c>
      <c r="I1222" s="2408"/>
      <c r="J1222" s="2408"/>
      <c r="K1222" s="2674" t="s">
        <v>6536</v>
      </c>
      <c r="L1222" s="2409"/>
    </row>
    <row r="1223" spans="1:12" ht="12" customHeight="1" x14ac:dyDescent="0.3">
      <c r="A1223" s="2394" t="s">
        <v>4683</v>
      </c>
      <c r="B1223" s="2395" t="s">
        <v>3954</v>
      </c>
      <c r="C1223" s="2406">
        <v>0</v>
      </c>
      <c r="D1223" s="2396"/>
      <c r="E1223" s="2406">
        <v>0</v>
      </c>
      <c r="F1223" s="2406">
        <v>0</v>
      </c>
      <c r="G1223" s="2407">
        <v>0</v>
      </c>
      <c r="H1223" s="2407">
        <v>0</v>
      </c>
      <c r="I1223" s="2408"/>
      <c r="J1223" s="2408"/>
      <c r="K1223" s="2674" t="s">
        <v>6542</v>
      </c>
      <c r="L1223" s="2409"/>
    </row>
    <row r="1224" spans="1:12" ht="12" customHeight="1" x14ac:dyDescent="0.3">
      <c r="A1224" s="2394" t="s">
        <v>8110</v>
      </c>
      <c r="B1224" s="2395" t="s">
        <v>8111</v>
      </c>
      <c r="C1224" s="2406">
        <v>5000000</v>
      </c>
      <c r="D1224" s="2396"/>
      <c r="E1224" s="2406">
        <v>0</v>
      </c>
      <c r="F1224" s="2406">
        <v>0</v>
      </c>
      <c r="G1224" s="2407">
        <v>0</v>
      </c>
      <c r="H1224" s="2407">
        <v>5000000</v>
      </c>
      <c r="I1224" s="2408"/>
      <c r="J1224" s="2408"/>
      <c r="K1224" s="2674" t="s">
        <v>6542</v>
      </c>
      <c r="L1224" s="2409"/>
    </row>
    <row r="1225" spans="1:12" ht="12" customHeight="1" x14ac:dyDescent="0.3">
      <c r="A1225" s="2394" t="s">
        <v>4684</v>
      </c>
      <c r="B1225" s="2395" t="s">
        <v>350</v>
      </c>
      <c r="C1225" s="2406">
        <v>0</v>
      </c>
      <c r="D1225" s="2396"/>
      <c r="E1225" s="2406">
        <v>0</v>
      </c>
      <c r="F1225" s="2406">
        <v>0</v>
      </c>
      <c r="G1225" s="2407">
        <v>0</v>
      </c>
      <c r="H1225" s="2407">
        <v>0</v>
      </c>
      <c r="I1225" s="2408"/>
      <c r="J1225" s="2408"/>
      <c r="K1225" s="2674" t="s">
        <v>6518</v>
      </c>
      <c r="L1225" s="2409"/>
    </row>
    <row r="1226" spans="1:12" ht="12" customHeight="1" x14ac:dyDescent="0.3">
      <c r="A1226" s="2394" t="s">
        <v>4685</v>
      </c>
      <c r="B1226" s="2395" t="s">
        <v>3599</v>
      </c>
      <c r="C1226" s="2406">
        <v>0</v>
      </c>
      <c r="D1226" s="2396"/>
      <c r="E1226" s="2406">
        <v>0</v>
      </c>
      <c r="F1226" s="2406">
        <v>0</v>
      </c>
      <c r="G1226" s="2436">
        <v>0</v>
      </c>
      <c r="H1226" s="2407">
        <v>0</v>
      </c>
      <c r="I1226" s="2408"/>
      <c r="J1226" s="2408"/>
      <c r="K1226" s="2674"/>
      <c r="L1226" s="2409"/>
    </row>
    <row r="1227" spans="1:12" ht="12.75" customHeight="1" x14ac:dyDescent="0.3">
      <c r="A1227" s="2394" t="s">
        <v>4686</v>
      </c>
      <c r="B1227" s="2395" t="s">
        <v>3601</v>
      </c>
      <c r="C1227" s="2406">
        <v>0</v>
      </c>
      <c r="D1227" s="2396"/>
      <c r="E1227" s="2406">
        <v>0</v>
      </c>
      <c r="F1227" s="2406">
        <v>0</v>
      </c>
      <c r="G1227" s="2436">
        <v>0</v>
      </c>
      <c r="H1227" s="2407">
        <v>0</v>
      </c>
      <c r="I1227" s="2408"/>
      <c r="J1227" s="2408"/>
      <c r="K1227" s="2674" t="s">
        <v>2586</v>
      </c>
      <c r="L1227" s="2409"/>
    </row>
    <row r="1228" spans="1:12" ht="12" customHeight="1" x14ac:dyDescent="0.3">
      <c r="A1228" s="2394" t="s">
        <v>4687</v>
      </c>
      <c r="B1228" s="2395" t="s">
        <v>3603</v>
      </c>
      <c r="C1228" s="2406">
        <v>0</v>
      </c>
      <c r="D1228" s="2396"/>
      <c r="E1228" s="2406">
        <v>0</v>
      </c>
      <c r="F1228" s="2406">
        <v>0</v>
      </c>
      <c r="G1228" s="2436">
        <v>0</v>
      </c>
      <c r="H1228" s="2407">
        <v>0</v>
      </c>
      <c r="I1228" s="2408"/>
      <c r="J1228" s="2408"/>
      <c r="K1228" s="2674" t="s">
        <v>2586</v>
      </c>
      <c r="L1228" s="2409"/>
    </row>
    <row r="1229" spans="1:12" ht="12" customHeight="1" x14ac:dyDescent="0.3">
      <c r="A1229" s="2394" t="s">
        <v>4688</v>
      </c>
      <c r="B1229" s="2395" t="s">
        <v>3605</v>
      </c>
      <c r="C1229" s="2406">
        <v>0</v>
      </c>
      <c r="D1229" s="2396"/>
      <c r="E1229" s="2406">
        <v>0</v>
      </c>
      <c r="F1229" s="2406">
        <v>0</v>
      </c>
      <c r="G1229" s="2436">
        <v>0</v>
      </c>
      <c r="H1229" s="2407">
        <v>0</v>
      </c>
      <c r="I1229" s="2408"/>
      <c r="J1229" s="2408"/>
      <c r="K1229" s="2674" t="s">
        <v>2585</v>
      </c>
      <c r="L1229" s="2409"/>
    </row>
    <row r="1230" spans="1:12" ht="12" customHeight="1" x14ac:dyDescent="0.3">
      <c r="A1230" s="2394" t="s">
        <v>4689</v>
      </c>
      <c r="B1230" s="2395" t="s">
        <v>3607</v>
      </c>
      <c r="C1230" s="2406">
        <v>0</v>
      </c>
      <c r="D1230" s="2396"/>
      <c r="E1230" s="2406">
        <v>0</v>
      </c>
      <c r="F1230" s="2406">
        <v>0</v>
      </c>
      <c r="G1230" s="2436">
        <v>0</v>
      </c>
      <c r="H1230" s="2407">
        <v>0</v>
      </c>
      <c r="I1230" s="2408"/>
      <c r="J1230" s="2408"/>
      <c r="K1230" s="2674" t="s">
        <v>2586</v>
      </c>
      <c r="L1230" s="2409"/>
    </row>
    <row r="1231" spans="1:12" ht="12" customHeight="1" x14ac:dyDescent="0.3">
      <c r="A1231" s="2394" t="s">
        <v>4690</v>
      </c>
      <c r="B1231" s="2395" t="s">
        <v>3609</v>
      </c>
      <c r="C1231" s="2406">
        <v>0</v>
      </c>
      <c r="D1231" s="2396"/>
      <c r="E1231" s="2406">
        <v>0</v>
      </c>
      <c r="F1231" s="2406">
        <v>0</v>
      </c>
      <c r="G1231" s="2436">
        <v>0</v>
      </c>
      <c r="H1231" s="2407">
        <v>0</v>
      </c>
      <c r="I1231" s="2408"/>
      <c r="J1231" s="2408"/>
      <c r="K1231" s="2674" t="s">
        <v>2585</v>
      </c>
      <c r="L1231" s="2409"/>
    </row>
    <row r="1232" spans="1:12" ht="12" customHeight="1" x14ac:dyDescent="0.3">
      <c r="A1232" s="2394" t="s">
        <v>4691</v>
      </c>
      <c r="B1232" s="2395" t="s">
        <v>3611</v>
      </c>
      <c r="C1232" s="2406">
        <v>0</v>
      </c>
      <c r="D1232" s="2396"/>
      <c r="E1232" s="2406">
        <v>0</v>
      </c>
      <c r="F1232" s="2406">
        <v>0</v>
      </c>
      <c r="G1232" s="2436">
        <v>0</v>
      </c>
      <c r="H1232" s="2407">
        <v>0</v>
      </c>
      <c r="I1232" s="2408"/>
      <c r="J1232" s="2408"/>
      <c r="K1232" s="2674" t="s">
        <v>6505</v>
      </c>
      <c r="L1232" s="2409"/>
    </row>
    <row r="1233" spans="1:12" ht="12" customHeight="1" x14ac:dyDescent="0.3">
      <c r="A1233" s="2394" t="s">
        <v>4692</v>
      </c>
      <c r="B1233" s="2395" t="s">
        <v>3613</v>
      </c>
      <c r="C1233" s="2406">
        <v>0</v>
      </c>
      <c r="D1233" s="2396"/>
      <c r="E1233" s="2406">
        <v>0</v>
      </c>
      <c r="F1233" s="2406">
        <v>0</v>
      </c>
      <c r="G1233" s="2436">
        <v>0</v>
      </c>
      <c r="H1233" s="2407">
        <v>0</v>
      </c>
      <c r="I1233" s="2408"/>
      <c r="J1233" s="2408"/>
      <c r="K1233" s="2674" t="s">
        <v>6505</v>
      </c>
      <c r="L1233" s="2409"/>
    </row>
    <row r="1234" spans="1:12" ht="12" customHeight="1" x14ac:dyDescent="0.3">
      <c r="A1234" s="2394" t="s">
        <v>4693</v>
      </c>
      <c r="B1234" s="2395" t="s">
        <v>3615</v>
      </c>
      <c r="C1234" s="2406">
        <v>0</v>
      </c>
      <c r="D1234" s="2396"/>
      <c r="E1234" s="2406">
        <v>0</v>
      </c>
      <c r="F1234" s="2406">
        <v>0</v>
      </c>
      <c r="G1234" s="2436">
        <v>0</v>
      </c>
      <c r="H1234" s="2407">
        <v>0</v>
      </c>
      <c r="I1234" s="2408"/>
      <c r="J1234" s="2408"/>
      <c r="K1234" s="2674" t="s">
        <v>2586</v>
      </c>
      <c r="L1234" s="2409"/>
    </row>
    <row r="1235" spans="1:12" ht="12" customHeight="1" x14ac:dyDescent="0.3">
      <c r="A1235" s="2394" t="s">
        <v>4694</v>
      </c>
      <c r="B1235" s="2395" t="s">
        <v>3617</v>
      </c>
      <c r="C1235" s="2406">
        <v>0</v>
      </c>
      <c r="D1235" s="2396"/>
      <c r="E1235" s="2406">
        <v>0</v>
      </c>
      <c r="F1235" s="2406">
        <v>0</v>
      </c>
      <c r="G1235" s="2436">
        <v>0</v>
      </c>
      <c r="H1235" s="2407">
        <v>0</v>
      </c>
      <c r="I1235" s="2408"/>
      <c r="J1235" s="2408"/>
      <c r="K1235" s="2674" t="s">
        <v>2586</v>
      </c>
      <c r="L1235" s="2409"/>
    </row>
    <row r="1236" spans="1:12" ht="12" customHeight="1" x14ac:dyDescent="0.3">
      <c r="A1236" s="2394" t="s">
        <v>4695</v>
      </c>
      <c r="B1236" s="2395" t="s">
        <v>3619</v>
      </c>
      <c r="C1236" s="2406">
        <v>0</v>
      </c>
      <c r="D1236" s="2396"/>
      <c r="E1236" s="2406">
        <v>0</v>
      </c>
      <c r="F1236" s="2406">
        <v>0</v>
      </c>
      <c r="G1236" s="2436">
        <v>0</v>
      </c>
      <c r="H1236" s="2407">
        <v>0</v>
      </c>
      <c r="I1236" s="2408"/>
      <c r="J1236" s="2408"/>
      <c r="K1236" s="2674"/>
      <c r="L1236" s="2409"/>
    </row>
    <row r="1237" spans="1:12" ht="12.75" customHeight="1" x14ac:dyDescent="0.3">
      <c r="A1237" s="2394" t="s">
        <v>4696</v>
      </c>
      <c r="B1237" s="2395" t="s">
        <v>3621</v>
      </c>
      <c r="C1237" s="2406">
        <v>0</v>
      </c>
      <c r="D1237" s="2396"/>
      <c r="E1237" s="2406">
        <v>0</v>
      </c>
      <c r="F1237" s="2406">
        <v>0</v>
      </c>
      <c r="G1237" s="2436">
        <v>0</v>
      </c>
      <c r="H1237" s="2407">
        <v>0</v>
      </c>
      <c r="I1237" s="2408"/>
      <c r="J1237" s="2408"/>
      <c r="K1237" s="2674" t="s">
        <v>6506</v>
      </c>
      <c r="L1237" s="2409"/>
    </row>
    <row r="1238" spans="1:12" ht="12" customHeight="1" x14ac:dyDescent="0.3">
      <c r="A1238" s="2394" t="s">
        <v>4697</v>
      </c>
      <c r="B1238" s="2395" t="s">
        <v>3623</v>
      </c>
      <c r="C1238" s="2406">
        <v>0</v>
      </c>
      <c r="D1238" s="2396"/>
      <c r="E1238" s="2406">
        <v>0</v>
      </c>
      <c r="F1238" s="2406">
        <v>0</v>
      </c>
      <c r="G1238" s="2436">
        <v>0</v>
      </c>
      <c r="H1238" s="2407">
        <v>0</v>
      </c>
      <c r="I1238" s="2408"/>
      <c r="J1238" s="2408"/>
      <c r="K1238" s="2674" t="s">
        <v>6507</v>
      </c>
      <c r="L1238" s="2409"/>
    </row>
    <row r="1239" spans="1:12" ht="12" customHeight="1" x14ac:dyDescent="0.3">
      <c r="A1239" s="2394" t="s">
        <v>4698</v>
      </c>
      <c r="B1239" s="2395" t="s">
        <v>3625</v>
      </c>
      <c r="C1239" s="2406">
        <v>0</v>
      </c>
      <c r="D1239" s="2396"/>
      <c r="E1239" s="2406">
        <v>0</v>
      </c>
      <c r="F1239" s="2406">
        <v>0</v>
      </c>
      <c r="G1239" s="2436">
        <v>0</v>
      </c>
      <c r="H1239" s="2407">
        <v>0</v>
      </c>
      <c r="I1239" s="2408"/>
      <c r="J1239" s="2408"/>
      <c r="K1239" s="2674" t="s">
        <v>6508</v>
      </c>
      <c r="L1239" s="2409"/>
    </row>
    <row r="1240" spans="1:12" ht="12.75" customHeight="1" x14ac:dyDescent="0.3">
      <c r="A1240" s="2394" t="s">
        <v>4699</v>
      </c>
      <c r="B1240" s="2395" t="s">
        <v>3627</v>
      </c>
      <c r="C1240" s="2406">
        <v>0</v>
      </c>
      <c r="D1240" s="2396"/>
      <c r="E1240" s="2406">
        <v>0</v>
      </c>
      <c r="F1240" s="2406">
        <v>0</v>
      </c>
      <c r="G1240" s="2436">
        <v>0</v>
      </c>
      <c r="H1240" s="2407">
        <v>0</v>
      </c>
      <c r="I1240" s="2408"/>
      <c r="J1240" s="2408"/>
      <c r="K1240" s="2674" t="s">
        <v>6509</v>
      </c>
      <c r="L1240" s="2409"/>
    </row>
    <row r="1241" spans="1:12" ht="12.75" customHeight="1" x14ac:dyDescent="0.3">
      <c r="A1241" s="2394" t="s">
        <v>4700</v>
      </c>
      <c r="B1241" s="2395" t="s">
        <v>3629</v>
      </c>
      <c r="C1241" s="2406">
        <v>0</v>
      </c>
      <c r="D1241" s="2396"/>
      <c r="E1241" s="2406">
        <v>0</v>
      </c>
      <c r="F1241" s="2406">
        <v>0</v>
      </c>
      <c r="G1241" s="2436">
        <v>0</v>
      </c>
      <c r="H1241" s="2407">
        <v>0</v>
      </c>
      <c r="I1241" s="2408"/>
      <c r="J1241" s="2408"/>
      <c r="K1241" s="2674" t="s">
        <v>6510</v>
      </c>
      <c r="L1241" s="2409"/>
    </row>
    <row r="1242" spans="1:12" ht="12.75" customHeight="1" x14ac:dyDescent="0.3">
      <c r="A1242" s="2394" t="s">
        <v>4701</v>
      </c>
      <c r="B1242" s="2395" t="s">
        <v>3631</v>
      </c>
      <c r="C1242" s="2406">
        <v>0</v>
      </c>
      <c r="D1242" s="2396"/>
      <c r="E1242" s="2406">
        <v>0</v>
      </c>
      <c r="F1242" s="2406">
        <v>0</v>
      </c>
      <c r="G1242" s="2436">
        <v>0</v>
      </c>
      <c r="H1242" s="2407">
        <v>0</v>
      </c>
      <c r="I1242" s="2408"/>
      <c r="J1242" s="2408"/>
      <c r="K1242" s="2674" t="s">
        <v>6511</v>
      </c>
      <c r="L1242" s="2409"/>
    </row>
    <row r="1243" spans="1:12" ht="12.75" customHeight="1" x14ac:dyDescent="0.3">
      <c r="A1243" s="2394" t="s">
        <v>4702</v>
      </c>
      <c r="B1243" s="2395" t="s">
        <v>3633</v>
      </c>
      <c r="C1243" s="2406">
        <v>0</v>
      </c>
      <c r="D1243" s="2396"/>
      <c r="E1243" s="2406">
        <v>0</v>
      </c>
      <c r="F1243" s="2406">
        <v>0</v>
      </c>
      <c r="G1243" s="2436">
        <v>0</v>
      </c>
      <c r="H1243" s="2407">
        <v>0</v>
      </c>
      <c r="I1243" s="2408"/>
      <c r="J1243" s="2408"/>
      <c r="K1243" s="2674" t="s">
        <v>6512</v>
      </c>
      <c r="L1243" s="2409"/>
    </row>
    <row r="1244" spans="1:12" ht="12.75" customHeight="1" x14ac:dyDescent="0.3">
      <c r="A1244" s="2394" t="s">
        <v>4703</v>
      </c>
      <c r="B1244" s="2395" t="s">
        <v>3635</v>
      </c>
      <c r="C1244" s="2406">
        <v>0</v>
      </c>
      <c r="D1244" s="2396"/>
      <c r="E1244" s="2406">
        <v>0</v>
      </c>
      <c r="F1244" s="2406">
        <v>0</v>
      </c>
      <c r="G1244" s="2436">
        <v>0</v>
      </c>
      <c r="H1244" s="2407">
        <v>0</v>
      </c>
      <c r="I1244" s="2408"/>
      <c r="J1244" s="2408"/>
      <c r="K1244" s="2674" t="s">
        <v>6513</v>
      </c>
      <c r="L1244" s="2409"/>
    </row>
    <row r="1245" spans="1:12" ht="12.75" customHeight="1" x14ac:dyDescent="0.3">
      <c r="A1245" s="2394" t="s">
        <v>4704</v>
      </c>
      <c r="B1245" s="2395" t="s">
        <v>3637</v>
      </c>
      <c r="C1245" s="2406">
        <v>0</v>
      </c>
      <c r="D1245" s="2396"/>
      <c r="E1245" s="2406">
        <v>0</v>
      </c>
      <c r="F1245" s="2406">
        <v>0</v>
      </c>
      <c r="G1245" s="2436">
        <v>0</v>
      </c>
      <c r="H1245" s="2407">
        <v>0</v>
      </c>
      <c r="I1245" s="2408"/>
      <c r="J1245" s="2408"/>
      <c r="K1245" s="2674" t="s">
        <v>6514</v>
      </c>
      <c r="L1245" s="2409"/>
    </row>
    <row r="1246" spans="1:12" ht="12.75" customHeight="1" x14ac:dyDescent="0.3">
      <c r="A1246" s="2394" t="s">
        <v>4705</v>
      </c>
      <c r="B1246" s="2395" t="s">
        <v>334</v>
      </c>
      <c r="C1246" s="2406">
        <v>0</v>
      </c>
      <c r="D1246" s="2396"/>
      <c r="E1246" s="2406">
        <v>0</v>
      </c>
      <c r="F1246" s="2406">
        <v>0</v>
      </c>
      <c r="G1246" s="2436">
        <v>0</v>
      </c>
      <c r="H1246" s="2407">
        <v>0</v>
      </c>
      <c r="I1246" s="2408"/>
      <c r="J1246" s="2408"/>
      <c r="K1246" s="2674"/>
      <c r="L1246" s="2409"/>
    </row>
    <row r="1247" spans="1:12" ht="12" customHeight="1" x14ac:dyDescent="0.3">
      <c r="A1247" s="2394" t="s">
        <v>4706</v>
      </c>
      <c r="B1247" s="2395" t="s">
        <v>3640</v>
      </c>
      <c r="C1247" s="2406">
        <v>0</v>
      </c>
      <c r="D1247" s="2396"/>
      <c r="E1247" s="2406">
        <v>0</v>
      </c>
      <c r="F1247" s="2406">
        <v>0</v>
      </c>
      <c r="G1247" s="2436">
        <v>0</v>
      </c>
      <c r="H1247" s="2407">
        <v>0</v>
      </c>
      <c r="I1247" s="2408"/>
      <c r="J1247" s="2408"/>
      <c r="K1247" s="2674" t="s">
        <v>6515</v>
      </c>
      <c r="L1247" s="2409"/>
    </row>
    <row r="1248" spans="1:12" ht="12" customHeight="1" x14ac:dyDescent="0.3">
      <c r="A1248" s="2394" t="s">
        <v>4707</v>
      </c>
      <c r="B1248" s="2395" t="s">
        <v>3642</v>
      </c>
      <c r="C1248" s="2406">
        <v>0</v>
      </c>
      <c r="D1248" s="2396"/>
      <c r="E1248" s="2406">
        <v>0</v>
      </c>
      <c r="F1248" s="2406">
        <v>0</v>
      </c>
      <c r="G1248" s="2436">
        <v>0</v>
      </c>
      <c r="H1248" s="2407">
        <v>0</v>
      </c>
      <c r="I1248" s="2408"/>
      <c r="J1248" s="2408"/>
      <c r="K1248" s="2674" t="s">
        <v>6515</v>
      </c>
      <c r="L1248" s="2409"/>
    </row>
    <row r="1249" spans="1:12" ht="12" customHeight="1" x14ac:dyDescent="0.3">
      <c r="A1249" s="2394" t="s">
        <v>4708</v>
      </c>
      <c r="B1249" s="2395" t="s">
        <v>3644</v>
      </c>
      <c r="C1249" s="2406">
        <v>0</v>
      </c>
      <c r="D1249" s="2396"/>
      <c r="E1249" s="2406">
        <v>0</v>
      </c>
      <c r="F1249" s="2406">
        <v>0</v>
      </c>
      <c r="G1249" s="2436">
        <v>0</v>
      </c>
      <c r="H1249" s="2407">
        <v>0</v>
      </c>
      <c r="I1249" s="2408"/>
      <c r="J1249" s="2408"/>
      <c r="K1249" s="2674" t="s">
        <v>6515</v>
      </c>
      <c r="L1249" s="2409"/>
    </row>
    <row r="1250" spans="1:12" ht="12" customHeight="1" x14ac:dyDescent="0.3">
      <c r="A1250" s="2394" t="s">
        <v>4709</v>
      </c>
      <c r="B1250" s="2395" t="s">
        <v>3646</v>
      </c>
      <c r="C1250" s="2406">
        <v>0</v>
      </c>
      <c r="D1250" s="2396"/>
      <c r="E1250" s="2406">
        <v>0</v>
      </c>
      <c r="F1250" s="2406">
        <v>0</v>
      </c>
      <c r="G1250" s="2436">
        <v>0</v>
      </c>
      <c r="H1250" s="2407">
        <v>0</v>
      </c>
      <c r="I1250" s="2408"/>
      <c r="J1250" s="2408"/>
      <c r="K1250" s="2674" t="s">
        <v>6515</v>
      </c>
      <c r="L1250" s="2409"/>
    </row>
    <row r="1251" spans="1:12" ht="12" customHeight="1" x14ac:dyDescent="0.3">
      <c r="A1251" s="2394" t="s">
        <v>4710</v>
      </c>
      <c r="B1251" s="2395" t="s">
        <v>3648</v>
      </c>
      <c r="C1251" s="2406">
        <v>0</v>
      </c>
      <c r="D1251" s="2396"/>
      <c r="E1251" s="2406">
        <v>0</v>
      </c>
      <c r="F1251" s="2406">
        <v>0</v>
      </c>
      <c r="G1251" s="2436">
        <v>0</v>
      </c>
      <c r="H1251" s="2407">
        <v>0</v>
      </c>
      <c r="I1251" s="2408"/>
      <c r="J1251" s="2408"/>
      <c r="K1251" s="2674" t="s">
        <v>6516</v>
      </c>
      <c r="L1251" s="2409"/>
    </row>
    <row r="1252" spans="1:12" ht="12" customHeight="1" x14ac:dyDescent="0.3">
      <c r="A1252" s="2394" t="s">
        <v>4711</v>
      </c>
      <c r="B1252" s="2395" t="s">
        <v>3650</v>
      </c>
      <c r="C1252" s="2406">
        <v>0</v>
      </c>
      <c r="D1252" s="2396"/>
      <c r="E1252" s="2406">
        <v>0</v>
      </c>
      <c r="F1252" s="2406">
        <v>0</v>
      </c>
      <c r="G1252" s="2436">
        <v>0</v>
      </c>
      <c r="H1252" s="2407">
        <v>0</v>
      </c>
      <c r="I1252" s="2408"/>
      <c r="J1252" s="2408"/>
      <c r="K1252" s="2674" t="s">
        <v>6517</v>
      </c>
      <c r="L1252" s="2409"/>
    </row>
    <row r="1253" spans="1:12" ht="12" customHeight="1" x14ac:dyDescent="0.3">
      <c r="A1253" s="2394" t="s">
        <v>4712</v>
      </c>
      <c r="B1253" s="2395" t="s">
        <v>3652</v>
      </c>
      <c r="C1253" s="2406">
        <v>0</v>
      </c>
      <c r="D1253" s="2396"/>
      <c r="E1253" s="2406">
        <v>0</v>
      </c>
      <c r="F1253" s="2406">
        <v>0</v>
      </c>
      <c r="G1253" s="2436">
        <v>0</v>
      </c>
      <c r="H1253" s="2407">
        <v>0</v>
      </c>
      <c r="I1253" s="2408"/>
      <c r="J1253" s="2408"/>
      <c r="K1253" s="2674" t="s">
        <v>6518</v>
      </c>
      <c r="L1253" s="2409"/>
    </row>
    <row r="1254" spans="1:12" ht="12" customHeight="1" x14ac:dyDescent="0.3">
      <c r="A1254" s="2394" t="s">
        <v>4713</v>
      </c>
      <c r="B1254" s="2395" t="s">
        <v>3654</v>
      </c>
      <c r="C1254" s="2406">
        <v>0</v>
      </c>
      <c r="D1254" s="2396"/>
      <c r="E1254" s="2406">
        <v>0</v>
      </c>
      <c r="F1254" s="2406">
        <v>0</v>
      </c>
      <c r="G1254" s="2436">
        <v>0</v>
      </c>
      <c r="H1254" s="2407">
        <v>0</v>
      </c>
      <c r="I1254" s="2408"/>
      <c r="J1254" s="2408"/>
      <c r="K1254" s="2674" t="s">
        <v>6518</v>
      </c>
      <c r="L1254" s="2409"/>
    </row>
    <row r="1255" spans="1:12" ht="12" customHeight="1" x14ac:dyDescent="0.3">
      <c r="A1255" s="2394" t="s">
        <v>4714</v>
      </c>
      <c r="B1255" s="2395" t="s">
        <v>3656</v>
      </c>
      <c r="C1255" s="2406">
        <v>0</v>
      </c>
      <c r="D1255" s="2396"/>
      <c r="E1255" s="2406">
        <v>0</v>
      </c>
      <c r="F1255" s="2406">
        <v>0</v>
      </c>
      <c r="G1255" s="2436">
        <v>0</v>
      </c>
      <c r="H1255" s="2407">
        <v>0</v>
      </c>
      <c r="I1255" s="2408"/>
      <c r="J1255" s="2408"/>
      <c r="K1255" s="2674"/>
      <c r="L1255" s="2409"/>
    </row>
    <row r="1256" spans="1:12" ht="12" customHeight="1" x14ac:dyDescent="0.3">
      <c r="A1256" s="2394" t="s">
        <v>4715</v>
      </c>
      <c r="B1256" s="2395" t="s">
        <v>3658</v>
      </c>
      <c r="C1256" s="2406">
        <v>0</v>
      </c>
      <c r="D1256" s="2396"/>
      <c r="E1256" s="2406">
        <v>0</v>
      </c>
      <c r="F1256" s="2406">
        <v>0</v>
      </c>
      <c r="G1256" s="2436">
        <v>0</v>
      </c>
      <c r="H1256" s="2407">
        <v>0</v>
      </c>
      <c r="I1256" s="2408"/>
      <c r="J1256" s="2408"/>
      <c r="K1256" s="2674" t="s">
        <v>6519</v>
      </c>
      <c r="L1256" s="2409"/>
    </row>
    <row r="1257" spans="1:12" ht="12.75" customHeight="1" x14ac:dyDescent="0.3">
      <c r="A1257" s="2394" t="s">
        <v>4716</v>
      </c>
      <c r="B1257" s="2395" t="s">
        <v>3660</v>
      </c>
      <c r="C1257" s="2406">
        <v>0</v>
      </c>
      <c r="D1257" s="2396"/>
      <c r="E1257" s="2406">
        <v>0</v>
      </c>
      <c r="F1257" s="2406">
        <v>0</v>
      </c>
      <c r="G1257" s="2436">
        <v>0</v>
      </c>
      <c r="H1257" s="2407">
        <v>0</v>
      </c>
      <c r="I1257" s="2408"/>
      <c r="J1257" s="2408"/>
      <c r="K1257" s="2674" t="s">
        <v>6520</v>
      </c>
      <c r="L1257" s="2409"/>
    </row>
    <row r="1258" spans="1:12" ht="12" customHeight="1" x14ac:dyDescent="0.3">
      <c r="A1258" s="2394" t="s">
        <v>4717</v>
      </c>
      <c r="B1258" s="2395" t="s">
        <v>3662</v>
      </c>
      <c r="C1258" s="2406">
        <v>0</v>
      </c>
      <c r="D1258" s="2396"/>
      <c r="E1258" s="2406">
        <v>0</v>
      </c>
      <c r="F1258" s="2406">
        <v>0</v>
      </c>
      <c r="G1258" s="2436">
        <v>0</v>
      </c>
      <c r="H1258" s="2407">
        <v>0</v>
      </c>
      <c r="I1258" s="2408"/>
      <c r="J1258" s="2408"/>
      <c r="K1258" s="2674" t="s">
        <v>6521</v>
      </c>
      <c r="L1258" s="2409"/>
    </row>
    <row r="1259" spans="1:12" ht="12" customHeight="1" x14ac:dyDescent="0.3">
      <c r="A1259" s="2394" t="s">
        <v>4718</v>
      </c>
      <c r="B1259" s="2395" t="s">
        <v>3664</v>
      </c>
      <c r="C1259" s="2406">
        <v>0</v>
      </c>
      <c r="D1259" s="2396"/>
      <c r="E1259" s="2406">
        <v>0</v>
      </c>
      <c r="F1259" s="2406">
        <v>0</v>
      </c>
      <c r="G1259" s="2436">
        <v>0</v>
      </c>
      <c r="H1259" s="2407">
        <v>0</v>
      </c>
      <c r="I1259" s="2408"/>
      <c r="J1259" s="2408"/>
      <c r="K1259" s="2674" t="s">
        <v>6522</v>
      </c>
      <c r="L1259" s="2409"/>
    </row>
    <row r="1260" spans="1:12" ht="12" customHeight="1" x14ac:dyDescent="0.3">
      <c r="A1260" s="2394" t="s">
        <v>4719</v>
      </c>
      <c r="B1260" s="2395" t="s">
        <v>3666</v>
      </c>
      <c r="C1260" s="2406">
        <v>0</v>
      </c>
      <c r="D1260" s="2396"/>
      <c r="E1260" s="2406">
        <v>0</v>
      </c>
      <c r="F1260" s="2406">
        <v>0</v>
      </c>
      <c r="G1260" s="2436">
        <v>0</v>
      </c>
      <c r="H1260" s="2407">
        <v>0</v>
      </c>
      <c r="I1260" s="2408"/>
      <c r="J1260" s="2408"/>
      <c r="K1260" s="2674" t="s">
        <v>6523</v>
      </c>
      <c r="L1260" s="2409"/>
    </row>
    <row r="1261" spans="1:12" ht="12" customHeight="1" x14ac:dyDescent="0.3">
      <c r="A1261" s="2394" t="s">
        <v>4720</v>
      </c>
      <c r="B1261" s="2395" t="s">
        <v>3668</v>
      </c>
      <c r="C1261" s="2406">
        <v>0</v>
      </c>
      <c r="D1261" s="2396"/>
      <c r="E1261" s="2406">
        <v>0</v>
      </c>
      <c r="F1261" s="2406">
        <v>0</v>
      </c>
      <c r="G1261" s="2436">
        <v>0</v>
      </c>
      <c r="H1261" s="2407">
        <v>0</v>
      </c>
      <c r="I1261" s="2408"/>
      <c r="J1261" s="2408"/>
      <c r="K1261" s="2674" t="s">
        <v>6524</v>
      </c>
      <c r="L1261" s="2409"/>
    </row>
    <row r="1262" spans="1:12" ht="12" customHeight="1" x14ac:dyDescent="0.3">
      <c r="A1262" s="2394" t="s">
        <v>4721</v>
      </c>
      <c r="B1262" s="2395" t="s">
        <v>350</v>
      </c>
      <c r="C1262" s="2406">
        <v>0</v>
      </c>
      <c r="D1262" s="2396"/>
      <c r="E1262" s="2406">
        <v>0</v>
      </c>
      <c r="F1262" s="2406">
        <v>0</v>
      </c>
      <c r="G1262" s="2436">
        <v>0</v>
      </c>
      <c r="H1262" s="2407">
        <v>0</v>
      </c>
      <c r="I1262" s="2408"/>
      <c r="J1262" s="2408"/>
      <c r="K1262" s="2674" t="s">
        <v>6524</v>
      </c>
      <c r="L1262" s="2409"/>
    </row>
    <row r="1263" spans="1:12" ht="12" customHeight="1" x14ac:dyDescent="0.3">
      <c r="A1263" s="2394" t="s">
        <v>4722</v>
      </c>
      <c r="B1263" s="2395" t="s">
        <v>3671</v>
      </c>
      <c r="C1263" s="2406">
        <v>0</v>
      </c>
      <c r="D1263" s="2396"/>
      <c r="E1263" s="2406">
        <v>0</v>
      </c>
      <c r="F1263" s="2406">
        <v>0</v>
      </c>
      <c r="G1263" s="2436">
        <v>0</v>
      </c>
      <c r="H1263" s="2407">
        <v>0</v>
      </c>
      <c r="I1263" s="2408"/>
      <c r="J1263" s="2408"/>
      <c r="K1263" s="2674"/>
      <c r="L1263" s="2409"/>
    </row>
    <row r="1264" spans="1:12" ht="12" customHeight="1" x14ac:dyDescent="0.3">
      <c r="A1264" s="2394" t="s">
        <v>4723</v>
      </c>
      <c r="B1264" s="2395" t="s">
        <v>3930</v>
      </c>
      <c r="C1264" s="2406">
        <v>0</v>
      </c>
      <c r="D1264" s="2396"/>
      <c r="E1264" s="2406">
        <v>0</v>
      </c>
      <c r="F1264" s="2406">
        <v>0</v>
      </c>
      <c r="G1264" s="2436">
        <v>0</v>
      </c>
      <c r="H1264" s="2407">
        <v>0</v>
      </c>
      <c r="I1264" s="2408"/>
      <c r="J1264" s="2408"/>
      <c r="K1264" s="2674" t="s">
        <v>6525</v>
      </c>
      <c r="L1264" s="2409"/>
    </row>
    <row r="1265" spans="1:12" ht="12" customHeight="1" x14ac:dyDescent="0.3">
      <c r="A1265" s="2394" t="s">
        <v>4724</v>
      </c>
      <c r="B1265" s="2395" t="s">
        <v>3675</v>
      </c>
      <c r="C1265" s="2406">
        <v>0</v>
      </c>
      <c r="D1265" s="2396"/>
      <c r="E1265" s="2406">
        <v>0</v>
      </c>
      <c r="F1265" s="2406">
        <v>0</v>
      </c>
      <c r="G1265" s="2436">
        <v>0</v>
      </c>
      <c r="H1265" s="2407">
        <v>0</v>
      </c>
      <c r="I1265" s="2408"/>
      <c r="J1265" s="2408"/>
      <c r="K1265" s="2674" t="s">
        <v>6526</v>
      </c>
      <c r="L1265" s="2409"/>
    </row>
    <row r="1266" spans="1:12" ht="12" customHeight="1" x14ac:dyDescent="0.3">
      <c r="A1266" s="2394" t="s">
        <v>4725</v>
      </c>
      <c r="B1266" s="2395" t="s">
        <v>3677</v>
      </c>
      <c r="C1266" s="2406">
        <v>0</v>
      </c>
      <c r="D1266" s="2396"/>
      <c r="E1266" s="2406">
        <v>0</v>
      </c>
      <c r="F1266" s="2406">
        <v>0</v>
      </c>
      <c r="G1266" s="2436">
        <v>0</v>
      </c>
      <c r="H1266" s="2407">
        <v>0</v>
      </c>
      <c r="I1266" s="2408"/>
      <c r="J1266" s="2408"/>
      <c r="K1266" s="2674" t="s">
        <v>6526</v>
      </c>
      <c r="L1266" s="2409"/>
    </row>
    <row r="1267" spans="1:12" ht="12" customHeight="1" x14ac:dyDescent="0.3">
      <c r="A1267" s="2394" t="s">
        <v>4726</v>
      </c>
      <c r="B1267" s="2395" t="s">
        <v>3679</v>
      </c>
      <c r="C1267" s="2406">
        <v>0</v>
      </c>
      <c r="D1267" s="2396"/>
      <c r="E1267" s="2406">
        <v>0</v>
      </c>
      <c r="F1267" s="2406">
        <v>0</v>
      </c>
      <c r="G1267" s="2436">
        <v>0</v>
      </c>
      <c r="H1267" s="2407">
        <v>0</v>
      </c>
      <c r="I1267" s="2408"/>
      <c r="J1267" s="2408"/>
      <c r="K1267" s="2674" t="s">
        <v>6526</v>
      </c>
      <c r="L1267" s="2409"/>
    </row>
    <row r="1268" spans="1:12" ht="12" customHeight="1" x14ac:dyDescent="0.3">
      <c r="A1268" s="2394" t="s">
        <v>4727</v>
      </c>
      <c r="B1268" s="2395" t="s">
        <v>3681</v>
      </c>
      <c r="C1268" s="2406">
        <v>0</v>
      </c>
      <c r="D1268" s="2396"/>
      <c r="E1268" s="2406">
        <v>0</v>
      </c>
      <c r="F1268" s="2406">
        <v>0</v>
      </c>
      <c r="G1268" s="2436">
        <v>0</v>
      </c>
      <c r="H1268" s="2407">
        <v>0</v>
      </c>
      <c r="I1268" s="2408"/>
      <c r="J1268" s="2408"/>
      <c r="K1268" s="2674" t="s">
        <v>6526</v>
      </c>
      <c r="L1268" s="2409"/>
    </row>
    <row r="1269" spans="1:12" ht="12" customHeight="1" x14ac:dyDescent="0.3">
      <c r="A1269" s="2394" t="s">
        <v>4728</v>
      </c>
      <c r="B1269" s="2395" t="s">
        <v>3683</v>
      </c>
      <c r="C1269" s="2406">
        <v>0</v>
      </c>
      <c r="D1269" s="2396"/>
      <c r="E1269" s="2406">
        <v>0</v>
      </c>
      <c r="F1269" s="2406">
        <v>0</v>
      </c>
      <c r="G1269" s="2436">
        <v>0</v>
      </c>
      <c r="H1269" s="2407">
        <v>0</v>
      </c>
      <c r="I1269" s="2408"/>
      <c r="J1269" s="2408"/>
      <c r="K1269" s="2674" t="s">
        <v>6527</v>
      </c>
      <c r="L1269" s="2409"/>
    </row>
    <row r="1270" spans="1:12" ht="12" customHeight="1" x14ac:dyDescent="0.3">
      <c r="A1270" s="2394" t="s">
        <v>4729</v>
      </c>
      <c r="B1270" s="2395" t="s">
        <v>3685</v>
      </c>
      <c r="C1270" s="2406">
        <v>0</v>
      </c>
      <c r="D1270" s="2396"/>
      <c r="E1270" s="2406">
        <v>0</v>
      </c>
      <c r="F1270" s="2406">
        <v>0</v>
      </c>
      <c r="G1270" s="2436">
        <v>0</v>
      </c>
      <c r="H1270" s="2407">
        <v>0</v>
      </c>
      <c r="I1270" s="2408"/>
      <c r="J1270" s="2408"/>
      <c r="K1270" s="2674" t="s">
        <v>6528</v>
      </c>
      <c r="L1270" s="2409"/>
    </row>
    <row r="1271" spans="1:12" ht="12" customHeight="1" x14ac:dyDescent="0.3">
      <c r="A1271" s="2394" t="s">
        <v>4730</v>
      </c>
      <c r="B1271" s="2395" t="s">
        <v>3687</v>
      </c>
      <c r="C1271" s="2406">
        <v>0</v>
      </c>
      <c r="D1271" s="2396"/>
      <c r="E1271" s="2406">
        <v>0</v>
      </c>
      <c r="F1271" s="2406">
        <v>0</v>
      </c>
      <c r="G1271" s="2436">
        <v>0</v>
      </c>
      <c r="H1271" s="2407">
        <v>0</v>
      </c>
      <c r="I1271" s="2408"/>
      <c r="J1271" s="2408"/>
      <c r="K1271" s="2674" t="s">
        <v>6528</v>
      </c>
      <c r="L1271" s="2409"/>
    </row>
    <row r="1272" spans="1:12" ht="12" customHeight="1" x14ac:dyDescent="0.3">
      <c r="A1272" s="2394" t="s">
        <v>4731</v>
      </c>
      <c r="B1272" s="2395" t="s">
        <v>3689</v>
      </c>
      <c r="C1272" s="2406">
        <v>0</v>
      </c>
      <c r="D1272" s="2396"/>
      <c r="E1272" s="2406">
        <v>0</v>
      </c>
      <c r="F1272" s="2406">
        <v>0</v>
      </c>
      <c r="G1272" s="2436">
        <v>0</v>
      </c>
      <c r="H1272" s="2407">
        <v>0</v>
      </c>
      <c r="I1272" s="2408"/>
      <c r="J1272" s="2408"/>
      <c r="K1272" s="2674" t="s">
        <v>6528</v>
      </c>
      <c r="L1272" s="2409"/>
    </row>
    <row r="1273" spans="1:12" ht="12" customHeight="1" x14ac:dyDescent="0.3">
      <c r="A1273" s="2394" t="s">
        <v>4732</v>
      </c>
      <c r="B1273" s="2395" t="s">
        <v>3957</v>
      </c>
      <c r="C1273" s="2406">
        <v>0</v>
      </c>
      <c r="D1273" s="2396"/>
      <c r="E1273" s="2406">
        <v>0</v>
      </c>
      <c r="F1273" s="2406">
        <v>0</v>
      </c>
      <c r="G1273" s="2436">
        <v>0</v>
      </c>
      <c r="H1273" s="2407">
        <v>0</v>
      </c>
      <c r="I1273" s="2408"/>
      <c r="J1273" s="2408"/>
      <c r="K1273" s="2674"/>
      <c r="L1273" s="2409"/>
    </row>
    <row r="1274" spans="1:12" ht="12" customHeight="1" x14ac:dyDescent="0.3">
      <c r="A1274" s="2394" t="s">
        <v>4733</v>
      </c>
      <c r="B1274" s="2395" t="s">
        <v>3720</v>
      </c>
      <c r="C1274" s="2406">
        <v>0</v>
      </c>
      <c r="D1274" s="2396"/>
      <c r="E1274" s="2406">
        <v>0</v>
      </c>
      <c r="F1274" s="2406">
        <v>0</v>
      </c>
      <c r="G1274" s="2436">
        <v>0</v>
      </c>
      <c r="H1274" s="2407">
        <v>0</v>
      </c>
      <c r="I1274" s="2408"/>
      <c r="J1274" s="2408"/>
      <c r="K1274" s="2674" t="s">
        <v>6515</v>
      </c>
      <c r="L1274" s="2409"/>
    </row>
    <row r="1275" spans="1:12" ht="12" customHeight="1" x14ac:dyDescent="0.3">
      <c r="A1275" s="2394" t="s">
        <v>4734</v>
      </c>
      <c r="B1275" s="2395" t="s">
        <v>3958</v>
      </c>
      <c r="C1275" s="2406">
        <v>0</v>
      </c>
      <c r="D1275" s="2396"/>
      <c r="E1275" s="2406">
        <v>0</v>
      </c>
      <c r="F1275" s="2406">
        <v>0</v>
      </c>
      <c r="G1275" s="2436">
        <v>0</v>
      </c>
      <c r="H1275" s="2407">
        <v>0</v>
      </c>
      <c r="I1275" s="2408"/>
      <c r="J1275" s="2408"/>
      <c r="K1275" s="2674" t="s">
        <v>6544</v>
      </c>
      <c r="L1275" s="2409"/>
    </row>
    <row r="1276" spans="1:12" ht="12" customHeight="1" x14ac:dyDescent="0.3">
      <c r="A1276" s="2394" t="s">
        <v>4735</v>
      </c>
      <c r="B1276" s="2395" t="s">
        <v>3959</v>
      </c>
      <c r="C1276" s="2406">
        <v>0</v>
      </c>
      <c r="D1276" s="2396"/>
      <c r="E1276" s="2406">
        <v>0</v>
      </c>
      <c r="F1276" s="2406">
        <v>0</v>
      </c>
      <c r="G1276" s="2436">
        <v>0</v>
      </c>
      <c r="H1276" s="2407">
        <v>0</v>
      </c>
      <c r="I1276" s="2408"/>
      <c r="J1276" s="2408"/>
      <c r="K1276" s="2674" t="s">
        <v>6544</v>
      </c>
      <c r="L1276" s="2409"/>
    </row>
    <row r="1277" spans="1:12" ht="12" customHeight="1" x14ac:dyDescent="0.3">
      <c r="A1277" s="2394" t="s">
        <v>4736</v>
      </c>
      <c r="B1277" s="2395" t="s">
        <v>3960</v>
      </c>
      <c r="C1277" s="2406">
        <v>0</v>
      </c>
      <c r="D1277" s="2396"/>
      <c r="E1277" s="2406">
        <v>0</v>
      </c>
      <c r="F1277" s="2406">
        <v>0</v>
      </c>
      <c r="G1277" s="2436">
        <v>0</v>
      </c>
      <c r="H1277" s="2407">
        <v>0</v>
      </c>
      <c r="I1277" s="2408"/>
      <c r="J1277" s="2408"/>
      <c r="K1277" s="2674" t="s">
        <v>6540</v>
      </c>
      <c r="L1277" s="2409"/>
    </row>
    <row r="1278" spans="1:12" ht="12" customHeight="1" x14ac:dyDescent="0.3">
      <c r="A1278" s="2394" t="s">
        <v>4737</v>
      </c>
      <c r="B1278" s="2395" t="s">
        <v>3961</v>
      </c>
      <c r="C1278" s="2406">
        <v>0</v>
      </c>
      <c r="D1278" s="2396"/>
      <c r="E1278" s="2406">
        <v>0</v>
      </c>
      <c r="F1278" s="2406">
        <v>0</v>
      </c>
      <c r="G1278" s="2436">
        <v>0</v>
      </c>
      <c r="H1278" s="2407">
        <v>0</v>
      </c>
      <c r="I1278" s="2408"/>
      <c r="J1278" s="2408"/>
      <c r="K1278" s="2674" t="s">
        <v>6545</v>
      </c>
      <c r="L1278" s="2409"/>
    </row>
    <row r="1279" spans="1:12" ht="12" customHeight="1" x14ac:dyDescent="0.3">
      <c r="A1279" s="2394" t="s">
        <v>4738</v>
      </c>
      <c r="B1279" s="2395" t="s">
        <v>350</v>
      </c>
      <c r="C1279" s="2406">
        <v>0</v>
      </c>
      <c r="D1279" s="2396"/>
      <c r="E1279" s="2406">
        <v>0</v>
      </c>
      <c r="F1279" s="2406">
        <v>0</v>
      </c>
      <c r="G1279" s="2436">
        <v>0</v>
      </c>
      <c r="H1279" s="2407">
        <v>0</v>
      </c>
      <c r="I1279" s="2408"/>
      <c r="J1279" s="2408"/>
      <c r="K1279" s="2674"/>
      <c r="L1279" s="2409"/>
    </row>
    <row r="1280" spans="1:12" ht="12" customHeight="1" x14ac:dyDescent="0.3">
      <c r="A1280" s="2394" t="s">
        <v>4739</v>
      </c>
      <c r="B1280" s="2395" t="s">
        <v>3962</v>
      </c>
      <c r="C1280" s="2406">
        <v>0</v>
      </c>
      <c r="D1280" s="2396"/>
      <c r="E1280" s="2406">
        <v>0</v>
      </c>
      <c r="F1280" s="2406">
        <v>0</v>
      </c>
      <c r="G1280" s="2436">
        <v>0</v>
      </c>
      <c r="H1280" s="2407">
        <v>0</v>
      </c>
      <c r="I1280" s="2408"/>
      <c r="J1280" s="2408"/>
      <c r="K1280" s="2674" t="s">
        <v>6518</v>
      </c>
      <c r="L1280" s="2409"/>
    </row>
    <row r="1281" spans="1:12" ht="12" customHeight="1" x14ac:dyDescent="0.3">
      <c r="A1281" s="2394" t="s">
        <v>4740</v>
      </c>
      <c r="B1281" s="2395" t="s">
        <v>3963</v>
      </c>
      <c r="C1281" s="2406">
        <v>0</v>
      </c>
      <c r="D1281" s="2396"/>
      <c r="E1281" s="2406">
        <v>0</v>
      </c>
      <c r="F1281" s="2406">
        <v>0</v>
      </c>
      <c r="G1281" s="2436">
        <v>0</v>
      </c>
      <c r="H1281" s="2407">
        <v>0</v>
      </c>
      <c r="I1281" s="2408"/>
      <c r="J1281" s="2408"/>
      <c r="K1281" s="2674" t="s">
        <v>6541</v>
      </c>
      <c r="L1281" s="2409"/>
    </row>
    <row r="1282" spans="1:12" ht="12" customHeight="1" x14ac:dyDescent="0.3">
      <c r="A1282" s="2394" t="s">
        <v>4741</v>
      </c>
      <c r="B1282" s="2395" t="s">
        <v>3754</v>
      </c>
      <c r="C1282" s="2406">
        <v>0</v>
      </c>
      <c r="D1282" s="2396"/>
      <c r="E1282" s="2406">
        <v>0</v>
      </c>
      <c r="F1282" s="2406">
        <v>0</v>
      </c>
      <c r="G1282" s="2436">
        <v>0</v>
      </c>
      <c r="H1282" s="2407">
        <v>0</v>
      </c>
      <c r="I1282" s="2408"/>
      <c r="J1282" s="2408"/>
      <c r="K1282" s="2674" t="s">
        <v>6539</v>
      </c>
      <c r="L1282" s="2409"/>
    </row>
    <row r="1283" spans="1:12" ht="12" customHeight="1" x14ac:dyDescent="0.3">
      <c r="A1283" s="2394" t="s">
        <v>4742</v>
      </c>
      <c r="B1283" s="2395" t="s">
        <v>3599</v>
      </c>
      <c r="C1283" s="2406">
        <v>0</v>
      </c>
      <c r="D1283" s="2396"/>
      <c r="E1283" s="2406">
        <v>0</v>
      </c>
      <c r="F1283" s="2406">
        <v>0</v>
      </c>
      <c r="G1283" s="2437">
        <v>0</v>
      </c>
      <c r="H1283" s="2407">
        <v>0</v>
      </c>
      <c r="I1283" s="2408"/>
      <c r="J1283" s="2408"/>
      <c r="K1283" s="2674"/>
      <c r="L1283" s="2409"/>
    </row>
    <row r="1284" spans="1:12" ht="12" customHeight="1" x14ac:dyDescent="0.3">
      <c r="A1284" s="2394" t="s">
        <v>4743</v>
      </c>
      <c r="B1284" s="2395" t="s">
        <v>3601</v>
      </c>
      <c r="C1284" s="2406">
        <v>0</v>
      </c>
      <c r="D1284" s="2396"/>
      <c r="E1284" s="2406">
        <v>0</v>
      </c>
      <c r="F1284" s="2406">
        <v>0</v>
      </c>
      <c r="G1284" s="2437">
        <v>0</v>
      </c>
      <c r="H1284" s="2407">
        <v>0</v>
      </c>
      <c r="I1284" s="2408"/>
      <c r="J1284" s="2408"/>
      <c r="K1284" s="2674" t="s">
        <v>2586</v>
      </c>
      <c r="L1284" s="2409"/>
    </row>
    <row r="1285" spans="1:12" ht="12" customHeight="1" x14ac:dyDescent="0.3">
      <c r="A1285" s="2394" t="s">
        <v>4744</v>
      </c>
      <c r="B1285" s="2395" t="s">
        <v>3603</v>
      </c>
      <c r="C1285" s="2406">
        <v>0</v>
      </c>
      <c r="D1285" s="2396"/>
      <c r="E1285" s="2406">
        <v>0</v>
      </c>
      <c r="F1285" s="2406">
        <v>0</v>
      </c>
      <c r="G1285" s="2437">
        <v>0</v>
      </c>
      <c r="H1285" s="2407">
        <v>0</v>
      </c>
      <c r="I1285" s="2408"/>
      <c r="J1285" s="2408"/>
      <c r="K1285" s="2674" t="s">
        <v>2586</v>
      </c>
      <c r="L1285" s="2409"/>
    </row>
    <row r="1286" spans="1:12" ht="12" customHeight="1" x14ac:dyDescent="0.3">
      <c r="A1286" s="2394" t="s">
        <v>4745</v>
      </c>
      <c r="B1286" s="2395" t="s">
        <v>3605</v>
      </c>
      <c r="C1286" s="2406">
        <v>0</v>
      </c>
      <c r="D1286" s="2396"/>
      <c r="E1286" s="2406">
        <v>0</v>
      </c>
      <c r="F1286" s="2406">
        <v>0</v>
      </c>
      <c r="G1286" s="2437">
        <v>0</v>
      </c>
      <c r="H1286" s="2407">
        <v>0</v>
      </c>
      <c r="I1286" s="2408"/>
      <c r="J1286" s="2408"/>
      <c r="K1286" s="2674" t="s">
        <v>2585</v>
      </c>
      <c r="L1286" s="2409"/>
    </row>
    <row r="1287" spans="1:12" ht="12" customHeight="1" x14ac:dyDescent="0.3">
      <c r="A1287" s="2394" t="s">
        <v>4746</v>
      </c>
      <c r="B1287" s="2395" t="s">
        <v>3607</v>
      </c>
      <c r="C1287" s="2406">
        <v>0</v>
      </c>
      <c r="D1287" s="2396"/>
      <c r="E1287" s="2406">
        <v>0</v>
      </c>
      <c r="F1287" s="2406">
        <v>0</v>
      </c>
      <c r="G1287" s="2437">
        <v>0</v>
      </c>
      <c r="H1287" s="2407">
        <v>0</v>
      </c>
      <c r="I1287" s="2408"/>
      <c r="J1287" s="2408"/>
      <c r="K1287" s="2674" t="s">
        <v>2586</v>
      </c>
      <c r="L1287" s="2409"/>
    </row>
    <row r="1288" spans="1:12" ht="12" customHeight="1" x14ac:dyDescent="0.3">
      <c r="A1288" s="2394" t="s">
        <v>4747</v>
      </c>
      <c r="B1288" s="2395" t="s">
        <v>3609</v>
      </c>
      <c r="C1288" s="2406">
        <v>0</v>
      </c>
      <c r="D1288" s="2396"/>
      <c r="E1288" s="2406">
        <v>0</v>
      </c>
      <c r="F1288" s="2406">
        <v>0</v>
      </c>
      <c r="G1288" s="2437">
        <v>0</v>
      </c>
      <c r="H1288" s="2407">
        <v>0</v>
      </c>
      <c r="I1288" s="2408"/>
      <c r="J1288" s="2408"/>
      <c r="K1288" s="2674" t="s">
        <v>2585</v>
      </c>
      <c r="L1288" s="2409"/>
    </row>
    <row r="1289" spans="1:12" ht="12" customHeight="1" x14ac:dyDescent="0.3">
      <c r="A1289" s="2394" t="s">
        <v>4748</v>
      </c>
      <c r="B1289" s="2395" t="s">
        <v>3611</v>
      </c>
      <c r="C1289" s="2406">
        <v>0</v>
      </c>
      <c r="D1289" s="2396"/>
      <c r="E1289" s="2406">
        <v>0</v>
      </c>
      <c r="F1289" s="2406">
        <v>0</v>
      </c>
      <c r="G1289" s="2437">
        <v>0</v>
      </c>
      <c r="H1289" s="2407">
        <v>0</v>
      </c>
      <c r="I1289" s="2408"/>
      <c r="J1289" s="2408"/>
      <c r="K1289" s="2674" t="s">
        <v>6505</v>
      </c>
      <c r="L1289" s="2409"/>
    </row>
    <row r="1290" spans="1:12" ht="12" customHeight="1" x14ac:dyDescent="0.3">
      <c r="A1290" s="2394" t="s">
        <v>4749</v>
      </c>
      <c r="B1290" s="2395" t="s">
        <v>3613</v>
      </c>
      <c r="C1290" s="2406">
        <v>0</v>
      </c>
      <c r="D1290" s="2396"/>
      <c r="E1290" s="2406">
        <v>0</v>
      </c>
      <c r="F1290" s="2406">
        <v>0</v>
      </c>
      <c r="G1290" s="2437">
        <v>0</v>
      </c>
      <c r="H1290" s="2407">
        <v>0</v>
      </c>
      <c r="I1290" s="2408"/>
      <c r="J1290" s="2408"/>
      <c r="K1290" s="2674" t="s">
        <v>6505</v>
      </c>
      <c r="L1290" s="2409"/>
    </row>
    <row r="1291" spans="1:12" ht="12" customHeight="1" x14ac:dyDescent="0.3">
      <c r="A1291" s="2394" t="s">
        <v>4750</v>
      </c>
      <c r="B1291" s="2395" t="s">
        <v>3615</v>
      </c>
      <c r="C1291" s="2406">
        <v>0</v>
      </c>
      <c r="D1291" s="2396"/>
      <c r="E1291" s="2406">
        <v>0</v>
      </c>
      <c r="F1291" s="2406">
        <v>0</v>
      </c>
      <c r="G1291" s="2437">
        <v>0</v>
      </c>
      <c r="H1291" s="2407">
        <v>0</v>
      </c>
      <c r="I1291" s="2408"/>
      <c r="J1291" s="2408"/>
      <c r="K1291" s="2674" t="s">
        <v>2586</v>
      </c>
      <c r="L1291" s="2409"/>
    </row>
    <row r="1292" spans="1:12" ht="12" customHeight="1" x14ac:dyDescent="0.3">
      <c r="A1292" s="2394" t="s">
        <v>4751</v>
      </c>
      <c r="B1292" s="2395" t="s">
        <v>3617</v>
      </c>
      <c r="C1292" s="2406">
        <v>0</v>
      </c>
      <c r="D1292" s="2396"/>
      <c r="E1292" s="2406">
        <v>0</v>
      </c>
      <c r="F1292" s="2406">
        <v>0</v>
      </c>
      <c r="G1292" s="2437">
        <v>0</v>
      </c>
      <c r="H1292" s="2407">
        <v>0</v>
      </c>
      <c r="I1292" s="2408"/>
      <c r="J1292" s="2408"/>
      <c r="K1292" s="2674" t="s">
        <v>2586</v>
      </c>
      <c r="L1292" s="2409"/>
    </row>
    <row r="1293" spans="1:12" ht="12" customHeight="1" x14ac:dyDescent="0.3">
      <c r="A1293" s="2394" t="s">
        <v>4752</v>
      </c>
      <c r="B1293" s="2395" t="s">
        <v>3619</v>
      </c>
      <c r="C1293" s="2406">
        <v>0</v>
      </c>
      <c r="D1293" s="2396"/>
      <c r="E1293" s="2406">
        <v>0</v>
      </c>
      <c r="F1293" s="2406">
        <v>0</v>
      </c>
      <c r="G1293" s="2437">
        <v>0</v>
      </c>
      <c r="H1293" s="2407">
        <v>0</v>
      </c>
      <c r="I1293" s="2408"/>
      <c r="J1293" s="2408"/>
      <c r="K1293" s="2674"/>
      <c r="L1293" s="2409"/>
    </row>
    <row r="1294" spans="1:12" ht="12" customHeight="1" x14ac:dyDescent="0.3">
      <c r="A1294" s="2394" t="s">
        <v>4753</v>
      </c>
      <c r="B1294" s="2395" t="s">
        <v>3621</v>
      </c>
      <c r="C1294" s="2406">
        <v>0</v>
      </c>
      <c r="D1294" s="2396"/>
      <c r="E1294" s="2406">
        <v>0</v>
      </c>
      <c r="F1294" s="2406">
        <v>0</v>
      </c>
      <c r="G1294" s="2437">
        <v>0</v>
      </c>
      <c r="H1294" s="2407">
        <v>0</v>
      </c>
      <c r="I1294" s="2408"/>
      <c r="J1294" s="2408"/>
      <c r="K1294" s="2674" t="s">
        <v>6506</v>
      </c>
      <c r="L1294" s="2409"/>
    </row>
    <row r="1295" spans="1:12" ht="12" customHeight="1" x14ac:dyDescent="0.3">
      <c r="A1295" s="2394" t="s">
        <v>4754</v>
      </c>
      <c r="B1295" s="2395" t="s">
        <v>3623</v>
      </c>
      <c r="C1295" s="2406">
        <v>0</v>
      </c>
      <c r="D1295" s="2396"/>
      <c r="E1295" s="2406">
        <v>0</v>
      </c>
      <c r="F1295" s="2406">
        <v>0</v>
      </c>
      <c r="G1295" s="2437">
        <v>0</v>
      </c>
      <c r="H1295" s="2407">
        <v>0</v>
      </c>
      <c r="I1295" s="2408"/>
      <c r="J1295" s="2408"/>
      <c r="K1295" s="2674" t="s">
        <v>6507</v>
      </c>
      <c r="L1295" s="2409"/>
    </row>
    <row r="1296" spans="1:12" ht="12" customHeight="1" x14ac:dyDescent="0.3">
      <c r="A1296" s="2394" t="s">
        <v>4755</v>
      </c>
      <c r="B1296" s="2395" t="s">
        <v>3625</v>
      </c>
      <c r="C1296" s="2406">
        <v>0</v>
      </c>
      <c r="D1296" s="2396"/>
      <c r="E1296" s="2406">
        <v>0</v>
      </c>
      <c r="F1296" s="2406">
        <v>0</v>
      </c>
      <c r="G1296" s="2437">
        <v>0</v>
      </c>
      <c r="H1296" s="2407">
        <v>0</v>
      </c>
      <c r="I1296" s="2408"/>
      <c r="J1296" s="2408"/>
      <c r="K1296" s="2674" t="s">
        <v>6508</v>
      </c>
      <c r="L1296" s="2409"/>
    </row>
    <row r="1297" spans="1:12" ht="12" customHeight="1" x14ac:dyDescent="0.3">
      <c r="A1297" s="2394" t="s">
        <v>4756</v>
      </c>
      <c r="B1297" s="2395" t="s">
        <v>3627</v>
      </c>
      <c r="C1297" s="2406">
        <v>0</v>
      </c>
      <c r="D1297" s="2396"/>
      <c r="E1297" s="2406">
        <v>0</v>
      </c>
      <c r="F1297" s="2406">
        <v>0</v>
      </c>
      <c r="G1297" s="2437">
        <v>0</v>
      </c>
      <c r="H1297" s="2407">
        <v>0</v>
      </c>
      <c r="I1297" s="2408"/>
      <c r="J1297" s="2408"/>
      <c r="K1297" s="2674" t="s">
        <v>6509</v>
      </c>
      <c r="L1297" s="2409"/>
    </row>
    <row r="1298" spans="1:12" ht="12.75" customHeight="1" x14ac:dyDescent="0.3">
      <c r="A1298" s="2394" t="s">
        <v>4757</v>
      </c>
      <c r="B1298" s="2395" t="s">
        <v>3629</v>
      </c>
      <c r="C1298" s="2406">
        <v>0</v>
      </c>
      <c r="D1298" s="2396"/>
      <c r="E1298" s="2406">
        <v>0</v>
      </c>
      <c r="F1298" s="2406">
        <v>0</v>
      </c>
      <c r="G1298" s="2437">
        <v>0</v>
      </c>
      <c r="H1298" s="2407">
        <v>0</v>
      </c>
      <c r="I1298" s="2408"/>
      <c r="J1298" s="2408"/>
      <c r="K1298" s="2674" t="s">
        <v>6510</v>
      </c>
      <c r="L1298" s="2409"/>
    </row>
    <row r="1299" spans="1:12" ht="12.75" customHeight="1" x14ac:dyDescent="0.3">
      <c r="A1299" s="2394" t="s">
        <v>4758</v>
      </c>
      <c r="B1299" s="2395" t="s">
        <v>3631</v>
      </c>
      <c r="C1299" s="2406">
        <v>0</v>
      </c>
      <c r="D1299" s="2396"/>
      <c r="E1299" s="2406">
        <v>0</v>
      </c>
      <c r="F1299" s="2406">
        <v>0</v>
      </c>
      <c r="G1299" s="2437">
        <v>0</v>
      </c>
      <c r="H1299" s="2407">
        <v>0</v>
      </c>
      <c r="I1299" s="2408"/>
      <c r="J1299" s="2408"/>
      <c r="K1299" s="2674" t="s">
        <v>6511</v>
      </c>
      <c r="L1299" s="2409"/>
    </row>
    <row r="1300" spans="1:12" ht="12.75" customHeight="1" x14ac:dyDescent="0.3">
      <c r="A1300" s="2394" t="s">
        <v>4759</v>
      </c>
      <c r="B1300" s="2395" t="s">
        <v>3633</v>
      </c>
      <c r="C1300" s="2406">
        <v>0</v>
      </c>
      <c r="D1300" s="2396"/>
      <c r="E1300" s="2406">
        <v>0</v>
      </c>
      <c r="F1300" s="2406">
        <v>0</v>
      </c>
      <c r="G1300" s="2437">
        <v>0</v>
      </c>
      <c r="H1300" s="2407">
        <v>0</v>
      </c>
      <c r="I1300" s="2408"/>
      <c r="J1300" s="2408"/>
      <c r="K1300" s="2674" t="s">
        <v>6512</v>
      </c>
      <c r="L1300" s="2409"/>
    </row>
    <row r="1301" spans="1:12" ht="12.75" customHeight="1" x14ac:dyDescent="0.3">
      <c r="A1301" s="2394" t="s">
        <v>4760</v>
      </c>
      <c r="B1301" s="2395" t="s">
        <v>3635</v>
      </c>
      <c r="C1301" s="2406">
        <v>0</v>
      </c>
      <c r="D1301" s="2396"/>
      <c r="E1301" s="2406">
        <v>0</v>
      </c>
      <c r="F1301" s="2406">
        <v>0</v>
      </c>
      <c r="G1301" s="2437">
        <v>0</v>
      </c>
      <c r="H1301" s="2407">
        <v>0</v>
      </c>
      <c r="I1301" s="2408"/>
      <c r="J1301" s="2408"/>
      <c r="K1301" s="2674" t="s">
        <v>6513</v>
      </c>
      <c r="L1301" s="2409"/>
    </row>
    <row r="1302" spans="1:12" ht="12.75" customHeight="1" x14ac:dyDescent="0.3">
      <c r="A1302" s="2394" t="s">
        <v>4761</v>
      </c>
      <c r="B1302" s="2395" t="s">
        <v>3637</v>
      </c>
      <c r="C1302" s="2406">
        <v>0</v>
      </c>
      <c r="D1302" s="2396"/>
      <c r="E1302" s="2406">
        <v>0</v>
      </c>
      <c r="F1302" s="2406">
        <v>0</v>
      </c>
      <c r="G1302" s="2437">
        <v>0</v>
      </c>
      <c r="H1302" s="2407">
        <v>0</v>
      </c>
      <c r="I1302" s="2408"/>
      <c r="J1302" s="2408"/>
      <c r="K1302" s="2674" t="s">
        <v>6514</v>
      </c>
      <c r="L1302" s="2409"/>
    </row>
    <row r="1303" spans="1:12" ht="12.75" customHeight="1" x14ac:dyDescent="0.3">
      <c r="A1303" s="2394" t="s">
        <v>4762</v>
      </c>
      <c r="B1303" s="2395" t="s">
        <v>334</v>
      </c>
      <c r="C1303" s="2406">
        <v>0</v>
      </c>
      <c r="D1303" s="2396"/>
      <c r="E1303" s="2406">
        <v>0</v>
      </c>
      <c r="F1303" s="2406">
        <v>0</v>
      </c>
      <c r="G1303" s="2437">
        <v>0</v>
      </c>
      <c r="H1303" s="2407">
        <v>0</v>
      </c>
      <c r="I1303" s="2408"/>
      <c r="J1303" s="2408"/>
      <c r="K1303" s="2674"/>
      <c r="L1303" s="2409"/>
    </row>
    <row r="1304" spans="1:12" ht="12.75" customHeight="1" x14ac:dyDescent="0.3">
      <c r="A1304" s="2394" t="s">
        <v>4763</v>
      </c>
      <c r="B1304" s="2395" t="s">
        <v>3640</v>
      </c>
      <c r="C1304" s="2406">
        <v>0</v>
      </c>
      <c r="D1304" s="2396"/>
      <c r="E1304" s="2406">
        <v>0</v>
      </c>
      <c r="F1304" s="2406">
        <v>0</v>
      </c>
      <c r="G1304" s="2437">
        <v>0</v>
      </c>
      <c r="H1304" s="2407">
        <v>0</v>
      </c>
      <c r="I1304" s="2408"/>
      <c r="J1304" s="2408"/>
      <c r="K1304" s="2674" t="s">
        <v>6515</v>
      </c>
      <c r="L1304" s="2409"/>
    </row>
    <row r="1305" spans="1:12" ht="12.75" customHeight="1" x14ac:dyDescent="0.3">
      <c r="A1305" s="2394" t="s">
        <v>4764</v>
      </c>
      <c r="B1305" s="2395" t="s">
        <v>3642</v>
      </c>
      <c r="C1305" s="2406">
        <v>0</v>
      </c>
      <c r="D1305" s="2396"/>
      <c r="E1305" s="2406">
        <v>0</v>
      </c>
      <c r="F1305" s="2406">
        <v>0</v>
      </c>
      <c r="G1305" s="2437">
        <v>0</v>
      </c>
      <c r="H1305" s="2407">
        <v>0</v>
      </c>
      <c r="I1305" s="2408"/>
      <c r="J1305" s="2408"/>
      <c r="K1305" s="2674" t="s">
        <v>6515</v>
      </c>
      <c r="L1305" s="2409"/>
    </row>
    <row r="1306" spans="1:12" ht="12.75" customHeight="1" x14ac:dyDescent="0.3">
      <c r="A1306" s="2394" t="s">
        <v>4765</v>
      </c>
      <c r="B1306" s="2395" t="s">
        <v>3644</v>
      </c>
      <c r="C1306" s="2406">
        <v>0</v>
      </c>
      <c r="D1306" s="2396"/>
      <c r="E1306" s="2406">
        <v>0</v>
      </c>
      <c r="F1306" s="2406">
        <v>0</v>
      </c>
      <c r="G1306" s="2437">
        <v>0</v>
      </c>
      <c r="H1306" s="2407">
        <v>0</v>
      </c>
      <c r="I1306" s="2408"/>
      <c r="J1306" s="2408"/>
      <c r="K1306" s="2674" t="s">
        <v>6515</v>
      </c>
      <c r="L1306" s="2409"/>
    </row>
    <row r="1307" spans="1:12" ht="12.75" customHeight="1" x14ac:dyDescent="0.3">
      <c r="A1307" s="2394" t="s">
        <v>4766</v>
      </c>
      <c r="B1307" s="2395" t="s">
        <v>3646</v>
      </c>
      <c r="C1307" s="2406">
        <v>0</v>
      </c>
      <c r="D1307" s="2396"/>
      <c r="E1307" s="2406">
        <v>0</v>
      </c>
      <c r="F1307" s="2406">
        <v>0</v>
      </c>
      <c r="G1307" s="2437">
        <v>0</v>
      </c>
      <c r="H1307" s="2407">
        <v>0</v>
      </c>
      <c r="I1307" s="2408"/>
      <c r="J1307" s="2408"/>
      <c r="K1307" s="2674" t="s">
        <v>6515</v>
      </c>
      <c r="L1307" s="2409"/>
    </row>
    <row r="1308" spans="1:12" ht="12.75" customHeight="1" x14ac:dyDescent="0.3">
      <c r="A1308" s="2394" t="s">
        <v>4767</v>
      </c>
      <c r="B1308" s="2395" t="s">
        <v>3648</v>
      </c>
      <c r="C1308" s="2406">
        <v>0</v>
      </c>
      <c r="D1308" s="2396"/>
      <c r="E1308" s="2406">
        <v>0</v>
      </c>
      <c r="F1308" s="2406">
        <v>0</v>
      </c>
      <c r="G1308" s="2437">
        <v>0</v>
      </c>
      <c r="H1308" s="2407">
        <v>0</v>
      </c>
      <c r="I1308" s="2408"/>
      <c r="J1308" s="2408"/>
      <c r="K1308" s="2674" t="s">
        <v>6516</v>
      </c>
      <c r="L1308" s="2409"/>
    </row>
    <row r="1309" spans="1:12" ht="12.75" customHeight="1" x14ac:dyDescent="0.3">
      <c r="A1309" s="2394" t="s">
        <v>4768</v>
      </c>
      <c r="B1309" s="2395" t="s">
        <v>3650</v>
      </c>
      <c r="C1309" s="2406">
        <v>9100000</v>
      </c>
      <c r="D1309" s="2396"/>
      <c r="E1309" s="2406">
        <v>0</v>
      </c>
      <c r="F1309" s="2406">
        <v>0</v>
      </c>
      <c r="G1309" s="2437">
        <v>0</v>
      </c>
      <c r="H1309" s="2407">
        <v>9100000</v>
      </c>
      <c r="I1309" s="2408"/>
      <c r="J1309" s="2408"/>
      <c r="K1309" s="2674" t="s">
        <v>6517</v>
      </c>
      <c r="L1309" s="2409"/>
    </row>
    <row r="1310" spans="1:12" ht="12.75" customHeight="1" x14ac:dyDescent="0.3">
      <c r="A1310" s="2394" t="s">
        <v>4769</v>
      </c>
      <c r="B1310" s="2395" t="s">
        <v>3652</v>
      </c>
      <c r="C1310" s="2406">
        <v>0</v>
      </c>
      <c r="D1310" s="2396"/>
      <c r="E1310" s="2406">
        <v>0</v>
      </c>
      <c r="F1310" s="2406">
        <v>0</v>
      </c>
      <c r="G1310" s="2437">
        <v>0</v>
      </c>
      <c r="H1310" s="2407">
        <v>0</v>
      </c>
      <c r="I1310" s="2408"/>
      <c r="J1310" s="2408"/>
      <c r="K1310" s="2674" t="s">
        <v>6518</v>
      </c>
      <c r="L1310" s="2409"/>
    </row>
    <row r="1311" spans="1:12" ht="12.75" customHeight="1" x14ac:dyDescent="0.3">
      <c r="A1311" s="2394" t="s">
        <v>4770</v>
      </c>
      <c r="B1311" s="2395" t="s">
        <v>3654</v>
      </c>
      <c r="C1311" s="2406">
        <v>0</v>
      </c>
      <c r="D1311" s="2396"/>
      <c r="E1311" s="2406">
        <v>0</v>
      </c>
      <c r="F1311" s="2406">
        <v>0</v>
      </c>
      <c r="G1311" s="2437">
        <v>0</v>
      </c>
      <c r="H1311" s="2407">
        <v>0</v>
      </c>
      <c r="I1311" s="2408"/>
      <c r="J1311" s="2408"/>
      <c r="K1311" s="2674" t="s">
        <v>6518</v>
      </c>
      <c r="L1311" s="2409"/>
    </row>
    <row r="1312" spans="1:12" ht="12.75" customHeight="1" x14ac:dyDescent="0.3">
      <c r="A1312" s="2394" t="s">
        <v>4771</v>
      </c>
      <c r="B1312" s="2395" t="s">
        <v>3656</v>
      </c>
      <c r="C1312" s="2406">
        <v>0</v>
      </c>
      <c r="D1312" s="2396"/>
      <c r="E1312" s="2406">
        <v>0</v>
      </c>
      <c r="F1312" s="2406">
        <v>0</v>
      </c>
      <c r="G1312" s="2437">
        <v>0</v>
      </c>
      <c r="H1312" s="2407">
        <v>0</v>
      </c>
      <c r="I1312" s="2408"/>
      <c r="J1312" s="2408"/>
      <c r="K1312" s="2674"/>
      <c r="L1312" s="2409"/>
    </row>
    <row r="1313" spans="1:12" ht="12.75" customHeight="1" x14ac:dyDescent="0.3">
      <c r="A1313" s="2394" t="s">
        <v>4772</v>
      </c>
      <c r="B1313" s="2395" t="s">
        <v>3658</v>
      </c>
      <c r="C1313" s="2406">
        <v>0</v>
      </c>
      <c r="D1313" s="2396"/>
      <c r="E1313" s="2406">
        <v>0</v>
      </c>
      <c r="F1313" s="2406">
        <v>0</v>
      </c>
      <c r="G1313" s="2437">
        <v>0</v>
      </c>
      <c r="H1313" s="2407">
        <v>0</v>
      </c>
      <c r="I1313" s="2408"/>
      <c r="J1313" s="2408"/>
      <c r="K1313" s="2674" t="s">
        <v>6519</v>
      </c>
      <c r="L1313" s="2409"/>
    </row>
    <row r="1314" spans="1:12" ht="12" customHeight="1" x14ac:dyDescent="0.3">
      <c r="A1314" s="2394" t="s">
        <v>4773</v>
      </c>
      <c r="B1314" s="2395" t="s">
        <v>3660</v>
      </c>
      <c r="C1314" s="2406">
        <v>183000</v>
      </c>
      <c r="D1314" s="2396"/>
      <c r="E1314" s="2406">
        <v>0</v>
      </c>
      <c r="F1314" s="2406">
        <v>0</v>
      </c>
      <c r="G1314" s="2437">
        <v>0</v>
      </c>
      <c r="H1314" s="2407">
        <v>183000</v>
      </c>
      <c r="I1314" s="2408"/>
      <c r="J1314" s="2408"/>
      <c r="K1314" s="2674" t="s">
        <v>6520</v>
      </c>
      <c r="L1314" s="2409"/>
    </row>
    <row r="1315" spans="1:12" ht="12" customHeight="1" x14ac:dyDescent="0.3">
      <c r="A1315" s="2394" t="s">
        <v>4774</v>
      </c>
      <c r="B1315" s="2395" t="s">
        <v>3662</v>
      </c>
      <c r="C1315" s="2406">
        <v>0</v>
      </c>
      <c r="D1315" s="2396"/>
      <c r="E1315" s="2406">
        <v>0</v>
      </c>
      <c r="F1315" s="2406">
        <v>0</v>
      </c>
      <c r="G1315" s="2437">
        <v>0</v>
      </c>
      <c r="H1315" s="2407">
        <v>0</v>
      </c>
      <c r="I1315" s="2408"/>
      <c r="J1315" s="2408"/>
      <c r="K1315" s="2674" t="s">
        <v>6521</v>
      </c>
      <c r="L1315" s="2409"/>
    </row>
    <row r="1316" spans="1:12" ht="12" customHeight="1" x14ac:dyDescent="0.3">
      <c r="A1316" s="2394" t="s">
        <v>4775</v>
      </c>
      <c r="B1316" s="2395" t="s">
        <v>3664</v>
      </c>
      <c r="C1316" s="2406">
        <v>0</v>
      </c>
      <c r="D1316" s="2396"/>
      <c r="E1316" s="2406">
        <v>0</v>
      </c>
      <c r="F1316" s="2406">
        <v>0</v>
      </c>
      <c r="G1316" s="2437">
        <v>0</v>
      </c>
      <c r="H1316" s="2407">
        <v>0</v>
      </c>
      <c r="I1316" s="2408"/>
      <c r="J1316" s="2408"/>
      <c r="K1316" s="2674" t="s">
        <v>6522</v>
      </c>
      <c r="L1316" s="2409"/>
    </row>
    <row r="1317" spans="1:12" ht="12" customHeight="1" x14ac:dyDescent="0.3">
      <c r="A1317" s="2394" t="s">
        <v>4776</v>
      </c>
      <c r="B1317" s="2395" t="s">
        <v>3666</v>
      </c>
      <c r="C1317" s="2406">
        <v>0</v>
      </c>
      <c r="D1317" s="2396"/>
      <c r="E1317" s="2406">
        <v>0</v>
      </c>
      <c r="F1317" s="2406">
        <v>0</v>
      </c>
      <c r="G1317" s="2437">
        <v>0</v>
      </c>
      <c r="H1317" s="2407">
        <v>0</v>
      </c>
      <c r="I1317" s="2408"/>
      <c r="J1317" s="2408"/>
      <c r="K1317" s="2674" t="s">
        <v>6523</v>
      </c>
      <c r="L1317" s="2409"/>
    </row>
    <row r="1318" spans="1:12" ht="12" customHeight="1" x14ac:dyDescent="0.3">
      <c r="A1318" s="2394" t="s">
        <v>4777</v>
      </c>
      <c r="B1318" s="2395" t="s">
        <v>3668</v>
      </c>
      <c r="C1318" s="2406">
        <v>0</v>
      </c>
      <c r="D1318" s="2396"/>
      <c r="E1318" s="2406">
        <v>0</v>
      </c>
      <c r="F1318" s="2406">
        <v>0</v>
      </c>
      <c r="G1318" s="2437">
        <v>0</v>
      </c>
      <c r="H1318" s="2407">
        <v>0</v>
      </c>
      <c r="I1318" s="2408"/>
      <c r="J1318" s="2408"/>
      <c r="K1318" s="2674" t="s">
        <v>6524</v>
      </c>
      <c r="L1318" s="2409"/>
    </row>
    <row r="1319" spans="1:12" ht="12" customHeight="1" x14ac:dyDescent="0.3">
      <c r="A1319" s="2394" t="s">
        <v>4778</v>
      </c>
      <c r="B1319" s="2395" t="s">
        <v>350</v>
      </c>
      <c r="C1319" s="2406">
        <v>0</v>
      </c>
      <c r="D1319" s="2396"/>
      <c r="E1319" s="2406">
        <v>0</v>
      </c>
      <c r="F1319" s="2406">
        <v>0</v>
      </c>
      <c r="G1319" s="2437">
        <v>0</v>
      </c>
      <c r="H1319" s="2407">
        <v>0</v>
      </c>
      <c r="I1319" s="2408"/>
      <c r="J1319" s="2408"/>
      <c r="K1319" s="2674" t="s">
        <v>6524</v>
      </c>
      <c r="L1319" s="2409"/>
    </row>
    <row r="1320" spans="1:12" ht="12" customHeight="1" x14ac:dyDescent="0.3">
      <c r="A1320" s="2394" t="s">
        <v>4779</v>
      </c>
      <c r="B1320" s="2395" t="s">
        <v>3671</v>
      </c>
      <c r="C1320" s="2406">
        <v>0</v>
      </c>
      <c r="D1320" s="2396"/>
      <c r="E1320" s="2406">
        <v>0</v>
      </c>
      <c r="F1320" s="2406">
        <v>0</v>
      </c>
      <c r="G1320" s="2437">
        <v>0</v>
      </c>
      <c r="H1320" s="2407">
        <v>0</v>
      </c>
      <c r="I1320" s="2408"/>
      <c r="J1320" s="2408"/>
      <c r="K1320" s="2674"/>
      <c r="L1320" s="2409"/>
    </row>
    <row r="1321" spans="1:12" ht="12.75" customHeight="1" x14ac:dyDescent="0.3">
      <c r="A1321" s="2394" t="s">
        <v>4780</v>
      </c>
      <c r="B1321" s="2395" t="s">
        <v>3930</v>
      </c>
      <c r="C1321" s="2406">
        <v>0</v>
      </c>
      <c r="D1321" s="2396"/>
      <c r="E1321" s="2406">
        <v>0</v>
      </c>
      <c r="F1321" s="2406">
        <v>0</v>
      </c>
      <c r="G1321" s="2437">
        <v>0</v>
      </c>
      <c r="H1321" s="2407">
        <v>0</v>
      </c>
      <c r="I1321" s="2408"/>
      <c r="J1321" s="2408"/>
      <c r="K1321" s="2674" t="s">
        <v>6525</v>
      </c>
      <c r="L1321" s="2409"/>
    </row>
    <row r="1322" spans="1:12" ht="12" customHeight="1" x14ac:dyDescent="0.3">
      <c r="A1322" s="2394" t="s">
        <v>4781</v>
      </c>
      <c r="B1322" s="2395" t="s">
        <v>3675</v>
      </c>
      <c r="C1322" s="2406">
        <v>0</v>
      </c>
      <c r="D1322" s="2396"/>
      <c r="E1322" s="2406">
        <v>0</v>
      </c>
      <c r="F1322" s="2406">
        <v>0</v>
      </c>
      <c r="G1322" s="2437">
        <v>0</v>
      </c>
      <c r="H1322" s="2407">
        <v>0</v>
      </c>
      <c r="I1322" s="2408"/>
      <c r="J1322" s="2408"/>
      <c r="K1322" s="2674" t="s">
        <v>6526</v>
      </c>
      <c r="L1322" s="2409"/>
    </row>
    <row r="1323" spans="1:12" ht="12" customHeight="1" x14ac:dyDescent="0.3">
      <c r="A1323" s="2394" t="s">
        <v>4782</v>
      </c>
      <c r="B1323" s="2395" t="s">
        <v>3677</v>
      </c>
      <c r="C1323" s="2406">
        <v>0</v>
      </c>
      <c r="D1323" s="2396"/>
      <c r="E1323" s="2406">
        <v>0</v>
      </c>
      <c r="F1323" s="2406">
        <v>0</v>
      </c>
      <c r="G1323" s="2437">
        <v>0</v>
      </c>
      <c r="H1323" s="2407">
        <v>0</v>
      </c>
      <c r="I1323" s="2408"/>
      <c r="J1323" s="2408"/>
      <c r="K1323" s="2674" t="s">
        <v>6526</v>
      </c>
      <c r="L1323" s="2409"/>
    </row>
    <row r="1324" spans="1:12" ht="12" customHeight="1" x14ac:dyDescent="0.3">
      <c r="A1324" s="2394" t="s">
        <v>4783</v>
      </c>
      <c r="B1324" s="2395" t="s">
        <v>3679</v>
      </c>
      <c r="C1324" s="2406">
        <v>0</v>
      </c>
      <c r="D1324" s="2396"/>
      <c r="E1324" s="2406">
        <v>0</v>
      </c>
      <c r="F1324" s="2406">
        <v>0</v>
      </c>
      <c r="G1324" s="2437">
        <v>0</v>
      </c>
      <c r="H1324" s="2407">
        <v>0</v>
      </c>
      <c r="I1324" s="2408"/>
      <c r="J1324" s="2408"/>
      <c r="K1324" s="2674" t="s">
        <v>6526</v>
      </c>
      <c r="L1324" s="2409"/>
    </row>
    <row r="1325" spans="1:12" ht="12" customHeight="1" x14ac:dyDescent="0.3">
      <c r="A1325" s="2394" t="s">
        <v>4784</v>
      </c>
      <c r="B1325" s="2395" t="s">
        <v>3681</v>
      </c>
      <c r="C1325" s="2406">
        <v>0</v>
      </c>
      <c r="D1325" s="2396"/>
      <c r="E1325" s="2406">
        <v>0</v>
      </c>
      <c r="F1325" s="2406">
        <v>0</v>
      </c>
      <c r="G1325" s="2437">
        <v>0</v>
      </c>
      <c r="H1325" s="2407">
        <v>0</v>
      </c>
      <c r="I1325" s="2408"/>
      <c r="J1325" s="2408"/>
      <c r="K1325" s="2674" t="s">
        <v>6526</v>
      </c>
      <c r="L1325" s="2409"/>
    </row>
    <row r="1326" spans="1:12" ht="12" customHeight="1" x14ac:dyDescent="0.3">
      <c r="A1326" s="2394" t="s">
        <v>4785</v>
      </c>
      <c r="B1326" s="2395" t="s">
        <v>3683</v>
      </c>
      <c r="C1326" s="2406">
        <v>0</v>
      </c>
      <c r="D1326" s="2396"/>
      <c r="E1326" s="2406">
        <v>0</v>
      </c>
      <c r="F1326" s="2406">
        <v>0</v>
      </c>
      <c r="G1326" s="2437">
        <v>0</v>
      </c>
      <c r="H1326" s="2407">
        <v>0</v>
      </c>
      <c r="I1326" s="2408"/>
      <c r="J1326" s="2408"/>
      <c r="K1326" s="2674" t="s">
        <v>6527</v>
      </c>
      <c r="L1326" s="2409"/>
    </row>
    <row r="1327" spans="1:12" ht="12" customHeight="1" x14ac:dyDescent="0.3">
      <c r="A1327" s="2394" t="s">
        <v>4786</v>
      </c>
      <c r="B1327" s="2395" t="s">
        <v>3685</v>
      </c>
      <c r="C1327" s="2406">
        <v>0</v>
      </c>
      <c r="D1327" s="2396"/>
      <c r="E1327" s="2406">
        <v>0</v>
      </c>
      <c r="F1327" s="2406">
        <v>0</v>
      </c>
      <c r="G1327" s="2437">
        <v>0</v>
      </c>
      <c r="H1327" s="2407">
        <v>0</v>
      </c>
      <c r="I1327" s="2408"/>
      <c r="J1327" s="2408"/>
      <c r="K1327" s="2674" t="s">
        <v>6528</v>
      </c>
      <c r="L1327" s="2409"/>
    </row>
    <row r="1328" spans="1:12" ht="12" customHeight="1" x14ac:dyDescent="0.3">
      <c r="A1328" s="2394" t="s">
        <v>4787</v>
      </c>
      <c r="B1328" s="2395" t="s">
        <v>3687</v>
      </c>
      <c r="C1328" s="2406">
        <v>0</v>
      </c>
      <c r="D1328" s="2396"/>
      <c r="E1328" s="2406">
        <v>0</v>
      </c>
      <c r="F1328" s="2406">
        <v>0</v>
      </c>
      <c r="G1328" s="2437">
        <v>0</v>
      </c>
      <c r="H1328" s="2407">
        <v>0</v>
      </c>
      <c r="I1328" s="2408"/>
      <c r="J1328" s="2408"/>
      <c r="K1328" s="2674" t="s">
        <v>6528</v>
      </c>
      <c r="L1328" s="2409"/>
    </row>
    <row r="1329" spans="1:12" ht="12" customHeight="1" x14ac:dyDescent="0.3">
      <c r="A1329" s="2394" t="s">
        <v>4788</v>
      </c>
      <c r="B1329" s="2395" t="s">
        <v>3689</v>
      </c>
      <c r="C1329" s="2406">
        <v>0</v>
      </c>
      <c r="D1329" s="2396"/>
      <c r="E1329" s="2406">
        <v>0</v>
      </c>
      <c r="F1329" s="2406">
        <v>0</v>
      </c>
      <c r="G1329" s="2437">
        <v>0</v>
      </c>
      <c r="H1329" s="2407">
        <v>0</v>
      </c>
      <c r="I1329" s="2408"/>
      <c r="J1329" s="2408"/>
      <c r="K1329" s="2674" t="s">
        <v>6528</v>
      </c>
      <c r="L1329" s="2409"/>
    </row>
    <row r="1330" spans="1:12" ht="12" customHeight="1" x14ac:dyDescent="0.3">
      <c r="A1330" s="2394" t="s">
        <v>4789</v>
      </c>
      <c r="B1330" s="2395" t="s">
        <v>7922</v>
      </c>
      <c r="C1330" s="2406">
        <v>0</v>
      </c>
      <c r="D1330" s="2396"/>
      <c r="E1330" s="2406">
        <v>0</v>
      </c>
      <c r="F1330" s="2406">
        <v>0</v>
      </c>
      <c r="G1330" s="2437">
        <v>0</v>
      </c>
      <c r="H1330" s="2407">
        <v>0</v>
      </c>
      <c r="I1330" s="2408"/>
      <c r="J1330" s="2408"/>
      <c r="K1330" s="2674"/>
      <c r="L1330" s="2409"/>
    </row>
    <row r="1331" spans="1:12" ht="12" customHeight="1" x14ac:dyDescent="0.3">
      <c r="A1331" s="2394" t="s">
        <v>4790</v>
      </c>
      <c r="B1331" s="2395" t="s">
        <v>3720</v>
      </c>
      <c r="C1331" s="2406">
        <v>0</v>
      </c>
      <c r="D1331" s="2396"/>
      <c r="E1331" s="2406">
        <v>0</v>
      </c>
      <c r="F1331" s="2406">
        <v>0</v>
      </c>
      <c r="G1331" s="2437">
        <v>0</v>
      </c>
      <c r="H1331" s="2407">
        <v>0</v>
      </c>
      <c r="I1331" s="2408"/>
      <c r="J1331" s="2408"/>
      <c r="K1331" s="2674" t="s">
        <v>6515</v>
      </c>
      <c r="L1331" s="2409"/>
    </row>
    <row r="1332" spans="1:12" ht="12" customHeight="1" x14ac:dyDescent="0.3">
      <c r="A1332" s="2394" t="s">
        <v>4791</v>
      </c>
      <c r="B1332" s="2395" t="s">
        <v>3648</v>
      </c>
      <c r="C1332" s="2406">
        <v>12783300</v>
      </c>
      <c r="D1332" s="2396"/>
      <c r="E1332" s="2406">
        <v>0</v>
      </c>
      <c r="F1332" s="2406">
        <v>0</v>
      </c>
      <c r="G1332" s="2437">
        <v>0</v>
      </c>
      <c r="H1332" s="2407">
        <v>12783300</v>
      </c>
      <c r="I1332" s="2408"/>
      <c r="J1332" s="2408"/>
      <c r="K1332" s="2674" t="s">
        <v>6516</v>
      </c>
      <c r="L1332" s="2409"/>
    </row>
    <row r="1333" spans="1:12" ht="12" customHeight="1" x14ac:dyDescent="0.3">
      <c r="A1333" s="2394" t="s">
        <v>4792</v>
      </c>
      <c r="B1333" s="2395" t="s">
        <v>3932</v>
      </c>
      <c r="C1333" s="2406">
        <v>2240000</v>
      </c>
      <c r="D1333" s="2396"/>
      <c r="E1333" s="2406">
        <v>0</v>
      </c>
      <c r="F1333" s="2406">
        <v>0</v>
      </c>
      <c r="G1333" s="2437">
        <v>0</v>
      </c>
      <c r="H1333" s="2407">
        <v>2240000</v>
      </c>
      <c r="I1333" s="2408"/>
      <c r="J1333" s="2408"/>
      <c r="K1333" s="2674" t="s">
        <v>6517</v>
      </c>
      <c r="L1333" s="2409"/>
    </row>
    <row r="1334" spans="1:12" ht="12" customHeight="1" x14ac:dyDescent="0.3">
      <c r="A1334" s="2394" t="s">
        <v>4793</v>
      </c>
      <c r="B1334" s="2395" t="s">
        <v>3966</v>
      </c>
      <c r="C1334" s="2406">
        <v>8763000</v>
      </c>
      <c r="D1334" s="2396"/>
      <c r="E1334" s="2406">
        <v>0</v>
      </c>
      <c r="F1334" s="2406">
        <v>0</v>
      </c>
      <c r="G1334" s="2437">
        <v>0</v>
      </c>
      <c r="H1334" s="2407">
        <v>8763000</v>
      </c>
      <c r="I1334" s="2408"/>
      <c r="J1334" s="2408"/>
      <c r="K1334" s="2674" t="s">
        <v>6518</v>
      </c>
      <c r="L1334" s="2409"/>
    </row>
    <row r="1335" spans="1:12" ht="12" customHeight="1" x14ac:dyDescent="0.3">
      <c r="A1335" s="2394" t="s">
        <v>4794</v>
      </c>
      <c r="B1335" s="2395" t="s">
        <v>3935</v>
      </c>
      <c r="C1335" s="2406">
        <v>0</v>
      </c>
      <c r="D1335" s="2396"/>
      <c r="E1335" s="2406">
        <v>0</v>
      </c>
      <c r="F1335" s="2406">
        <v>0</v>
      </c>
      <c r="G1335" s="2437">
        <v>0</v>
      </c>
      <c r="H1335" s="2407">
        <v>0</v>
      </c>
      <c r="I1335" s="2408"/>
      <c r="J1335" s="2408"/>
      <c r="K1335" s="2674" t="s">
        <v>6522</v>
      </c>
      <c r="L1335" s="2409"/>
    </row>
    <row r="1336" spans="1:12" ht="12" customHeight="1" x14ac:dyDescent="0.3">
      <c r="A1336" s="2394" t="s">
        <v>4795</v>
      </c>
      <c r="B1336" s="2395" t="s">
        <v>3967</v>
      </c>
      <c r="C1336" s="2406">
        <v>0</v>
      </c>
      <c r="D1336" s="2396"/>
      <c r="E1336" s="2406">
        <v>0</v>
      </c>
      <c r="F1336" s="2406">
        <v>0</v>
      </c>
      <c r="G1336" s="2437">
        <v>0</v>
      </c>
      <c r="H1336" s="2407">
        <v>0</v>
      </c>
      <c r="I1336" s="2408"/>
      <c r="J1336" s="2408"/>
      <c r="K1336" s="2674" t="s">
        <v>6519</v>
      </c>
      <c r="L1336" s="2409"/>
    </row>
    <row r="1337" spans="1:12" ht="12" customHeight="1" x14ac:dyDescent="0.3">
      <c r="A1337" s="2394" t="s">
        <v>4796</v>
      </c>
      <c r="B1337" s="2395" t="s">
        <v>3968</v>
      </c>
      <c r="C1337" s="2406">
        <v>0</v>
      </c>
      <c r="D1337" s="2396"/>
      <c r="E1337" s="2406">
        <v>0</v>
      </c>
      <c r="F1337" s="2406">
        <v>0</v>
      </c>
      <c r="G1337" s="2437">
        <v>0</v>
      </c>
      <c r="H1337" s="2407">
        <v>0</v>
      </c>
      <c r="I1337" s="2408"/>
      <c r="J1337" s="2408"/>
      <c r="K1337" s="2674" t="s">
        <v>6538</v>
      </c>
      <c r="L1337" s="2409"/>
    </row>
    <row r="1338" spans="1:12" ht="12" customHeight="1" x14ac:dyDescent="0.3">
      <c r="A1338" s="2394" t="s">
        <v>4797</v>
      </c>
      <c r="B1338" s="2395" t="s">
        <v>350</v>
      </c>
      <c r="C1338" s="2406">
        <v>100000</v>
      </c>
      <c r="D1338" s="2396"/>
      <c r="E1338" s="2406">
        <v>0</v>
      </c>
      <c r="F1338" s="2406">
        <v>0</v>
      </c>
      <c r="G1338" s="2437">
        <v>0</v>
      </c>
      <c r="H1338" s="2407">
        <v>100000</v>
      </c>
      <c r="I1338" s="2408"/>
      <c r="J1338" s="2408"/>
      <c r="K1338" s="2674" t="s">
        <v>6536</v>
      </c>
      <c r="L1338" s="2409"/>
    </row>
    <row r="1339" spans="1:12" ht="12" customHeight="1" x14ac:dyDescent="0.3">
      <c r="A1339" s="2394" t="s">
        <v>4798</v>
      </c>
      <c r="B1339" s="2395" t="s">
        <v>3969</v>
      </c>
      <c r="C1339" s="2406">
        <v>0</v>
      </c>
      <c r="D1339" s="2396"/>
      <c r="E1339" s="2406">
        <v>0</v>
      </c>
      <c r="F1339" s="2406">
        <v>0</v>
      </c>
      <c r="G1339" s="2437">
        <v>0</v>
      </c>
      <c r="H1339" s="2407">
        <v>0</v>
      </c>
      <c r="I1339" s="2408"/>
      <c r="J1339" s="2408"/>
      <c r="K1339" s="2674"/>
      <c r="L1339" s="2409"/>
    </row>
    <row r="1340" spans="1:12" ht="12" customHeight="1" x14ac:dyDescent="0.3">
      <c r="A1340" s="2394" t="s">
        <v>4799</v>
      </c>
      <c r="B1340" s="2395" t="s">
        <v>3970</v>
      </c>
      <c r="C1340" s="2406">
        <v>0</v>
      </c>
      <c r="D1340" s="2396"/>
      <c r="E1340" s="2406">
        <v>1250000</v>
      </c>
      <c r="F1340" s="2406">
        <v>0</v>
      </c>
      <c r="G1340" s="2437">
        <v>1250000</v>
      </c>
      <c r="H1340" s="2407">
        <v>1250000</v>
      </c>
      <c r="I1340" s="2408"/>
      <c r="J1340" s="2408"/>
      <c r="K1340" s="2674" t="s">
        <v>6541</v>
      </c>
      <c r="L1340" s="2409"/>
    </row>
    <row r="1341" spans="1:12" ht="12" customHeight="1" x14ac:dyDescent="0.3">
      <c r="A1341" s="2394" t="s">
        <v>4800</v>
      </c>
      <c r="B1341" s="2395" t="s">
        <v>3971</v>
      </c>
      <c r="C1341" s="2406">
        <v>0</v>
      </c>
      <c r="D1341" s="2396"/>
      <c r="E1341" s="2406">
        <v>0</v>
      </c>
      <c r="F1341" s="2406">
        <v>0</v>
      </c>
      <c r="G1341" s="2437">
        <v>0</v>
      </c>
      <c r="H1341" s="2407">
        <v>0</v>
      </c>
      <c r="I1341" s="2408"/>
      <c r="J1341" s="2408"/>
      <c r="K1341" s="2674" t="s">
        <v>6541</v>
      </c>
      <c r="L1341" s="2409"/>
    </row>
    <row r="1342" spans="1:12" ht="12" customHeight="1" x14ac:dyDescent="0.3">
      <c r="A1342" s="2394" t="s">
        <v>4801</v>
      </c>
      <c r="B1342" s="2395" t="s">
        <v>3972</v>
      </c>
      <c r="C1342" s="2406">
        <v>0</v>
      </c>
      <c r="D1342" s="2396"/>
      <c r="E1342" s="2406">
        <v>0</v>
      </c>
      <c r="F1342" s="2406">
        <v>0</v>
      </c>
      <c r="G1342" s="2437">
        <v>0</v>
      </c>
      <c r="H1342" s="2407">
        <v>0</v>
      </c>
      <c r="I1342" s="2408"/>
      <c r="J1342" s="2408"/>
      <c r="K1342" s="2674" t="s">
        <v>6517</v>
      </c>
      <c r="L1342" s="2409"/>
    </row>
    <row r="1343" spans="1:12" ht="12" customHeight="1" x14ac:dyDescent="0.3">
      <c r="A1343" s="2394" t="s">
        <v>4802</v>
      </c>
      <c r="B1343" s="2395" t="s">
        <v>350</v>
      </c>
      <c r="C1343" s="2406">
        <v>0</v>
      </c>
      <c r="D1343" s="2396"/>
      <c r="E1343" s="2406">
        <v>0</v>
      </c>
      <c r="F1343" s="2406">
        <v>0</v>
      </c>
      <c r="G1343" s="2437">
        <v>0</v>
      </c>
      <c r="H1343" s="2407">
        <v>0</v>
      </c>
      <c r="I1343" s="2408"/>
      <c r="J1343" s="2408"/>
      <c r="K1343" s="2674" t="s">
        <v>6518</v>
      </c>
      <c r="L1343" s="2409"/>
    </row>
    <row r="1344" spans="1:12" ht="12" customHeight="1" x14ac:dyDescent="0.3">
      <c r="A1344" s="2394" t="s">
        <v>4803</v>
      </c>
      <c r="B1344" s="2395" t="s">
        <v>3973</v>
      </c>
      <c r="C1344" s="2406">
        <v>0</v>
      </c>
      <c r="D1344" s="2396"/>
      <c r="E1344" s="2406">
        <v>0</v>
      </c>
      <c r="F1344" s="2406">
        <v>0</v>
      </c>
      <c r="G1344" s="2437">
        <v>0</v>
      </c>
      <c r="H1344" s="2407">
        <v>0</v>
      </c>
      <c r="I1344" s="2408"/>
      <c r="J1344" s="2408"/>
      <c r="K1344" s="2674"/>
      <c r="L1344" s="2409"/>
    </row>
    <row r="1345" spans="1:12" ht="12" customHeight="1" x14ac:dyDescent="0.3">
      <c r="A1345" s="2394" t="s">
        <v>4804</v>
      </c>
      <c r="B1345" s="2395" t="s">
        <v>3720</v>
      </c>
      <c r="C1345" s="2406">
        <v>81131000</v>
      </c>
      <c r="D1345" s="2396"/>
      <c r="E1345" s="2406">
        <v>0</v>
      </c>
      <c r="F1345" s="2406">
        <v>0</v>
      </c>
      <c r="G1345" s="2437">
        <v>0</v>
      </c>
      <c r="H1345" s="2407">
        <v>81131000</v>
      </c>
      <c r="I1345" s="2408"/>
      <c r="J1345" s="2408"/>
      <c r="K1345" s="2674" t="s">
        <v>6515</v>
      </c>
      <c r="L1345" s="2409"/>
    </row>
    <row r="1346" spans="1:12" ht="12" customHeight="1" x14ac:dyDescent="0.3">
      <c r="A1346" s="2394" t="s">
        <v>4805</v>
      </c>
      <c r="B1346" s="2395" t="s">
        <v>3648</v>
      </c>
      <c r="C1346" s="2406">
        <v>3593500</v>
      </c>
      <c r="D1346" s="2396"/>
      <c r="E1346" s="2406">
        <v>0</v>
      </c>
      <c r="F1346" s="2406">
        <v>0</v>
      </c>
      <c r="G1346" s="2437">
        <v>0</v>
      </c>
      <c r="H1346" s="2407">
        <v>3593500</v>
      </c>
      <c r="I1346" s="2408"/>
      <c r="J1346" s="2408"/>
      <c r="K1346" s="2674" t="s">
        <v>6516</v>
      </c>
      <c r="L1346" s="2409"/>
    </row>
    <row r="1347" spans="1:12" ht="12" customHeight="1" x14ac:dyDescent="0.3">
      <c r="A1347" s="2394" t="s">
        <v>4806</v>
      </c>
      <c r="B1347" s="2395" t="s">
        <v>3932</v>
      </c>
      <c r="C1347" s="2406">
        <v>0</v>
      </c>
      <c r="D1347" s="2396"/>
      <c r="E1347" s="2406">
        <v>0</v>
      </c>
      <c r="F1347" s="2406">
        <v>0</v>
      </c>
      <c r="G1347" s="2437">
        <v>0</v>
      </c>
      <c r="H1347" s="2407">
        <v>0</v>
      </c>
      <c r="I1347" s="2408"/>
      <c r="J1347" s="2408"/>
      <c r="K1347" s="2674" t="s">
        <v>6517</v>
      </c>
      <c r="L1347" s="2409"/>
    </row>
    <row r="1348" spans="1:12" ht="12" customHeight="1" x14ac:dyDescent="0.3">
      <c r="A1348" s="2394" t="s">
        <v>4807</v>
      </c>
      <c r="B1348" s="2395" t="s">
        <v>3966</v>
      </c>
      <c r="C1348" s="2406">
        <v>18836700</v>
      </c>
      <c r="D1348" s="2396"/>
      <c r="E1348" s="2406">
        <v>0</v>
      </c>
      <c r="F1348" s="2406">
        <v>0</v>
      </c>
      <c r="G1348" s="2437">
        <v>0</v>
      </c>
      <c r="H1348" s="2407">
        <v>18836700</v>
      </c>
      <c r="I1348" s="2408"/>
      <c r="J1348" s="2408"/>
      <c r="K1348" s="2674" t="s">
        <v>6518</v>
      </c>
      <c r="L1348" s="2409"/>
    </row>
    <row r="1349" spans="1:12" ht="12" customHeight="1" x14ac:dyDescent="0.3">
      <c r="A1349" s="2394" t="s">
        <v>4808</v>
      </c>
      <c r="B1349" s="2395" t="s">
        <v>3935</v>
      </c>
      <c r="C1349" s="2406">
        <v>5300000</v>
      </c>
      <c r="D1349" s="2396"/>
      <c r="E1349" s="2406">
        <v>0</v>
      </c>
      <c r="F1349" s="2406">
        <v>0</v>
      </c>
      <c r="G1349" s="2437">
        <v>0</v>
      </c>
      <c r="H1349" s="2407">
        <v>5300000</v>
      </c>
      <c r="I1349" s="2408"/>
      <c r="J1349" s="2408"/>
      <c r="K1349" s="2674" t="s">
        <v>6522</v>
      </c>
      <c r="L1349" s="2409"/>
    </row>
    <row r="1350" spans="1:12" ht="12" customHeight="1" x14ac:dyDescent="0.3">
      <c r="A1350" s="2394" t="s">
        <v>4809</v>
      </c>
      <c r="B1350" s="2395" t="s">
        <v>3967</v>
      </c>
      <c r="C1350" s="2406">
        <v>0</v>
      </c>
      <c r="D1350" s="2396"/>
      <c r="E1350" s="2406">
        <v>0</v>
      </c>
      <c r="F1350" s="2406">
        <v>0</v>
      </c>
      <c r="G1350" s="2437">
        <v>0</v>
      </c>
      <c r="H1350" s="2407">
        <v>0</v>
      </c>
      <c r="I1350" s="2408"/>
      <c r="J1350" s="2408"/>
      <c r="K1350" s="2674" t="s">
        <v>6519</v>
      </c>
      <c r="L1350" s="2409"/>
    </row>
    <row r="1351" spans="1:12" ht="12" customHeight="1" x14ac:dyDescent="0.3">
      <c r="A1351" s="2394" t="s">
        <v>4810</v>
      </c>
      <c r="B1351" s="2395" t="s">
        <v>3968</v>
      </c>
      <c r="C1351" s="2406">
        <v>4950000</v>
      </c>
      <c r="D1351" s="2396"/>
      <c r="E1351" s="2406">
        <v>0</v>
      </c>
      <c r="F1351" s="2406">
        <v>0</v>
      </c>
      <c r="G1351" s="2437">
        <v>0</v>
      </c>
      <c r="H1351" s="2407">
        <v>4950000</v>
      </c>
      <c r="I1351" s="2408"/>
      <c r="J1351" s="2408"/>
      <c r="K1351" s="2674" t="s">
        <v>6538</v>
      </c>
      <c r="L1351" s="2409"/>
    </row>
    <row r="1352" spans="1:12" ht="12" customHeight="1" x14ac:dyDescent="0.3">
      <c r="A1352" s="2394" t="s">
        <v>4811</v>
      </c>
      <c r="B1352" s="2395" t="s">
        <v>350</v>
      </c>
      <c r="C1352" s="2406">
        <v>0</v>
      </c>
      <c r="D1352" s="2396"/>
      <c r="E1352" s="2406">
        <v>0</v>
      </c>
      <c r="F1352" s="2406">
        <v>0</v>
      </c>
      <c r="G1352" s="2437">
        <v>0</v>
      </c>
      <c r="H1352" s="2407">
        <v>0</v>
      </c>
      <c r="I1352" s="2408"/>
      <c r="J1352" s="2408"/>
      <c r="K1352" s="2674" t="s">
        <v>6518</v>
      </c>
      <c r="L1352" s="2409"/>
    </row>
    <row r="1353" spans="1:12" ht="12" customHeight="1" x14ac:dyDescent="0.3">
      <c r="A1353" s="2394" t="s">
        <v>4812</v>
      </c>
      <c r="B1353" s="2395" t="s">
        <v>3974</v>
      </c>
      <c r="C1353" s="2406">
        <v>0</v>
      </c>
      <c r="D1353" s="2396"/>
      <c r="E1353" s="2406">
        <v>0</v>
      </c>
      <c r="F1353" s="2406">
        <v>0</v>
      </c>
      <c r="G1353" s="2437">
        <v>0</v>
      </c>
      <c r="H1353" s="2407">
        <v>0</v>
      </c>
      <c r="I1353" s="2408"/>
      <c r="J1353" s="2408"/>
      <c r="K1353" s="2674"/>
      <c r="L1353" s="2409"/>
    </row>
    <row r="1354" spans="1:12" ht="12" customHeight="1" x14ac:dyDescent="0.3">
      <c r="A1354" s="2394" t="s">
        <v>4813</v>
      </c>
      <c r="B1354" s="2395" t="s">
        <v>3963</v>
      </c>
      <c r="C1354" s="2406">
        <v>15298000</v>
      </c>
      <c r="D1354" s="2396"/>
      <c r="E1354" s="2406">
        <v>0</v>
      </c>
      <c r="F1354" s="2406">
        <v>0</v>
      </c>
      <c r="G1354" s="2437">
        <v>0</v>
      </c>
      <c r="H1354" s="2407">
        <v>15298000</v>
      </c>
      <c r="I1354" s="2408"/>
      <c r="J1354" s="2408"/>
      <c r="K1354" s="2674" t="s">
        <v>6541</v>
      </c>
      <c r="L1354" s="2409"/>
    </row>
    <row r="1355" spans="1:12" ht="12" customHeight="1" x14ac:dyDescent="0.3">
      <c r="A1355" s="2394" t="s">
        <v>4814</v>
      </c>
      <c r="B1355" s="2395" t="s">
        <v>3754</v>
      </c>
      <c r="C1355" s="2406">
        <v>0</v>
      </c>
      <c r="D1355" s="2396"/>
      <c r="E1355" s="2406">
        <v>0</v>
      </c>
      <c r="F1355" s="2406">
        <v>0</v>
      </c>
      <c r="G1355" s="2437">
        <v>0</v>
      </c>
      <c r="H1355" s="2407">
        <v>0</v>
      </c>
      <c r="I1355" s="2408"/>
      <c r="J1355" s="2408"/>
      <c r="K1355" s="2674" t="s">
        <v>6539</v>
      </c>
      <c r="L1355" s="2409"/>
    </row>
    <row r="1356" spans="1:12" ht="12" customHeight="1" x14ac:dyDescent="0.3">
      <c r="A1356" s="2394" t="s">
        <v>4815</v>
      </c>
      <c r="B1356" s="2395" t="s">
        <v>3599</v>
      </c>
      <c r="C1356" s="2406">
        <v>0</v>
      </c>
      <c r="D1356" s="2396"/>
      <c r="E1356" s="2406">
        <v>0</v>
      </c>
      <c r="F1356" s="2406">
        <v>0</v>
      </c>
      <c r="G1356" s="2438">
        <v>0</v>
      </c>
      <c r="H1356" s="2407">
        <v>0</v>
      </c>
      <c r="I1356" s="2408"/>
      <c r="J1356" s="2408"/>
      <c r="K1356" s="2675"/>
      <c r="L1356" s="2409"/>
    </row>
    <row r="1357" spans="1:12" ht="12" customHeight="1" x14ac:dyDescent="0.3">
      <c r="A1357" s="2394" t="s">
        <v>4816</v>
      </c>
      <c r="B1357" s="2395" t="s">
        <v>3601</v>
      </c>
      <c r="C1357" s="2406">
        <v>0</v>
      </c>
      <c r="D1357" s="2396"/>
      <c r="E1357" s="2406">
        <v>0</v>
      </c>
      <c r="F1357" s="2406">
        <v>0</v>
      </c>
      <c r="G1357" s="2438">
        <v>0</v>
      </c>
      <c r="H1357" s="2407">
        <v>0</v>
      </c>
      <c r="I1357" s="2408"/>
      <c r="J1357" s="2408"/>
      <c r="K1357" s="2675" t="s">
        <v>2586</v>
      </c>
      <c r="L1357" s="2409"/>
    </row>
    <row r="1358" spans="1:12" ht="12" customHeight="1" x14ac:dyDescent="0.3">
      <c r="A1358" s="2394" t="s">
        <v>4817</v>
      </c>
      <c r="B1358" s="2395" t="s">
        <v>3603</v>
      </c>
      <c r="C1358" s="2406">
        <v>0</v>
      </c>
      <c r="D1358" s="2396"/>
      <c r="E1358" s="2406">
        <v>0</v>
      </c>
      <c r="F1358" s="2406">
        <v>0</v>
      </c>
      <c r="G1358" s="2438">
        <v>0</v>
      </c>
      <c r="H1358" s="2407">
        <v>0</v>
      </c>
      <c r="I1358" s="2408"/>
      <c r="J1358" s="2408"/>
      <c r="K1358" s="2675" t="s">
        <v>2586</v>
      </c>
      <c r="L1358" s="2409"/>
    </row>
    <row r="1359" spans="1:12" ht="12.75" customHeight="1" x14ac:dyDescent="0.3">
      <c r="A1359" s="2394" t="s">
        <v>4818</v>
      </c>
      <c r="B1359" s="2395" t="s">
        <v>3605</v>
      </c>
      <c r="C1359" s="2406">
        <v>0</v>
      </c>
      <c r="D1359" s="2396"/>
      <c r="E1359" s="2406">
        <v>0</v>
      </c>
      <c r="F1359" s="2406">
        <v>0</v>
      </c>
      <c r="G1359" s="2438">
        <v>0</v>
      </c>
      <c r="H1359" s="2407">
        <v>0</v>
      </c>
      <c r="I1359" s="2408"/>
      <c r="J1359" s="2408"/>
      <c r="K1359" s="2675" t="s">
        <v>2585</v>
      </c>
      <c r="L1359" s="2409"/>
    </row>
    <row r="1360" spans="1:12" ht="12" customHeight="1" x14ac:dyDescent="0.3">
      <c r="A1360" s="2394" t="s">
        <v>4819</v>
      </c>
      <c r="B1360" s="2395" t="s">
        <v>3607</v>
      </c>
      <c r="C1360" s="2406">
        <v>0</v>
      </c>
      <c r="D1360" s="2396"/>
      <c r="E1360" s="2406">
        <v>0</v>
      </c>
      <c r="F1360" s="2406">
        <v>0</v>
      </c>
      <c r="G1360" s="2438">
        <v>0</v>
      </c>
      <c r="H1360" s="2407">
        <v>0</v>
      </c>
      <c r="I1360" s="2408"/>
      <c r="J1360" s="2408"/>
      <c r="K1360" s="2675" t="s">
        <v>2586</v>
      </c>
      <c r="L1360" s="2409"/>
    </row>
    <row r="1361" spans="1:12" ht="12" customHeight="1" x14ac:dyDescent="0.3">
      <c r="A1361" s="2394" t="s">
        <v>4820</v>
      </c>
      <c r="B1361" s="2395" t="s">
        <v>3609</v>
      </c>
      <c r="C1361" s="2406">
        <v>0</v>
      </c>
      <c r="D1361" s="2396"/>
      <c r="E1361" s="2406">
        <v>0</v>
      </c>
      <c r="F1361" s="2406">
        <v>0</v>
      </c>
      <c r="G1361" s="2438">
        <v>0</v>
      </c>
      <c r="H1361" s="2407">
        <v>0</v>
      </c>
      <c r="I1361" s="2408"/>
      <c r="J1361" s="2408"/>
      <c r="K1361" s="2675" t="s">
        <v>2585</v>
      </c>
      <c r="L1361" s="2409"/>
    </row>
    <row r="1362" spans="1:12" ht="12" customHeight="1" x14ac:dyDescent="0.3">
      <c r="A1362" s="2394" t="s">
        <v>4821</v>
      </c>
      <c r="B1362" s="2395" t="s">
        <v>3611</v>
      </c>
      <c r="C1362" s="2406">
        <v>0</v>
      </c>
      <c r="D1362" s="2396"/>
      <c r="E1362" s="2406">
        <v>0</v>
      </c>
      <c r="F1362" s="2406">
        <v>0</v>
      </c>
      <c r="G1362" s="2438">
        <v>0</v>
      </c>
      <c r="H1362" s="2407">
        <v>0</v>
      </c>
      <c r="I1362" s="2408"/>
      <c r="J1362" s="2408"/>
      <c r="K1362" s="2675" t="s">
        <v>6505</v>
      </c>
      <c r="L1362" s="2409"/>
    </row>
    <row r="1363" spans="1:12" ht="12" customHeight="1" x14ac:dyDescent="0.3">
      <c r="A1363" s="2394" t="s">
        <v>4822</v>
      </c>
      <c r="B1363" s="2395" t="s">
        <v>3613</v>
      </c>
      <c r="C1363" s="2406">
        <v>0</v>
      </c>
      <c r="D1363" s="2396"/>
      <c r="E1363" s="2406">
        <v>0</v>
      </c>
      <c r="F1363" s="2406">
        <v>0</v>
      </c>
      <c r="G1363" s="2438">
        <v>0</v>
      </c>
      <c r="H1363" s="2407">
        <v>0</v>
      </c>
      <c r="I1363" s="2408"/>
      <c r="J1363" s="2408"/>
      <c r="K1363" s="2675" t="s">
        <v>6505</v>
      </c>
      <c r="L1363" s="2409"/>
    </row>
    <row r="1364" spans="1:12" ht="12" customHeight="1" x14ac:dyDescent="0.3">
      <c r="A1364" s="2394" t="s">
        <v>4823</v>
      </c>
      <c r="B1364" s="2395" t="s">
        <v>3615</v>
      </c>
      <c r="C1364" s="2406">
        <v>0</v>
      </c>
      <c r="D1364" s="2396"/>
      <c r="E1364" s="2406">
        <v>0</v>
      </c>
      <c r="F1364" s="2406">
        <v>0</v>
      </c>
      <c r="G1364" s="2438">
        <v>0</v>
      </c>
      <c r="H1364" s="2407">
        <v>0</v>
      </c>
      <c r="I1364" s="2408"/>
      <c r="J1364" s="2408"/>
      <c r="K1364" s="2675" t="s">
        <v>2586</v>
      </c>
      <c r="L1364" s="2409"/>
    </row>
    <row r="1365" spans="1:12" ht="12" customHeight="1" x14ac:dyDescent="0.3">
      <c r="A1365" s="2394" t="s">
        <v>4824</v>
      </c>
      <c r="B1365" s="2395" t="s">
        <v>3617</v>
      </c>
      <c r="C1365" s="2406">
        <v>0</v>
      </c>
      <c r="D1365" s="2396"/>
      <c r="E1365" s="2406">
        <v>0</v>
      </c>
      <c r="F1365" s="2406">
        <v>0</v>
      </c>
      <c r="G1365" s="2438">
        <v>0</v>
      </c>
      <c r="H1365" s="2407">
        <v>0</v>
      </c>
      <c r="I1365" s="2408"/>
      <c r="J1365" s="2408"/>
      <c r="K1365" s="2675" t="s">
        <v>2586</v>
      </c>
      <c r="L1365" s="2409"/>
    </row>
    <row r="1366" spans="1:12" ht="12" customHeight="1" x14ac:dyDescent="0.3">
      <c r="A1366" s="2394" t="s">
        <v>4825</v>
      </c>
      <c r="B1366" s="2395" t="s">
        <v>3619</v>
      </c>
      <c r="C1366" s="2406">
        <v>0</v>
      </c>
      <c r="D1366" s="2396"/>
      <c r="E1366" s="2406">
        <v>0</v>
      </c>
      <c r="F1366" s="2406">
        <v>0</v>
      </c>
      <c r="G1366" s="2438">
        <v>0</v>
      </c>
      <c r="H1366" s="2407">
        <v>0</v>
      </c>
      <c r="I1366" s="2408"/>
      <c r="J1366" s="2408"/>
      <c r="K1366" s="2675"/>
      <c r="L1366" s="2409"/>
    </row>
    <row r="1367" spans="1:12" ht="12.75" customHeight="1" x14ac:dyDescent="0.3">
      <c r="A1367" s="2394" t="s">
        <v>4826</v>
      </c>
      <c r="B1367" s="2395" t="s">
        <v>3621</v>
      </c>
      <c r="C1367" s="2406">
        <v>0</v>
      </c>
      <c r="D1367" s="2396"/>
      <c r="E1367" s="2406">
        <v>0</v>
      </c>
      <c r="F1367" s="2406">
        <v>0</v>
      </c>
      <c r="G1367" s="2438">
        <v>0</v>
      </c>
      <c r="H1367" s="2407">
        <v>0</v>
      </c>
      <c r="I1367" s="2408"/>
      <c r="J1367" s="2408"/>
      <c r="K1367" s="2675" t="s">
        <v>6506</v>
      </c>
      <c r="L1367" s="2409"/>
    </row>
    <row r="1368" spans="1:12" ht="12" customHeight="1" x14ac:dyDescent="0.3">
      <c r="A1368" s="2394" t="s">
        <v>4827</v>
      </c>
      <c r="B1368" s="2395" t="s">
        <v>3623</v>
      </c>
      <c r="C1368" s="2406">
        <v>0</v>
      </c>
      <c r="D1368" s="2396"/>
      <c r="E1368" s="2406">
        <v>0</v>
      </c>
      <c r="F1368" s="2406">
        <v>0</v>
      </c>
      <c r="G1368" s="2438">
        <v>0</v>
      </c>
      <c r="H1368" s="2407">
        <v>0</v>
      </c>
      <c r="I1368" s="2408"/>
      <c r="J1368" s="2408"/>
      <c r="K1368" s="2675" t="s">
        <v>6507</v>
      </c>
      <c r="L1368" s="2409"/>
    </row>
    <row r="1369" spans="1:12" ht="12" customHeight="1" x14ac:dyDescent="0.3">
      <c r="A1369" s="2394" t="s">
        <v>4828</v>
      </c>
      <c r="B1369" s="2395" t="s">
        <v>3625</v>
      </c>
      <c r="C1369" s="2406">
        <v>0</v>
      </c>
      <c r="D1369" s="2396"/>
      <c r="E1369" s="2406">
        <v>0</v>
      </c>
      <c r="F1369" s="2406">
        <v>0</v>
      </c>
      <c r="G1369" s="2438">
        <v>0</v>
      </c>
      <c r="H1369" s="2407">
        <v>0</v>
      </c>
      <c r="I1369" s="2408"/>
      <c r="J1369" s="2408"/>
      <c r="K1369" s="2675" t="s">
        <v>6508</v>
      </c>
      <c r="L1369" s="2409"/>
    </row>
    <row r="1370" spans="1:12" ht="12" customHeight="1" x14ac:dyDescent="0.3">
      <c r="A1370" s="2394" t="s">
        <v>4829</v>
      </c>
      <c r="B1370" s="2395" t="s">
        <v>3627</v>
      </c>
      <c r="C1370" s="2406">
        <v>0</v>
      </c>
      <c r="D1370" s="2396"/>
      <c r="E1370" s="2406">
        <v>0</v>
      </c>
      <c r="F1370" s="2406">
        <v>0</v>
      </c>
      <c r="G1370" s="2438">
        <v>0</v>
      </c>
      <c r="H1370" s="2407">
        <v>0</v>
      </c>
      <c r="I1370" s="2408"/>
      <c r="J1370" s="2408"/>
      <c r="K1370" s="2675" t="s">
        <v>6509</v>
      </c>
      <c r="L1370" s="2409"/>
    </row>
    <row r="1371" spans="1:12" ht="12" customHeight="1" x14ac:dyDescent="0.3">
      <c r="A1371" s="2394" t="s">
        <v>4830</v>
      </c>
      <c r="B1371" s="2395" t="s">
        <v>3629</v>
      </c>
      <c r="C1371" s="2406">
        <v>0</v>
      </c>
      <c r="D1371" s="2396"/>
      <c r="E1371" s="2406">
        <v>0</v>
      </c>
      <c r="F1371" s="2406">
        <v>0</v>
      </c>
      <c r="G1371" s="2438">
        <v>0</v>
      </c>
      <c r="H1371" s="2407">
        <v>0</v>
      </c>
      <c r="I1371" s="2408"/>
      <c r="J1371" s="2408"/>
      <c r="K1371" s="2675" t="s">
        <v>6510</v>
      </c>
      <c r="L1371" s="2409"/>
    </row>
    <row r="1372" spans="1:12" ht="12" customHeight="1" x14ac:dyDescent="0.3">
      <c r="A1372" s="2394" t="s">
        <v>4831</v>
      </c>
      <c r="B1372" s="2395" t="s">
        <v>3631</v>
      </c>
      <c r="C1372" s="2406">
        <v>0</v>
      </c>
      <c r="D1372" s="2396"/>
      <c r="E1372" s="2406">
        <v>0</v>
      </c>
      <c r="F1372" s="2406">
        <v>0</v>
      </c>
      <c r="G1372" s="2438">
        <v>0</v>
      </c>
      <c r="H1372" s="2407">
        <v>0</v>
      </c>
      <c r="I1372" s="2408"/>
      <c r="J1372" s="2408"/>
      <c r="K1372" s="2675" t="s">
        <v>6511</v>
      </c>
      <c r="L1372" s="2409"/>
    </row>
    <row r="1373" spans="1:12" ht="12" customHeight="1" x14ac:dyDescent="0.3">
      <c r="A1373" s="2394" t="s">
        <v>4832</v>
      </c>
      <c r="B1373" s="2395" t="s">
        <v>3633</v>
      </c>
      <c r="C1373" s="2406">
        <v>0</v>
      </c>
      <c r="D1373" s="2396"/>
      <c r="E1373" s="2406">
        <v>0</v>
      </c>
      <c r="F1373" s="2406">
        <v>0</v>
      </c>
      <c r="G1373" s="2438">
        <v>0</v>
      </c>
      <c r="H1373" s="2407">
        <v>0</v>
      </c>
      <c r="I1373" s="2408"/>
      <c r="J1373" s="2408"/>
      <c r="K1373" s="2675" t="s">
        <v>6512</v>
      </c>
      <c r="L1373" s="2409"/>
    </row>
    <row r="1374" spans="1:12" ht="12" customHeight="1" x14ac:dyDescent="0.3">
      <c r="A1374" s="2394" t="s">
        <v>4833</v>
      </c>
      <c r="B1374" s="2395" t="s">
        <v>3635</v>
      </c>
      <c r="C1374" s="2406">
        <v>0</v>
      </c>
      <c r="D1374" s="2396"/>
      <c r="E1374" s="2406">
        <v>0</v>
      </c>
      <c r="F1374" s="2406">
        <v>0</v>
      </c>
      <c r="G1374" s="2438">
        <v>0</v>
      </c>
      <c r="H1374" s="2407">
        <v>0</v>
      </c>
      <c r="I1374" s="2408"/>
      <c r="J1374" s="2408"/>
      <c r="K1374" s="2675" t="s">
        <v>6513</v>
      </c>
      <c r="L1374" s="2409"/>
    </row>
    <row r="1375" spans="1:12" ht="12" customHeight="1" x14ac:dyDescent="0.3">
      <c r="A1375" s="2394" t="s">
        <v>4834</v>
      </c>
      <c r="B1375" s="2395" t="s">
        <v>3637</v>
      </c>
      <c r="C1375" s="2406">
        <v>0</v>
      </c>
      <c r="D1375" s="2396"/>
      <c r="E1375" s="2406">
        <v>0</v>
      </c>
      <c r="F1375" s="2406">
        <v>0</v>
      </c>
      <c r="G1375" s="2438">
        <v>0</v>
      </c>
      <c r="H1375" s="2407">
        <v>0</v>
      </c>
      <c r="I1375" s="2408"/>
      <c r="J1375" s="2408"/>
      <c r="K1375" s="2675" t="s">
        <v>6514</v>
      </c>
      <c r="L1375" s="2409"/>
    </row>
    <row r="1376" spans="1:12" ht="12" customHeight="1" x14ac:dyDescent="0.3">
      <c r="A1376" s="2394" t="s">
        <v>4835</v>
      </c>
      <c r="B1376" s="2395" t="s">
        <v>334</v>
      </c>
      <c r="C1376" s="2406">
        <v>0</v>
      </c>
      <c r="D1376" s="2396"/>
      <c r="E1376" s="2406">
        <v>0</v>
      </c>
      <c r="F1376" s="2406">
        <v>0</v>
      </c>
      <c r="G1376" s="2438">
        <v>0</v>
      </c>
      <c r="H1376" s="2407">
        <v>0</v>
      </c>
      <c r="I1376" s="2408"/>
      <c r="J1376" s="2408"/>
      <c r="K1376" s="2675"/>
      <c r="L1376" s="2409"/>
    </row>
    <row r="1377" spans="1:12" ht="12" customHeight="1" x14ac:dyDescent="0.3">
      <c r="A1377" s="2394" t="s">
        <v>4836</v>
      </c>
      <c r="B1377" s="2395" t="s">
        <v>3640</v>
      </c>
      <c r="C1377" s="2406">
        <v>0</v>
      </c>
      <c r="D1377" s="2396"/>
      <c r="E1377" s="2406">
        <v>0</v>
      </c>
      <c r="F1377" s="2406">
        <v>0</v>
      </c>
      <c r="G1377" s="2438">
        <v>0</v>
      </c>
      <c r="H1377" s="2407">
        <v>0</v>
      </c>
      <c r="I1377" s="2408"/>
      <c r="J1377" s="2408"/>
      <c r="K1377" s="2675" t="s">
        <v>6515</v>
      </c>
      <c r="L1377" s="2409"/>
    </row>
    <row r="1378" spans="1:12" ht="12" customHeight="1" x14ac:dyDescent="0.3">
      <c r="A1378" s="2394" t="s">
        <v>4837</v>
      </c>
      <c r="B1378" s="2395" t="s">
        <v>3642</v>
      </c>
      <c r="C1378" s="2406">
        <v>0</v>
      </c>
      <c r="D1378" s="2396"/>
      <c r="E1378" s="2406">
        <v>0</v>
      </c>
      <c r="F1378" s="2406">
        <v>0</v>
      </c>
      <c r="G1378" s="2438">
        <v>0</v>
      </c>
      <c r="H1378" s="2407">
        <v>0</v>
      </c>
      <c r="I1378" s="2408"/>
      <c r="J1378" s="2408"/>
      <c r="K1378" s="2675" t="s">
        <v>6515</v>
      </c>
      <c r="L1378" s="2409"/>
    </row>
    <row r="1379" spans="1:12" ht="12" customHeight="1" x14ac:dyDescent="0.3">
      <c r="A1379" s="2394" t="s">
        <v>4838</v>
      </c>
      <c r="B1379" s="2395" t="s">
        <v>3644</v>
      </c>
      <c r="C1379" s="2406">
        <v>0</v>
      </c>
      <c r="D1379" s="2396"/>
      <c r="E1379" s="2406">
        <v>0</v>
      </c>
      <c r="F1379" s="2406">
        <v>0</v>
      </c>
      <c r="G1379" s="2438">
        <v>0</v>
      </c>
      <c r="H1379" s="2407">
        <v>0</v>
      </c>
      <c r="I1379" s="2408"/>
      <c r="J1379" s="2408"/>
      <c r="K1379" s="2675" t="s">
        <v>6515</v>
      </c>
      <c r="L1379" s="2409"/>
    </row>
    <row r="1380" spans="1:12" ht="12" customHeight="1" x14ac:dyDescent="0.3">
      <c r="A1380" s="2394" t="s">
        <v>4839</v>
      </c>
      <c r="B1380" s="2395" t="s">
        <v>3646</v>
      </c>
      <c r="C1380" s="2406">
        <v>259000</v>
      </c>
      <c r="D1380" s="2396"/>
      <c r="E1380" s="2406">
        <v>0</v>
      </c>
      <c r="F1380" s="2406">
        <v>0</v>
      </c>
      <c r="G1380" s="2438">
        <v>0</v>
      </c>
      <c r="H1380" s="2407">
        <v>259000</v>
      </c>
      <c r="I1380" s="2408"/>
      <c r="J1380" s="2408"/>
      <c r="K1380" s="2675" t="s">
        <v>6515</v>
      </c>
      <c r="L1380" s="2409"/>
    </row>
    <row r="1381" spans="1:12" ht="12" customHeight="1" x14ac:dyDescent="0.3">
      <c r="A1381" s="2394" t="s">
        <v>4840</v>
      </c>
      <c r="B1381" s="2395" t="s">
        <v>3648</v>
      </c>
      <c r="C1381" s="2406">
        <v>0</v>
      </c>
      <c r="D1381" s="2396"/>
      <c r="E1381" s="2406">
        <v>0</v>
      </c>
      <c r="F1381" s="2406">
        <v>0</v>
      </c>
      <c r="G1381" s="2438">
        <v>0</v>
      </c>
      <c r="H1381" s="2407">
        <v>0</v>
      </c>
      <c r="I1381" s="2408"/>
      <c r="J1381" s="2408"/>
      <c r="K1381" s="2675" t="s">
        <v>6516</v>
      </c>
      <c r="L1381" s="2409"/>
    </row>
    <row r="1382" spans="1:12" ht="12" customHeight="1" x14ac:dyDescent="0.3">
      <c r="A1382" s="2394" t="s">
        <v>4841</v>
      </c>
      <c r="B1382" s="2395" t="s">
        <v>3650</v>
      </c>
      <c r="C1382" s="2406">
        <v>3906000</v>
      </c>
      <c r="D1382" s="2396"/>
      <c r="E1382" s="2406">
        <v>0</v>
      </c>
      <c r="F1382" s="2406">
        <v>0</v>
      </c>
      <c r="G1382" s="2438">
        <v>0</v>
      </c>
      <c r="H1382" s="2407">
        <v>3906000</v>
      </c>
      <c r="I1382" s="2408"/>
      <c r="J1382" s="2408"/>
      <c r="K1382" s="2675" t="s">
        <v>6517</v>
      </c>
      <c r="L1382" s="2409"/>
    </row>
    <row r="1383" spans="1:12" ht="12.75" customHeight="1" x14ac:dyDescent="0.3">
      <c r="A1383" s="2394" t="s">
        <v>4842</v>
      </c>
      <c r="B1383" s="2395" t="s">
        <v>3652</v>
      </c>
      <c r="C1383" s="2406">
        <v>0</v>
      </c>
      <c r="D1383" s="2396"/>
      <c r="E1383" s="2406">
        <v>0</v>
      </c>
      <c r="F1383" s="2406">
        <v>0</v>
      </c>
      <c r="G1383" s="2438">
        <v>0</v>
      </c>
      <c r="H1383" s="2407">
        <v>0</v>
      </c>
      <c r="I1383" s="2408"/>
      <c r="J1383" s="2408"/>
      <c r="K1383" s="2675" t="s">
        <v>6518</v>
      </c>
      <c r="L1383" s="2409"/>
    </row>
    <row r="1384" spans="1:12" ht="12" customHeight="1" x14ac:dyDescent="0.3">
      <c r="A1384" s="2394" t="s">
        <v>4843</v>
      </c>
      <c r="B1384" s="2395" t="s">
        <v>3654</v>
      </c>
      <c r="C1384" s="2406">
        <v>0</v>
      </c>
      <c r="D1384" s="2396"/>
      <c r="E1384" s="2406">
        <v>0</v>
      </c>
      <c r="F1384" s="2406">
        <v>0</v>
      </c>
      <c r="G1384" s="2438">
        <v>0</v>
      </c>
      <c r="H1384" s="2407">
        <v>0</v>
      </c>
      <c r="I1384" s="2408"/>
      <c r="J1384" s="2408"/>
      <c r="K1384" s="2675" t="s">
        <v>6518</v>
      </c>
      <c r="L1384" s="2409"/>
    </row>
    <row r="1385" spans="1:12" ht="12" customHeight="1" x14ac:dyDescent="0.3">
      <c r="A1385" s="2394" t="s">
        <v>4844</v>
      </c>
      <c r="B1385" s="2395" t="s">
        <v>3656</v>
      </c>
      <c r="C1385" s="2406">
        <v>0</v>
      </c>
      <c r="D1385" s="2396"/>
      <c r="E1385" s="2406">
        <v>0</v>
      </c>
      <c r="F1385" s="2406">
        <v>0</v>
      </c>
      <c r="G1385" s="2438">
        <v>0</v>
      </c>
      <c r="H1385" s="2407">
        <v>0</v>
      </c>
      <c r="I1385" s="2408"/>
      <c r="J1385" s="2408"/>
      <c r="K1385" s="2675"/>
      <c r="L1385" s="2409"/>
    </row>
    <row r="1386" spans="1:12" ht="12" customHeight="1" x14ac:dyDescent="0.3">
      <c r="A1386" s="2394" t="s">
        <v>4845</v>
      </c>
      <c r="B1386" s="2395" t="s">
        <v>3658</v>
      </c>
      <c r="C1386" s="2406">
        <v>0</v>
      </c>
      <c r="D1386" s="2396"/>
      <c r="E1386" s="2406">
        <v>0</v>
      </c>
      <c r="F1386" s="2406">
        <v>0</v>
      </c>
      <c r="G1386" s="2438">
        <v>0</v>
      </c>
      <c r="H1386" s="2407">
        <v>0</v>
      </c>
      <c r="I1386" s="2408"/>
      <c r="J1386" s="2408"/>
      <c r="K1386" s="2675" t="s">
        <v>6519</v>
      </c>
      <c r="L1386" s="2409"/>
    </row>
    <row r="1387" spans="1:12" ht="12" customHeight="1" x14ac:dyDescent="0.3">
      <c r="A1387" s="2394" t="s">
        <v>4846</v>
      </c>
      <c r="B1387" s="2395" t="s">
        <v>3660</v>
      </c>
      <c r="C1387" s="2406">
        <v>0</v>
      </c>
      <c r="D1387" s="2396"/>
      <c r="E1387" s="2406">
        <v>0</v>
      </c>
      <c r="F1387" s="2406">
        <v>0</v>
      </c>
      <c r="G1387" s="2438">
        <v>0</v>
      </c>
      <c r="H1387" s="2407">
        <v>0</v>
      </c>
      <c r="I1387" s="2408"/>
      <c r="J1387" s="2408"/>
      <c r="K1387" s="2675" t="s">
        <v>6520</v>
      </c>
      <c r="L1387" s="2409"/>
    </row>
    <row r="1388" spans="1:12" ht="12" customHeight="1" x14ac:dyDescent="0.3">
      <c r="A1388" s="2394" t="s">
        <v>4847</v>
      </c>
      <c r="B1388" s="2395" t="s">
        <v>3662</v>
      </c>
      <c r="C1388" s="2406">
        <v>0</v>
      </c>
      <c r="D1388" s="2396"/>
      <c r="E1388" s="2406">
        <v>0</v>
      </c>
      <c r="F1388" s="2406">
        <v>0</v>
      </c>
      <c r="G1388" s="2438">
        <v>0</v>
      </c>
      <c r="H1388" s="2407">
        <v>0</v>
      </c>
      <c r="I1388" s="2408"/>
      <c r="J1388" s="2408"/>
      <c r="K1388" s="2675" t="s">
        <v>6521</v>
      </c>
      <c r="L1388" s="2409"/>
    </row>
    <row r="1389" spans="1:12" ht="12" customHeight="1" x14ac:dyDescent="0.3">
      <c r="A1389" s="2394" t="s">
        <v>4848</v>
      </c>
      <c r="B1389" s="2395" t="s">
        <v>3664</v>
      </c>
      <c r="C1389" s="2406">
        <v>0</v>
      </c>
      <c r="D1389" s="2396"/>
      <c r="E1389" s="2406">
        <v>0</v>
      </c>
      <c r="F1389" s="2406">
        <v>0</v>
      </c>
      <c r="G1389" s="2438">
        <v>0</v>
      </c>
      <c r="H1389" s="2407">
        <v>0</v>
      </c>
      <c r="I1389" s="2408"/>
      <c r="J1389" s="2408"/>
      <c r="K1389" s="2675" t="s">
        <v>6522</v>
      </c>
      <c r="L1389" s="2409"/>
    </row>
    <row r="1390" spans="1:12" ht="12" customHeight="1" x14ac:dyDescent="0.3">
      <c r="A1390" s="2394" t="s">
        <v>4849</v>
      </c>
      <c r="B1390" s="2395" t="s">
        <v>3666</v>
      </c>
      <c r="C1390" s="2406">
        <v>0</v>
      </c>
      <c r="D1390" s="2396"/>
      <c r="E1390" s="2406">
        <v>0</v>
      </c>
      <c r="F1390" s="2406">
        <v>0</v>
      </c>
      <c r="G1390" s="2438">
        <v>0</v>
      </c>
      <c r="H1390" s="2407">
        <v>0</v>
      </c>
      <c r="I1390" s="2408"/>
      <c r="J1390" s="2408"/>
      <c r="K1390" s="2675" t="s">
        <v>6523</v>
      </c>
      <c r="L1390" s="2409"/>
    </row>
    <row r="1391" spans="1:12" ht="12" customHeight="1" x14ac:dyDescent="0.3">
      <c r="A1391" s="2394" t="s">
        <v>4850</v>
      </c>
      <c r="B1391" s="2395" t="s">
        <v>3668</v>
      </c>
      <c r="C1391" s="2406">
        <v>0</v>
      </c>
      <c r="D1391" s="2396"/>
      <c r="E1391" s="2406">
        <v>0</v>
      </c>
      <c r="F1391" s="2406">
        <v>0</v>
      </c>
      <c r="G1391" s="2438">
        <v>0</v>
      </c>
      <c r="H1391" s="2407">
        <v>0</v>
      </c>
      <c r="I1391" s="2408"/>
      <c r="J1391" s="2408"/>
      <c r="K1391" s="2675" t="s">
        <v>6524</v>
      </c>
      <c r="L1391" s="2409"/>
    </row>
    <row r="1392" spans="1:12" ht="12" customHeight="1" x14ac:dyDescent="0.3">
      <c r="A1392" s="2394" t="s">
        <v>4851</v>
      </c>
      <c r="B1392" s="2395" t="s">
        <v>350</v>
      </c>
      <c r="C1392" s="2406">
        <v>0</v>
      </c>
      <c r="D1392" s="2396"/>
      <c r="E1392" s="2406">
        <v>0</v>
      </c>
      <c r="F1392" s="2406">
        <v>0</v>
      </c>
      <c r="G1392" s="2438">
        <v>0</v>
      </c>
      <c r="H1392" s="2407">
        <v>0</v>
      </c>
      <c r="I1392" s="2408"/>
      <c r="J1392" s="2408"/>
      <c r="K1392" s="2675" t="s">
        <v>6524</v>
      </c>
      <c r="L1392" s="2409"/>
    </row>
    <row r="1393" spans="1:12" ht="12" customHeight="1" x14ac:dyDescent="0.3">
      <c r="A1393" s="2394" t="s">
        <v>4852</v>
      </c>
      <c r="B1393" s="2395" t="s">
        <v>3671</v>
      </c>
      <c r="C1393" s="2406">
        <v>0</v>
      </c>
      <c r="D1393" s="2396"/>
      <c r="E1393" s="2406">
        <v>0</v>
      </c>
      <c r="F1393" s="2406">
        <v>0</v>
      </c>
      <c r="G1393" s="2438">
        <v>0</v>
      </c>
      <c r="H1393" s="2407">
        <v>0</v>
      </c>
      <c r="I1393" s="2408"/>
      <c r="J1393" s="2408"/>
      <c r="K1393" s="2675"/>
      <c r="L1393" s="2409"/>
    </row>
    <row r="1394" spans="1:12" ht="12" customHeight="1" x14ac:dyDescent="0.3">
      <c r="A1394" s="2394" t="s">
        <v>4853</v>
      </c>
      <c r="B1394" s="2395" t="s">
        <v>3930</v>
      </c>
      <c r="C1394" s="2406">
        <v>0</v>
      </c>
      <c r="D1394" s="2396"/>
      <c r="E1394" s="2406">
        <v>0</v>
      </c>
      <c r="F1394" s="2406">
        <v>0</v>
      </c>
      <c r="G1394" s="2438">
        <v>0</v>
      </c>
      <c r="H1394" s="2407">
        <v>0</v>
      </c>
      <c r="I1394" s="2408"/>
      <c r="J1394" s="2408"/>
      <c r="K1394" s="2675" t="s">
        <v>6525</v>
      </c>
      <c r="L1394" s="2409"/>
    </row>
    <row r="1395" spans="1:12" ht="12" customHeight="1" x14ac:dyDescent="0.3">
      <c r="A1395" s="2394" t="s">
        <v>4854</v>
      </c>
      <c r="B1395" s="2395" t="s">
        <v>3675</v>
      </c>
      <c r="C1395" s="2406">
        <v>0</v>
      </c>
      <c r="D1395" s="2396"/>
      <c r="E1395" s="2406">
        <v>0</v>
      </c>
      <c r="F1395" s="2406">
        <v>0</v>
      </c>
      <c r="G1395" s="2438">
        <v>0</v>
      </c>
      <c r="H1395" s="2407">
        <v>0</v>
      </c>
      <c r="I1395" s="2408"/>
      <c r="J1395" s="2408"/>
      <c r="K1395" s="2675" t="s">
        <v>6526</v>
      </c>
      <c r="L1395" s="2409"/>
    </row>
    <row r="1396" spans="1:12" ht="12" customHeight="1" x14ac:dyDescent="0.3">
      <c r="A1396" s="2394" t="s">
        <v>4855</v>
      </c>
      <c r="B1396" s="2395" t="s">
        <v>3677</v>
      </c>
      <c r="C1396" s="2406">
        <v>0</v>
      </c>
      <c r="D1396" s="2396"/>
      <c r="E1396" s="2406">
        <v>0</v>
      </c>
      <c r="F1396" s="2406">
        <v>0</v>
      </c>
      <c r="G1396" s="2438">
        <v>0</v>
      </c>
      <c r="H1396" s="2407">
        <v>0</v>
      </c>
      <c r="I1396" s="2408"/>
      <c r="J1396" s="2408"/>
      <c r="K1396" s="2675" t="s">
        <v>6526</v>
      </c>
      <c r="L1396" s="2409"/>
    </row>
    <row r="1397" spans="1:12" ht="12" customHeight="1" x14ac:dyDescent="0.3">
      <c r="A1397" s="2394" t="s">
        <v>4856</v>
      </c>
      <c r="B1397" s="2395" t="s">
        <v>3679</v>
      </c>
      <c r="C1397" s="2406">
        <v>0</v>
      </c>
      <c r="D1397" s="2396"/>
      <c r="E1397" s="2406">
        <v>0</v>
      </c>
      <c r="F1397" s="2406">
        <v>0</v>
      </c>
      <c r="G1397" s="2438">
        <v>0</v>
      </c>
      <c r="H1397" s="2407">
        <v>0</v>
      </c>
      <c r="I1397" s="2408"/>
      <c r="J1397" s="2408"/>
      <c r="K1397" s="2675" t="s">
        <v>6526</v>
      </c>
      <c r="L1397" s="2409"/>
    </row>
    <row r="1398" spans="1:12" ht="12" customHeight="1" x14ac:dyDescent="0.3">
      <c r="A1398" s="2394" t="s">
        <v>4857</v>
      </c>
      <c r="B1398" s="2395" t="s">
        <v>3979</v>
      </c>
      <c r="C1398" s="2406">
        <v>0</v>
      </c>
      <c r="D1398" s="2396"/>
      <c r="E1398" s="2406">
        <v>0</v>
      </c>
      <c r="F1398" s="2406">
        <v>0</v>
      </c>
      <c r="G1398" s="2438">
        <v>0</v>
      </c>
      <c r="H1398" s="2407">
        <v>0</v>
      </c>
      <c r="I1398" s="2408"/>
      <c r="J1398" s="2408"/>
      <c r="K1398" s="2675" t="s">
        <v>6526</v>
      </c>
      <c r="L1398" s="2409"/>
    </row>
    <row r="1399" spans="1:12" ht="12" customHeight="1" x14ac:dyDescent="0.3">
      <c r="A1399" s="2394" t="s">
        <v>4858</v>
      </c>
      <c r="B1399" s="2395" t="s">
        <v>3683</v>
      </c>
      <c r="C1399" s="2406">
        <v>0</v>
      </c>
      <c r="D1399" s="2396"/>
      <c r="E1399" s="2406">
        <v>0</v>
      </c>
      <c r="F1399" s="2406">
        <v>0</v>
      </c>
      <c r="G1399" s="2438">
        <v>0</v>
      </c>
      <c r="H1399" s="2407">
        <v>0</v>
      </c>
      <c r="I1399" s="2408"/>
      <c r="J1399" s="2408"/>
      <c r="K1399" s="2675" t="s">
        <v>6527</v>
      </c>
      <c r="L1399" s="2409"/>
    </row>
    <row r="1400" spans="1:12" ht="12" customHeight="1" x14ac:dyDescent="0.3">
      <c r="A1400" s="2394" t="s">
        <v>4859</v>
      </c>
      <c r="B1400" s="2395" t="s">
        <v>3685</v>
      </c>
      <c r="C1400" s="2406">
        <v>0</v>
      </c>
      <c r="D1400" s="2396"/>
      <c r="E1400" s="2406">
        <v>0</v>
      </c>
      <c r="F1400" s="2406">
        <v>0</v>
      </c>
      <c r="G1400" s="2438">
        <v>0</v>
      </c>
      <c r="H1400" s="2407">
        <v>0</v>
      </c>
      <c r="I1400" s="2408"/>
      <c r="J1400" s="2408"/>
      <c r="K1400" s="2675" t="s">
        <v>6528</v>
      </c>
      <c r="L1400" s="2409"/>
    </row>
    <row r="1401" spans="1:12" ht="12" customHeight="1" x14ac:dyDescent="0.3">
      <c r="A1401" s="2394" t="s">
        <v>4860</v>
      </c>
      <c r="B1401" s="2395" t="s">
        <v>3687</v>
      </c>
      <c r="C1401" s="2406">
        <v>0</v>
      </c>
      <c r="D1401" s="2396"/>
      <c r="E1401" s="2406">
        <v>0</v>
      </c>
      <c r="F1401" s="2406">
        <v>0</v>
      </c>
      <c r="G1401" s="2438">
        <v>0</v>
      </c>
      <c r="H1401" s="2407">
        <v>0</v>
      </c>
      <c r="I1401" s="2408"/>
      <c r="J1401" s="2408"/>
      <c r="K1401" s="2675" t="s">
        <v>6528</v>
      </c>
      <c r="L1401" s="2409"/>
    </row>
    <row r="1402" spans="1:12" ht="12" customHeight="1" x14ac:dyDescent="0.3">
      <c r="A1402" s="2394" t="s">
        <v>4861</v>
      </c>
      <c r="B1402" s="2395" t="s">
        <v>3980</v>
      </c>
      <c r="C1402" s="2406">
        <v>0</v>
      </c>
      <c r="D1402" s="2396"/>
      <c r="E1402" s="2406">
        <v>0</v>
      </c>
      <c r="F1402" s="2406">
        <v>0</v>
      </c>
      <c r="G1402" s="2438">
        <v>0</v>
      </c>
      <c r="H1402" s="2407">
        <v>0</v>
      </c>
      <c r="I1402" s="2408"/>
      <c r="J1402" s="2408"/>
      <c r="K1402" s="2675" t="s">
        <v>6546</v>
      </c>
      <c r="L1402" s="2409"/>
    </row>
    <row r="1403" spans="1:12" ht="12" customHeight="1" x14ac:dyDescent="0.3">
      <c r="A1403" s="2394" t="s">
        <v>4862</v>
      </c>
      <c r="B1403" s="2395" t="s">
        <v>3981</v>
      </c>
      <c r="C1403" s="2406">
        <v>0</v>
      </c>
      <c r="D1403" s="2396"/>
      <c r="E1403" s="2406">
        <v>0</v>
      </c>
      <c r="F1403" s="2406">
        <v>0</v>
      </c>
      <c r="G1403" s="2438">
        <v>0</v>
      </c>
      <c r="H1403" s="2407">
        <v>0</v>
      </c>
      <c r="I1403" s="2408"/>
      <c r="J1403" s="2408"/>
      <c r="K1403" s="2675"/>
      <c r="L1403" s="2409"/>
    </row>
    <row r="1404" spans="1:12" ht="12.75" customHeight="1" x14ac:dyDescent="0.3">
      <c r="A1404" s="2394" t="s">
        <v>4863</v>
      </c>
      <c r="B1404" s="2395" t="s">
        <v>3963</v>
      </c>
      <c r="C1404" s="2406">
        <v>0</v>
      </c>
      <c r="D1404" s="2396"/>
      <c r="E1404" s="2406">
        <v>0</v>
      </c>
      <c r="F1404" s="2406">
        <v>0</v>
      </c>
      <c r="G1404" s="2438">
        <v>0</v>
      </c>
      <c r="H1404" s="2407">
        <v>0</v>
      </c>
      <c r="I1404" s="2408"/>
      <c r="J1404" s="2408"/>
      <c r="K1404" s="2675" t="s">
        <v>6541</v>
      </c>
      <c r="L1404" s="2409"/>
    </row>
    <row r="1405" spans="1:12" ht="12.75" customHeight="1" x14ac:dyDescent="0.3">
      <c r="A1405" s="2394" t="s">
        <v>4864</v>
      </c>
      <c r="B1405" s="2395" t="s">
        <v>3754</v>
      </c>
      <c r="C1405" s="2406">
        <v>0</v>
      </c>
      <c r="D1405" s="2396"/>
      <c r="E1405" s="2406">
        <v>0</v>
      </c>
      <c r="F1405" s="2406">
        <v>0</v>
      </c>
      <c r="G1405" s="2438">
        <v>0</v>
      </c>
      <c r="H1405" s="2407">
        <v>0</v>
      </c>
      <c r="I1405" s="2408"/>
      <c r="J1405" s="2408"/>
      <c r="K1405" s="2675" t="s">
        <v>6539</v>
      </c>
      <c r="L1405" s="2409"/>
    </row>
    <row r="1406" spans="1:12" ht="12.75" customHeight="1" x14ac:dyDescent="0.3">
      <c r="A1406" s="2394" t="s">
        <v>4865</v>
      </c>
      <c r="B1406" s="2395" t="s">
        <v>3599</v>
      </c>
      <c r="C1406" s="2406">
        <v>0</v>
      </c>
      <c r="D1406" s="2396"/>
      <c r="E1406" s="2406">
        <v>0</v>
      </c>
      <c r="F1406" s="2406">
        <v>0</v>
      </c>
      <c r="G1406" s="2430">
        <v>0</v>
      </c>
      <c r="H1406" s="2407">
        <v>0</v>
      </c>
      <c r="I1406" s="2408"/>
      <c r="J1406" s="2408"/>
      <c r="K1406" s="2675"/>
      <c r="L1406" s="2409"/>
    </row>
    <row r="1407" spans="1:12" ht="12" customHeight="1" x14ac:dyDescent="0.3">
      <c r="A1407" s="2394" t="s">
        <v>4866</v>
      </c>
      <c r="B1407" s="2395" t="s">
        <v>3601</v>
      </c>
      <c r="C1407" s="2406">
        <v>0</v>
      </c>
      <c r="D1407" s="2396"/>
      <c r="E1407" s="2406">
        <v>0</v>
      </c>
      <c r="F1407" s="2406">
        <v>0</v>
      </c>
      <c r="G1407" s="2430">
        <v>0</v>
      </c>
      <c r="H1407" s="2407">
        <v>0</v>
      </c>
      <c r="I1407" s="2408"/>
      <c r="J1407" s="2408"/>
      <c r="K1407" s="2675" t="s">
        <v>2586</v>
      </c>
      <c r="L1407" s="2409"/>
    </row>
    <row r="1408" spans="1:12" ht="12" customHeight="1" x14ac:dyDescent="0.3">
      <c r="A1408" s="2394" t="s">
        <v>4867</v>
      </c>
      <c r="B1408" s="2395" t="s">
        <v>3603</v>
      </c>
      <c r="C1408" s="2406">
        <v>0</v>
      </c>
      <c r="D1408" s="2396"/>
      <c r="E1408" s="2406">
        <v>0</v>
      </c>
      <c r="F1408" s="2406">
        <v>0</v>
      </c>
      <c r="G1408" s="2430">
        <v>0</v>
      </c>
      <c r="H1408" s="2407">
        <v>0</v>
      </c>
      <c r="I1408" s="2408"/>
      <c r="J1408" s="2408"/>
      <c r="K1408" s="2675" t="s">
        <v>2586</v>
      </c>
      <c r="L1408" s="2409"/>
    </row>
    <row r="1409" spans="1:12" ht="12" customHeight="1" x14ac:dyDescent="0.3">
      <c r="A1409" s="2394" t="s">
        <v>4868</v>
      </c>
      <c r="B1409" s="2395" t="s">
        <v>3605</v>
      </c>
      <c r="C1409" s="2406">
        <v>0</v>
      </c>
      <c r="D1409" s="2396"/>
      <c r="E1409" s="2406">
        <v>0</v>
      </c>
      <c r="F1409" s="2406">
        <v>0</v>
      </c>
      <c r="G1409" s="2430">
        <v>0</v>
      </c>
      <c r="H1409" s="2407">
        <v>0</v>
      </c>
      <c r="I1409" s="2408"/>
      <c r="J1409" s="2408"/>
      <c r="K1409" s="2675" t="s">
        <v>2585</v>
      </c>
      <c r="L1409" s="2409"/>
    </row>
    <row r="1410" spans="1:12" ht="12" customHeight="1" x14ac:dyDescent="0.3">
      <c r="A1410" s="2394" t="s">
        <v>4869</v>
      </c>
      <c r="B1410" s="2395" t="s">
        <v>3607</v>
      </c>
      <c r="C1410" s="2406">
        <v>0</v>
      </c>
      <c r="D1410" s="2396"/>
      <c r="E1410" s="2406">
        <v>0</v>
      </c>
      <c r="F1410" s="2406">
        <v>0</v>
      </c>
      <c r="G1410" s="2430">
        <v>0</v>
      </c>
      <c r="H1410" s="2407">
        <v>0</v>
      </c>
      <c r="I1410" s="2408"/>
      <c r="J1410" s="2408"/>
      <c r="K1410" s="2675" t="s">
        <v>2586</v>
      </c>
      <c r="L1410" s="2409"/>
    </row>
    <row r="1411" spans="1:12" ht="12" customHeight="1" x14ac:dyDescent="0.3">
      <c r="A1411" s="2394" t="s">
        <v>4870</v>
      </c>
      <c r="B1411" s="2395" t="s">
        <v>3609</v>
      </c>
      <c r="C1411" s="2406">
        <v>0</v>
      </c>
      <c r="D1411" s="2396"/>
      <c r="E1411" s="2406">
        <v>0</v>
      </c>
      <c r="F1411" s="2406">
        <v>0</v>
      </c>
      <c r="G1411" s="2430">
        <v>0</v>
      </c>
      <c r="H1411" s="2407">
        <v>0</v>
      </c>
      <c r="I1411" s="2408"/>
      <c r="J1411" s="2408"/>
      <c r="K1411" s="2675" t="s">
        <v>2585</v>
      </c>
      <c r="L1411" s="2409"/>
    </row>
    <row r="1412" spans="1:12" ht="12" customHeight="1" x14ac:dyDescent="0.3">
      <c r="A1412" s="2394" t="s">
        <v>4871</v>
      </c>
      <c r="B1412" s="2395" t="s">
        <v>3611</v>
      </c>
      <c r="C1412" s="2406">
        <v>0</v>
      </c>
      <c r="D1412" s="2396"/>
      <c r="E1412" s="2406">
        <v>0</v>
      </c>
      <c r="F1412" s="2406">
        <v>0</v>
      </c>
      <c r="G1412" s="2430">
        <v>0</v>
      </c>
      <c r="H1412" s="2407">
        <v>0</v>
      </c>
      <c r="I1412" s="2408"/>
      <c r="J1412" s="2408"/>
      <c r="K1412" s="2675" t="s">
        <v>6505</v>
      </c>
      <c r="L1412" s="2409"/>
    </row>
    <row r="1413" spans="1:12" ht="12" customHeight="1" x14ac:dyDescent="0.3">
      <c r="A1413" s="2394" t="s">
        <v>4872</v>
      </c>
      <c r="B1413" s="2395" t="s">
        <v>3613</v>
      </c>
      <c r="C1413" s="2406">
        <v>0</v>
      </c>
      <c r="D1413" s="2396"/>
      <c r="E1413" s="2406">
        <v>0</v>
      </c>
      <c r="F1413" s="2406">
        <v>0</v>
      </c>
      <c r="G1413" s="2430">
        <v>0</v>
      </c>
      <c r="H1413" s="2407">
        <v>0</v>
      </c>
      <c r="I1413" s="2408"/>
      <c r="J1413" s="2408"/>
      <c r="K1413" s="2675" t="s">
        <v>6505</v>
      </c>
      <c r="L1413" s="2409"/>
    </row>
    <row r="1414" spans="1:12" ht="12.75" customHeight="1" x14ac:dyDescent="0.3">
      <c r="A1414" s="2394" t="s">
        <v>4873</v>
      </c>
      <c r="B1414" s="2395" t="s">
        <v>3615</v>
      </c>
      <c r="C1414" s="2406">
        <v>0</v>
      </c>
      <c r="D1414" s="2396"/>
      <c r="E1414" s="2406">
        <v>0</v>
      </c>
      <c r="F1414" s="2406">
        <v>0</v>
      </c>
      <c r="G1414" s="2430">
        <v>0</v>
      </c>
      <c r="H1414" s="2407">
        <v>0</v>
      </c>
      <c r="I1414" s="2408"/>
      <c r="J1414" s="2408"/>
      <c r="K1414" s="2675" t="s">
        <v>2586</v>
      </c>
      <c r="L1414" s="2409"/>
    </row>
    <row r="1415" spans="1:12" ht="12" customHeight="1" x14ac:dyDescent="0.3">
      <c r="A1415" s="2394" t="s">
        <v>4874</v>
      </c>
      <c r="B1415" s="2395" t="s">
        <v>3617</v>
      </c>
      <c r="C1415" s="2406">
        <v>0</v>
      </c>
      <c r="D1415" s="2396"/>
      <c r="E1415" s="2406">
        <v>0</v>
      </c>
      <c r="F1415" s="2406">
        <v>0</v>
      </c>
      <c r="G1415" s="2430">
        <v>0</v>
      </c>
      <c r="H1415" s="2407">
        <v>0</v>
      </c>
      <c r="I1415" s="2408"/>
      <c r="J1415" s="2408"/>
      <c r="K1415" s="2675" t="s">
        <v>2586</v>
      </c>
      <c r="L1415" s="2409"/>
    </row>
    <row r="1416" spans="1:12" ht="12" customHeight="1" x14ac:dyDescent="0.3">
      <c r="A1416" s="2394" t="s">
        <v>4875</v>
      </c>
      <c r="B1416" s="2395" t="s">
        <v>3619</v>
      </c>
      <c r="C1416" s="2406">
        <v>0</v>
      </c>
      <c r="D1416" s="2396"/>
      <c r="E1416" s="2406">
        <v>0</v>
      </c>
      <c r="F1416" s="2406">
        <v>0</v>
      </c>
      <c r="G1416" s="2430">
        <v>0</v>
      </c>
      <c r="H1416" s="2407">
        <v>0</v>
      </c>
      <c r="I1416" s="2408"/>
      <c r="J1416" s="2408"/>
      <c r="K1416" s="2675"/>
      <c r="L1416" s="2409"/>
    </row>
    <row r="1417" spans="1:12" ht="12" customHeight="1" x14ac:dyDescent="0.3">
      <c r="A1417" s="2394" t="s">
        <v>4876</v>
      </c>
      <c r="B1417" s="2395" t="s">
        <v>3621</v>
      </c>
      <c r="C1417" s="2406">
        <v>0</v>
      </c>
      <c r="D1417" s="2396"/>
      <c r="E1417" s="2406">
        <v>0</v>
      </c>
      <c r="F1417" s="2406">
        <v>0</v>
      </c>
      <c r="G1417" s="2430">
        <v>0</v>
      </c>
      <c r="H1417" s="2407">
        <v>0</v>
      </c>
      <c r="I1417" s="2408"/>
      <c r="J1417" s="2408"/>
      <c r="K1417" s="2675" t="s">
        <v>6507</v>
      </c>
      <c r="L1417" s="2409"/>
    </row>
    <row r="1418" spans="1:12" ht="12" customHeight="1" x14ac:dyDescent="0.3">
      <c r="A1418" s="2394" t="s">
        <v>4877</v>
      </c>
      <c r="B1418" s="2395" t="s">
        <v>3623</v>
      </c>
      <c r="C1418" s="2406">
        <v>0</v>
      </c>
      <c r="D1418" s="2396"/>
      <c r="E1418" s="2406">
        <v>0</v>
      </c>
      <c r="F1418" s="2406">
        <v>0</v>
      </c>
      <c r="G1418" s="2430">
        <v>0</v>
      </c>
      <c r="H1418" s="2407">
        <v>0</v>
      </c>
      <c r="I1418" s="2408"/>
      <c r="J1418" s="2408"/>
      <c r="K1418" s="2675" t="s">
        <v>6508</v>
      </c>
      <c r="L1418" s="2409"/>
    </row>
    <row r="1419" spans="1:12" ht="12" customHeight="1" x14ac:dyDescent="0.3">
      <c r="A1419" s="2394" t="s">
        <v>4878</v>
      </c>
      <c r="B1419" s="2395" t="s">
        <v>3625</v>
      </c>
      <c r="C1419" s="2406">
        <v>0</v>
      </c>
      <c r="D1419" s="2396"/>
      <c r="E1419" s="2406">
        <v>0</v>
      </c>
      <c r="F1419" s="2406">
        <v>0</v>
      </c>
      <c r="G1419" s="2430">
        <v>0</v>
      </c>
      <c r="H1419" s="2407">
        <v>0</v>
      </c>
      <c r="I1419" s="2408"/>
      <c r="J1419" s="2408"/>
      <c r="K1419" s="2675" t="s">
        <v>6509</v>
      </c>
      <c r="L1419" s="2409"/>
    </row>
    <row r="1420" spans="1:12" ht="12" customHeight="1" x14ac:dyDescent="0.3">
      <c r="A1420" s="2394" t="s">
        <v>4879</v>
      </c>
      <c r="B1420" s="2395" t="s">
        <v>3627</v>
      </c>
      <c r="C1420" s="2406">
        <v>0</v>
      </c>
      <c r="D1420" s="2396"/>
      <c r="E1420" s="2406">
        <v>0</v>
      </c>
      <c r="F1420" s="2406">
        <v>0</v>
      </c>
      <c r="G1420" s="2430">
        <v>0</v>
      </c>
      <c r="H1420" s="2407">
        <v>0</v>
      </c>
      <c r="I1420" s="2408"/>
      <c r="J1420" s="2408"/>
      <c r="K1420" s="2675" t="s">
        <v>6510</v>
      </c>
      <c r="L1420" s="2409"/>
    </row>
    <row r="1421" spans="1:12" ht="12" customHeight="1" x14ac:dyDescent="0.3">
      <c r="A1421" s="2394" t="s">
        <v>4880</v>
      </c>
      <c r="B1421" s="2395" t="s">
        <v>3629</v>
      </c>
      <c r="C1421" s="2406">
        <v>0</v>
      </c>
      <c r="D1421" s="2396"/>
      <c r="E1421" s="2406">
        <v>0</v>
      </c>
      <c r="F1421" s="2406">
        <v>0</v>
      </c>
      <c r="G1421" s="2430">
        <v>0</v>
      </c>
      <c r="H1421" s="2407">
        <v>0</v>
      </c>
      <c r="I1421" s="2408"/>
      <c r="J1421" s="2408"/>
      <c r="K1421" s="2675" t="s">
        <v>6511</v>
      </c>
      <c r="L1421" s="2409"/>
    </row>
    <row r="1422" spans="1:12" ht="12" customHeight="1" x14ac:dyDescent="0.3">
      <c r="A1422" s="2394" t="s">
        <v>4881</v>
      </c>
      <c r="B1422" s="2395" t="s">
        <v>3631</v>
      </c>
      <c r="C1422" s="2406">
        <v>0</v>
      </c>
      <c r="D1422" s="2396"/>
      <c r="E1422" s="2406">
        <v>0</v>
      </c>
      <c r="F1422" s="2406">
        <v>0</v>
      </c>
      <c r="G1422" s="2430">
        <v>0</v>
      </c>
      <c r="H1422" s="2407">
        <v>0</v>
      </c>
      <c r="I1422" s="2408"/>
      <c r="J1422" s="2408"/>
      <c r="K1422" s="2675" t="s">
        <v>6512</v>
      </c>
      <c r="L1422" s="2409"/>
    </row>
    <row r="1423" spans="1:12" ht="12" customHeight="1" x14ac:dyDescent="0.3">
      <c r="A1423" s="2394" t="s">
        <v>4882</v>
      </c>
      <c r="B1423" s="2395" t="s">
        <v>3633</v>
      </c>
      <c r="C1423" s="2406">
        <v>0</v>
      </c>
      <c r="D1423" s="2396"/>
      <c r="E1423" s="2406">
        <v>0</v>
      </c>
      <c r="F1423" s="2406">
        <v>0</v>
      </c>
      <c r="G1423" s="2430">
        <v>0</v>
      </c>
      <c r="H1423" s="2407">
        <v>0</v>
      </c>
      <c r="I1423" s="2408"/>
      <c r="J1423" s="2408"/>
      <c r="K1423" s="2675" t="s">
        <v>6513</v>
      </c>
      <c r="L1423" s="2409"/>
    </row>
    <row r="1424" spans="1:12" ht="12" customHeight="1" x14ac:dyDescent="0.3">
      <c r="A1424" s="2394" t="s">
        <v>4883</v>
      </c>
      <c r="B1424" s="2395" t="s">
        <v>3635</v>
      </c>
      <c r="C1424" s="2406">
        <v>0</v>
      </c>
      <c r="D1424" s="2396"/>
      <c r="E1424" s="2406">
        <v>0</v>
      </c>
      <c r="F1424" s="2406">
        <v>0</v>
      </c>
      <c r="G1424" s="2430">
        <v>0</v>
      </c>
      <c r="H1424" s="2407">
        <v>0</v>
      </c>
      <c r="I1424" s="2408"/>
      <c r="J1424" s="2408"/>
      <c r="K1424" s="2675" t="s">
        <v>6514</v>
      </c>
      <c r="L1424" s="2409"/>
    </row>
    <row r="1425" spans="1:12" ht="12" customHeight="1" x14ac:dyDescent="0.3">
      <c r="A1425" s="2394" t="s">
        <v>4884</v>
      </c>
      <c r="B1425" s="2395" t="s">
        <v>3637</v>
      </c>
      <c r="C1425" s="2406">
        <v>0</v>
      </c>
      <c r="D1425" s="2396"/>
      <c r="E1425" s="2406">
        <v>0</v>
      </c>
      <c r="F1425" s="2406">
        <v>0</v>
      </c>
      <c r="G1425" s="2430">
        <v>0</v>
      </c>
      <c r="H1425" s="2407">
        <v>0</v>
      </c>
      <c r="I1425" s="2408"/>
      <c r="J1425" s="2408"/>
      <c r="K1425" s="2676" t="s">
        <v>6514</v>
      </c>
      <c r="L1425" s="2409"/>
    </row>
    <row r="1426" spans="1:12" ht="12" customHeight="1" x14ac:dyDescent="0.3">
      <c r="A1426" s="2394" t="s">
        <v>4885</v>
      </c>
      <c r="B1426" s="2395" t="s">
        <v>334</v>
      </c>
      <c r="C1426" s="2406">
        <v>0</v>
      </c>
      <c r="D1426" s="2396"/>
      <c r="E1426" s="2406">
        <v>0</v>
      </c>
      <c r="F1426" s="2406">
        <v>0</v>
      </c>
      <c r="G1426" s="2430">
        <v>0</v>
      </c>
      <c r="H1426" s="2407">
        <v>0</v>
      </c>
      <c r="I1426" s="2408"/>
      <c r="J1426" s="2408"/>
      <c r="K1426" s="2675"/>
      <c r="L1426" s="2409"/>
    </row>
    <row r="1427" spans="1:12" ht="12" customHeight="1" x14ac:dyDescent="0.3">
      <c r="A1427" s="2394" t="s">
        <v>4886</v>
      </c>
      <c r="B1427" s="2395" t="s">
        <v>3640</v>
      </c>
      <c r="C1427" s="2406">
        <v>0</v>
      </c>
      <c r="D1427" s="2396"/>
      <c r="E1427" s="2406">
        <v>0</v>
      </c>
      <c r="F1427" s="2406">
        <v>0</v>
      </c>
      <c r="G1427" s="2430">
        <v>0</v>
      </c>
      <c r="H1427" s="2407">
        <v>0</v>
      </c>
      <c r="I1427" s="2408"/>
      <c r="J1427" s="2408"/>
      <c r="K1427" s="2675" t="s">
        <v>6515</v>
      </c>
      <c r="L1427" s="2409"/>
    </row>
    <row r="1428" spans="1:12" ht="12" customHeight="1" x14ac:dyDescent="0.3">
      <c r="A1428" s="2394" t="s">
        <v>4887</v>
      </c>
      <c r="B1428" s="2395" t="s">
        <v>3642</v>
      </c>
      <c r="C1428" s="2406">
        <v>0</v>
      </c>
      <c r="D1428" s="2396"/>
      <c r="E1428" s="2406">
        <v>0</v>
      </c>
      <c r="F1428" s="2406">
        <v>0</v>
      </c>
      <c r="G1428" s="2430">
        <v>0</v>
      </c>
      <c r="H1428" s="2407">
        <v>0</v>
      </c>
      <c r="I1428" s="2408"/>
      <c r="J1428" s="2408"/>
      <c r="K1428" s="2675" t="s">
        <v>6515</v>
      </c>
      <c r="L1428" s="2409"/>
    </row>
    <row r="1429" spans="1:12" ht="12" customHeight="1" x14ac:dyDescent="0.3">
      <c r="A1429" s="2394" t="s">
        <v>4888</v>
      </c>
      <c r="B1429" s="2395" t="s">
        <v>3644</v>
      </c>
      <c r="C1429" s="2406">
        <v>0</v>
      </c>
      <c r="D1429" s="2396"/>
      <c r="E1429" s="2406">
        <v>0</v>
      </c>
      <c r="F1429" s="2406">
        <v>0</v>
      </c>
      <c r="G1429" s="2430">
        <v>0</v>
      </c>
      <c r="H1429" s="2407">
        <v>0</v>
      </c>
      <c r="I1429" s="2408"/>
      <c r="J1429" s="2408"/>
      <c r="K1429" s="2675" t="s">
        <v>6515</v>
      </c>
      <c r="L1429" s="2409"/>
    </row>
    <row r="1430" spans="1:12" ht="12" customHeight="1" x14ac:dyDescent="0.3">
      <c r="A1430" s="2394" t="s">
        <v>4889</v>
      </c>
      <c r="B1430" s="2395" t="s">
        <v>3646</v>
      </c>
      <c r="C1430" s="2406">
        <v>0</v>
      </c>
      <c r="D1430" s="2396"/>
      <c r="E1430" s="2406">
        <v>0</v>
      </c>
      <c r="F1430" s="2406">
        <v>0</v>
      </c>
      <c r="G1430" s="2430">
        <v>0</v>
      </c>
      <c r="H1430" s="2407">
        <v>0</v>
      </c>
      <c r="I1430" s="2408"/>
      <c r="J1430" s="2408"/>
      <c r="K1430" s="2675" t="s">
        <v>6515</v>
      </c>
      <c r="L1430" s="2409"/>
    </row>
    <row r="1431" spans="1:12" ht="12" customHeight="1" x14ac:dyDescent="0.3">
      <c r="A1431" s="2394" t="s">
        <v>4890</v>
      </c>
      <c r="B1431" s="2395" t="s">
        <v>3648</v>
      </c>
      <c r="C1431" s="2406">
        <v>0</v>
      </c>
      <c r="D1431" s="2396"/>
      <c r="E1431" s="2406">
        <v>0</v>
      </c>
      <c r="F1431" s="2406">
        <v>0</v>
      </c>
      <c r="G1431" s="2430">
        <v>0</v>
      </c>
      <c r="H1431" s="2407">
        <v>0</v>
      </c>
      <c r="I1431" s="2408"/>
      <c r="J1431" s="2408"/>
      <c r="K1431" s="2675" t="s">
        <v>6516</v>
      </c>
      <c r="L1431" s="2409"/>
    </row>
    <row r="1432" spans="1:12" ht="12" customHeight="1" x14ac:dyDescent="0.3">
      <c r="A1432" s="2394" t="s">
        <v>4891</v>
      </c>
      <c r="B1432" s="2395" t="s">
        <v>3650</v>
      </c>
      <c r="C1432" s="2406">
        <v>0</v>
      </c>
      <c r="D1432" s="2396"/>
      <c r="E1432" s="2406">
        <v>0</v>
      </c>
      <c r="F1432" s="2406">
        <v>0</v>
      </c>
      <c r="G1432" s="2430">
        <v>0</v>
      </c>
      <c r="H1432" s="2407">
        <v>0</v>
      </c>
      <c r="I1432" s="2408"/>
      <c r="J1432" s="2408"/>
      <c r="K1432" s="2675" t="s">
        <v>6517</v>
      </c>
      <c r="L1432" s="2409"/>
    </row>
    <row r="1433" spans="1:12" ht="12" customHeight="1" x14ac:dyDescent="0.3">
      <c r="A1433" s="2394" t="s">
        <v>4892</v>
      </c>
      <c r="B1433" s="2395" t="s">
        <v>3652</v>
      </c>
      <c r="C1433" s="2406">
        <v>0</v>
      </c>
      <c r="D1433" s="2396"/>
      <c r="E1433" s="2406">
        <v>0</v>
      </c>
      <c r="F1433" s="2406">
        <v>0</v>
      </c>
      <c r="G1433" s="2430">
        <v>0</v>
      </c>
      <c r="H1433" s="2407">
        <v>0</v>
      </c>
      <c r="I1433" s="2408"/>
      <c r="J1433" s="2408"/>
      <c r="K1433" s="2675" t="s">
        <v>6518</v>
      </c>
      <c r="L1433" s="2409"/>
    </row>
    <row r="1434" spans="1:12" ht="12" customHeight="1" x14ac:dyDescent="0.3">
      <c r="A1434" s="2394" t="s">
        <v>4893</v>
      </c>
      <c r="B1434" s="2395" t="s">
        <v>3654</v>
      </c>
      <c r="C1434" s="2406">
        <v>0</v>
      </c>
      <c r="D1434" s="2396"/>
      <c r="E1434" s="2406">
        <v>0</v>
      </c>
      <c r="F1434" s="2406">
        <v>0</v>
      </c>
      <c r="G1434" s="2430">
        <v>0</v>
      </c>
      <c r="H1434" s="2407">
        <v>0</v>
      </c>
      <c r="I1434" s="2408"/>
      <c r="J1434" s="2408"/>
      <c r="K1434" s="2675" t="s">
        <v>6518</v>
      </c>
      <c r="L1434" s="2409"/>
    </row>
    <row r="1435" spans="1:12" ht="12" customHeight="1" x14ac:dyDescent="0.3">
      <c r="A1435" s="2394" t="s">
        <v>4894</v>
      </c>
      <c r="B1435" s="2395" t="s">
        <v>3656</v>
      </c>
      <c r="C1435" s="2406">
        <v>0</v>
      </c>
      <c r="D1435" s="2396"/>
      <c r="E1435" s="2406">
        <v>0</v>
      </c>
      <c r="F1435" s="2406">
        <v>0</v>
      </c>
      <c r="G1435" s="2430">
        <v>0</v>
      </c>
      <c r="H1435" s="2407">
        <v>0</v>
      </c>
      <c r="I1435" s="2408"/>
      <c r="J1435" s="2408"/>
      <c r="K1435" s="2675"/>
      <c r="L1435" s="2409"/>
    </row>
    <row r="1436" spans="1:12" ht="12" customHeight="1" x14ac:dyDescent="0.3">
      <c r="A1436" s="2394" t="s">
        <v>4895</v>
      </c>
      <c r="B1436" s="2395" t="s">
        <v>3658</v>
      </c>
      <c r="C1436" s="2406">
        <v>0</v>
      </c>
      <c r="D1436" s="2396"/>
      <c r="E1436" s="2406">
        <v>0</v>
      </c>
      <c r="F1436" s="2406">
        <v>0</v>
      </c>
      <c r="G1436" s="2430">
        <v>0</v>
      </c>
      <c r="H1436" s="2407">
        <v>0</v>
      </c>
      <c r="I1436" s="2408"/>
      <c r="J1436" s="2408"/>
      <c r="K1436" s="2675" t="s">
        <v>6519</v>
      </c>
      <c r="L1436" s="2409"/>
    </row>
    <row r="1437" spans="1:12" ht="12" customHeight="1" x14ac:dyDescent="0.3">
      <c r="A1437" s="2394" t="s">
        <v>4896</v>
      </c>
      <c r="B1437" s="2395" t="s">
        <v>3660</v>
      </c>
      <c r="C1437" s="2406">
        <v>0</v>
      </c>
      <c r="D1437" s="2396"/>
      <c r="E1437" s="2406">
        <v>0</v>
      </c>
      <c r="F1437" s="2406">
        <v>0</v>
      </c>
      <c r="G1437" s="2430">
        <v>0</v>
      </c>
      <c r="H1437" s="2407">
        <v>0</v>
      </c>
      <c r="I1437" s="2408"/>
      <c r="J1437" s="2408"/>
      <c r="K1437" s="2675" t="s">
        <v>6520</v>
      </c>
      <c r="L1437" s="2409"/>
    </row>
    <row r="1438" spans="1:12" ht="12" customHeight="1" x14ac:dyDescent="0.3">
      <c r="A1438" s="2394" t="s">
        <v>4897</v>
      </c>
      <c r="B1438" s="2395" t="s">
        <v>3662</v>
      </c>
      <c r="C1438" s="2406">
        <v>0</v>
      </c>
      <c r="D1438" s="2396"/>
      <c r="E1438" s="2406">
        <v>0</v>
      </c>
      <c r="F1438" s="2406">
        <v>0</v>
      </c>
      <c r="G1438" s="2430">
        <v>0</v>
      </c>
      <c r="H1438" s="2407">
        <v>0</v>
      </c>
      <c r="I1438" s="2408"/>
      <c r="J1438" s="2408"/>
      <c r="K1438" s="2675" t="s">
        <v>6521</v>
      </c>
      <c r="L1438" s="2409"/>
    </row>
    <row r="1439" spans="1:12" ht="12" customHeight="1" x14ac:dyDescent="0.3">
      <c r="A1439" s="2394" t="s">
        <v>4898</v>
      </c>
      <c r="B1439" s="2395" t="s">
        <v>3664</v>
      </c>
      <c r="C1439" s="2406">
        <v>0</v>
      </c>
      <c r="D1439" s="2396"/>
      <c r="E1439" s="2406">
        <v>0</v>
      </c>
      <c r="F1439" s="2406">
        <v>0</v>
      </c>
      <c r="G1439" s="2430">
        <v>0</v>
      </c>
      <c r="H1439" s="2407">
        <v>0</v>
      </c>
      <c r="I1439" s="2408"/>
      <c r="J1439" s="2408"/>
      <c r="K1439" s="2675" t="s">
        <v>6522</v>
      </c>
      <c r="L1439" s="2409"/>
    </row>
    <row r="1440" spans="1:12" ht="12" customHeight="1" x14ac:dyDescent="0.3">
      <c r="A1440" s="2394" t="s">
        <v>4899</v>
      </c>
      <c r="B1440" s="2395" t="s">
        <v>3666</v>
      </c>
      <c r="C1440" s="2406">
        <v>0</v>
      </c>
      <c r="D1440" s="2396"/>
      <c r="E1440" s="2406">
        <v>0</v>
      </c>
      <c r="F1440" s="2406">
        <v>0</v>
      </c>
      <c r="G1440" s="2430">
        <v>0</v>
      </c>
      <c r="H1440" s="2407">
        <v>0</v>
      </c>
      <c r="I1440" s="2408"/>
      <c r="J1440" s="2408"/>
      <c r="K1440" s="2675" t="s">
        <v>6523</v>
      </c>
      <c r="L1440" s="2409"/>
    </row>
    <row r="1441" spans="1:12" ht="12" customHeight="1" x14ac:dyDescent="0.3">
      <c r="A1441" s="2394" t="s">
        <v>4900</v>
      </c>
      <c r="B1441" s="2395" t="s">
        <v>3668</v>
      </c>
      <c r="C1441" s="2406">
        <v>0</v>
      </c>
      <c r="D1441" s="2396"/>
      <c r="E1441" s="2406">
        <v>0</v>
      </c>
      <c r="F1441" s="2406">
        <v>0</v>
      </c>
      <c r="G1441" s="2430">
        <v>0</v>
      </c>
      <c r="H1441" s="2407">
        <v>0</v>
      </c>
      <c r="I1441" s="2408"/>
      <c r="J1441" s="2408"/>
      <c r="K1441" s="2675" t="s">
        <v>6524</v>
      </c>
      <c r="L1441" s="2409"/>
    </row>
    <row r="1442" spans="1:12" ht="12" customHeight="1" x14ac:dyDescent="0.3">
      <c r="A1442" s="2394" t="s">
        <v>4901</v>
      </c>
      <c r="B1442" s="2395" t="s">
        <v>350</v>
      </c>
      <c r="C1442" s="2406">
        <v>0</v>
      </c>
      <c r="D1442" s="2396"/>
      <c r="E1442" s="2406">
        <v>0</v>
      </c>
      <c r="F1442" s="2406">
        <v>0</v>
      </c>
      <c r="G1442" s="2430">
        <v>0</v>
      </c>
      <c r="H1442" s="2407">
        <v>0</v>
      </c>
      <c r="I1442" s="2408"/>
      <c r="J1442" s="2408"/>
      <c r="K1442" s="2675" t="s">
        <v>6524</v>
      </c>
      <c r="L1442" s="2409"/>
    </row>
    <row r="1443" spans="1:12" ht="12" customHeight="1" x14ac:dyDescent="0.3">
      <c r="A1443" s="2394" t="s">
        <v>4902</v>
      </c>
      <c r="B1443" s="2395" t="s">
        <v>3671</v>
      </c>
      <c r="C1443" s="2406">
        <v>0</v>
      </c>
      <c r="D1443" s="2396"/>
      <c r="E1443" s="2406">
        <v>0</v>
      </c>
      <c r="F1443" s="2406">
        <v>0</v>
      </c>
      <c r="G1443" s="2430">
        <v>0</v>
      </c>
      <c r="H1443" s="2407">
        <v>0</v>
      </c>
      <c r="I1443" s="2408"/>
      <c r="J1443" s="2408"/>
      <c r="K1443" s="2675"/>
      <c r="L1443" s="2409"/>
    </row>
    <row r="1444" spans="1:12" ht="12" customHeight="1" x14ac:dyDescent="0.3">
      <c r="A1444" s="2394" t="s">
        <v>4903</v>
      </c>
      <c r="B1444" s="2395" t="s">
        <v>3930</v>
      </c>
      <c r="C1444" s="2406">
        <v>0</v>
      </c>
      <c r="D1444" s="2396"/>
      <c r="E1444" s="2406">
        <v>0</v>
      </c>
      <c r="F1444" s="2406">
        <v>0</v>
      </c>
      <c r="G1444" s="2430">
        <v>0</v>
      </c>
      <c r="H1444" s="2407">
        <v>0</v>
      </c>
      <c r="I1444" s="2408"/>
      <c r="J1444" s="2408"/>
      <c r="K1444" s="2675" t="s">
        <v>6525</v>
      </c>
      <c r="L1444" s="2409"/>
    </row>
    <row r="1445" spans="1:12" ht="12" customHeight="1" x14ac:dyDescent="0.3">
      <c r="A1445" s="2394" t="s">
        <v>4904</v>
      </c>
      <c r="B1445" s="2395" t="s">
        <v>3675</v>
      </c>
      <c r="C1445" s="2406">
        <v>0</v>
      </c>
      <c r="D1445" s="2396"/>
      <c r="E1445" s="2406">
        <v>0</v>
      </c>
      <c r="F1445" s="2406">
        <v>0</v>
      </c>
      <c r="G1445" s="2430">
        <v>0</v>
      </c>
      <c r="H1445" s="2407">
        <v>0</v>
      </c>
      <c r="I1445" s="2408"/>
      <c r="J1445" s="2408"/>
      <c r="K1445" s="2675" t="s">
        <v>6526</v>
      </c>
      <c r="L1445" s="2409"/>
    </row>
    <row r="1446" spans="1:12" ht="12" customHeight="1" x14ac:dyDescent="0.3">
      <c r="A1446" s="2394" t="s">
        <v>4905</v>
      </c>
      <c r="B1446" s="2395" t="s">
        <v>3677</v>
      </c>
      <c r="C1446" s="2406">
        <v>0</v>
      </c>
      <c r="D1446" s="2396"/>
      <c r="E1446" s="2406">
        <v>0</v>
      </c>
      <c r="F1446" s="2406">
        <v>0</v>
      </c>
      <c r="G1446" s="2430">
        <v>0</v>
      </c>
      <c r="H1446" s="2407">
        <v>0</v>
      </c>
      <c r="I1446" s="2408"/>
      <c r="J1446" s="2408"/>
      <c r="K1446" s="2675" t="s">
        <v>6526</v>
      </c>
      <c r="L1446" s="2409"/>
    </row>
    <row r="1447" spans="1:12" ht="12" customHeight="1" x14ac:dyDescent="0.3">
      <c r="A1447" s="2394" t="s">
        <v>4906</v>
      </c>
      <c r="B1447" s="2395" t="s">
        <v>3679</v>
      </c>
      <c r="C1447" s="2406">
        <v>0</v>
      </c>
      <c r="D1447" s="2396"/>
      <c r="E1447" s="2406">
        <v>0</v>
      </c>
      <c r="F1447" s="2406">
        <v>0</v>
      </c>
      <c r="G1447" s="2430">
        <v>0</v>
      </c>
      <c r="H1447" s="2407">
        <v>0</v>
      </c>
      <c r="I1447" s="2408"/>
      <c r="J1447" s="2408"/>
      <c r="K1447" s="2675" t="s">
        <v>6526</v>
      </c>
      <c r="L1447" s="2409"/>
    </row>
    <row r="1448" spans="1:12" ht="12" customHeight="1" x14ac:dyDescent="0.3">
      <c r="A1448" s="2394" t="s">
        <v>4907</v>
      </c>
      <c r="B1448" s="2395" t="s">
        <v>3979</v>
      </c>
      <c r="C1448" s="2406">
        <v>0</v>
      </c>
      <c r="D1448" s="2396"/>
      <c r="E1448" s="2406">
        <v>0</v>
      </c>
      <c r="F1448" s="2406">
        <v>0</v>
      </c>
      <c r="G1448" s="2430">
        <v>0</v>
      </c>
      <c r="H1448" s="2407">
        <v>0</v>
      </c>
      <c r="I1448" s="2408"/>
      <c r="J1448" s="2408"/>
      <c r="K1448" s="2675" t="s">
        <v>6526</v>
      </c>
      <c r="L1448" s="2409"/>
    </row>
    <row r="1449" spans="1:12" ht="12" customHeight="1" x14ac:dyDescent="0.3">
      <c r="A1449" s="2394" t="s">
        <v>4908</v>
      </c>
      <c r="B1449" s="2395" t="s">
        <v>3683</v>
      </c>
      <c r="C1449" s="2406">
        <v>0</v>
      </c>
      <c r="D1449" s="2396"/>
      <c r="E1449" s="2406">
        <v>0</v>
      </c>
      <c r="F1449" s="2406">
        <v>0</v>
      </c>
      <c r="G1449" s="2430">
        <v>0</v>
      </c>
      <c r="H1449" s="2407">
        <v>0</v>
      </c>
      <c r="I1449" s="2408"/>
      <c r="J1449" s="2408"/>
      <c r="K1449" s="2675" t="s">
        <v>6527</v>
      </c>
      <c r="L1449" s="2409"/>
    </row>
    <row r="1450" spans="1:12" ht="12" customHeight="1" x14ac:dyDescent="0.3">
      <c r="A1450" s="2394" t="s">
        <v>4909</v>
      </c>
      <c r="B1450" s="2395" t="s">
        <v>3685</v>
      </c>
      <c r="C1450" s="2406">
        <v>0</v>
      </c>
      <c r="D1450" s="2396"/>
      <c r="E1450" s="2406">
        <v>0</v>
      </c>
      <c r="F1450" s="2406">
        <v>0</v>
      </c>
      <c r="G1450" s="2430">
        <v>0</v>
      </c>
      <c r="H1450" s="2407">
        <v>0</v>
      </c>
      <c r="I1450" s="2408"/>
      <c r="J1450" s="2408"/>
      <c r="K1450" s="2675" t="s">
        <v>6528</v>
      </c>
      <c r="L1450" s="2409"/>
    </row>
    <row r="1451" spans="1:12" ht="12.75" customHeight="1" x14ac:dyDescent="0.3">
      <c r="A1451" s="2394" t="s">
        <v>4910</v>
      </c>
      <c r="B1451" s="2395" t="s">
        <v>3687</v>
      </c>
      <c r="C1451" s="2406">
        <v>0</v>
      </c>
      <c r="D1451" s="2396"/>
      <c r="E1451" s="2406">
        <v>0</v>
      </c>
      <c r="F1451" s="2406">
        <v>0</v>
      </c>
      <c r="G1451" s="2430">
        <v>0</v>
      </c>
      <c r="H1451" s="2407">
        <v>0</v>
      </c>
      <c r="I1451" s="2408"/>
      <c r="J1451" s="2408"/>
      <c r="K1451" s="2675" t="s">
        <v>6528</v>
      </c>
      <c r="L1451" s="2409"/>
    </row>
    <row r="1452" spans="1:12" ht="12.75" customHeight="1" x14ac:dyDescent="0.3">
      <c r="A1452" s="2394" t="s">
        <v>4911</v>
      </c>
      <c r="B1452" s="2395" t="s">
        <v>3980</v>
      </c>
      <c r="C1452" s="2406">
        <v>0</v>
      </c>
      <c r="D1452" s="2396"/>
      <c r="E1452" s="2406">
        <v>0</v>
      </c>
      <c r="F1452" s="2406">
        <v>0</v>
      </c>
      <c r="G1452" s="2430">
        <v>0</v>
      </c>
      <c r="H1452" s="2407">
        <v>0</v>
      </c>
      <c r="I1452" s="2408"/>
      <c r="J1452" s="2408"/>
      <c r="K1452" s="2675" t="s">
        <v>6546</v>
      </c>
      <c r="L1452" s="2409"/>
    </row>
    <row r="1453" spans="1:12" ht="12.75" customHeight="1" x14ac:dyDescent="0.3">
      <c r="A1453" s="2394" t="s">
        <v>4912</v>
      </c>
      <c r="B1453" s="2395" t="s">
        <v>3984</v>
      </c>
      <c r="C1453" s="2406">
        <v>0</v>
      </c>
      <c r="D1453" s="2396"/>
      <c r="E1453" s="2406">
        <v>0</v>
      </c>
      <c r="F1453" s="2406">
        <v>0</v>
      </c>
      <c r="G1453" s="2430">
        <v>0</v>
      </c>
      <c r="H1453" s="2407">
        <v>0</v>
      </c>
      <c r="I1453" s="2408"/>
      <c r="J1453" s="2408"/>
      <c r="K1453" s="2675"/>
      <c r="L1453" s="2409"/>
    </row>
    <row r="1454" spans="1:12" ht="12.75" customHeight="1" x14ac:dyDescent="0.3">
      <c r="A1454" s="2394" t="s">
        <v>4913</v>
      </c>
      <c r="B1454" s="2395" t="s">
        <v>3985</v>
      </c>
      <c r="C1454" s="2406">
        <v>0</v>
      </c>
      <c r="D1454" s="2396"/>
      <c r="E1454" s="2406">
        <v>0</v>
      </c>
      <c r="F1454" s="2406">
        <v>0</v>
      </c>
      <c r="G1454" s="2430">
        <v>0</v>
      </c>
      <c r="H1454" s="2407">
        <v>0</v>
      </c>
      <c r="I1454" s="2408"/>
      <c r="J1454" s="2408"/>
      <c r="K1454" s="2675" t="s">
        <v>6532</v>
      </c>
      <c r="L1454" s="2409"/>
    </row>
    <row r="1455" spans="1:12" ht="12.75" customHeight="1" x14ac:dyDescent="0.3">
      <c r="A1455" s="2394" t="s">
        <v>4914</v>
      </c>
      <c r="B1455" s="2395" t="s">
        <v>3986</v>
      </c>
      <c r="C1455" s="2406">
        <v>0</v>
      </c>
      <c r="D1455" s="2396"/>
      <c r="E1455" s="2406">
        <v>0</v>
      </c>
      <c r="F1455" s="2406">
        <v>0</v>
      </c>
      <c r="G1455" s="2430">
        <v>0</v>
      </c>
      <c r="H1455" s="2407">
        <v>0</v>
      </c>
      <c r="I1455" s="2408"/>
      <c r="J1455" s="2408"/>
      <c r="K1455" s="2675" t="s">
        <v>6532</v>
      </c>
      <c r="L1455" s="2409"/>
    </row>
    <row r="1456" spans="1:12" ht="12.75" customHeight="1" x14ac:dyDescent="0.3">
      <c r="A1456" s="2394" t="s">
        <v>4915</v>
      </c>
      <c r="B1456" s="2395" t="s">
        <v>3987</v>
      </c>
      <c r="C1456" s="2406">
        <v>0</v>
      </c>
      <c r="D1456" s="2396"/>
      <c r="E1456" s="2406">
        <v>0</v>
      </c>
      <c r="F1456" s="2406">
        <v>0</v>
      </c>
      <c r="G1456" s="2430">
        <v>0</v>
      </c>
      <c r="H1456" s="2407">
        <v>0</v>
      </c>
      <c r="I1456" s="2408"/>
      <c r="J1456" s="2408"/>
      <c r="K1456" s="2675" t="s">
        <v>6532</v>
      </c>
      <c r="L1456" s="2409"/>
    </row>
    <row r="1457" spans="1:12" ht="12.75" customHeight="1" x14ac:dyDescent="0.3">
      <c r="A1457" s="2394" t="s">
        <v>4916</v>
      </c>
      <c r="B1457" s="2395" t="s">
        <v>3988</v>
      </c>
      <c r="C1457" s="2406">
        <v>0</v>
      </c>
      <c r="D1457" s="2396"/>
      <c r="E1457" s="2406">
        <v>0</v>
      </c>
      <c r="F1457" s="2406">
        <v>0</v>
      </c>
      <c r="G1457" s="2430">
        <v>0</v>
      </c>
      <c r="H1457" s="2407">
        <v>0</v>
      </c>
      <c r="I1457" s="2408"/>
      <c r="J1457" s="2408"/>
      <c r="K1457" s="2675" t="s">
        <v>6536</v>
      </c>
      <c r="L1457" s="2409"/>
    </row>
    <row r="1458" spans="1:12" ht="12.75" customHeight="1" x14ac:dyDescent="0.3">
      <c r="A1458" s="2394" t="s">
        <v>4917</v>
      </c>
      <c r="B1458" s="2395" t="s">
        <v>3989</v>
      </c>
      <c r="C1458" s="2406">
        <v>0</v>
      </c>
      <c r="D1458" s="2396"/>
      <c r="E1458" s="2406">
        <v>0</v>
      </c>
      <c r="F1458" s="2406">
        <v>0</v>
      </c>
      <c r="G1458" s="2430">
        <v>0</v>
      </c>
      <c r="H1458" s="2407">
        <v>0</v>
      </c>
      <c r="I1458" s="2408"/>
      <c r="J1458" s="2408"/>
      <c r="K1458" s="2675"/>
      <c r="L1458" s="2409"/>
    </row>
    <row r="1459" spans="1:12" ht="12.75" customHeight="1" x14ac:dyDescent="0.3">
      <c r="A1459" s="2394" t="s">
        <v>4918</v>
      </c>
      <c r="B1459" s="2395" t="s">
        <v>3963</v>
      </c>
      <c r="C1459" s="2406">
        <v>0</v>
      </c>
      <c r="D1459" s="2396"/>
      <c r="E1459" s="2406">
        <v>0</v>
      </c>
      <c r="F1459" s="2406">
        <v>0</v>
      </c>
      <c r="G1459" s="2430">
        <v>0</v>
      </c>
      <c r="H1459" s="2407">
        <v>0</v>
      </c>
      <c r="I1459" s="2408"/>
      <c r="J1459" s="2408"/>
      <c r="K1459" s="2675" t="s">
        <v>6541</v>
      </c>
      <c r="L1459" s="2409"/>
    </row>
    <row r="1460" spans="1:12" ht="12.75" customHeight="1" x14ac:dyDescent="0.3">
      <c r="A1460" s="2394" t="s">
        <v>4919</v>
      </c>
      <c r="B1460" s="2395" t="s">
        <v>3754</v>
      </c>
      <c r="C1460" s="2406">
        <v>0</v>
      </c>
      <c r="D1460" s="2396"/>
      <c r="E1460" s="2406">
        <v>0</v>
      </c>
      <c r="F1460" s="2406">
        <v>0</v>
      </c>
      <c r="G1460" s="2430">
        <v>0</v>
      </c>
      <c r="H1460" s="2407">
        <v>0</v>
      </c>
      <c r="I1460" s="2408"/>
      <c r="J1460" s="2408"/>
      <c r="K1460" s="2675" t="s">
        <v>6539</v>
      </c>
      <c r="L1460" s="2409"/>
    </row>
    <row r="1461" spans="1:12" ht="12.75" customHeight="1" x14ac:dyDescent="0.3">
      <c r="A1461" s="2394" t="s">
        <v>4920</v>
      </c>
      <c r="B1461" s="2395" t="s">
        <v>3599</v>
      </c>
      <c r="C1461" s="2406">
        <v>0</v>
      </c>
      <c r="D1461" s="2396"/>
      <c r="E1461" s="2406">
        <v>0</v>
      </c>
      <c r="F1461" s="2406">
        <v>0</v>
      </c>
      <c r="G1461" s="2430">
        <v>0</v>
      </c>
      <c r="H1461" s="2407">
        <v>0</v>
      </c>
      <c r="I1461" s="2408"/>
      <c r="J1461" s="2408"/>
      <c r="K1461" s="2672"/>
      <c r="L1461" s="2409"/>
    </row>
    <row r="1462" spans="1:12" ht="12" customHeight="1" x14ac:dyDescent="0.3">
      <c r="A1462" s="2394" t="s">
        <v>4921</v>
      </c>
      <c r="B1462" s="2395" t="s">
        <v>3601</v>
      </c>
      <c r="C1462" s="2406">
        <v>0</v>
      </c>
      <c r="D1462" s="2396"/>
      <c r="E1462" s="2406">
        <v>0</v>
      </c>
      <c r="F1462" s="2406">
        <v>0</v>
      </c>
      <c r="G1462" s="2430">
        <v>0</v>
      </c>
      <c r="H1462" s="2407">
        <v>0</v>
      </c>
      <c r="I1462" s="2408"/>
      <c r="J1462" s="2408"/>
      <c r="K1462" s="2672" t="s">
        <v>2586</v>
      </c>
      <c r="L1462" s="2409"/>
    </row>
    <row r="1463" spans="1:12" x14ac:dyDescent="0.3">
      <c r="A1463" s="2394" t="s">
        <v>4922</v>
      </c>
      <c r="B1463" s="2395" t="s">
        <v>3603</v>
      </c>
      <c r="C1463" s="2406">
        <v>0</v>
      </c>
      <c r="D1463" s="2396"/>
      <c r="E1463" s="2406">
        <v>0</v>
      </c>
      <c r="F1463" s="2406">
        <v>0</v>
      </c>
      <c r="G1463" s="2430">
        <v>0</v>
      </c>
      <c r="H1463" s="2407">
        <v>0</v>
      </c>
      <c r="I1463" s="2408"/>
      <c r="J1463" s="2408"/>
      <c r="K1463" s="2672" t="s">
        <v>2586</v>
      </c>
      <c r="L1463" s="2409"/>
    </row>
    <row r="1464" spans="1:12" ht="12" customHeight="1" x14ac:dyDescent="0.3">
      <c r="A1464" s="2394" t="s">
        <v>4923</v>
      </c>
      <c r="B1464" s="2395" t="s">
        <v>3605</v>
      </c>
      <c r="C1464" s="2406">
        <v>0</v>
      </c>
      <c r="D1464" s="2396"/>
      <c r="E1464" s="2406">
        <v>0</v>
      </c>
      <c r="F1464" s="2406">
        <v>0</v>
      </c>
      <c r="G1464" s="2430">
        <v>0</v>
      </c>
      <c r="H1464" s="2407">
        <v>0</v>
      </c>
      <c r="I1464" s="2408"/>
      <c r="J1464" s="2408"/>
      <c r="K1464" s="2672" t="s">
        <v>2585</v>
      </c>
      <c r="L1464" s="2409"/>
    </row>
    <row r="1465" spans="1:12" ht="12" customHeight="1" x14ac:dyDescent="0.3">
      <c r="A1465" s="2394" t="s">
        <v>4924</v>
      </c>
      <c r="B1465" s="2395" t="s">
        <v>3607</v>
      </c>
      <c r="C1465" s="2406">
        <v>0</v>
      </c>
      <c r="D1465" s="2396"/>
      <c r="E1465" s="2406">
        <v>0</v>
      </c>
      <c r="F1465" s="2406">
        <v>0</v>
      </c>
      <c r="G1465" s="2430">
        <v>0</v>
      </c>
      <c r="H1465" s="2407">
        <v>0</v>
      </c>
      <c r="I1465" s="2408"/>
      <c r="J1465" s="2408"/>
      <c r="K1465" s="2672" t="s">
        <v>2586</v>
      </c>
      <c r="L1465" s="2409"/>
    </row>
    <row r="1466" spans="1:12" ht="12" customHeight="1" x14ac:dyDescent="0.3">
      <c r="A1466" s="2394" t="s">
        <v>4925</v>
      </c>
      <c r="B1466" s="2395" t="s">
        <v>3609</v>
      </c>
      <c r="C1466" s="2406">
        <v>0</v>
      </c>
      <c r="D1466" s="2396"/>
      <c r="E1466" s="2406">
        <v>0</v>
      </c>
      <c r="F1466" s="2406">
        <v>0</v>
      </c>
      <c r="G1466" s="2430">
        <v>0</v>
      </c>
      <c r="H1466" s="2407">
        <v>0</v>
      </c>
      <c r="I1466" s="2408"/>
      <c r="J1466" s="2408"/>
      <c r="K1466" s="2672" t="s">
        <v>2585</v>
      </c>
      <c r="L1466" s="2409"/>
    </row>
    <row r="1467" spans="1:12" ht="12" customHeight="1" x14ac:dyDescent="0.3">
      <c r="A1467" s="2394" t="s">
        <v>4926</v>
      </c>
      <c r="B1467" s="2395" t="s">
        <v>3611</v>
      </c>
      <c r="C1467" s="2406">
        <v>0</v>
      </c>
      <c r="D1467" s="2396"/>
      <c r="E1467" s="2406">
        <v>0</v>
      </c>
      <c r="F1467" s="2406">
        <v>0</v>
      </c>
      <c r="G1467" s="2430">
        <v>0</v>
      </c>
      <c r="H1467" s="2407">
        <v>0</v>
      </c>
      <c r="I1467" s="2408"/>
      <c r="J1467" s="2408"/>
      <c r="K1467" s="2672" t="s">
        <v>6505</v>
      </c>
      <c r="L1467" s="2409"/>
    </row>
    <row r="1468" spans="1:12" ht="12" customHeight="1" x14ac:dyDescent="0.3">
      <c r="A1468" s="2394" t="s">
        <v>4927</v>
      </c>
      <c r="B1468" s="2395" t="s">
        <v>3613</v>
      </c>
      <c r="C1468" s="2406">
        <v>0</v>
      </c>
      <c r="D1468" s="2396"/>
      <c r="E1468" s="2406">
        <v>0</v>
      </c>
      <c r="F1468" s="2406">
        <v>0</v>
      </c>
      <c r="G1468" s="2430">
        <v>0</v>
      </c>
      <c r="H1468" s="2407">
        <v>0</v>
      </c>
      <c r="I1468" s="2408"/>
      <c r="J1468" s="2408"/>
      <c r="K1468" s="2672" t="s">
        <v>6505</v>
      </c>
      <c r="L1468" s="2409"/>
    </row>
    <row r="1469" spans="1:12" ht="12" customHeight="1" x14ac:dyDescent="0.3">
      <c r="A1469" s="2394" t="s">
        <v>4928</v>
      </c>
      <c r="B1469" s="2395" t="s">
        <v>3615</v>
      </c>
      <c r="C1469" s="2406">
        <v>0</v>
      </c>
      <c r="D1469" s="2396"/>
      <c r="E1469" s="2406">
        <v>0</v>
      </c>
      <c r="F1469" s="2406">
        <v>0</v>
      </c>
      <c r="G1469" s="2430">
        <v>0</v>
      </c>
      <c r="H1469" s="2407">
        <v>0</v>
      </c>
      <c r="I1469" s="2408"/>
      <c r="J1469" s="2408"/>
      <c r="K1469" s="2672" t="s">
        <v>2586</v>
      </c>
      <c r="L1469" s="2409"/>
    </row>
    <row r="1470" spans="1:12" ht="12" customHeight="1" x14ac:dyDescent="0.3">
      <c r="A1470" s="2394" t="s">
        <v>4929</v>
      </c>
      <c r="B1470" s="2395" t="s">
        <v>3617</v>
      </c>
      <c r="C1470" s="2406">
        <v>0</v>
      </c>
      <c r="D1470" s="2396"/>
      <c r="E1470" s="2406">
        <v>0</v>
      </c>
      <c r="F1470" s="2406">
        <v>0</v>
      </c>
      <c r="G1470" s="2430">
        <v>0</v>
      </c>
      <c r="H1470" s="2407">
        <v>0</v>
      </c>
      <c r="I1470" s="2408"/>
      <c r="J1470" s="2408"/>
      <c r="K1470" s="2672" t="s">
        <v>2586</v>
      </c>
      <c r="L1470" s="2409"/>
    </row>
    <row r="1471" spans="1:12" ht="12.75" customHeight="1" x14ac:dyDescent="0.3">
      <c r="A1471" s="2394" t="s">
        <v>4930</v>
      </c>
      <c r="B1471" s="2395" t="s">
        <v>3619</v>
      </c>
      <c r="C1471" s="2406">
        <v>0</v>
      </c>
      <c r="D1471" s="2396"/>
      <c r="E1471" s="2406">
        <v>0</v>
      </c>
      <c r="F1471" s="2406">
        <v>0</v>
      </c>
      <c r="G1471" s="2430">
        <v>0</v>
      </c>
      <c r="H1471" s="2407">
        <v>0</v>
      </c>
      <c r="I1471" s="2408"/>
      <c r="J1471" s="2408"/>
      <c r="K1471" s="2672"/>
      <c r="L1471" s="2409"/>
    </row>
    <row r="1472" spans="1:12" ht="12" customHeight="1" x14ac:dyDescent="0.3">
      <c r="A1472" s="2394" t="s">
        <v>4931</v>
      </c>
      <c r="B1472" s="2395" t="s">
        <v>3621</v>
      </c>
      <c r="C1472" s="2406">
        <v>0</v>
      </c>
      <c r="D1472" s="2396"/>
      <c r="E1472" s="2406">
        <v>0</v>
      </c>
      <c r="F1472" s="2406">
        <v>0</v>
      </c>
      <c r="G1472" s="2430">
        <v>0</v>
      </c>
      <c r="H1472" s="2407">
        <v>0</v>
      </c>
      <c r="I1472" s="2408"/>
      <c r="J1472" s="2408"/>
      <c r="K1472" s="2672" t="s">
        <v>6506</v>
      </c>
      <c r="L1472" s="2409"/>
    </row>
    <row r="1473" spans="1:12" ht="12" customHeight="1" x14ac:dyDescent="0.3">
      <c r="A1473" s="2394" t="s">
        <v>4932</v>
      </c>
      <c r="B1473" s="2395" t="s">
        <v>3623</v>
      </c>
      <c r="C1473" s="2406">
        <v>0</v>
      </c>
      <c r="D1473" s="2396"/>
      <c r="E1473" s="2406">
        <v>0</v>
      </c>
      <c r="F1473" s="2406">
        <v>0</v>
      </c>
      <c r="G1473" s="2430">
        <v>0</v>
      </c>
      <c r="H1473" s="2407">
        <v>0</v>
      </c>
      <c r="I1473" s="2408"/>
      <c r="J1473" s="2408"/>
      <c r="K1473" s="2672" t="s">
        <v>6507</v>
      </c>
      <c r="L1473" s="2409"/>
    </row>
    <row r="1474" spans="1:12" ht="12" customHeight="1" x14ac:dyDescent="0.3">
      <c r="A1474" s="2394" t="s">
        <v>4933</v>
      </c>
      <c r="B1474" s="2395" t="s">
        <v>3625</v>
      </c>
      <c r="C1474" s="2406">
        <v>0</v>
      </c>
      <c r="D1474" s="2396"/>
      <c r="E1474" s="2406">
        <v>0</v>
      </c>
      <c r="F1474" s="2406">
        <v>0</v>
      </c>
      <c r="G1474" s="2430">
        <v>0</v>
      </c>
      <c r="H1474" s="2407">
        <v>0</v>
      </c>
      <c r="I1474" s="2408"/>
      <c r="J1474" s="2408"/>
      <c r="K1474" s="2672" t="s">
        <v>6508</v>
      </c>
      <c r="L1474" s="2409"/>
    </row>
    <row r="1475" spans="1:12" ht="12" customHeight="1" x14ac:dyDescent="0.3">
      <c r="A1475" s="2394" t="s">
        <v>4934</v>
      </c>
      <c r="B1475" s="2395" t="s">
        <v>3627</v>
      </c>
      <c r="C1475" s="2406">
        <v>0</v>
      </c>
      <c r="D1475" s="2396"/>
      <c r="E1475" s="2406">
        <v>0</v>
      </c>
      <c r="F1475" s="2406">
        <v>0</v>
      </c>
      <c r="G1475" s="2430">
        <v>0</v>
      </c>
      <c r="H1475" s="2407">
        <v>0</v>
      </c>
      <c r="I1475" s="2408"/>
      <c r="J1475" s="2408"/>
      <c r="K1475" s="2672" t="s">
        <v>6509</v>
      </c>
      <c r="L1475" s="2409"/>
    </row>
    <row r="1476" spans="1:12" ht="12" customHeight="1" x14ac:dyDescent="0.3">
      <c r="A1476" s="2394" t="s">
        <v>4935</v>
      </c>
      <c r="B1476" s="2395" t="s">
        <v>3629</v>
      </c>
      <c r="C1476" s="2406">
        <v>0</v>
      </c>
      <c r="D1476" s="2396"/>
      <c r="E1476" s="2406">
        <v>0</v>
      </c>
      <c r="F1476" s="2406">
        <v>0</v>
      </c>
      <c r="G1476" s="2430">
        <v>0</v>
      </c>
      <c r="H1476" s="2407">
        <v>0</v>
      </c>
      <c r="I1476" s="2408"/>
      <c r="J1476" s="2408"/>
      <c r="K1476" s="2672" t="s">
        <v>6510</v>
      </c>
      <c r="L1476" s="2409"/>
    </row>
    <row r="1477" spans="1:12" ht="12" customHeight="1" x14ac:dyDescent="0.3">
      <c r="A1477" s="2394" t="s">
        <v>4936</v>
      </c>
      <c r="B1477" s="2395" t="s">
        <v>3631</v>
      </c>
      <c r="C1477" s="2406">
        <v>0</v>
      </c>
      <c r="D1477" s="2396"/>
      <c r="E1477" s="2406">
        <v>0</v>
      </c>
      <c r="F1477" s="2406">
        <v>0</v>
      </c>
      <c r="G1477" s="2430">
        <v>0</v>
      </c>
      <c r="H1477" s="2407">
        <v>0</v>
      </c>
      <c r="I1477" s="2408"/>
      <c r="J1477" s="2408"/>
      <c r="K1477" s="2672" t="s">
        <v>6511</v>
      </c>
      <c r="L1477" s="2409"/>
    </row>
    <row r="1478" spans="1:12" ht="12" customHeight="1" x14ac:dyDescent="0.3">
      <c r="A1478" s="2394" t="s">
        <v>4937</v>
      </c>
      <c r="B1478" s="2395" t="s">
        <v>3633</v>
      </c>
      <c r="C1478" s="2406">
        <v>0</v>
      </c>
      <c r="D1478" s="2396"/>
      <c r="E1478" s="2406">
        <v>0</v>
      </c>
      <c r="F1478" s="2406">
        <v>0</v>
      </c>
      <c r="G1478" s="2430">
        <v>0</v>
      </c>
      <c r="H1478" s="2407">
        <v>0</v>
      </c>
      <c r="I1478" s="2408"/>
      <c r="J1478" s="2408"/>
      <c r="K1478" s="2672" t="s">
        <v>6512</v>
      </c>
      <c r="L1478" s="2409"/>
    </row>
    <row r="1479" spans="1:12" ht="12" customHeight="1" x14ac:dyDescent="0.3">
      <c r="A1479" s="2394" t="s">
        <v>4938</v>
      </c>
      <c r="B1479" s="2395" t="s">
        <v>3635</v>
      </c>
      <c r="C1479" s="2406">
        <v>0</v>
      </c>
      <c r="D1479" s="2396"/>
      <c r="E1479" s="2406">
        <v>0</v>
      </c>
      <c r="F1479" s="2406">
        <v>0</v>
      </c>
      <c r="G1479" s="2430">
        <v>0</v>
      </c>
      <c r="H1479" s="2407">
        <v>0</v>
      </c>
      <c r="I1479" s="2408"/>
      <c r="J1479" s="2408"/>
      <c r="K1479" s="2672" t="s">
        <v>6513</v>
      </c>
      <c r="L1479" s="2409"/>
    </row>
    <row r="1480" spans="1:12" ht="12" customHeight="1" x14ac:dyDescent="0.3">
      <c r="A1480" s="2394" t="s">
        <v>4939</v>
      </c>
      <c r="B1480" s="2395" t="s">
        <v>3637</v>
      </c>
      <c r="C1480" s="2406">
        <v>0</v>
      </c>
      <c r="D1480" s="2396"/>
      <c r="E1480" s="2406">
        <v>0</v>
      </c>
      <c r="F1480" s="2406">
        <v>0</v>
      </c>
      <c r="G1480" s="2430">
        <v>0</v>
      </c>
      <c r="H1480" s="2407">
        <v>0</v>
      </c>
      <c r="I1480" s="2408"/>
      <c r="J1480" s="2408"/>
      <c r="K1480" s="2672" t="s">
        <v>6514</v>
      </c>
      <c r="L1480" s="2409"/>
    </row>
    <row r="1481" spans="1:12" ht="12" customHeight="1" x14ac:dyDescent="0.3">
      <c r="A1481" s="2394" t="s">
        <v>4940</v>
      </c>
      <c r="B1481" s="2395" t="s">
        <v>334</v>
      </c>
      <c r="C1481" s="2406">
        <v>0</v>
      </c>
      <c r="D1481" s="2396"/>
      <c r="E1481" s="2406">
        <v>0</v>
      </c>
      <c r="F1481" s="2406">
        <v>0</v>
      </c>
      <c r="G1481" s="2430">
        <v>0</v>
      </c>
      <c r="H1481" s="2407">
        <v>0</v>
      </c>
      <c r="I1481" s="2408"/>
      <c r="J1481" s="2408"/>
      <c r="K1481" s="2672"/>
      <c r="L1481" s="2409"/>
    </row>
    <row r="1482" spans="1:12" ht="12" customHeight="1" x14ac:dyDescent="0.3">
      <c r="A1482" s="2394" t="s">
        <v>4941</v>
      </c>
      <c r="B1482" s="2395" t="s">
        <v>3640</v>
      </c>
      <c r="C1482" s="2406">
        <v>0</v>
      </c>
      <c r="D1482" s="2396"/>
      <c r="E1482" s="2406">
        <v>0</v>
      </c>
      <c r="F1482" s="2406">
        <v>0</v>
      </c>
      <c r="G1482" s="2430">
        <v>0</v>
      </c>
      <c r="H1482" s="2407">
        <v>0</v>
      </c>
      <c r="I1482" s="2408"/>
      <c r="J1482" s="2408"/>
      <c r="K1482" s="2672" t="s">
        <v>6515</v>
      </c>
      <c r="L1482" s="2409"/>
    </row>
    <row r="1483" spans="1:12" ht="12" customHeight="1" x14ac:dyDescent="0.3">
      <c r="A1483" s="2394" t="s">
        <v>4942</v>
      </c>
      <c r="B1483" s="2395" t="s">
        <v>3642</v>
      </c>
      <c r="C1483" s="2406">
        <v>0</v>
      </c>
      <c r="D1483" s="2396"/>
      <c r="E1483" s="2406">
        <v>0</v>
      </c>
      <c r="F1483" s="2406">
        <v>0</v>
      </c>
      <c r="G1483" s="2430">
        <v>0</v>
      </c>
      <c r="H1483" s="2407">
        <v>0</v>
      </c>
      <c r="I1483" s="2408"/>
      <c r="J1483" s="2408"/>
      <c r="K1483" s="2672" t="s">
        <v>6515</v>
      </c>
      <c r="L1483" s="2409"/>
    </row>
    <row r="1484" spans="1:12" ht="12" customHeight="1" x14ac:dyDescent="0.3">
      <c r="A1484" s="2394" t="s">
        <v>4943</v>
      </c>
      <c r="B1484" s="2395" t="s">
        <v>3644</v>
      </c>
      <c r="C1484" s="2406">
        <v>0</v>
      </c>
      <c r="D1484" s="2396"/>
      <c r="E1484" s="2406">
        <v>0</v>
      </c>
      <c r="F1484" s="2406">
        <v>0</v>
      </c>
      <c r="G1484" s="2430">
        <v>0</v>
      </c>
      <c r="H1484" s="2407">
        <v>0</v>
      </c>
      <c r="I1484" s="2408"/>
      <c r="J1484" s="2408"/>
      <c r="K1484" s="2672" t="s">
        <v>6515</v>
      </c>
      <c r="L1484" s="2409"/>
    </row>
    <row r="1485" spans="1:12" ht="12" customHeight="1" x14ac:dyDescent="0.3">
      <c r="A1485" s="2394" t="s">
        <v>4944</v>
      </c>
      <c r="B1485" s="2395" t="s">
        <v>3646</v>
      </c>
      <c r="C1485" s="2406">
        <v>0</v>
      </c>
      <c r="D1485" s="2396"/>
      <c r="E1485" s="2406">
        <v>0</v>
      </c>
      <c r="F1485" s="2406">
        <v>0</v>
      </c>
      <c r="G1485" s="2430">
        <v>0</v>
      </c>
      <c r="H1485" s="2407">
        <v>0</v>
      </c>
      <c r="I1485" s="2408"/>
      <c r="J1485" s="2408"/>
      <c r="K1485" s="2672" t="s">
        <v>6515</v>
      </c>
      <c r="L1485" s="2409"/>
    </row>
    <row r="1486" spans="1:12" ht="12" customHeight="1" x14ac:dyDescent="0.3">
      <c r="A1486" s="2394" t="s">
        <v>4945</v>
      </c>
      <c r="B1486" s="2395" t="s">
        <v>3648</v>
      </c>
      <c r="C1486" s="2406">
        <v>0</v>
      </c>
      <c r="D1486" s="2396"/>
      <c r="E1486" s="2406">
        <v>0</v>
      </c>
      <c r="F1486" s="2406">
        <v>0</v>
      </c>
      <c r="G1486" s="2430">
        <v>0</v>
      </c>
      <c r="H1486" s="2407">
        <v>0</v>
      </c>
      <c r="I1486" s="2408"/>
      <c r="J1486" s="2408"/>
      <c r="K1486" s="2672" t="s">
        <v>6516</v>
      </c>
      <c r="L1486" s="2409"/>
    </row>
    <row r="1487" spans="1:12" ht="12" customHeight="1" x14ac:dyDescent="0.3">
      <c r="A1487" s="2394" t="s">
        <v>4946</v>
      </c>
      <c r="B1487" s="2395" t="s">
        <v>3650</v>
      </c>
      <c r="C1487" s="2406">
        <v>0</v>
      </c>
      <c r="D1487" s="2396"/>
      <c r="E1487" s="2406">
        <v>0</v>
      </c>
      <c r="F1487" s="2406">
        <v>0</v>
      </c>
      <c r="G1487" s="2430">
        <v>0</v>
      </c>
      <c r="H1487" s="2407">
        <v>0</v>
      </c>
      <c r="I1487" s="2408"/>
      <c r="J1487" s="2408"/>
      <c r="K1487" s="2672" t="s">
        <v>6517</v>
      </c>
      <c r="L1487" s="2409"/>
    </row>
    <row r="1488" spans="1:12" ht="12" customHeight="1" x14ac:dyDescent="0.3">
      <c r="A1488" s="2394" t="s">
        <v>4947</v>
      </c>
      <c r="B1488" s="2395" t="s">
        <v>3652</v>
      </c>
      <c r="C1488" s="2406">
        <v>0</v>
      </c>
      <c r="D1488" s="2396"/>
      <c r="E1488" s="2406">
        <v>0</v>
      </c>
      <c r="F1488" s="2406">
        <v>0</v>
      </c>
      <c r="G1488" s="2430">
        <v>0</v>
      </c>
      <c r="H1488" s="2407">
        <v>0</v>
      </c>
      <c r="I1488" s="2408"/>
      <c r="J1488" s="2408"/>
      <c r="K1488" s="2672" t="s">
        <v>6518</v>
      </c>
      <c r="L1488" s="2409"/>
    </row>
    <row r="1489" spans="1:12" ht="12" customHeight="1" x14ac:dyDescent="0.3">
      <c r="A1489" s="2394" t="s">
        <v>4948</v>
      </c>
      <c r="B1489" s="2395" t="s">
        <v>3654</v>
      </c>
      <c r="C1489" s="2406">
        <v>0</v>
      </c>
      <c r="D1489" s="2396"/>
      <c r="E1489" s="2406">
        <v>0</v>
      </c>
      <c r="F1489" s="2406">
        <v>0</v>
      </c>
      <c r="G1489" s="2430">
        <v>0</v>
      </c>
      <c r="H1489" s="2407">
        <v>0</v>
      </c>
      <c r="I1489" s="2408"/>
      <c r="J1489" s="2408"/>
      <c r="K1489" s="2672" t="s">
        <v>6518</v>
      </c>
      <c r="L1489" s="2409"/>
    </row>
    <row r="1490" spans="1:12" ht="12" customHeight="1" x14ac:dyDescent="0.3">
      <c r="A1490" s="2394" t="s">
        <v>4949</v>
      </c>
      <c r="B1490" s="2395" t="s">
        <v>3656</v>
      </c>
      <c r="C1490" s="2406">
        <v>0</v>
      </c>
      <c r="D1490" s="2396"/>
      <c r="E1490" s="2406">
        <v>0</v>
      </c>
      <c r="F1490" s="2406">
        <v>0</v>
      </c>
      <c r="G1490" s="2430">
        <v>0</v>
      </c>
      <c r="H1490" s="2407">
        <v>0</v>
      </c>
      <c r="I1490" s="2408"/>
      <c r="J1490" s="2408"/>
      <c r="K1490" s="2672"/>
      <c r="L1490" s="2409"/>
    </row>
    <row r="1491" spans="1:12" ht="12" customHeight="1" x14ac:dyDescent="0.3">
      <c r="A1491" s="2394" t="s">
        <v>4950</v>
      </c>
      <c r="B1491" s="2395" t="s">
        <v>3658</v>
      </c>
      <c r="C1491" s="2406">
        <v>0</v>
      </c>
      <c r="D1491" s="2396"/>
      <c r="E1491" s="2406">
        <v>0</v>
      </c>
      <c r="F1491" s="2406">
        <v>0</v>
      </c>
      <c r="G1491" s="2430">
        <v>0</v>
      </c>
      <c r="H1491" s="2407">
        <v>0</v>
      </c>
      <c r="I1491" s="2408"/>
      <c r="J1491" s="2408"/>
      <c r="K1491" s="2672" t="s">
        <v>6519</v>
      </c>
      <c r="L1491" s="2409"/>
    </row>
    <row r="1492" spans="1:12" ht="12" customHeight="1" x14ac:dyDescent="0.3">
      <c r="A1492" s="2394" t="s">
        <v>4951</v>
      </c>
      <c r="B1492" s="2395" t="s">
        <v>3660</v>
      </c>
      <c r="C1492" s="2406">
        <v>0</v>
      </c>
      <c r="D1492" s="2396"/>
      <c r="E1492" s="2406">
        <v>0</v>
      </c>
      <c r="F1492" s="2406">
        <v>0</v>
      </c>
      <c r="G1492" s="2430">
        <v>0</v>
      </c>
      <c r="H1492" s="2407">
        <v>0</v>
      </c>
      <c r="I1492" s="2408"/>
      <c r="J1492" s="2408"/>
      <c r="K1492" s="2672" t="s">
        <v>6520</v>
      </c>
      <c r="L1492" s="2409"/>
    </row>
    <row r="1493" spans="1:12" ht="12" customHeight="1" x14ac:dyDescent="0.3">
      <c r="A1493" s="2394" t="s">
        <v>4952</v>
      </c>
      <c r="B1493" s="2395" t="s">
        <v>3662</v>
      </c>
      <c r="C1493" s="2406">
        <v>0</v>
      </c>
      <c r="D1493" s="2396"/>
      <c r="E1493" s="2406">
        <v>0</v>
      </c>
      <c r="F1493" s="2406">
        <v>0</v>
      </c>
      <c r="G1493" s="2430">
        <v>0</v>
      </c>
      <c r="H1493" s="2407">
        <v>0</v>
      </c>
      <c r="I1493" s="2408"/>
      <c r="J1493" s="2408"/>
      <c r="K1493" s="2672" t="s">
        <v>6521</v>
      </c>
      <c r="L1493" s="2409"/>
    </row>
    <row r="1494" spans="1:12" ht="12" customHeight="1" x14ac:dyDescent="0.3">
      <c r="A1494" s="2394" t="s">
        <v>4953</v>
      </c>
      <c r="B1494" s="2395" t="s">
        <v>3664</v>
      </c>
      <c r="C1494" s="2406">
        <v>0</v>
      </c>
      <c r="D1494" s="2396"/>
      <c r="E1494" s="2406">
        <v>0</v>
      </c>
      <c r="F1494" s="2406">
        <v>0</v>
      </c>
      <c r="G1494" s="2430">
        <v>0</v>
      </c>
      <c r="H1494" s="2407">
        <v>0</v>
      </c>
      <c r="I1494" s="2408"/>
      <c r="J1494" s="2408"/>
      <c r="K1494" s="2672" t="s">
        <v>6522</v>
      </c>
      <c r="L1494" s="2409"/>
    </row>
    <row r="1495" spans="1:12" ht="12" customHeight="1" x14ac:dyDescent="0.3">
      <c r="A1495" s="2394" t="s">
        <v>4954</v>
      </c>
      <c r="B1495" s="2395" t="s">
        <v>3666</v>
      </c>
      <c r="C1495" s="2406">
        <v>0</v>
      </c>
      <c r="D1495" s="2396"/>
      <c r="E1495" s="2406">
        <v>0</v>
      </c>
      <c r="F1495" s="2406">
        <v>0</v>
      </c>
      <c r="G1495" s="2430">
        <v>0</v>
      </c>
      <c r="H1495" s="2407">
        <v>0</v>
      </c>
      <c r="I1495" s="2408"/>
      <c r="J1495" s="2408"/>
      <c r="K1495" s="2672" t="s">
        <v>6523</v>
      </c>
      <c r="L1495" s="2409"/>
    </row>
    <row r="1496" spans="1:12" ht="12" customHeight="1" x14ac:dyDescent="0.3">
      <c r="A1496" s="2394" t="s">
        <v>4955</v>
      </c>
      <c r="B1496" s="2395" t="s">
        <v>3668</v>
      </c>
      <c r="C1496" s="2406">
        <v>0</v>
      </c>
      <c r="D1496" s="2396"/>
      <c r="E1496" s="2406">
        <v>0</v>
      </c>
      <c r="F1496" s="2406">
        <v>0</v>
      </c>
      <c r="G1496" s="2430">
        <v>0</v>
      </c>
      <c r="H1496" s="2407">
        <v>0</v>
      </c>
      <c r="I1496" s="2408"/>
      <c r="J1496" s="2408"/>
      <c r="K1496" s="2672" t="s">
        <v>6524</v>
      </c>
      <c r="L1496" s="2409"/>
    </row>
    <row r="1497" spans="1:12" ht="12" customHeight="1" x14ac:dyDescent="0.3">
      <c r="A1497" s="2394" t="s">
        <v>4956</v>
      </c>
      <c r="B1497" s="2395" t="s">
        <v>350</v>
      </c>
      <c r="C1497" s="2406">
        <v>0</v>
      </c>
      <c r="D1497" s="2396"/>
      <c r="E1497" s="2406">
        <v>0</v>
      </c>
      <c r="F1497" s="2406">
        <v>0</v>
      </c>
      <c r="G1497" s="2430">
        <v>0</v>
      </c>
      <c r="H1497" s="2407">
        <v>0</v>
      </c>
      <c r="I1497" s="2408"/>
      <c r="J1497" s="2408"/>
      <c r="K1497" s="2672" t="s">
        <v>6524</v>
      </c>
      <c r="L1497" s="2409"/>
    </row>
    <row r="1498" spans="1:12" ht="12" customHeight="1" x14ac:dyDescent="0.3">
      <c r="A1498" s="2394" t="s">
        <v>4957</v>
      </c>
      <c r="B1498" s="2395" t="s">
        <v>3671</v>
      </c>
      <c r="C1498" s="2406">
        <v>0</v>
      </c>
      <c r="D1498" s="2396"/>
      <c r="E1498" s="2406">
        <v>0</v>
      </c>
      <c r="F1498" s="2406">
        <v>0</v>
      </c>
      <c r="G1498" s="2430">
        <v>0</v>
      </c>
      <c r="H1498" s="2407">
        <v>0</v>
      </c>
      <c r="I1498" s="2408"/>
      <c r="J1498" s="2408"/>
      <c r="K1498" s="2672"/>
      <c r="L1498" s="2409"/>
    </row>
    <row r="1499" spans="1:12" ht="12" customHeight="1" x14ac:dyDescent="0.3">
      <c r="A1499" s="2394" t="s">
        <v>4958</v>
      </c>
      <c r="B1499" s="2395" t="s">
        <v>3673</v>
      </c>
      <c r="C1499" s="2406">
        <v>0</v>
      </c>
      <c r="D1499" s="2396"/>
      <c r="E1499" s="2406">
        <v>0</v>
      </c>
      <c r="F1499" s="2406">
        <v>0</v>
      </c>
      <c r="G1499" s="2430">
        <v>0</v>
      </c>
      <c r="H1499" s="2407">
        <v>0</v>
      </c>
      <c r="I1499" s="2408"/>
      <c r="J1499" s="2408"/>
      <c r="K1499" s="2672" t="s">
        <v>6525</v>
      </c>
      <c r="L1499" s="2409"/>
    </row>
    <row r="1500" spans="1:12" ht="12" customHeight="1" x14ac:dyDescent="0.3">
      <c r="A1500" s="2394" t="s">
        <v>4959</v>
      </c>
      <c r="B1500" s="2395" t="s">
        <v>3675</v>
      </c>
      <c r="C1500" s="2406">
        <v>0</v>
      </c>
      <c r="D1500" s="2396"/>
      <c r="E1500" s="2406">
        <v>0</v>
      </c>
      <c r="F1500" s="2406">
        <v>0</v>
      </c>
      <c r="G1500" s="2430">
        <v>0</v>
      </c>
      <c r="H1500" s="2407">
        <v>0</v>
      </c>
      <c r="I1500" s="2408"/>
      <c r="J1500" s="2408"/>
      <c r="K1500" s="2672" t="s">
        <v>6526</v>
      </c>
      <c r="L1500" s="2409"/>
    </row>
    <row r="1501" spans="1:12" ht="12" customHeight="1" x14ac:dyDescent="0.3">
      <c r="A1501" s="2394" t="s">
        <v>4960</v>
      </c>
      <c r="B1501" s="2395" t="s">
        <v>3677</v>
      </c>
      <c r="C1501" s="2406">
        <v>0</v>
      </c>
      <c r="D1501" s="2396"/>
      <c r="E1501" s="2406">
        <v>0</v>
      </c>
      <c r="F1501" s="2406">
        <v>0</v>
      </c>
      <c r="G1501" s="2430">
        <v>0</v>
      </c>
      <c r="H1501" s="2407">
        <v>0</v>
      </c>
      <c r="I1501" s="2408"/>
      <c r="J1501" s="2408"/>
      <c r="K1501" s="2672" t="s">
        <v>6526</v>
      </c>
      <c r="L1501" s="2409"/>
    </row>
    <row r="1502" spans="1:12" ht="12" customHeight="1" x14ac:dyDescent="0.3">
      <c r="A1502" s="2394" t="s">
        <v>4961</v>
      </c>
      <c r="B1502" s="2395" t="s">
        <v>3679</v>
      </c>
      <c r="C1502" s="2406">
        <v>0</v>
      </c>
      <c r="D1502" s="2396"/>
      <c r="E1502" s="2406">
        <v>0</v>
      </c>
      <c r="F1502" s="2406">
        <v>0</v>
      </c>
      <c r="G1502" s="2430">
        <v>0</v>
      </c>
      <c r="H1502" s="2407">
        <v>0</v>
      </c>
      <c r="I1502" s="2408"/>
      <c r="J1502" s="2408"/>
      <c r="K1502" s="2672" t="s">
        <v>6526</v>
      </c>
      <c r="L1502" s="2409"/>
    </row>
    <row r="1503" spans="1:12" ht="12" customHeight="1" x14ac:dyDescent="0.3">
      <c r="A1503" s="2394" t="s">
        <v>4962</v>
      </c>
      <c r="B1503" s="2395" t="s">
        <v>3681</v>
      </c>
      <c r="C1503" s="2406">
        <v>0</v>
      </c>
      <c r="D1503" s="2396"/>
      <c r="E1503" s="2406">
        <v>0</v>
      </c>
      <c r="F1503" s="2406">
        <v>0</v>
      </c>
      <c r="G1503" s="2430">
        <v>0</v>
      </c>
      <c r="H1503" s="2407">
        <v>0</v>
      </c>
      <c r="I1503" s="2408"/>
      <c r="J1503" s="2408"/>
      <c r="K1503" s="2672" t="s">
        <v>6526</v>
      </c>
      <c r="L1503" s="2409"/>
    </row>
    <row r="1504" spans="1:12" ht="12" customHeight="1" x14ac:dyDescent="0.3">
      <c r="A1504" s="2394" t="s">
        <v>4963</v>
      </c>
      <c r="B1504" s="2395" t="s">
        <v>3683</v>
      </c>
      <c r="C1504" s="2406">
        <v>0</v>
      </c>
      <c r="D1504" s="2396"/>
      <c r="E1504" s="2406">
        <v>0</v>
      </c>
      <c r="F1504" s="2406">
        <v>0</v>
      </c>
      <c r="G1504" s="2430">
        <v>0</v>
      </c>
      <c r="H1504" s="2407">
        <v>0</v>
      </c>
      <c r="I1504" s="2408"/>
      <c r="J1504" s="2408"/>
      <c r="K1504" s="2672" t="s">
        <v>6527</v>
      </c>
      <c r="L1504" s="2409"/>
    </row>
    <row r="1505" spans="1:12" ht="12" customHeight="1" x14ac:dyDescent="0.3">
      <c r="A1505" s="2394" t="s">
        <v>4964</v>
      </c>
      <c r="B1505" s="2395" t="s">
        <v>3685</v>
      </c>
      <c r="C1505" s="2406">
        <v>0</v>
      </c>
      <c r="D1505" s="2396"/>
      <c r="E1505" s="2406">
        <v>0</v>
      </c>
      <c r="F1505" s="2406">
        <v>0</v>
      </c>
      <c r="G1505" s="2430">
        <v>0</v>
      </c>
      <c r="H1505" s="2407">
        <v>0</v>
      </c>
      <c r="I1505" s="2408"/>
      <c r="J1505" s="2408"/>
      <c r="K1505" s="2672" t="s">
        <v>6528</v>
      </c>
      <c r="L1505" s="2409"/>
    </row>
    <row r="1506" spans="1:12" ht="12" customHeight="1" x14ac:dyDescent="0.3">
      <c r="A1506" s="2394" t="s">
        <v>4965</v>
      </c>
      <c r="B1506" s="2395" t="s">
        <v>3687</v>
      </c>
      <c r="C1506" s="2406">
        <v>0</v>
      </c>
      <c r="D1506" s="2396"/>
      <c r="E1506" s="2406">
        <v>0</v>
      </c>
      <c r="F1506" s="2406">
        <v>0</v>
      </c>
      <c r="G1506" s="2430">
        <v>0</v>
      </c>
      <c r="H1506" s="2407">
        <v>0</v>
      </c>
      <c r="I1506" s="2408"/>
      <c r="J1506" s="2408"/>
      <c r="K1506" s="2672" t="s">
        <v>6528</v>
      </c>
      <c r="L1506" s="2409"/>
    </row>
    <row r="1507" spans="1:12" ht="12" customHeight="1" x14ac:dyDescent="0.3">
      <c r="A1507" s="2394" t="s">
        <v>4966</v>
      </c>
      <c r="B1507" s="2395" t="s">
        <v>3689</v>
      </c>
      <c r="C1507" s="2406">
        <v>0</v>
      </c>
      <c r="D1507" s="2396"/>
      <c r="E1507" s="2406">
        <v>0</v>
      </c>
      <c r="F1507" s="2406">
        <v>0</v>
      </c>
      <c r="G1507" s="2430">
        <v>0</v>
      </c>
      <c r="H1507" s="2407">
        <v>0</v>
      </c>
      <c r="I1507" s="2408"/>
      <c r="J1507" s="2408"/>
      <c r="K1507" s="2672" t="s">
        <v>6528</v>
      </c>
      <c r="L1507" s="2409"/>
    </row>
    <row r="1508" spans="1:12" ht="12" customHeight="1" x14ac:dyDescent="0.3">
      <c r="A1508" s="2394" t="s">
        <v>4967</v>
      </c>
      <c r="B1508" s="2395" t="s">
        <v>3992</v>
      </c>
      <c r="C1508" s="2406">
        <v>0</v>
      </c>
      <c r="D1508" s="2396"/>
      <c r="E1508" s="2406">
        <v>0</v>
      </c>
      <c r="F1508" s="2406">
        <v>0</v>
      </c>
      <c r="G1508" s="2430">
        <v>0</v>
      </c>
      <c r="H1508" s="2407">
        <v>0</v>
      </c>
      <c r="I1508" s="2408"/>
      <c r="J1508" s="2408"/>
      <c r="K1508" s="2672"/>
      <c r="L1508" s="2409"/>
    </row>
    <row r="1509" spans="1:12" ht="12" customHeight="1" x14ac:dyDescent="0.3">
      <c r="A1509" s="2394" t="s">
        <v>4968</v>
      </c>
      <c r="B1509" s="2395" t="s">
        <v>3720</v>
      </c>
      <c r="C1509" s="2406">
        <v>0</v>
      </c>
      <c r="D1509" s="2396"/>
      <c r="E1509" s="2406">
        <v>0</v>
      </c>
      <c r="F1509" s="2406">
        <v>0</v>
      </c>
      <c r="G1509" s="2430">
        <v>0</v>
      </c>
      <c r="H1509" s="2407">
        <v>0</v>
      </c>
      <c r="I1509" s="2408"/>
      <c r="J1509" s="2408"/>
      <c r="K1509" s="2672" t="s">
        <v>6515</v>
      </c>
      <c r="L1509" s="2409"/>
    </row>
    <row r="1510" spans="1:12" ht="12" customHeight="1" x14ac:dyDescent="0.3">
      <c r="A1510" s="2394" t="s">
        <v>4969</v>
      </c>
      <c r="B1510" s="2395" t="s">
        <v>3993</v>
      </c>
      <c r="C1510" s="2406">
        <v>0</v>
      </c>
      <c r="D1510" s="2396"/>
      <c r="E1510" s="2406">
        <v>0</v>
      </c>
      <c r="F1510" s="2406">
        <v>0</v>
      </c>
      <c r="G1510" s="2430">
        <v>0</v>
      </c>
      <c r="H1510" s="2407">
        <v>0</v>
      </c>
      <c r="I1510" s="2408"/>
      <c r="J1510" s="2408"/>
      <c r="K1510" s="2672" t="s">
        <v>6518</v>
      </c>
      <c r="L1510" s="2409"/>
    </row>
    <row r="1511" spans="1:12" ht="12" customHeight="1" x14ac:dyDescent="0.3">
      <c r="A1511" s="2394" t="s">
        <v>4970</v>
      </c>
      <c r="B1511" s="2395" t="s">
        <v>3994</v>
      </c>
      <c r="C1511" s="2406">
        <v>0</v>
      </c>
      <c r="D1511" s="2396"/>
      <c r="E1511" s="2406">
        <v>0</v>
      </c>
      <c r="F1511" s="2406">
        <v>0</v>
      </c>
      <c r="G1511" s="2430">
        <v>0</v>
      </c>
      <c r="H1511" s="2407">
        <v>0</v>
      </c>
      <c r="I1511" s="2408"/>
      <c r="J1511" s="2408"/>
      <c r="K1511" s="2672" t="s">
        <v>6518</v>
      </c>
      <c r="L1511" s="2409"/>
    </row>
    <row r="1512" spans="1:12" ht="12.75" customHeight="1" x14ac:dyDescent="0.3">
      <c r="A1512" s="2394" t="s">
        <v>4971</v>
      </c>
      <c r="B1512" s="2395" t="s">
        <v>3995</v>
      </c>
      <c r="C1512" s="2406">
        <v>0</v>
      </c>
      <c r="D1512" s="2396"/>
      <c r="E1512" s="2406">
        <v>0</v>
      </c>
      <c r="F1512" s="2406">
        <v>0</v>
      </c>
      <c r="G1512" s="2430">
        <v>0</v>
      </c>
      <c r="H1512" s="2407">
        <v>0</v>
      </c>
      <c r="I1512" s="2408"/>
      <c r="J1512" s="2408"/>
      <c r="K1512" s="2672" t="s">
        <v>6518</v>
      </c>
      <c r="L1512" s="2409"/>
    </row>
    <row r="1513" spans="1:12" ht="12.75" customHeight="1" x14ac:dyDescent="0.3">
      <c r="A1513" s="2394" t="s">
        <v>4972</v>
      </c>
      <c r="B1513" s="2395" t="s">
        <v>3935</v>
      </c>
      <c r="C1513" s="2406">
        <v>0</v>
      </c>
      <c r="D1513" s="2396"/>
      <c r="E1513" s="2406">
        <v>0</v>
      </c>
      <c r="F1513" s="2406">
        <v>0</v>
      </c>
      <c r="G1513" s="2430">
        <v>0</v>
      </c>
      <c r="H1513" s="2407">
        <v>0</v>
      </c>
      <c r="I1513" s="2408"/>
      <c r="J1513" s="2408"/>
      <c r="K1513" s="2672" t="s">
        <v>6522</v>
      </c>
      <c r="L1513" s="2409"/>
    </row>
    <row r="1514" spans="1:12" ht="12.75" customHeight="1" x14ac:dyDescent="0.3">
      <c r="A1514" s="2394" t="s">
        <v>4973</v>
      </c>
      <c r="B1514" s="2395" t="s">
        <v>3968</v>
      </c>
      <c r="C1514" s="2406">
        <v>0</v>
      </c>
      <c r="D1514" s="2396"/>
      <c r="E1514" s="2406">
        <v>0</v>
      </c>
      <c r="F1514" s="2406">
        <v>0</v>
      </c>
      <c r="G1514" s="2430">
        <v>0</v>
      </c>
      <c r="H1514" s="2407">
        <v>0</v>
      </c>
      <c r="I1514" s="2408"/>
      <c r="J1514" s="2408"/>
      <c r="K1514" s="2672" t="s">
        <v>6538</v>
      </c>
      <c r="L1514" s="2409"/>
    </row>
    <row r="1515" spans="1:12" ht="12.75" customHeight="1" x14ac:dyDescent="0.3">
      <c r="A1515" s="2394" t="s">
        <v>4974</v>
      </c>
      <c r="B1515" s="2395" t="s">
        <v>3648</v>
      </c>
      <c r="C1515" s="2406">
        <v>0</v>
      </c>
      <c r="D1515" s="2396"/>
      <c r="E1515" s="2406">
        <v>0</v>
      </c>
      <c r="F1515" s="2406">
        <v>0</v>
      </c>
      <c r="G1515" s="2430">
        <v>0</v>
      </c>
      <c r="H1515" s="2407">
        <v>0</v>
      </c>
      <c r="I1515" s="2408"/>
      <c r="J1515" s="2408"/>
      <c r="K1515" s="2672" t="s">
        <v>6516</v>
      </c>
      <c r="L1515" s="2409"/>
    </row>
    <row r="1516" spans="1:12" ht="12" customHeight="1" x14ac:dyDescent="0.3">
      <c r="A1516" s="2394" t="s">
        <v>4975</v>
      </c>
      <c r="B1516" s="2395" t="s">
        <v>3996</v>
      </c>
      <c r="C1516" s="2406">
        <v>0</v>
      </c>
      <c r="D1516" s="2396"/>
      <c r="E1516" s="2406">
        <v>0</v>
      </c>
      <c r="F1516" s="2406">
        <v>0</v>
      </c>
      <c r="G1516" s="2430">
        <v>0</v>
      </c>
      <c r="H1516" s="2407">
        <v>0</v>
      </c>
      <c r="I1516" s="2408"/>
      <c r="J1516" s="2408"/>
      <c r="K1516" s="2672" t="s">
        <v>6527</v>
      </c>
      <c r="L1516" s="2409"/>
    </row>
    <row r="1517" spans="1:12" ht="12" customHeight="1" x14ac:dyDescent="0.3">
      <c r="A1517" s="2394" t="s">
        <v>4976</v>
      </c>
      <c r="B1517" s="2395" t="s">
        <v>350</v>
      </c>
      <c r="C1517" s="2406">
        <v>0</v>
      </c>
      <c r="D1517" s="2396"/>
      <c r="E1517" s="2406">
        <v>0</v>
      </c>
      <c r="F1517" s="2406">
        <v>0</v>
      </c>
      <c r="G1517" s="2430">
        <v>0</v>
      </c>
      <c r="H1517" s="2407">
        <v>0</v>
      </c>
      <c r="I1517" s="2408"/>
      <c r="J1517" s="2408"/>
      <c r="K1517" s="2672" t="s">
        <v>6536</v>
      </c>
      <c r="L1517" s="2409"/>
    </row>
    <row r="1518" spans="1:12" ht="12" customHeight="1" x14ac:dyDescent="0.3">
      <c r="A1518" s="2394" t="s">
        <v>4977</v>
      </c>
      <c r="B1518" s="2395" t="s">
        <v>3997</v>
      </c>
      <c r="C1518" s="2406">
        <v>0</v>
      </c>
      <c r="D1518" s="2396"/>
      <c r="E1518" s="2406">
        <v>0</v>
      </c>
      <c r="F1518" s="2406">
        <v>0</v>
      </c>
      <c r="G1518" s="2430">
        <v>0</v>
      </c>
      <c r="H1518" s="2407">
        <v>0</v>
      </c>
      <c r="I1518" s="2408"/>
      <c r="J1518" s="2408"/>
      <c r="K1518" s="2672"/>
      <c r="L1518" s="2409"/>
    </row>
    <row r="1519" spans="1:12" ht="12" customHeight="1" x14ac:dyDescent="0.3">
      <c r="A1519" s="2394" t="s">
        <v>4978</v>
      </c>
      <c r="B1519" s="2395" t="s">
        <v>3720</v>
      </c>
      <c r="C1519" s="2406">
        <v>0</v>
      </c>
      <c r="D1519" s="2396"/>
      <c r="E1519" s="2406">
        <v>0</v>
      </c>
      <c r="F1519" s="2406">
        <v>0</v>
      </c>
      <c r="G1519" s="2430">
        <v>0</v>
      </c>
      <c r="H1519" s="2407">
        <v>0</v>
      </c>
      <c r="I1519" s="2408"/>
      <c r="J1519" s="2408"/>
      <c r="K1519" s="2672" t="s">
        <v>6515</v>
      </c>
      <c r="L1519" s="2409"/>
    </row>
    <row r="1520" spans="1:12" ht="12" customHeight="1" x14ac:dyDescent="0.3">
      <c r="A1520" s="2394" t="s">
        <v>4979</v>
      </c>
      <c r="B1520" s="2395" t="s">
        <v>3993</v>
      </c>
      <c r="C1520" s="2406">
        <v>0</v>
      </c>
      <c r="D1520" s="2396"/>
      <c r="E1520" s="2406">
        <v>0</v>
      </c>
      <c r="F1520" s="2406">
        <v>0</v>
      </c>
      <c r="G1520" s="2430">
        <v>0</v>
      </c>
      <c r="H1520" s="2407">
        <v>0</v>
      </c>
      <c r="I1520" s="2408"/>
      <c r="J1520" s="2408"/>
      <c r="K1520" s="2672" t="s">
        <v>6518</v>
      </c>
      <c r="L1520" s="2409"/>
    </row>
    <row r="1521" spans="1:12" ht="12" customHeight="1" x14ac:dyDescent="0.3">
      <c r="A1521" s="2394" t="s">
        <v>4980</v>
      </c>
      <c r="B1521" s="2395" t="s">
        <v>3998</v>
      </c>
      <c r="C1521" s="2406">
        <v>0</v>
      </c>
      <c r="D1521" s="2396"/>
      <c r="E1521" s="2406">
        <v>0</v>
      </c>
      <c r="F1521" s="2406">
        <v>0</v>
      </c>
      <c r="G1521" s="2430">
        <v>0</v>
      </c>
      <c r="H1521" s="2407">
        <v>0</v>
      </c>
      <c r="I1521" s="2408"/>
      <c r="J1521" s="2408"/>
      <c r="K1521" s="2672" t="s">
        <v>6518</v>
      </c>
      <c r="L1521" s="2409"/>
    </row>
    <row r="1522" spans="1:12" ht="12" customHeight="1" x14ac:dyDescent="0.3">
      <c r="A1522" s="2394" t="s">
        <v>4981</v>
      </c>
      <c r="B1522" s="2395" t="s">
        <v>3999</v>
      </c>
      <c r="C1522" s="2406">
        <v>0</v>
      </c>
      <c r="D1522" s="2396"/>
      <c r="E1522" s="2406">
        <v>0</v>
      </c>
      <c r="F1522" s="2406">
        <v>0</v>
      </c>
      <c r="G1522" s="2430">
        <v>0</v>
      </c>
      <c r="H1522" s="2407">
        <v>0</v>
      </c>
      <c r="I1522" s="2408"/>
      <c r="J1522" s="2408"/>
      <c r="K1522" s="2672" t="s">
        <v>6518</v>
      </c>
      <c r="L1522" s="2409"/>
    </row>
    <row r="1523" spans="1:12" ht="12.75" customHeight="1" x14ac:dyDescent="0.3">
      <c r="A1523" s="2394" t="s">
        <v>4982</v>
      </c>
      <c r="B1523" s="2395" t="s">
        <v>3935</v>
      </c>
      <c r="C1523" s="2406">
        <v>0</v>
      </c>
      <c r="D1523" s="2396"/>
      <c r="E1523" s="2406">
        <v>0</v>
      </c>
      <c r="F1523" s="2406">
        <v>0</v>
      </c>
      <c r="G1523" s="2430">
        <v>0</v>
      </c>
      <c r="H1523" s="2407">
        <v>0</v>
      </c>
      <c r="I1523" s="2408"/>
      <c r="J1523" s="2408"/>
      <c r="K1523" s="2672" t="s">
        <v>6522</v>
      </c>
      <c r="L1523" s="2409"/>
    </row>
    <row r="1524" spans="1:12" ht="12" customHeight="1" x14ac:dyDescent="0.3">
      <c r="A1524" s="2394" t="s">
        <v>4983</v>
      </c>
      <c r="B1524" s="2395" t="s">
        <v>3968</v>
      </c>
      <c r="C1524" s="2406">
        <v>0</v>
      </c>
      <c r="D1524" s="2396"/>
      <c r="E1524" s="2406">
        <v>0</v>
      </c>
      <c r="F1524" s="2406">
        <v>0</v>
      </c>
      <c r="G1524" s="2430">
        <v>0</v>
      </c>
      <c r="H1524" s="2407">
        <v>0</v>
      </c>
      <c r="I1524" s="2408"/>
      <c r="J1524" s="2408"/>
      <c r="K1524" s="2672" t="s">
        <v>6538</v>
      </c>
      <c r="L1524" s="2409"/>
    </row>
    <row r="1525" spans="1:12" ht="12" customHeight="1" x14ac:dyDescent="0.3">
      <c r="A1525" s="2394" t="s">
        <v>4984</v>
      </c>
      <c r="B1525" s="2395" t="s">
        <v>3648</v>
      </c>
      <c r="C1525" s="2406">
        <v>0</v>
      </c>
      <c r="D1525" s="2396"/>
      <c r="E1525" s="2406">
        <v>0</v>
      </c>
      <c r="F1525" s="2406">
        <v>0</v>
      </c>
      <c r="G1525" s="2430">
        <v>0</v>
      </c>
      <c r="H1525" s="2407">
        <v>0</v>
      </c>
      <c r="I1525" s="2408"/>
      <c r="J1525" s="2408"/>
      <c r="K1525" s="2672" t="s">
        <v>6516</v>
      </c>
      <c r="L1525" s="2409"/>
    </row>
    <row r="1526" spans="1:12" ht="12" customHeight="1" x14ac:dyDescent="0.3">
      <c r="A1526" s="2394" t="s">
        <v>4985</v>
      </c>
      <c r="B1526" s="2395" t="s">
        <v>3996</v>
      </c>
      <c r="C1526" s="2406">
        <v>0</v>
      </c>
      <c r="D1526" s="2396"/>
      <c r="E1526" s="2406">
        <v>0</v>
      </c>
      <c r="F1526" s="2406">
        <v>0</v>
      </c>
      <c r="G1526" s="2430">
        <v>0</v>
      </c>
      <c r="H1526" s="2407">
        <v>0</v>
      </c>
      <c r="I1526" s="2408"/>
      <c r="J1526" s="2408"/>
      <c r="K1526" s="2672" t="s">
        <v>6527</v>
      </c>
      <c r="L1526" s="2409"/>
    </row>
    <row r="1527" spans="1:12" ht="12" customHeight="1" x14ac:dyDescent="0.3">
      <c r="A1527" s="2394" t="s">
        <v>4986</v>
      </c>
      <c r="B1527" s="2395" t="s">
        <v>350</v>
      </c>
      <c r="C1527" s="2406">
        <v>0</v>
      </c>
      <c r="D1527" s="2396"/>
      <c r="E1527" s="2406">
        <v>0</v>
      </c>
      <c r="F1527" s="2406">
        <v>0</v>
      </c>
      <c r="G1527" s="2430">
        <v>0</v>
      </c>
      <c r="H1527" s="2407">
        <v>0</v>
      </c>
      <c r="I1527" s="2408"/>
      <c r="J1527" s="2408"/>
      <c r="K1527" s="2672" t="s">
        <v>6536</v>
      </c>
      <c r="L1527" s="2409"/>
    </row>
    <row r="1528" spans="1:12" ht="12" customHeight="1" x14ac:dyDescent="0.3">
      <c r="A1528" s="2394" t="s">
        <v>4987</v>
      </c>
      <c r="B1528" s="2395" t="s">
        <v>4000</v>
      </c>
      <c r="C1528" s="2406">
        <v>0</v>
      </c>
      <c r="D1528" s="2396"/>
      <c r="E1528" s="2406">
        <v>0</v>
      </c>
      <c r="F1528" s="2406">
        <v>0</v>
      </c>
      <c r="G1528" s="2430">
        <v>0</v>
      </c>
      <c r="H1528" s="2407">
        <v>0</v>
      </c>
      <c r="I1528" s="2408"/>
      <c r="J1528" s="2408"/>
      <c r="K1528" s="2672"/>
      <c r="L1528" s="2409"/>
    </row>
    <row r="1529" spans="1:12" ht="12" customHeight="1" x14ac:dyDescent="0.3">
      <c r="A1529" s="2394" t="s">
        <v>4988</v>
      </c>
      <c r="B1529" s="2395" t="s">
        <v>3720</v>
      </c>
      <c r="C1529" s="2406">
        <v>0</v>
      </c>
      <c r="D1529" s="2396"/>
      <c r="E1529" s="2406">
        <v>0</v>
      </c>
      <c r="F1529" s="2406">
        <v>0</v>
      </c>
      <c r="G1529" s="2430">
        <v>0</v>
      </c>
      <c r="H1529" s="2407">
        <v>0</v>
      </c>
      <c r="I1529" s="2408"/>
      <c r="J1529" s="2408"/>
      <c r="K1529" s="2672" t="s">
        <v>6515</v>
      </c>
      <c r="L1529" s="2409"/>
    </row>
    <row r="1530" spans="1:12" ht="12" customHeight="1" x14ac:dyDescent="0.3">
      <c r="A1530" s="2394" t="s">
        <v>4989</v>
      </c>
      <c r="B1530" s="2395" t="s">
        <v>3993</v>
      </c>
      <c r="C1530" s="2406">
        <v>0</v>
      </c>
      <c r="D1530" s="2396"/>
      <c r="E1530" s="2406">
        <v>0</v>
      </c>
      <c r="F1530" s="2406">
        <v>0</v>
      </c>
      <c r="G1530" s="2430">
        <v>0</v>
      </c>
      <c r="H1530" s="2407">
        <v>0</v>
      </c>
      <c r="I1530" s="2408"/>
      <c r="J1530" s="2408"/>
      <c r="K1530" s="2672" t="s">
        <v>6518</v>
      </c>
      <c r="L1530" s="2409"/>
    </row>
    <row r="1531" spans="1:12" ht="12" customHeight="1" x14ac:dyDescent="0.3">
      <c r="A1531" s="2394" t="s">
        <v>4990</v>
      </c>
      <c r="B1531" s="2395" t="s">
        <v>3998</v>
      </c>
      <c r="C1531" s="2406">
        <v>0</v>
      </c>
      <c r="D1531" s="2396"/>
      <c r="E1531" s="2406">
        <v>0</v>
      </c>
      <c r="F1531" s="2406">
        <v>0</v>
      </c>
      <c r="G1531" s="2430">
        <v>0</v>
      </c>
      <c r="H1531" s="2407">
        <v>0</v>
      </c>
      <c r="I1531" s="2408"/>
      <c r="J1531" s="2408"/>
      <c r="K1531" s="2672" t="s">
        <v>6518</v>
      </c>
      <c r="L1531" s="2409"/>
    </row>
    <row r="1532" spans="1:12" ht="12" customHeight="1" x14ac:dyDescent="0.3">
      <c r="A1532" s="2394" t="s">
        <v>4991</v>
      </c>
      <c r="B1532" s="2395" t="s">
        <v>3999</v>
      </c>
      <c r="C1532" s="2406">
        <v>0</v>
      </c>
      <c r="D1532" s="2396"/>
      <c r="E1532" s="2406">
        <v>0</v>
      </c>
      <c r="F1532" s="2406">
        <v>0</v>
      </c>
      <c r="G1532" s="2430">
        <v>0</v>
      </c>
      <c r="H1532" s="2407">
        <v>0</v>
      </c>
      <c r="I1532" s="2408"/>
      <c r="J1532" s="2408"/>
      <c r="K1532" s="2672" t="s">
        <v>6518</v>
      </c>
      <c r="L1532" s="2409"/>
    </row>
    <row r="1533" spans="1:12" ht="12" customHeight="1" x14ac:dyDescent="0.3">
      <c r="A1533" s="2394" t="s">
        <v>4992</v>
      </c>
      <c r="B1533" s="2395" t="s">
        <v>3935</v>
      </c>
      <c r="C1533" s="2406">
        <v>0</v>
      </c>
      <c r="D1533" s="2396"/>
      <c r="E1533" s="2406">
        <v>0</v>
      </c>
      <c r="F1533" s="2406">
        <v>0</v>
      </c>
      <c r="G1533" s="2430">
        <v>0</v>
      </c>
      <c r="H1533" s="2407">
        <v>0</v>
      </c>
      <c r="I1533" s="2408"/>
      <c r="J1533" s="2408"/>
      <c r="K1533" s="2672" t="s">
        <v>6522</v>
      </c>
      <c r="L1533" s="2409"/>
    </row>
    <row r="1534" spans="1:12" ht="12" customHeight="1" x14ac:dyDescent="0.3">
      <c r="A1534" s="2394" t="s">
        <v>4993</v>
      </c>
      <c r="B1534" s="2395" t="s">
        <v>3968</v>
      </c>
      <c r="C1534" s="2406">
        <v>0</v>
      </c>
      <c r="D1534" s="2396"/>
      <c r="E1534" s="2406">
        <v>0</v>
      </c>
      <c r="F1534" s="2406">
        <v>0</v>
      </c>
      <c r="G1534" s="2430">
        <v>0</v>
      </c>
      <c r="H1534" s="2407">
        <v>0</v>
      </c>
      <c r="I1534" s="2408"/>
      <c r="J1534" s="2408"/>
      <c r="K1534" s="2672" t="s">
        <v>6538</v>
      </c>
      <c r="L1534" s="2409"/>
    </row>
    <row r="1535" spans="1:12" ht="12" customHeight="1" x14ac:dyDescent="0.3">
      <c r="A1535" s="2394" t="s">
        <v>4994</v>
      </c>
      <c r="B1535" s="2395" t="s">
        <v>3648</v>
      </c>
      <c r="C1535" s="2406">
        <v>0</v>
      </c>
      <c r="D1535" s="2396"/>
      <c r="E1535" s="2406">
        <v>0</v>
      </c>
      <c r="F1535" s="2406">
        <v>0</v>
      </c>
      <c r="G1535" s="2430">
        <v>0</v>
      </c>
      <c r="H1535" s="2407">
        <v>0</v>
      </c>
      <c r="I1535" s="2408"/>
      <c r="J1535" s="2408"/>
      <c r="K1535" s="2672" t="s">
        <v>6516</v>
      </c>
      <c r="L1535" s="2409"/>
    </row>
    <row r="1536" spans="1:12" ht="12" customHeight="1" x14ac:dyDescent="0.3">
      <c r="A1536" s="2394" t="s">
        <v>4995</v>
      </c>
      <c r="B1536" s="2395" t="s">
        <v>3996</v>
      </c>
      <c r="C1536" s="2406">
        <v>0</v>
      </c>
      <c r="D1536" s="2396"/>
      <c r="E1536" s="2406">
        <v>0</v>
      </c>
      <c r="F1536" s="2406">
        <v>0</v>
      </c>
      <c r="G1536" s="2430">
        <v>0</v>
      </c>
      <c r="H1536" s="2407">
        <v>0</v>
      </c>
      <c r="I1536" s="2408"/>
      <c r="J1536" s="2408"/>
      <c r="K1536" s="2672" t="s">
        <v>6527</v>
      </c>
      <c r="L1536" s="2409"/>
    </row>
    <row r="1537" spans="1:12" ht="12.75" customHeight="1" x14ac:dyDescent="0.3">
      <c r="A1537" s="2394" t="s">
        <v>4996</v>
      </c>
      <c r="B1537" s="2395" t="s">
        <v>350</v>
      </c>
      <c r="C1537" s="2406">
        <v>0</v>
      </c>
      <c r="D1537" s="2396"/>
      <c r="E1537" s="2406">
        <v>0</v>
      </c>
      <c r="F1537" s="2406">
        <v>0</v>
      </c>
      <c r="G1537" s="2430">
        <v>0</v>
      </c>
      <c r="H1537" s="2407">
        <v>0</v>
      </c>
      <c r="I1537" s="2408"/>
      <c r="J1537" s="2408"/>
      <c r="K1537" s="2672" t="s">
        <v>6536</v>
      </c>
      <c r="L1537" s="2409"/>
    </row>
    <row r="1538" spans="1:12" ht="12" customHeight="1" x14ac:dyDescent="0.3">
      <c r="A1538" s="2394" t="s">
        <v>4997</v>
      </c>
      <c r="B1538" s="2395" t="s">
        <v>4001</v>
      </c>
      <c r="C1538" s="2406">
        <v>0</v>
      </c>
      <c r="D1538" s="2396"/>
      <c r="E1538" s="2406">
        <v>0</v>
      </c>
      <c r="F1538" s="2406">
        <v>0</v>
      </c>
      <c r="G1538" s="2430">
        <v>0</v>
      </c>
      <c r="H1538" s="2407">
        <v>0</v>
      </c>
      <c r="I1538" s="2408"/>
      <c r="J1538" s="2408"/>
      <c r="K1538" s="2672"/>
      <c r="L1538" s="2409"/>
    </row>
    <row r="1539" spans="1:12" ht="12" customHeight="1" x14ac:dyDescent="0.3">
      <c r="A1539" s="2394" t="s">
        <v>4998</v>
      </c>
      <c r="B1539" s="2395" t="s">
        <v>3963</v>
      </c>
      <c r="C1539" s="2406">
        <v>0</v>
      </c>
      <c r="D1539" s="2396"/>
      <c r="E1539" s="2406">
        <v>0</v>
      </c>
      <c r="F1539" s="2406">
        <v>0</v>
      </c>
      <c r="G1539" s="2430">
        <v>0</v>
      </c>
      <c r="H1539" s="2407">
        <v>0</v>
      </c>
      <c r="I1539" s="2408"/>
      <c r="J1539" s="2408"/>
      <c r="K1539" s="2672" t="s">
        <v>6541</v>
      </c>
      <c r="L1539" s="2409"/>
    </row>
    <row r="1540" spans="1:12" ht="12" customHeight="1" x14ac:dyDescent="0.3">
      <c r="A1540" s="2394" t="s">
        <v>4999</v>
      </c>
      <c r="B1540" s="2395" t="s">
        <v>3754</v>
      </c>
      <c r="C1540" s="2406">
        <v>0</v>
      </c>
      <c r="D1540" s="2396"/>
      <c r="E1540" s="2406">
        <v>0</v>
      </c>
      <c r="F1540" s="2406">
        <v>0</v>
      </c>
      <c r="G1540" s="2430">
        <v>0</v>
      </c>
      <c r="H1540" s="2407">
        <v>0</v>
      </c>
      <c r="I1540" s="2408"/>
      <c r="J1540" s="2408"/>
      <c r="K1540" s="2672" t="s">
        <v>6539</v>
      </c>
      <c r="L1540" s="2409"/>
    </row>
    <row r="1541" spans="1:12" ht="12" customHeight="1" x14ac:dyDescent="0.3">
      <c r="A1541" s="2394" t="s">
        <v>5000</v>
      </c>
      <c r="B1541" s="2395" t="s">
        <v>3599</v>
      </c>
      <c r="C1541" s="2406">
        <v>0</v>
      </c>
      <c r="D1541" s="2396"/>
      <c r="E1541" s="2406">
        <v>0</v>
      </c>
      <c r="F1541" s="2406">
        <v>0</v>
      </c>
      <c r="G1541" s="2437">
        <v>0</v>
      </c>
      <c r="H1541" s="2407">
        <v>0</v>
      </c>
      <c r="I1541" s="2408"/>
      <c r="J1541" s="2408"/>
      <c r="K1541" s="2672"/>
      <c r="L1541" s="2409"/>
    </row>
    <row r="1542" spans="1:12" ht="12" customHeight="1" x14ac:dyDescent="0.3">
      <c r="A1542" s="2394" t="s">
        <v>5001</v>
      </c>
      <c r="B1542" s="2395" t="s">
        <v>3601</v>
      </c>
      <c r="C1542" s="2406">
        <v>0</v>
      </c>
      <c r="D1542" s="2396"/>
      <c r="E1542" s="2406">
        <v>0</v>
      </c>
      <c r="F1542" s="2406">
        <v>0</v>
      </c>
      <c r="G1542" s="2437">
        <v>0</v>
      </c>
      <c r="H1542" s="2407">
        <v>0</v>
      </c>
      <c r="I1542" s="2408"/>
      <c r="J1542" s="2408"/>
      <c r="K1542" s="2672" t="s">
        <v>2586</v>
      </c>
      <c r="L1542" s="2409"/>
    </row>
    <row r="1543" spans="1:12" ht="12" customHeight="1" x14ac:dyDescent="0.3">
      <c r="A1543" s="2394" t="s">
        <v>5002</v>
      </c>
      <c r="B1543" s="2395" t="s">
        <v>3603</v>
      </c>
      <c r="C1543" s="2406">
        <v>0</v>
      </c>
      <c r="D1543" s="2396"/>
      <c r="E1543" s="2406">
        <v>0</v>
      </c>
      <c r="F1543" s="2406">
        <v>0</v>
      </c>
      <c r="G1543" s="2437">
        <v>0</v>
      </c>
      <c r="H1543" s="2407">
        <v>0</v>
      </c>
      <c r="I1543" s="2408"/>
      <c r="J1543" s="2408"/>
      <c r="K1543" s="2672" t="s">
        <v>2586</v>
      </c>
      <c r="L1543" s="2409"/>
    </row>
    <row r="1544" spans="1:12" ht="12" customHeight="1" x14ac:dyDescent="0.3">
      <c r="A1544" s="2394" t="s">
        <v>5003</v>
      </c>
      <c r="B1544" s="2395" t="s">
        <v>3605</v>
      </c>
      <c r="C1544" s="2406">
        <v>0</v>
      </c>
      <c r="D1544" s="2396"/>
      <c r="E1544" s="2406">
        <v>0</v>
      </c>
      <c r="F1544" s="2406">
        <v>0</v>
      </c>
      <c r="G1544" s="2437">
        <v>0</v>
      </c>
      <c r="H1544" s="2407">
        <v>0</v>
      </c>
      <c r="I1544" s="2408"/>
      <c r="J1544" s="2408"/>
      <c r="K1544" s="2672" t="s">
        <v>2585</v>
      </c>
      <c r="L1544" s="2409"/>
    </row>
    <row r="1545" spans="1:12" ht="12" customHeight="1" x14ac:dyDescent="0.3">
      <c r="A1545" s="2394" t="s">
        <v>5004</v>
      </c>
      <c r="B1545" s="2395" t="s">
        <v>3607</v>
      </c>
      <c r="C1545" s="2406">
        <v>0</v>
      </c>
      <c r="D1545" s="2396"/>
      <c r="E1545" s="2406">
        <v>0</v>
      </c>
      <c r="F1545" s="2406">
        <v>0</v>
      </c>
      <c r="G1545" s="2437">
        <v>0</v>
      </c>
      <c r="H1545" s="2407">
        <v>0</v>
      </c>
      <c r="I1545" s="2408"/>
      <c r="J1545" s="2408"/>
      <c r="K1545" s="2672" t="s">
        <v>2586</v>
      </c>
      <c r="L1545" s="2409"/>
    </row>
    <row r="1546" spans="1:12" ht="12" customHeight="1" x14ac:dyDescent="0.3">
      <c r="A1546" s="2394" t="s">
        <v>5005</v>
      </c>
      <c r="B1546" s="2395" t="s">
        <v>3609</v>
      </c>
      <c r="C1546" s="2406">
        <v>0</v>
      </c>
      <c r="D1546" s="2396"/>
      <c r="E1546" s="2406">
        <v>0</v>
      </c>
      <c r="F1546" s="2406">
        <v>0</v>
      </c>
      <c r="G1546" s="2437">
        <v>0</v>
      </c>
      <c r="H1546" s="2407">
        <v>0</v>
      </c>
      <c r="I1546" s="2408"/>
      <c r="J1546" s="2408"/>
      <c r="K1546" s="2672" t="s">
        <v>2585</v>
      </c>
      <c r="L1546" s="2409"/>
    </row>
    <row r="1547" spans="1:12" ht="12" customHeight="1" x14ac:dyDescent="0.3">
      <c r="A1547" s="2394" t="s">
        <v>5006</v>
      </c>
      <c r="B1547" s="2395" t="s">
        <v>3611</v>
      </c>
      <c r="C1547" s="2406">
        <v>0</v>
      </c>
      <c r="D1547" s="2396"/>
      <c r="E1547" s="2406">
        <v>0</v>
      </c>
      <c r="F1547" s="2406">
        <v>0</v>
      </c>
      <c r="G1547" s="2437">
        <v>0</v>
      </c>
      <c r="H1547" s="2407">
        <v>0</v>
      </c>
      <c r="I1547" s="2408"/>
      <c r="J1547" s="2408"/>
      <c r="K1547" s="2672" t="s">
        <v>6505</v>
      </c>
      <c r="L1547" s="2409"/>
    </row>
    <row r="1548" spans="1:12" ht="12" customHeight="1" x14ac:dyDescent="0.3">
      <c r="A1548" s="2394" t="s">
        <v>5007</v>
      </c>
      <c r="B1548" s="2395" t="s">
        <v>3613</v>
      </c>
      <c r="C1548" s="2406">
        <v>0</v>
      </c>
      <c r="D1548" s="2396"/>
      <c r="E1548" s="2406">
        <v>0</v>
      </c>
      <c r="F1548" s="2406">
        <v>0</v>
      </c>
      <c r="G1548" s="2437">
        <v>0</v>
      </c>
      <c r="H1548" s="2407">
        <v>0</v>
      </c>
      <c r="I1548" s="2408"/>
      <c r="J1548" s="2408"/>
      <c r="K1548" s="2672" t="s">
        <v>6505</v>
      </c>
      <c r="L1548" s="2409"/>
    </row>
    <row r="1549" spans="1:12" ht="12" customHeight="1" x14ac:dyDescent="0.3">
      <c r="A1549" s="2394" t="s">
        <v>5008</v>
      </c>
      <c r="B1549" s="2395" t="s">
        <v>3615</v>
      </c>
      <c r="C1549" s="2406">
        <v>0</v>
      </c>
      <c r="D1549" s="2396"/>
      <c r="E1549" s="2406">
        <v>0</v>
      </c>
      <c r="F1549" s="2406">
        <v>0</v>
      </c>
      <c r="G1549" s="2437">
        <v>0</v>
      </c>
      <c r="H1549" s="2407">
        <v>0</v>
      </c>
      <c r="I1549" s="2408"/>
      <c r="J1549" s="2408"/>
      <c r="K1549" s="2672" t="s">
        <v>2586</v>
      </c>
      <c r="L1549" s="2409"/>
    </row>
    <row r="1550" spans="1:12" ht="12" customHeight="1" x14ac:dyDescent="0.3">
      <c r="A1550" s="2394" t="s">
        <v>5009</v>
      </c>
      <c r="B1550" s="2395" t="s">
        <v>3617</v>
      </c>
      <c r="C1550" s="2406">
        <v>0</v>
      </c>
      <c r="D1550" s="2396"/>
      <c r="E1550" s="2406">
        <v>0</v>
      </c>
      <c r="F1550" s="2406">
        <v>0</v>
      </c>
      <c r="G1550" s="2437">
        <v>0</v>
      </c>
      <c r="H1550" s="2407">
        <v>0</v>
      </c>
      <c r="I1550" s="2408"/>
      <c r="J1550" s="2408"/>
      <c r="K1550" s="2672" t="s">
        <v>2586</v>
      </c>
      <c r="L1550" s="2409"/>
    </row>
    <row r="1551" spans="1:12" ht="12" customHeight="1" x14ac:dyDescent="0.3">
      <c r="A1551" s="2394" t="s">
        <v>5010</v>
      </c>
      <c r="B1551" s="2395" t="s">
        <v>3619</v>
      </c>
      <c r="C1551" s="2406">
        <v>0</v>
      </c>
      <c r="D1551" s="2396"/>
      <c r="E1551" s="2406">
        <v>0</v>
      </c>
      <c r="F1551" s="2406">
        <v>0</v>
      </c>
      <c r="G1551" s="2437">
        <v>0</v>
      </c>
      <c r="H1551" s="2407">
        <v>0</v>
      </c>
      <c r="I1551" s="2408"/>
      <c r="J1551" s="2408"/>
      <c r="K1551" s="2672"/>
      <c r="L1551" s="2409"/>
    </row>
    <row r="1552" spans="1:12" ht="12" customHeight="1" x14ac:dyDescent="0.3">
      <c r="A1552" s="2394" t="s">
        <v>5011</v>
      </c>
      <c r="B1552" s="2395" t="s">
        <v>3621</v>
      </c>
      <c r="C1552" s="2406">
        <v>0</v>
      </c>
      <c r="D1552" s="2396"/>
      <c r="E1552" s="2406">
        <v>0</v>
      </c>
      <c r="F1552" s="2406">
        <v>0</v>
      </c>
      <c r="G1552" s="2437">
        <v>0</v>
      </c>
      <c r="H1552" s="2407">
        <v>0</v>
      </c>
      <c r="I1552" s="2408"/>
      <c r="J1552" s="2408"/>
      <c r="K1552" s="2672" t="s">
        <v>6506</v>
      </c>
      <c r="L1552" s="2409"/>
    </row>
    <row r="1553" spans="1:12" ht="12" customHeight="1" x14ac:dyDescent="0.3">
      <c r="A1553" s="2394" t="s">
        <v>5012</v>
      </c>
      <c r="B1553" s="2395" t="s">
        <v>3623</v>
      </c>
      <c r="C1553" s="2406">
        <v>0</v>
      </c>
      <c r="D1553" s="2396"/>
      <c r="E1553" s="2406">
        <v>0</v>
      </c>
      <c r="F1553" s="2406">
        <v>0</v>
      </c>
      <c r="G1553" s="2437">
        <v>0</v>
      </c>
      <c r="H1553" s="2407">
        <v>0</v>
      </c>
      <c r="I1553" s="2408"/>
      <c r="J1553" s="2408"/>
      <c r="K1553" s="2672" t="s">
        <v>6507</v>
      </c>
      <c r="L1553" s="2409"/>
    </row>
    <row r="1554" spans="1:12" ht="12" customHeight="1" x14ac:dyDescent="0.3">
      <c r="A1554" s="2394" t="s">
        <v>5013</v>
      </c>
      <c r="B1554" s="2395" t="s">
        <v>3625</v>
      </c>
      <c r="C1554" s="2406">
        <v>0</v>
      </c>
      <c r="D1554" s="2396"/>
      <c r="E1554" s="2406">
        <v>0</v>
      </c>
      <c r="F1554" s="2406">
        <v>0</v>
      </c>
      <c r="G1554" s="2437">
        <v>0</v>
      </c>
      <c r="H1554" s="2407">
        <v>0</v>
      </c>
      <c r="I1554" s="2408"/>
      <c r="J1554" s="2408"/>
      <c r="K1554" s="2672" t="s">
        <v>6508</v>
      </c>
      <c r="L1554" s="2409"/>
    </row>
    <row r="1555" spans="1:12" ht="12" customHeight="1" x14ac:dyDescent="0.3">
      <c r="A1555" s="2394" t="s">
        <v>5014</v>
      </c>
      <c r="B1555" s="2395" t="s">
        <v>3627</v>
      </c>
      <c r="C1555" s="2406">
        <v>0</v>
      </c>
      <c r="D1555" s="2396"/>
      <c r="E1555" s="2406">
        <v>0</v>
      </c>
      <c r="F1555" s="2406">
        <v>0</v>
      </c>
      <c r="G1555" s="2437">
        <v>0</v>
      </c>
      <c r="H1555" s="2407">
        <v>0</v>
      </c>
      <c r="I1555" s="2408"/>
      <c r="J1555" s="2408"/>
      <c r="K1555" s="2672" t="s">
        <v>6509</v>
      </c>
      <c r="L1555" s="2409"/>
    </row>
    <row r="1556" spans="1:12" ht="12" customHeight="1" x14ac:dyDescent="0.3">
      <c r="A1556" s="2394" t="s">
        <v>5015</v>
      </c>
      <c r="B1556" s="2395" t="s">
        <v>3629</v>
      </c>
      <c r="C1556" s="2406">
        <v>0</v>
      </c>
      <c r="D1556" s="2396"/>
      <c r="E1556" s="2406">
        <v>0</v>
      </c>
      <c r="F1556" s="2406">
        <v>0</v>
      </c>
      <c r="G1556" s="2437">
        <v>0</v>
      </c>
      <c r="H1556" s="2407">
        <v>0</v>
      </c>
      <c r="I1556" s="2408"/>
      <c r="J1556" s="2408"/>
      <c r="K1556" s="2672" t="s">
        <v>6510</v>
      </c>
      <c r="L1556" s="2409"/>
    </row>
    <row r="1557" spans="1:12" ht="12" customHeight="1" x14ac:dyDescent="0.3">
      <c r="A1557" s="2394" t="s">
        <v>5016</v>
      </c>
      <c r="B1557" s="2395" t="s">
        <v>3631</v>
      </c>
      <c r="C1557" s="2406">
        <v>0</v>
      </c>
      <c r="D1557" s="2396"/>
      <c r="E1557" s="2406">
        <v>0</v>
      </c>
      <c r="F1557" s="2406">
        <v>0</v>
      </c>
      <c r="G1557" s="2437">
        <v>0</v>
      </c>
      <c r="H1557" s="2407">
        <v>0</v>
      </c>
      <c r="I1557" s="2408"/>
      <c r="J1557" s="2408"/>
      <c r="K1557" s="2672" t="s">
        <v>6511</v>
      </c>
      <c r="L1557" s="2409"/>
    </row>
    <row r="1558" spans="1:12" ht="12" customHeight="1" x14ac:dyDescent="0.3">
      <c r="A1558" s="2394" t="s">
        <v>5017</v>
      </c>
      <c r="B1558" s="2395" t="s">
        <v>3633</v>
      </c>
      <c r="C1558" s="2406">
        <v>0</v>
      </c>
      <c r="D1558" s="2396"/>
      <c r="E1558" s="2406">
        <v>0</v>
      </c>
      <c r="F1558" s="2406">
        <v>0</v>
      </c>
      <c r="G1558" s="2437">
        <v>0</v>
      </c>
      <c r="H1558" s="2407">
        <v>0</v>
      </c>
      <c r="I1558" s="2408"/>
      <c r="J1558" s="2408"/>
      <c r="K1558" s="2672" t="s">
        <v>6512</v>
      </c>
      <c r="L1558" s="2409"/>
    </row>
    <row r="1559" spans="1:12" ht="12" customHeight="1" x14ac:dyDescent="0.3">
      <c r="A1559" s="2394" t="s">
        <v>5018</v>
      </c>
      <c r="B1559" s="2395" t="s">
        <v>3635</v>
      </c>
      <c r="C1559" s="2406">
        <v>0</v>
      </c>
      <c r="D1559" s="2396"/>
      <c r="E1559" s="2406">
        <v>0</v>
      </c>
      <c r="F1559" s="2406">
        <v>0</v>
      </c>
      <c r="G1559" s="2437">
        <v>0</v>
      </c>
      <c r="H1559" s="2407">
        <v>0</v>
      </c>
      <c r="I1559" s="2408"/>
      <c r="J1559" s="2408"/>
      <c r="K1559" s="2672" t="s">
        <v>6513</v>
      </c>
      <c r="L1559" s="2409"/>
    </row>
    <row r="1560" spans="1:12" ht="12" customHeight="1" x14ac:dyDescent="0.3">
      <c r="A1560" s="2394" t="s">
        <v>5019</v>
      </c>
      <c r="B1560" s="2395" t="s">
        <v>3637</v>
      </c>
      <c r="C1560" s="2406">
        <v>0</v>
      </c>
      <c r="D1560" s="2396"/>
      <c r="E1560" s="2406">
        <v>0</v>
      </c>
      <c r="F1560" s="2406">
        <v>0</v>
      </c>
      <c r="G1560" s="2437">
        <v>0</v>
      </c>
      <c r="H1560" s="2407">
        <v>0</v>
      </c>
      <c r="I1560" s="2408"/>
      <c r="J1560" s="2408"/>
      <c r="K1560" s="2672" t="s">
        <v>6514</v>
      </c>
      <c r="L1560" s="2409"/>
    </row>
    <row r="1561" spans="1:12" ht="12" customHeight="1" x14ac:dyDescent="0.3">
      <c r="A1561" s="2394" t="s">
        <v>5020</v>
      </c>
      <c r="B1561" s="2395" t="s">
        <v>334</v>
      </c>
      <c r="C1561" s="2406">
        <v>0</v>
      </c>
      <c r="D1561" s="2396"/>
      <c r="E1561" s="2406">
        <v>0</v>
      </c>
      <c r="F1561" s="2406">
        <v>0</v>
      </c>
      <c r="G1561" s="2437">
        <v>0</v>
      </c>
      <c r="H1561" s="2407">
        <v>0</v>
      </c>
      <c r="I1561" s="2408"/>
      <c r="J1561" s="2408"/>
      <c r="K1561" s="2672"/>
      <c r="L1561" s="2409"/>
    </row>
    <row r="1562" spans="1:12" ht="12" customHeight="1" x14ac:dyDescent="0.3">
      <c r="A1562" s="2394" t="s">
        <v>5021</v>
      </c>
      <c r="B1562" s="2395" t="s">
        <v>3640</v>
      </c>
      <c r="C1562" s="2406">
        <v>0</v>
      </c>
      <c r="D1562" s="2396"/>
      <c r="E1562" s="2406">
        <v>0</v>
      </c>
      <c r="F1562" s="2406">
        <v>0</v>
      </c>
      <c r="G1562" s="2437">
        <v>0</v>
      </c>
      <c r="H1562" s="2407">
        <v>0</v>
      </c>
      <c r="I1562" s="2408"/>
      <c r="J1562" s="2408"/>
      <c r="K1562" s="2672" t="s">
        <v>6515</v>
      </c>
      <c r="L1562" s="2409"/>
    </row>
    <row r="1563" spans="1:12" ht="12" customHeight="1" x14ac:dyDescent="0.3">
      <c r="A1563" s="2394" t="s">
        <v>5022</v>
      </c>
      <c r="B1563" s="2395" t="s">
        <v>3642</v>
      </c>
      <c r="C1563" s="2406">
        <v>0</v>
      </c>
      <c r="D1563" s="2396"/>
      <c r="E1563" s="2406">
        <v>0</v>
      </c>
      <c r="F1563" s="2406">
        <v>0</v>
      </c>
      <c r="G1563" s="2437">
        <v>0</v>
      </c>
      <c r="H1563" s="2407">
        <v>0</v>
      </c>
      <c r="I1563" s="2408"/>
      <c r="J1563" s="2408"/>
      <c r="K1563" s="2672" t="s">
        <v>6515</v>
      </c>
      <c r="L1563" s="2409"/>
    </row>
    <row r="1564" spans="1:12" ht="12" customHeight="1" x14ac:dyDescent="0.3">
      <c r="A1564" s="2394" t="s">
        <v>5023</v>
      </c>
      <c r="B1564" s="2395" t="s">
        <v>3644</v>
      </c>
      <c r="C1564" s="2406">
        <v>0</v>
      </c>
      <c r="D1564" s="2396"/>
      <c r="E1564" s="2406">
        <v>0</v>
      </c>
      <c r="F1564" s="2406">
        <v>0</v>
      </c>
      <c r="G1564" s="2437">
        <v>0</v>
      </c>
      <c r="H1564" s="2407">
        <v>0</v>
      </c>
      <c r="I1564" s="2408"/>
      <c r="J1564" s="2408"/>
      <c r="K1564" s="2672" t="s">
        <v>6515</v>
      </c>
      <c r="L1564" s="2409"/>
    </row>
    <row r="1565" spans="1:12" ht="12" customHeight="1" x14ac:dyDescent="0.3">
      <c r="A1565" s="2394" t="s">
        <v>5024</v>
      </c>
      <c r="B1565" s="2395" t="s">
        <v>3646</v>
      </c>
      <c r="C1565" s="2406">
        <v>0</v>
      </c>
      <c r="D1565" s="2396"/>
      <c r="E1565" s="2406">
        <v>0</v>
      </c>
      <c r="F1565" s="2406">
        <v>0</v>
      </c>
      <c r="G1565" s="2437">
        <v>0</v>
      </c>
      <c r="H1565" s="2407">
        <v>0</v>
      </c>
      <c r="I1565" s="2408"/>
      <c r="J1565" s="2408"/>
      <c r="K1565" s="2672" t="s">
        <v>6515</v>
      </c>
      <c r="L1565" s="2409"/>
    </row>
    <row r="1566" spans="1:12" ht="12" customHeight="1" x14ac:dyDescent="0.3">
      <c r="A1566" s="2394" t="s">
        <v>5025</v>
      </c>
      <c r="B1566" s="2395" t="s">
        <v>3648</v>
      </c>
      <c r="C1566" s="2406">
        <v>0</v>
      </c>
      <c r="D1566" s="2396"/>
      <c r="E1566" s="2406">
        <v>0</v>
      </c>
      <c r="F1566" s="2406">
        <v>0</v>
      </c>
      <c r="G1566" s="2437">
        <v>0</v>
      </c>
      <c r="H1566" s="2407">
        <v>0</v>
      </c>
      <c r="I1566" s="2408"/>
      <c r="J1566" s="2408"/>
      <c r="K1566" s="2672" t="s">
        <v>6516</v>
      </c>
      <c r="L1566" s="2409"/>
    </row>
    <row r="1567" spans="1:12" ht="12" customHeight="1" x14ac:dyDescent="0.3">
      <c r="A1567" s="2394" t="s">
        <v>5026</v>
      </c>
      <c r="B1567" s="2395" t="s">
        <v>3650</v>
      </c>
      <c r="C1567" s="2406">
        <v>0</v>
      </c>
      <c r="D1567" s="2396"/>
      <c r="E1567" s="2406">
        <v>0</v>
      </c>
      <c r="F1567" s="2406">
        <v>0</v>
      </c>
      <c r="G1567" s="2437">
        <v>0</v>
      </c>
      <c r="H1567" s="2407">
        <v>0</v>
      </c>
      <c r="I1567" s="2408"/>
      <c r="J1567" s="2408"/>
      <c r="K1567" s="2672" t="s">
        <v>6517</v>
      </c>
      <c r="L1567" s="2409"/>
    </row>
    <row r="1568" spans="1:12" ht="12" customHeight="1" x14ac:dyDescent="0.3">
      <c r="A1568" s="2394" t="s">
        <v>5027</v>
      </c>
      <c r="B1568" s="2395" t="s">
        <v>3652</v>
      </c>
      <c r="C1568" s="2406">
        <v>0</v>
      </c>
      <c r="D1568" s="2396"/>
      <c r="E1568" s="2406">
        <v>0</v>
      </c>
      <c r="F1568" s="2406">
        <v>0</v>
      </c>
      <c r="G1568" s="2437">
        <v>0</v>
      </c>
      <c r="H1568" s="2407">
        <v>0</v>
      </c>
      <c r="I1568" s="2408"/>
      <c r="J1568" s="2408"/>
      <c r="K1568" s="2672" t="s">
        <v>6518</v>
      </c>
      <c r="L1568" s="2409"/>
    </row>
    <row r="1569" spans="1:12" ht="12" customHeight="1" x14ac:dyDescent="0.3">
      <c r="A1569" s="2394" t="s">
        <v>5028</v>
      </c>
      <c r="B1569" s="2395" t="s">
        <v>3654</v>
      </c>
      <c r="C1569" s="2406">
        <v>0</v>
      </c>
      <c r="D1569" s="2396"/>
      <c r="E1569" s="2406">
        <v>0</v>
      </c>
      <c r="F1569" s="2406">
        <v>0</v>
      </c>
      <c r="G1569" s="2437">
        <v>0</v>
      </c>
      <c r="H1569" s="2407">
        <v>0</v>
      </c>
      <c r="I1569" s="2408"/>
      <c r="J1569" s="2408"/>
      <c r="K1569" s="2672" t="s">
        <v>6518</v>
      </c>
      <c r="L1569" s="2409"/>
    </row>
    <row r="1570" spans="1:12" ht="12" customHeight="1" x14ac:dyDescent="0.3">
      <c r="A1570" s="2394" t="s">
        <v>5029</v>
      </c>
      <c r="B1570" s="2395" t="s">
        <v>3656</v>
      </c>
      <c r="C1570" s="2406">
        <v>0</v>
      </c>
      <c r="D1570" s="2396"/>
      <c r="E1570" s="2406">
        <v>0</v>
      </c>
      <c r="F1570" s="2406">
        <v>0</v>
      </c>
      <c r="G1570" s="2437">
        <v>0</v>
      </c>
      <c r="H1570" s="2407">
        <v>0</v>
      </c>
      <c r="I1570" s="2408"/>
      <c r="J1570" s="2408"/>
      <c r="K1570" s="2672"/>
      <c r="L1570" s="2409"/>
    </row>
    <row r="1571" spans="1:12" ht="12" customHeight="1" x14ac:dyDescent="0.3">
      <c r="A1571" s="2394" t="s">
        <v>5030</v>
      </c>
      <c r="B1571" s="2395" t="s">
        <v>3658</v>
      </c>
      <c r="C1571" s="2406">
        <v>0</v>
      </c>
      <c r="D1571" s="2396"/>
      <c r="E1571" s="2406">
        <v>0</v>
      </c>
      <c r="F1571" s="2406">
        <v>0</v>
      </c>
      <c r="G1571" s="2437">
        <v>0</v>
      </c>
      <c r="H1571" s="2407">
        <v>0</v>
      </c>
      <c r="I1571" s="2408"/>
      <c r="J1571" s="2408"/>
      <c r="K1571" s="2672" t="s">
        <v>6519</v>
      </c>
      <c r="L1571" s="2409"/>
    </row>
    <row r="1572" spans="1:12" ht="12" customHeight="1" x14ac:dyDescent="0.3">
      <c r="A1572" s="2394" t="s">
        <v>5031</v>
      </c>
      <c r="B1572" s="2395" t="s">
        <v>3660</v>
      </c>
      <c r="C1572" s="2406">
        <v>0</v>
      </c>
      <c r="D1572" s="2396"/>
      <c r="E1572" s="2406">
        <v>0</v>
      </c>
      <c r="F1572" s="2406">
        <v>0</v>
      </c>
      <c r="G1572" s="2437">
        <v>0</v>
      </c>
      <c r="H1572" s="2407">
        <v>0</v>
      </c>
      <c r="I1572" s="2408"/>
      <c r="J1572" s="2408"/>
      <c r="K1572" s="2672" t="s">
        <v>6520</v>
      </c>
      <c r="L1572" s="2409"/>
    </row>
    <row r="1573" spans="1:12" ht="12.75" customHeight="1" x14ac:dyDescent="0.3">
      <c r="A1573" s="2394" t="s">
        <v>5032</v>
      </c>
      <c r="B1573" s="2395" t="s">
        <v>3662</v>
      </c>
      <c r="C1573" s="2406">
        <v>0</v>
      </c>
      <c r="D1573" s="2396"/>
      <c r="E1573" s="2406">
        <v>0</v>
      </c>
      <c r="F1573" s="2406">
        <v>0</v>
      </c>
      <c r="G1573" s="2437">
        <v>0</v>
      </c>
      <c r="H1573" s="2407">
        <v>0</v>
      </c>
      <c r="I1573" s="2408"/>
      <c r="J1573" s="2408"/>
      <c r="K1573" s="2672" t="s">
        <v>6521</v>
      </c>
      <c r="L1573" s="2409"/>
    </row>
    <row r="1574" spans="1:12" ht="13.5" customHeight="1" x14ac:dyDescent="0.3">
      <c r="A1574" s="2394" t="s">
        <v>5033</v>
      </c>
      <c r="B1574" s="2395" t="s">
        <v>3664</v>
      </c>
      <c r="C1574" s="2406">
        <v>0</v>
      </c>
      <c r="D1574" s="2396"/>
      <c r="E1574" s="2406">
        <v>0</v>
      </c>
      <c r="F1574" s="2406">
        <v>0</v>
      </c>
      <c r="G1574" s="2437">
        <v>0</v>
      </c>
      <c r="H1574" s="2407">
        <v>0</v>
      </c>
      <c r="I1574" s="2408"/>
      <c r="J1574" s="2408"/>
      <c r="K1574" s="2672" t="s">
        <v>6522</v>
      </c>
      <c r="L1574" s="2409"/>
    </row>
    <row r="1575" spans="1:12" ht="12.75" customHeight="1" x14ac:dyDescent="0.3">
      <c r="A1575" s="2394" t="s">
        <v>5034</v>
      </c>
      <c r="B1575" s="2395" t="s">
        <v>3666</v>
      </c>
      <c r="C1575" s="2406">
        <v>0</v>
      </c>
      <c r="D1575" s="2396"/>
      <c r="E1575" s="2406">
        <v>0</v>
      </c>
      <c r="F1575" s="2406">
        <v>0</v>
      </c>
      <c r="G1575" s="2437">
        <v>0</v>
      </c>
      <c r="H1575" s="2407">
        <v>0</v>
      </c>
      <c r="I1575" s="2408"/>
      <c r="J1575" s="2408"/>
      <c r="K1575" s="2672" t="s">
        <v>6523</v>
      </c>
      <c r="L1575" s="2409"/>
    </row>
    <row r="1576" spans="1:12" ht="12.75" customHeight="1" x14ac:dyDescent="0.3">
      <c r="A1576" s="2394" t="s">
        <v>5035</v>
      </c>
      <c r="B1576" s="2395" t="s">
        <v>3668</v>
      </c>
      <c r="C1576" s="2406">
        <v>0</v>
      </c>
      <c r="D1576" s="2396"/>
      <c r="E1576" s="2406">
        <v>0</v>
      </c>
      <c r="F1576" s="2406">
        <v>0</v>
      </c>
      <c r="G1576" s="2437">
        <v>0</v>
      </c>
      <c r="H1576" s="2407">
        <v>0</v>
      </c>
      <c r="I1576" s="2408"/>
      <c r="J1576" s="2408"/>
      <c r="K1576" s="2672" t="s">
        <v>6524</v>
      </c>
      <c r="L1576" s="2409"/>
    </row>
    <row r="1577" spans="1:12" ht="12.75" customHeight="1" x14ac:dyDescent="0.3">
      <c r="A1577" s="2394" t="s">
        <v>5036</v>
      </c>
      <c r="B1577" s="2395" t="s">
        <v>350</v>
      </c>
      <c r="C1577" s="2406">
        <v>0</v>
      </c>
      <c r="D1577" s="2396"/>
      <c r="E1577" s="2406">
        <v>0</v>
      </c>
      <c r="F1577" s="2406">
        <v>0</v>
      </c>
      <c r="G1577" s="2437">
        <v>0</v>
      </c>
      <c r="H1577" s="2407">
        <v>0</v>
      </c>
      <c r="I1577" s="2408"/>
      <c r="J1577" s="2408"/>
      <c r="K1577" s="2672" t="s">
        <v>6536</v>
      </c>
      <c r="L1577" s="2409"/>
    </row>
    <row r="1578" spans="1:12" ht="12.75" customHeight="1" x14ac:dyDescent="0.3">
      <c r="A1578" s="2394" t="s">
        <v>5037</v>
      </c>
      <c r="B1578" s="2395" t="s">
        <v>3671</v>
      </c>
      <c r="C1578" s="2406">
        <v>0</v>
      </c>
      <c r="D1578" s="2396"/>
      <c r="E1578" s="2406">
        <v>0</v>
      </c>
      <c r="F1578" s="2406">
        <v>0</v>
      </c>
      <c r="G1578" s="2437">
        <v>0</v>
      </c>
      <c r="H1578" s="2407">
        <v>0</v>
      </c>
      <c r="I1578" s="2408"/>
      <c r="J1578" s="2408"/>
      <c r="K1578" s="2672"/>
      <c r="L1578" s="2409"/>
    </row>
    <row r="1579" spans="1:12" ht="12.75" customHeight="1" x14ac:dyDescent="0.3">
      <c r="A1579" s="2394" t="s">
        <v>5038</v>
      </c>
      <c r="B1579" s="2395" t="s">
        <v>3673</v>
      </c>
      <c r="C1579" s="2406">
        <v>0</v>
      </c>
      <c r="D1579" s="2396"/>
      <c r="E1579" s="2406">
        <v>0</v>
      </c>
      <c r="F1579" s="2406">
        <v>0</v>
      </c>
      <c r="G1579" s="2437">
        <v>0</v>
      </c>
      <c r="H1579" s="2407">
        <v>0</v>
      </c>
      <c r="I1579" s="2408"/>
      <c r="J1579" s="2408"/>
      <c r="K1579" s="2672" t="s">
        <v>6525</v>
      </c>
      <c r="L1579" s="2409"/>
    </row>
    <row r="1580" spans="1:12" ht="12.75" customHeight="1" x14ac:dyDescent="0.3">
      <c r="A1580" s="2394" t="s">
        <v>5039</v>
      </c>
      <c r="B1580" s="2395" t="s">
        <v>3675</v>
      </c>
      <c r="C1580" s="2406">
        <v>0</v>
      </c>
      <c r="D1580" s="2396"/>
      <c r="E1580" s="2406">
        <v>0</v>
      </c>
      <c r="F1580" s="2406">
        <v>0</v>
      </c>
      <c r="G1580" s="2437">
        <v>0</v>
      </c>
      <c r="H1580" s="2407">
        <v>0</v>
      </c>
      <c r="I1580" s="2408"/>
      <c r="J1580" s="2408"/>
      <c r="K1580" s="2672" t="s">
        <v>6526</v>
      </c>
      <c r="L1580" s="2409"/>
    </row>
    <row r="1581" spans="1:12" ht="12.75" customHeight="1" x14ac:dyDescent="0.3">
      <c r="A1581" s="2394" t="s">
        <v>5040</v>
      </c>
      <c r="B1581" s="2395" t="s">
        <v>3677</v>
      </c>
      <c r="C1581" s="2406">
        <v>0</v>
      </c>
      <c r="D1581" s="2396"/>
      <c r="E1581" s="2406">
        <v>0</v>
      </c>
      <c r="F1581" s="2406">
        <v>0</v>
      </c>
      <c r="G1581" s="2437">
        <v>0</v>
      </c>
      <c r="H1581" s="2407">
        <v>0</v>
      </c>
      <c r="I1581" s="2408"/>
      <c r="J1581" s="2408"/>
      <c r="K1581" s="2672" t="s">
        <v>6526</v>
      </c>
      <c r="L1581" s="2409"/>
    </row>
    <row r="1582" spans="1:12" ht="12" customHeight="1" x14ac:dyDescent="0.3">
      <c r="A1582" s="2394" t="s">
        <v>5041</v>
      </c>
      <c r="B1582" s="2395" t="s">
        <v>3679</v>
      </c>
      <c r="C1582" s="2406">
        <v>0</v>
      </c>
      <c r="D1582" s="2396"/>
      <c r="E1582" s="2406">
        <v>0</v>
      </c>
      <c r="F1582" s="2406">
        <v>0</v>
      </c>
      <c r="G1582" s="2437">
        <v>0</v>
      </c>
      <c r="H1582" s="2407">
        <v>0</v>
      </c>
      <c r="I1582" s="2408"/>
      <c r="J1582" s="2408"/>
      <c r="K1582" s="2672" t="s">
        <v>6526</v>
      </c>
      <c r="L1582" s="2409"/>
    </row>
    <row r="1583" spans="1:12" ht="12.75" customHeight="1" x14ac:dyDescent="0.3">
      <c r="A1583" s="2394" t="s">
        <v>5042</v>
      </c>
      <c r="B1583" s="2395" t="s">
        <v>3681</v>
      </c>
      <c r="C1583" s="2406">
        <v>0</v>
      </c>
      <c r="D1583" s="2396"/>
      <c r="E1583" s="2406">
        <v>0</v>
      </c>
      <c r="F1583" s="2406">
        <v>0</v>
      </c>
      <c r="G1583" s="2437">
        <v>0</v>
      </c>
      <c r="H1583" s="2407">
        <v>0</v>
      </c>
      <c r="I1583" s="2408"/>
      <c r="J1583" s="2408"/>
      <c r="K1583" s="2672" t="s">
        <v>6526</v>
      </c>
      <c r="L1583" s="2409"/>
    </row>
    <row r="1584" spans="1:12" ht="12.75" customHeight="1" x14ac:dyDescent="0.3">
      <c r="A1584" s="2394" t="s">
        <v>5043</v>
      </c>
      <c r="B1584" s="2395" t="s">
        <v>3683</v>
      </c>
      <c r="C1584" s="2406">
        <v>0</v>
      </c>
      <c r="D1584" s="2396"/>
      <c r="E1584" s="2406">
        <v>0</v>
      </c>
      <c r="F1584" s="2406">
        <v>0</v>
      </c>
      <c r="G1584" s="2437">
        <v>0</v>
      </c>
      <c r="H1584" s="2407">
        <v>0</v>
      </c>
      <c r="I1584" s="2408"/>
      <c r="J1584" s="2408"/>
      <c r="K1584" s="2672" t="s">
        <v>6527</v>
      </c>
      <c r="L1584" s="2409"/>
    </row>
    <row r="1585" spans="1:12" ht="12.75" customHeight="1" x14ac:dyDescent="0.3">
      <c r="A1585" s="2394" t="s">
        <v>5044</v>
      </c>
      <c r="B1585" s="2395" t="s">
        <v>3685</v>
      </c>
      <c r="C1585" s="2406">
        <v>0</v>
      </c>
      <c r="D1585" s="2396"/>
      <c r="E1585" s="2406">
        <v>0</v>
      </c>
      <c r="F1585" s="2406">
        <v>0</v>
      </c>
      <c r="G1585" s="2437">
        <v>0</v>
      </c>
      <c r="H1585" s="2407">
        <v>0</v>
      </c>
      <c r="I1585" s="2408"/>
      <c r="J1585" s="2408"/>
      <c r="K1585" s="2672" t="s">
        <v>6528</v>
      </c>
      <c r="L1585" s="2409"/>
    </row>
    <row r="1586" spans="1:12" ht="12.75" customHeight="1" x14ac:dyDescent="0.3">
      <c r="A1586" s="2394" t="s">
        <v>5045</v>
      </c>
      <c r="B1586" s="2395" t="s">
        <v>3687</v>
      </c>
      <c r="C1586" s="2406">
        <v>0</v>
      </c>
      <c r="D1586" s="2396"/>
      <c r="E1586" s="2406">
        <v>0</v>
      </c>
      <c r="F1586" s="2406">
        <v>0</v>
      </c>
      <c r="G1586" s="2437">
        <v>0</v>
      </c>
      <c r="H1586" s="2407">
        <v>0</v>
      </c>
      <c r="I1586" s="2408"/>
      <c r="J1586" s="2408"/>
      <c r="K1586" s="2672" t="s">
        <v>6528</v>
      </c>
      <c r="L1586" s="2409"/>
    </row>
    <row r="1587" spans="1:12" ht="12.75" customHeight="1" x14ac:dyDescent="0.3">
      <c r="A1587" s="2394" t="s">
        <v>5046</v>
      </c>
      <c r="B1587" s="2395" t="s">
        <v>3689</v>
      </c>
      <c r="C1587" s="2406">
        <v>0</v>
      </c>
      <c r="D1587" s="2396"/>
      <c r="E1587" s="2406">
        <v>0</v>
      </c>
      <c r="F1587" s="2406">
        <v>0</v>
      </c>
      <c r="G1587" s="2437">
        <v>0</v>
      </c>
      <c r="H1587" s="2407">
        <v>0</v>
      </c>
      <c r="I1587" s="2408"/>
      <c r="J1587" s="2408"/>
      <c r="K1587" s="2672" t="s">
        <v>6528</v>
      </c>
      <c r="L1587" s="2409"/>
    </row>
    <row r="1588" spans="1:12" ht="12.75" customHeight="1" x14ac:dyDescent="0.3">
      <c r="A1588" s="2394" t="s">
        <v>5047</v>
      </c>
      <c r="B1588" s="2395" t="s">
        <v>3992</v>
      </c>
      <c r="C1588" s="2406">
        <v>0</v>
      </c>
      <c r="D1588" s="2396"/>
      <c r="E1588" s="2406">
        <v>0</v>
      </c>
      <c r="F1588" s="2406">
        <v>0</v>
      </c>
      <c r="G1588" s="2437">
        <v>0</v>
      </c>
      <c r="H1588" s="2407">
        <v>0</v>
      </c>
      <c r="I1588" s="2408"/>
      <c r="J1588" s="2408"/>
      <c r="K1588" s="2672"/>
      <c r="L1588" s="2409"/>
    </row>
    <row r="1589" spans="1:12" ht="12.75" customHeight="1" x14ac:dyDescent="0.3">
      <c r="A1589" s="2394" t="s">
        <v>5048</v>
      </c>
      <c r="B1589" s="2395" t="s">
        <v>3720</v>
      </c>
      <c r="C1589" s="2406">
        <v>0</v>
      </c>
      <c r="D1589" s="2396"/>
      <c r="E1589" s="2406">
        <v>0</v>
      </c>
      <c r="F1589" s="2406">
        <v>0</v>
      </c>
      <c r="G1589" s="2437">
        <v>0</v>
      </c>
      <c r="H1589" s="2407">
        <v>0</v>
      </c>
      <c r="I1589" s="2408"/>
      <c r="J1589" s="2408"/>
      <c r="K1589" s="2672" t="s">
        <v>6515</v>
      </c>
      <c r="L1589" s="2409"/>
    </row>
    <row r="1590" spans="1:12" ht="12.75" customHeight="1" x14ac:dyDescent="0.3">
      <c r="A1590" s="2394" t="s">
        <v>5049</v>
      </c>
      <c r="B1590" s="2395" t="s">
        <v>3993</v>
      </c>
      <c r="C1590" s="2406">
        <v>0</v>
      </c>
      <c r="D1590" s="2396"/>
      <c r="E1590" s="2406">
        <v>0</v>
      </c>
      <c r="F1590" s="2406">
        <v>0</v>
      </c>
      <c r="G1590" s="2437">
        <v>0</v>
      </c>
      <c r="H1590" s="2407">
        <v>0</v>
      </c>
      <c r="I1590" s="2408"/>
      <c r="J1590" s="2408"/>
      <c r="K1590" s="2672" t="s">
        <v>6518</v>
      </c>
      <c r="L1590" s="2409"/>
    </row>
    <row r="1591" spans="1:12" ht="12.75" customHeight="1" x14ac:dyDescent="0.3">
      <c r="A1591" s="2394" t="s">
        <v>5050</v>
      </c>
      <c r="B1591" s="2395" t="s">
        <v>3994</v>
      </c>
      <c r="C1591" s="2406">
        <v>0</v>
      </c>
      <c r="D1591" s="2396"/>
      <c r="E1591" s="2406">
        <v>0</v>
      </c>
      <c r="F1591" s="2406">
        <v>0</v>
      </c>
      <c r="G1591" s="2437">
        <v>0</v>
      </c>
      <c r="H1591" s="2407">
        <v>0</v>
      </c>
      <c r="I1591" s="2408"/>
      <c r="J1591" s="2408"/>
      <c r="K1591" s="2672" t="s">
        <v>6518</v>
      </c>
      <c r="L1591" s="2409"/>
    </row>
    <row r="1592" spans="1:12" ht="12.75" customHeight="1" x14ac:dyDescent="0.3">
      <c r="A1592" s="2394" t="s">
        <v>5051</v>
      </c>
      <c r="B1592" s="2395" t="s">
        <v>3995</v>
      </c>
      <c r="C1592" s="2406">
        <v>0</v>
      </c>
      <c r="D1592" s="2396"/>
      <c r="E1592" s="2406">
        <v>0</v>
      </c>
      <c r="F1592" s="2406">
        <v>0</v>
      </c>
      <c r="G1592" s="2437">
        <v>0</v>
      </c>
      <c r="H1592" s="2407">
        <v>0</v>
      </c>
      <c r="I1592" s="2408"/>
      <c r="J1592" s="2408"/>
      <c r="K1592" s="2672" t="s">
        <v>6518</v>
      </c>
      <c r="L1592" s="2409"/>
    </row>
    <row r="1593" spans="1:12" ht="12.75" customHeight="1" x14ac:dyDescent="0.3">
      <c r="A1593" s="2394" t="s">
        <v>5052</v>
      </c>
      <c r="B1593" s="2395" t="s">
        <v>3935</v>
      </c>
      <c r="C1593" s="2406">
        <v>0</v>
      </c>
      <c r="D1593" s="2396"/>
      <c r="E1593" s="2406">
        <v>0</v>
      </c>
      <c r="F1593" s="2406">
        <v>0</v>
      </c>
      <c r="G1593" s="2437">
        <v>0</v>
      </c>
      <c r="H1593" s="2407">
        <v>0</v>
      </c>
      <c r="I1593" s="2408"/>
      <c r="J1593" s="2408"/>
      <c r="K1593" s="2672" t="s">
        <v>6522</v>
      </c>
      <c r="L1593" s="2409"/>
    </row>
    <row r="1594" spans="1:12" ht="12.75" customHeight="1" x14ac:dyDescent="0.3">
      <c r="A1594" s="2394" t="s">
        <v>5053</v>
      </c>
      <c r="B1594" s="2395" t="s">
        <v>3968</v>
      </c>
      <c r="C1594" s="2406">
        <v>0</v>
      </c>
      <c r="D1594" s="2396"/>
      <c r="E1594" s="2406">
        <v>0</v>
      </c>
      <c r="F1594" s="2406">
        <v>0</v>
      </c>
      <c r="G1594" s="2437">
        <v>0</v>
      </c>
      <c r="H1594" s="2407">
        <v>0</v>
      </c>
      <c r="I1594" s="2408"/>
      <c r="J1594" s="2408"/>
      <c r="K1594" s="2672" t="s">
        <v>6538</v>
      </c>
      <c r="L1594" s="2409"/>
    </row>
    <row r="1595" spans="1:12" ht="12.75" customHeight="1" x14ac:dyDescent="0.3">
      <c r="A1595" s="2394" t="s">
        <v>5054</v>
      </c>
      <c r="B1595" s="2395" t="s">
        <v>3648</v>
      </c>
      <c r="C1595" s="2406">
        <v>0</v>
      </c>
      <c r="D1595" s="2396"/>
      <c r="E1595" s="2406">
        <v>0</v>
      </c>
      <c r="F1595" s="2406">
        <v>0</v>
      </c>
      <c r="G1595" s="2437">
        <v>0</v>
      </c>
      <c r="H1595" s="2407">
        <v>0</v>
      </c>
      <c r="I1595" s="2408"/>
      <c r="J1595" s="2408"/>
      <c r="K1595" s="2672" t="s">
        <v>6516</v>
      </c>
      <c r="L1595" s="2409"/>
    </row>
    <row r="1596" spans="1:12" ht="12" customHeight="1" x14ac:dyDescent="0.3">
      <c r="A1596" s="2394" t="s">
        <v>5055</v>
      </c>
      <c r="B1596" s="2395" t="s">
        <v>3996</v>
      </c>
      <c r="C1596" s="2406">
        <v>0</v>
      </c>
      <c r="D1596" s="2396"/>
      <c r="E1596" s="2406">
        <v>0</v>
      </c>
      <c r="F1596" s="2406">
        <v>0</v>
      </c>
      <c r="G1596" s="2437">
        <v>0</v>
      </c>
      <c r="H1596" s="2407">
        <v>0</v>
      </c>
      <c r="I1596" s="2408"/>
      <c r="J1596" s="2408"/>
      <c r="K1596" s="2672" t="s">
        <v>6527</v>
      </c>
      <c r="L1596" s="2409"/>
    </row>
    <row r="1597" spans="1:12" ht="12.75" customHeight="1" x14ac:dyDescent="0.3">
      <c r="A1597" s="2394" t="s">
        <v>5056</v>
      </c>
      <c r="B1597" s="2395" t="s">
        <v>350</v>
      </c>
      <c r="C1597" s="2406">
        <v>0</v>
      </c>
      <c r="D1597" s="2396"/>
      <c r="E1597" s="2406">
        <v>0</v>
      </c>
      <c r="F1597" s="2406">
        <v>0</v>
      </c>
      <c r="G1597" s="2437">
        <v>0</v>
      </c>
      <c r="H1597" s="2407">
        <v>0</v>
      </c>
      <c r="I1597" s="2408"/>
      <c r="J1597" s="2408"/>
      <c r="K1597" s="2672" t="s">
        <v>6536</v>
      </c>
      <c r="L1597" s="2409"/>
    </row>
    <row r="1598" spans="1:12" ht="12.75" customHeight="1" x14ac:dyDescent="0.3">
      <c r="A1598" s="2394" t="s">
        <v>5057</v>
      </c>
      <c r="B1598" s="2395" t="s">
        <v>3997</v>
      </c>
      <c r="C1598" s="2406">
        <v>0</v>
      </c>
      <c r="D1598" s="2396"/>
      <c r="E1598" s="2406">
        <v>0</v>
      </c>
      <c r="F1598" s="2406">
        <v>0</v>
      </c>
      <c r="G1598" s="2437">
        <v>0</v>
      </c>
      <c r="H1598" s="2407">
        <v>0</v>
      </c>
      <c r="I1598" s="2408"/>
      <c r="J1598" s="2408"/>
      <c r="K1598" s="2672"/>
      <c r="L1598" s="2409"/>
    </row>
    <row r="1599" spans="1:12" ht="12.75" customHeight="1" x14ac:dyDescent="0.3">
      <c r="A1599" s="2394" t="s">
        <v>5058</v>
      </c>
      <c r="B1599" s="2395" t="s">
        <v>3720</v>
      </c>
      <c r="C1599" s="2406">
        <v>0</v>
      </c>
      <c r="D1599" s="2396"/>
      <c r="E1599" s="2406">
        <v>0</v>
      </c>
      <c r="F1599" s="2406">
        <v>0</v>
      </c>
      <c r="G1599" s="2437">
        <v>0</v>
      </c>
      <c r="H1599" s="2407">
        <v>0</v>
      </c>
      <c r="I1599" s="2408"/>
      <c r="J1599" s="2408"/>
      <c r="K1599" s="2672" t="s">
        <v>6515</v>
      </c>
      <c r="L1599" s="2409"/>
    </row>
    <row r="1600" spans="1:12" ht="12.75" customHeight="1" x14ac:dyDescent="0.3">
      <c r="A1600" s="2394" t="s">
        <v>5059</v>
      </c>
      <c r="B1600" s="2395" t="s">
        <v>3993</v>
      </c>
      <c r="C1600" s="2406">
        <v>0</v>
      </c>
      <c r="D1600" s="2396"/>
      <c r="E1600" s="2406">
        <v>0</v>
      </c>
      <c r="F1600" s="2406">
        <v>0</v>
      </c>
      <c r="G1600" s="2437">
        <v>0</v>
      </c>
      <c r="H1600" s="2407">
        <v>0</v>
      </c>
      <c r="I1600" s="2408"/>
      <c r="J1600" s="2408"/>
      <c r="K1600" s="2672" t="s">
        <v>6518</v>
      </c>
      <c r="L1600" s="2409"/>
    </row>
    <row r="1601" spans="1:12" ht="12.75" customHeight="1" x14ac:dyDescent="0.3">
      <c r="A1601" s="2394" t="s">
        <v>5060</v>
      </c>
      <c r="B1601" s="2395" t="s">
        <v>3998</v>
      </c>
      <c r="C1601" s="2406">
        <v>0</v>
      </c>
      <c r="D1601" s="2396"/>
      <c r="E1601" s="2406">
        <v>0</v>
      </c>
      <c r="F1601" s="2406">
        <v>0</v>
      </c>
      <c r="G1601" s="2437">
        <v>0</v>
      </c>
      <c r="H1601" s="2407">
        <v>0</v>
      </c>
      <c r="I1601" s="2408"/>
      <c r="J1601" s="2408"/>
      <c r="K1601" s="2672" t="s">
        <v>6518</v>
      </c>
      <c r="L1601" s="2409"/>
    </row>
    <row r="1602" spans="1:12" ht="12.75" customHeight="1" x14ac:dyDescent="0.3">
      <c r="A1602" s="2394" t="s">
        <v>5061</v>
      </c>
      <c r="B1602" s="2395" t="s">
        <v>3999</v>
      </c>
      <c r="C1602" s="2406">
        <v>0</v>
      </c>
      <c r="D1602" s="2396"/>
      <c r="E1602" s="2406">
        <v>0</v>
      </c>
      <c r="F1602" s="2406">
        <v>0</v>
      </c>
      <c r="G1602" s="2437">
        <v>0</v>
      </c>
      <c r="H1602" s="2407">
        <v>0</v>
      </c>
      <c r="I1602" s="2408"/>
      <c r="J1602" s="2408"/>
      <c r="K1602" s="2672" t="s">
        <v>6518</v>
      </c>
      <c r="L1602" s="2409"/>
    </row>
    <row r="1603" spans="1:12" ht="12" customHeight="1" x14ac:dyDescent="0.3">
      <c r="A1603" s="2394" t="s">
        <v>5062</v>
      </c>
      <c r="B1603" s="2395" t="s">
        <v>3935</v>
      </c>
      <c r="C1603" s="2406">
        <v>0</v>
      </c>
      <c r="D1603" s="2396"/>
      <c r="E1603" s="2406">
        <v>0</v>
      </c>
      <c r="F1603" s="2406">
        <v>0</v>
      </c>
      <c r="G1603" s="2437">
        <v>0</v>
      </c>
      <c r="H1603" s="2407">
        <v>0</v>
      </c>
      <c r="I1603" s="2408"/>
      <c r="J1603" s="2408"/>
      <c r="K1603" s="2672" t="s">
        <v>6522</v>
      </c>
      <c r="L1603" s="2409"/>
    </row>
    <row r="1604" spans="1:12" ht="12.75" customHeight="1" x14ac:dyDescent="0.3">
      <c r="A1604" s="2394" t="s">
        <v>5063</v>
      </c>
      <c r="B1604" s="2395" t="s">
        <v>3968</v>
      </c>
      <c r="C1604" s="2406">
        <v>0</v>
      </c>
      <c r="D1604" s="2396"/>
      <c r="E1604" s="2406">
        <v>0</v>
      </c>
      <c r="F1604" s="2406">
        <v>0</v>
      </c>
      <c r="G1604" s="2437">
        <v>0</v>
      </c>
      <c r="H1604" s="2407">
        <v>0</v>
      </c>
      <c r="I1604" s="2408"/>
      <c r="J1604" s="2408"/>
      <c r="K1604" s="2672" t="s">
        <v>6538</v>
      </c>
      <c r="L1604" s="2409"/>
    </row>
    <row r="1605" spans="1:12" ht="12.75" customHeight="1" x14ac:dyDescent="0.3">
      <c r="A1605" s="2394" t="s">
        <v>5064</v>
      </c>
      <c r="B1605" s="2395" t="s">
        <v>3648</v>
      </c>
      <c r="C1605" s="2406">
        <v>0</v>
      </c>
      <c r="D1605" s="2396"/>
      <c r="E1605" s="2406">
        <v>0</v>
      </c>
      <c r="F1605" s="2406">
        <v>0</v>
      </c>
      <c r="G1605" s="2437">
        <v>0</v>
      </c>
      <c r="H1605" s="2407">
        <v>0</v>
      </c>
      <c r="I1605" s="2408"/>
      <c r="J1605" s="2408"/>
      <c r="K1605" s="2672" t="s">
        <v>6516</v>
      </c>
      <c r="L1605" s="2409"/>
    </row>
    <row r="1606" spans="1:12" ht="12.75" customHeight="1" x14ac:dyDescent="0.3">
      <c r="A1606" s="2394" t="s">
        <v>5065</v>
      </c>
      <c r="B1606" s="2395" t="s">
        <v>3996</v>
      </c>
      <c r="C1606" s="2406">
        <v>0</v>
      </c>
      <c r="D1606" s="2396"/>
      <c r="E1606" s="2406">
        <v>0</v>
      </c>
      <c r="F1606" s="2406">
        <v>0</v>
      </c>
      <c r="G1606" s="2437">
        <v>0</v>
      </c>
      <c r="H1606" s="2407">
        <v>0</v>
      </c>
      <c r="I1606" s="2408"/>
      <c r="J1606" s="2408"/>
      <c r="K1606" s="2672" t="s">
        <v>6527</v>
      </c>
      <c r="L1606" s="2409"/>
    </row>
    <row r="1607" spans="1:12" ht="12.75" customHeight="1" x14ac:dyDescent="0.3">
      <c r="A1607" s="2394" t="s">
        <v>5066</v>
      </c>
      <c r="B1607" s="2395" t="s">
        <v>350</v>
      </c>
      <c r="C1607" s="2406">
        <v>0</v>
      </c>
      <c r="D1607" s="2396"/>
      <c r="E1607" s="2406">
        <v>0</v>
      </c>
      <c r="F1607" s="2406">
        <v>0</v>
      </c>
      <c r="G1607" s="2437">
        <v>0</v>
      </c>
      <c r="H1607" s="2407">
        <v>0</v>
      </c>
      <c r="I1607" s="2408"/>
      <c r="J1607" s="2408"/>
      <c r="K1607" s="2672" t="s">
        <v>6536</v>
      </c>
      <c r="L1607" s="2409"/>
    </row>
    <row r="1608" spans="1:12" ht="12.75" customHeight="1" x14ac:dyDescent="0.3">
      <c r="A1608" s="2394" t="s">
        <v>5067</v>
      </c>
      <c r="B1608" s="2395" t="s">
        <v>4000</v>
      </c>
      <c r="C1608" s="2406">
        <v>0</v>
      </c>
      <c r="D1608" s="2396"/>
      <c r="E1608" s="2406">
        <v>0</v>
      </c>
      <c r="F1608" s="2406">
        <v>0</v>
      </c>
      <c r="G1608" s="2437">
        <v>0</v>
      </c>
      <c r="H1608" s="2407">
        <v>0</v>
      </c>
      <c r="I1608" s="2408"/>
      <c r="J1608" s="2408"/>
      <c r="K1608" s="2672"/>
      <c r="L1608" s="2409"/>
    </row>
    <row r="1609" spans="1:12" ht="12.75" customHeight="1" x14ac:dyDescent="0.3">
      <c r="A1609" s="2394" t="s">
        <v>5068</v>
      </c>
      <c r="B1609" s="2395" t="s">
        <v>3720</v>
      </c>
      <c r="C1609" s="2406">
        <v>0</v>
      </c>
      <c r="D1609" s="2396"/>
      <c r="E1609" s="2406">
        <v>0</v>
      </c>
      <c r="F1609" s="2406">
        <v>0</v>
      </c>
      <c r="G1609" s="2437">
        <v>0</v>
      </c>
      <c r="H1609" s="2407">
        <v>0</v>
      </c>
      <c r="I1609" s="2408"/>
      <c r="J1609" s="2408"/>
      <c r="K1609" s="2672" t="s">
        <v>6515</v>
      </c>
      <c r="L1609" s="2409"/>
    </row>
    <row r="1610" spans="1:12" ht="12" customHeight="1" x14ac:dyDescent="0.3">
      <c r="A1610" s="2394" t="s">
        <v>5069</v>
      </c>
      <c r="B1610" s="2395" t="s">
        <v>3993</v>
      </c>
      <c r="C1610" s="2406">
        <v>0</v>
      </c>
      <c r="D1610" s="2396"/>
      <c r="E1610" s="2406">
        <v>0</v>
      </c>
      <c r="F1610" s="2406">
        <v>0</v>
      </c>
      <c r="G1610" s="2437">
        <v>0</v>
      </c>
      <c r="H1610" s="2407">
        <v>0</v>
      </c>
      <c r="I1610" s="2408"/>
      <c r="J1610" s="2408"/>
      <c r="K1610" s="2672" t="s">
        <v>6518</v>
      </c>
      <c r="L1610" s="2409"/>
    </row>
    <row r="1611" spans="1:12" ht="12.75" customHeight="1" x14ac:dyDescent="0.3">
      <c r="A1611" s="2394" t="s">
        <v>5070</v>
      </c>
      <c r="B1611" s="2395" t="s">
        <v>3998</v>
      </c>
      <c r="C1611" s="2406">
        <v>0</v>
      </c>
      <c r="D1611" s="2396"/>
      <c r="E1611" s="2406">
        <v>0</v>
      </c>
      <c r="F1611" s="2406">
        <v>0</v>
      </c>
      <c r="G1611" s="2437">
        <v>0</v>
      </c>
      <c r="H1611" s="2407">
        <v>0</v>
      </c>
      <c r="I1611" s="2408"/>
      <c r="J1611" s="2408"/>
      <c r="K1611" s="2672" t="s">
        <v>6518</v>
      </c>
      <c r="L1611" s="2409"/>
    </row>
    <row r="1612" spans="1:12" ht="12.75" customHeight="1" x14ac:dyDescent="0.3">
      <c r="A1612" s="2394" t="s">
        <v>5071</v>
      </c>
      <c r="B1612" s="2395" t="s">
        <v>3999</v>
      </c>
      <c r="C1612" s="2406">
        <v>0</v>
      </c>
      <c r="D1612" s="2396"/>
      <c r="E1612" s="2406">
        <v>0</v>
      </c>
      <c r="F1612" s="2406">
        <v>0</v>
      </c>
      <c r="G1612" s="2437">
        <v>0</v>
      </c>
      <c r="H1612" s="2407">
        <v>0</v>
      </c>
      <c r="I1612" s="2408"/>
      <c r="J1612" s="2408"/>
      <c r="K1612" s="2672" t="s">
        <v>6518</v>
      </c>
      <c r="L1612" s="2409"/>
    </row>
    <row r="1613" spans="1:12" ht="12.75" customHeight="1" x14ac:dyDescent="0.3">
      <c r="A1613" s="2394" t="s">
        <v>5072</v>
      </c>
      <c r="B1613" s="2395" t="s">
        <v>3935</v>
      </c>
      <c r="C1613" s="2406">
        <v>0</v>
      </c>
      <c r="D1613" s="2396"/>
      <c r="E1613" s="2406">
        <v>0</v>
      </c>
      <c r="F1613" s="2406">
        <v>0</v>
      </c>
      <c r="G1613" s="2437">
        <v>0</v>
      </c>
      <c r="H1613" s="2407">
        <v>0</v>
      </c>
      <c r="I1613" s="2408"/>
      <c r="J1613" s="2408"/>
      <c r="K1613" s="2672" t="s">
        <v>6522</v>
      </c>
      <c r="L1613" s="2409"/>
    </row>
    <row r="1614" spans="1:12" ht="12.75" customHeight="1" x14ac:dyDescent="0.3">
      <c r="A1614" s="2394" t="s">
        <v>5073</v>
      </c>
      <c r="B1614" s="2395" t="s">
        <v>3968</v>
      </c>
      <c r="C1614" s="2406">
        <v>0</v>
      </c>
      <c r="D1614" s="2396"/>
      <c r="E1614" s="2406">
        <v>0</v>
      </c>
      <c r="F1614" s="2406">
        <v>0</v>
      </c>
      <c r="G1614" s="2437">
        <v>0</v>
      </c>
      <c r="H1614" s="2407">
        <v>0</v>
      </c>
      <c r="I1614" s="2408"/>
      <c r="J1614" s="2408"/>
      <c r="K1614" s="2672" t="s">
        <v>6538</v>
      </c>
      <c r="L1614" s="2409"/>
    </row>
    <row r="1615" spans="1:12" ht="12.75" customHeight="1" x14ac:dyDescent="0.3">
      <c r="A1615" s="2394" t="s">
        <v>5074</v>
      </c>
      <c r="B1615" s="2395" t="s">
        <v>3648</v>
      </c>
      <c r="C1615" s="2406">
        <v>0</v>
      </c>
      <c r="D1615" s="2396"/>
      <c r="E1615" s="2406">
        <v>0</v>
      </c>
      <c r="F1615" s="2406">
        <v>0</v>
      </c>
      <c r="G1615" s="2437">
        <v>0</v>
      </c>
      <c r="H1615" s="2407">
        <v>0</v>
      </c>
      <c r="I1615" s="2408"/>
      <c r="J1615" s="2408"/>
      <c r="K1615" s="2672" t="s">
        <v>6516</v>
      </c>
      <c r="L1615" s="2409"/>
    </row>
    <row r="1616" spans="1:12" ht="12.75" customHeight="1" x14ac:dyDescent="0.3">
      <c r="A1616" s="2394" t="s">
        <v>5075</v>
      </c>
      <c r="B1616" s="2395" t="s">
        <v>3996</v>
      </c>
      <c r="C1616" s="2406">
        <v>0</v>
      </c>
      <c r="D1616" s="2396"/>
      <c r="E1616" s="2406">
        <v>0</v>
      </c>
      <c r="F1616" s="2406">
        <v>0</v>
      </c>
      <c r="G1616" s="2437">
        <v>0</v>
      </c>
      <c r="H1616" s="2407">
        <v>0</v>
      </c>
      <c r="I1616" s="2408"/>
      <c r="J1616" s="2408"/>
      <c r="K1616" s="2672" t="s">
        <v>6527</v>
      </c>
      <c r="L1616" s="2409"/>
    </row>
    <row r="1617" spans="1:12" ht="12.75" customHeight="1" x14ac:dyDescent="0.3">
      <c r="A1617" s="2394" t="s">
        <v>5076</v>
      </c>
      <c r="B1617" s="2395" t="s">
        <v>350</v>
      </c>
      <c r="C1617" s="2406">
        <v>0</v>
      </c>
      <c r="D1617" s="2396"/>
      <c r="E1617" s="2406">
        <v>0</v>
      </c>
      <c r="F1617" s="2406">
        <v>0</v>
      </c>
      <c r="G1617" s="2437">
        <v>0</v>
      </c>
      <c r="H1617" s="2407">
        <v>0</v>
      </c>
      <c r="I1617" s="2408"/>
      <c r="J1617" s="2408"/>
      <c r="K1617" s="2672" t="s">
        <v>6536</v>
      </c>
      <c r="L1617" s="2409"/>
    </row>
    <row r="1618" spans="1:12" ht="12.75" customHeight="1" x14ac:dyDescent="0.3">
      <c r="A1618" s="2394" t="s">
        <v>5077</v>
      </c>
      <c r="B1618" s="2395" t="s">
        <v>4001</v>
      </c>
      <c r="C1618" s="2406">
        <v>0</v>
      </c>
      <c r="D1618" s="2396"/>
      <c r="E1618" s="2406">
        <v>0</v>
      </c>
      <c r="F1618" s="2406">
        <v>0</v>
      </c>
      <c r="G1618" s="2437">
        <v>0</v>
      </c>
      <c r="H1618" s="2407">
        <v>0</v>
      </c>
      <c r="I1618" s="2408"/>
      <c r="J1618" s="2408"/>
      <c r="K1618" s="2672" t="s">
        <v>6541</v>
      </c>
      <c r="L1618" s="2409"/>
    </row>
    <row r="1619" spans="1:12" ht="12.75" customHeight="1" x14ac:dyDescent="0.3">
      <c r="A1619" s="2394" t="s">
        <v>5078</v>
      </c>
      <c r="B1619" s="2395" t="s">
        <v>3963</v>
      </c>
      <c r="C1619" s="2406">
        <v>0</v>
      </c>
      <c r="D1619" s="2396"/>
      <c r="E1619" s="2406">
        <v>0</v>
      </c>
      <c r="F1619" s="2406">
        <v>0</v>
      </c>
      <c r="G1619" s="2437">
        <v>0</v>
      </c>
      <c r="H1619" s="2407">
        <v>0</v>
      </c>
      <c r="I1619" s="2408"/>
      <c r="J1619" s="2408"/>
      <c r="K1619" s="2672" t="s">
        <v>6539</v>
      </c>
      <c r="L1619" s="2409"/>
    </row>
    <row r="1620" spans="1:12" ht="12.75" customHeight="1" x14ac:dyDescent="0.3">
      <c r="A1620" s="2394" t="s">
        <v>5079</v>
      </c>
      <c r="B1620" s="2395" t="s">
        <v>3754</v>
      </c>
      <c r="C1620" s="2406">
        <v>0</v>
      </c>
      <c r="D1620" s="2396"/>
      <c r="E1620" s="2406">
        <v>0</v>
      </c>
      <c r="F1620" s="2406">
        <v>0</v>
      </c>
      <c r="G1620" s="2437">
        <v>0</v>
      </c>
      <c r="H1620" s="2407">
        <v>0</v>
      </c>
      <c r="I1620" s="2408"/>
      <c r="J1620" s="2408"/>
      <c r="K1620" s="2672" t="s">
        <v>6539</v>
      </c>
      <c r="L1620" s="2409"/>
    </row>
    <row r="1621" spans="1:12" ht="12.75" customHeight="1" x14ac:dyDescent="0.3">
      <c r="A1621" s="2394" t="s">
        <v>5080</v>
      </c>
      <c r="B1621" s="2395" t="s">
        <v>3599</v>
      </c>
      <c r="C1621" s="2406">
        <v>0</v>
      </c>
      <c r="D1621" s="2396"/>
      <c r="E1621" s="2406">
        <v>0</v>
      </c>
      <c r="F1621" s="2406">
        <v>0</v>
      </c>
      <c r="G1621" s="2439">
        <v>0</v>
      </c>
      <c r="H1621" s="2407">
        <v>0</v>
      </c>
      <c r="I1621" s="2408"/>
      <c r="J1621" s="2408"/>
      <c r="K1621" s="2672"/>
      <c r="L1621" s="2409"/>
    </row>
    <row r="1622" spans="1:12" ht="12.75" customHeight="1" x14ac:dyDescent="0.3">
      <c r="A1622" s="2394" t="s">
        <v>5081</v>
      </c>
      <c r="B1622" s="2395" t="s">
        <v>3601</v>
      </c>
      <c r="C1622" s="2406">
        <v>0</v>
      </c>
      <c r="D1622" s="2396"/>
      <c r="E1622" s="2406">
        <v>0</v>
      </c>
      <c r="F1622" s="2406">
        <v>0</v>
      </c>
      <c r="G1622" s="2439">
        <v>0</v>
      </c>
      <c r="H1622" s="2407">
        <v>0</v>
      </c>
      <c r="I1622" s="2408"/>
      <c r="J1622" s="2408"/>
      <c r="K1622" s="2672" t="s">
        <v>2586</v>
      </c>
      <c r="L1622" s="2409"/>
    </row>
    <row r="1623" spans="1:12" ht="12.75" customHeight="1" x14ac:dyDescent="0.3">
      <c r="A1623" s="2394" t="s">
        <v>5082</v>
      </c>
      <c r="B1623" s="2395" t="s">
        <v>3603</v>
      </c>
      <c r="C1623" s="2406">
        <v>0</v>
      </c>
      <c r="D1623" s="2396"/>
      <c r="E1623" s="2406">
        <v>0</v>
      </c>
      <c r="F1623" s="2406">
        <v>0</v>
      </c>
      <c r="G1623" s="2439">
        <v>0</v>
      </c>
      <c r="H1623" s="2407">
        <v>0</v>
      </c>
      <c r="I1623" s="2408"/>
      <c r="J1623" s="2408"/>
      <c r="K1623" s="2672" t="s">
        <v>2586</v>
      </c>
      <c r="L1623" s="2409"/>
    </row>
    <row r="1624" spans="1:12" ht="12.75" customHeight="1" x14ac:dyDescent="0.3">
      <c r="A1624" s="2394" t="s">
        <v>5083</v>
      </c>
      <c r="B1624" s="2395" t="s">
        <v>3605</v>
      </c>
      <c r="C1624" s="2406">
        <v>0</v>
      </c>
      <c r="D1624" s="2396"/>
      <c r="E1624" s="2406">
        <v>0</v>
      </c>
      <c r="F1624" s="2406">
        <v>0</v>
      </c>
      <c r="G1624" s="2439">
        <v>0</v>
      </c>
      <c r="H1624" s="2407">
        <v>0</v>
      </c>
      <c r="I1624" s="2408"/>
      <c r="J1624" s="2408"/>
      <c r="K1624" s="2672" t="s">
        <v>2585</v>
      </c>
      <c r="L1624" s="2409"/>
    </row>
    <row r="1625" spans="1:12" ht="12.75" customHeight="1" x14ac:dyDescent="0.3">
      <c r="A1625" s="2394" t="s">
        <v>5084</v>
      </c>
      <c r="B1625" s="2395" t="s">
        <v>3607</v>
      </c>
      <c r="C1625" s="2406">
        <v>0</v>
      </c>
      <c r="D1625" s="2396"/>
      <c r="E1625" s="2406">
        <v>0</v>
      </c>
      <c r="F1625" s="2406">
        <v>0</v>
      </c>
      <c r="G1625" s="2439">
        <v>0</v>
      </c>
      <c r="H1625" s="2407">
        <v>0</v>
      </c>
      <c r="I1625" s="2408"/>
      <c r="J1625" s="2408"/>
      <c r="K1625" s="2672" t="s">
        <v>2586</v>
      </c>
      <c r="L1625" s="2409"/>
    </row>
    <row r="1626" spans="1:12" ht="12.75" customHeight="1" x14ac:dyDescent="0.3">
      <c r="A1626" s="2394" t="s">
        <v>5085</v>
      </c>
      <c r="B1626" s="2395" t="s">
        <v>3609</v>
      </c>
      <c r="C1626" s="2406">
        <v>0</v>
      </c>
      <c r="D1626" s="2396"/>
      <c r="E1626" s="2406">
        <v>0</v>
      </c>
      <c r="F1626" s="2406">
        <v>0</v>
      </c>
      <c r="G1626" s="2439">
        <v>0</v>
      </c>
      <c r="H1626" s="2407">
        <v>0</v>
      </c>
      <c r="I1626" s="2408"/>
      <c r="J1626" s="2408"/>
      <c r="K1626" s="2672" t="s">
        <v>2585</v>
      </c>
      <c r="L1626" s="2409"/>
    </row>
    <row r="1627" spans="1:12" ht="12.75" customHeight="1" x14ac:dyDescent="0.3">
      <c r="A1627" s="2394" t="s">
        <v>5086</v>
      </c>
      <c r="B1627" s="2395" t="s">
        <v>3611</v>
      </c>
      <c r="C1627" s="2406">
        <v>0</v>
      </c>
      <c r="D1627" s="2396"/>
      <c r="E1627" s="2406">
        <v>0</v>
      </c>
      <c r="F1627" s="2406">
        <v>0</v>
      </c>
      <c r="G1627" s="2439">
        <v>0</v>
      </c>
      <c r="H1627" s="2407">
        <v>0</v>
      </c>
      <c r="I1627" s="2408"/>
      <c r="J1627" s="2408"/>
      <c r="K1627" s="2672" t="s">
        <v>6505</v>
      </c>
      <c r="L1627" s="2409"/>
    </row>
    <row r="1628" spans="1:12" ht="12.75" customHeight="1" x14ac:dyDescent="0.3">
      <c r="A1628" s="2394" t="s">
        <v>5087</v>
      </c>
      <c r="B1628" s="2395" t="s">
        <v>3613</v>
      </c>
      <c r="C1628" s="2406">
        <v>0</v>
      </c>
      <c r="D1628" s="2396"/>
      <c r="E1628" s="2406">
        <v>0</v>
      </c>
      <c r="F1628" s="2406">
        <v>0</v>
      </c>
      <c r="G1628" s="2439">
        <v>0</v>
      </c>
      <c r="H1628" s="2407">
        <v>0</v>
      </c>
      <c r="I1628" s="2408"/>
      <c r="J1628" s="2408"/>
      <c r="K1628" s="2672" t="s">
        <v>6505</v>
      </c>
      <c r="L1628" s="2409"/>
    </row>
    <row r="1629" spans="1:12" ht="12.75" customHeight="1" x14ac:dyDescent="0.3">
      <c r="A1629" s="2394" t="s">
        <v>5088</v>
      </c>
      <c r="B1629" s="2395" t="s">
        <v>3615</v>
      </c>
      <c r="C1629" s="2406">
        <v>0</v>
      </c>
      <c r="D1629" s="2396"/>
      <c r="E1629" s="2406">
        <v>0</v>
      </c>
      <c r="F1629" s="2406">
        <v>0</v>
      </c>
      <c r="G1629" s="2439">
        <v>0</v>
      </c>
      <c r="H1629" s="2407">
        <v>0</v>
      </c>
      <c r="I1629" s="2408"/>
      <c r="J1629" s="2408"/>
      <c r="K1629" s="2672" t="s">
        <v>2586</v>
      </c>
      <c r="L1629" s="2409"/>
    </row>
    <row r="1630" spans="1:12" ht="12.75" customHeight="1" x14ac:dyDescent="0.3">
      <c r="A1630" s="2394" t="s">
        <v>5089</v>
      </c>
      <c r="B1630" s="2395" t="s">
        <v>3617</v>
      </c>
      <c r="C1630" s="2406">
        <v>0</v>
      </c>
      <c r="D1630" s="2396"/>
      <c r="E1630" s="2406">
        <v>0</v>
      </c>
      <c r="F1630" s="2406">
        <v>0</v>
      </c>
      <c r="G1630" s="2439">
        <v>0</v>
      </c>
      <c r="H1630" s="2407">
        <v>0</v>
      </c>
      <c r="I1630" s="2408"/>
      <c r="J1630" s="2408"/>
      <c r="K1630" s="2672" t="s">
        <v>2586</v>
      </c>
      <c r="L1630" s="2409"/>
    </row>
    <row r="1631" spans="1:12" ht="12.75" customHeight="1" x14ac:dyDescent="0.3">
      <c r="A1631" s="2394" t="s">
        <v>5090</v>
      </c>
      <c r="B1631" s="2395" t="s">
        <v>3619</v>
      </c>
      <c r="C1631" s="2406">
        <v>0</v>
      </c>
      <c r="D1631" s="2396"/>
      <c r="E1631" s="2406">
        <v>0</v>
      </c>
      <c r="F1631" s="2406">
        <v>0</v>
      </c>
      <c r="G1631" s="2439">
        <v>0</v>
      </c>
      <c r="H1631" s="2407">
        <v>0</v>
      </c>
      <c r="I1631" s="2408"/>
      <c r="J1631" s="2408"/>
      <c r="K1631" s="2672"/>
      <c r="L1631" s="2409"/>
    </row>
    <row r="1632" spans="1:12" ht="12.75" customHeight="1" x14ac:dyDescent="0.3">
      <c r="A1632" s="2394" t="s">
        <v>5091</v>
      </c>
      <c r="B1632" s="2395" t="s">
        <v>3621</v>
      </c>
      <c r="C1632" s="2406">
        <v>0</v>
      </c>
      <c r="D1632" s="2396"/>
      <c r="E1632" s="2406">
        <v>0</v>
      </c>
      <c r="F1632" s="2406">
        <v>0</v>
      </c>
      <c r="G1632" s="2439">
        <v>0</v>
      </c>
      <c r="H1632" s="2407">
        <v>0</v>
      </c>
      <c r="I1632" s="2408"/>
      <c r="J1632" s="2408"/>
      <c r="K1632" s="2672" t="s">
        <v>6506</v>
      </c>
      <c r="L1632" s="2409"/>
    </row>
    <row r="1633" spans="1:12" ht="12.75" customHeight="1" x14ac:dyDescent="0.3">
      <c r="A1633" s="2394" t="s">
        <v>5092</v>
      </c>
      <c r="B1633" s="2395" t="s">
        <v>3623</v>
      </c>
      <c r="C1633" s="2406">
        <v>0</v>
      </c>
      <c r="D1633" s="2396"/>
      <c r="E1633" s="2406">
        <v>0</v>
      </c>
      <c r="F1633" s="2406">
        <v>0</v>
      </c>
      <c r="G1633" s="2439">
        <v>0</v>
      </c>
      <c r="H1633" s="2407">
        <v>0</v>
      </c>
      <c r="I1633" s="2408"/>
      <c r="J1633" s="2408"/>
      <c r="K1633" s="2672" t="s">
        <v>6507</v>
      </c>
      <c r="L1633" s="2409"/>
    </row>
    <row r="1634" spans="1:12" ht="12.75" customHeight="1" x14ac:dyDescent="0.3">
      <c r="A1634" s="2394" t="s">
        <v>5093</v>
      </c>
      <c r="B1634" s="2395" t="s">
        <v>3625</v>
      </c>
      <c r="C1634" s="2406">
        <v>0</v>
      </c>
      <c r="D1634" s="2396"/>
      <c r="E1634" s="2406">
        <v>0</v>
      </c>
      <c r="F1634" s="2406">
        <v>0</v>
      </c>
      <c r="G1634" s="2439">
        <v>0</v>
      </c>
      <c r="H1634" s="2407">
        <v>0</v>
      </c>
      <c r="I1634" s="2408"/>
      <c r="J1634" s="2408"/>
      <c r="K1634" s="2672" t="s">
        <v>6508</v>
      </c>
      <c r="L1634" s="2409"/>
    </row>
    <row r="1635" spans="1:12" ht="12.75" customHeight="1" x14ac:dyDescent="0.3">
      <c r="A1635" s="2394" t="s">
        <v>5094</v>
      </c>
      <c r="B1635" s="2395" t="s">
        <v>3627</v>
      </c>
      <c r="C1635" s="2406">
        <v>0</v>
      </c>
      <c r="D1635" s="2396"/>
      <c r="E1635" s="2406">
        <v>0</v>
      </c>
      <c r="F1635" s="2406">
        <v>0</v>
      </c>
      <c r="G1635" s="2439">
        <v>0</v>
      </c>
      <c r="H1635" s="2407">
        <v>0</v>
      </c>
      <c r="I1635" s="2408"/>
      <c r="J1635" s="2408"/>
      <c r="K1635" s="2672" t="s">
        <v>6509</v>
      </c>
      <c r="L1635" s="2409"/>
    </row>
    <row r="1636" spans="1:12" ht="12.75" customHeight="1" x14ac:dyDescent="0.3">
      <c r="A1636" s="2394" t="s">
        <v>5095</v>
      </c>
      <c r="B1636" s="2395" t="s">
        <v>3629</v>
      </c>
      <c r="C1636" s="2406">
        <v>0</v>
      </c>
      <c r="D1636" s="2396"/>
      <c r="E1636" s="2406">
        <v>0</v>
      </c>
      <c r="F1636" s="2406">
        <v>0</v>
      </c>
      <c r="G1636" s="2439">
        <v>0</v>
      </c>
      <c r="H1636" s="2407">
        <v>0</v>
      </c>
      <c r="I1636" s="2408"/>
      <c r="J1636" s="2408"/>
      <c r="K1636" s="2672" t="s">
        <v>6510</v>
      </c>
      <c r="L1636" s="2409"/>
    </row>
    <row r="1637" spans="1:12" ht="12.75" customHeight="1" x14ac:dyDescent="0.3">
      <c r="A1637" s="2394" t="s">
        <v>5096</v>
      </c>
      <c r="B1637" s="2395" t="s">
        <v>3631</v>
      </c>
      <c r="C1637" s="2406">
        <v>0</v>
      </c>
      <c r="D1637" s="2396"/>
      <c r="E1637" s="2406">
        <v>0</v>
      </c>
      <c r="F1637" s="2406">
        <v>0</v>
      </c>
      <c r="G1637" s="2439">
        <v>0</v>
      </c>
      <c r="H1637" s="2407">
        <v>0</v>
      </c>
      <c r="I1637" s="2408"/>
      <c r="J1637" s="2408"/>
      <c r="K1637" s="2672" t="s">
        <v>6511</v>
      </c>
      <c r="L1637" s="2409"/>
    </row>
    <row r="1638" spans="1:12" ht="12.75" customHeight="1" x14ac:dyDescent="0.3">
      <c r="A1638" s="2394" t="s">
        <v>5097</v>
      </c>
      <c r="B1638" s="2395" t="s">
        <v>3633</v>
      </c>
      <c r="C1638" s="2406">
        <v>0</v>
      </c>
      <c r="D1638" s="2396"/>
      <c r="E1638" s="2406">
        <v>0</v>
      </c>
      <c r="F1638" s="2406">
        <v>0</v>
      </c>
      <c r="G1638" s="2439">
        <v>0</v>
      </c>
      <c r="H1638" s="2407">
        <v>0</v>
      </c>
      <c r="I1638" s="2408"/>
      <c r="J1638" s="2408"/>
      <c r="K1638" s="2672" t="s">
        <v>6512</v>
      </c>
      <c r="L1638" s="2409"/>
    </row>
    <row r="1639" spans="1:12" ht="12" customHeight="1" x14ac:dyDescent="0.3">
      <c r="A1639" s="2394" t="s">
        <v>5098</v>
      </c>
      <c r="B1639" s="2395" t="s">
        <v>3635</v>
      </c>
      <c r="C1639" s="2406">
        <v>0</v>
      </c>
      <c r="D1639" s="2396"/>
      <c r="E1639" s="2406">
        <v>0</v>
      </c>
      <c r="F1639" s="2406">
        <v>0</v>
      </c>
      <c r="G1639" s="2439">
        <v>0</v>
      </c>
      <c r="H1639" s="2407">
        <v>0</v>
      </c>
      <c r="I1639" s="2408"/>
      <c r="J1639" s="2408"/>
      <c r="K1639" s="2672" t="s">
        <v>6513</v>
      </c>
      <c r="L1639" s="2409"/>
    </row>
    <row r="1640" spans="1:12" ht="12.75" customHeight="1" x14ac:dyDescent="0.3">
      <c r="A1640" s="2394" t="s">
        <v>5099</v>
      </c>
      <c r="B1640" s="2395" t="s">
        <v>3637</v>
      </c>
      <c r="C1640" s="2406">
        <v>0</v>
      </c>
      <c r="D1640" s="2396"/>
      <c r="E1640" s="2406">
        <v>0</v>
      </c>
      <c r="F1640" s="2406">
        <v>0</v>
      </c>
      <c r="G1640" s="2439">
        <v>0</v>
      </c>
      <c r="H1640" s="2407">
        <v>0</v>
      </c>
      <c r="I1640" s="2408"/>
      <c r="J1640" s="2408"/>
      <c r="K1640" s="2672" t="s">
        <v>6514</v>
      </c>
      <c r="L1640" s="2409"/>
    </row>
    <row r="1641" spans="1:12" ht="12.75" customHeight="1" x14ac:dyDescent="0.3">
      <c r="A1641" s="2394" t="s">
        <v>5100</v>
      </c>
      <c r="B1641" s="2395" t="s">
        <v>334</v>
      </c>
      <c r="C1641" s="2406">
        <v>0</v>
      </c>
      <c r="D1641" s="2396"/>
      <c r="E1641" s="2406">
        <v>0</v>
      </c>
      <c r="F1641" s="2406">
        <v>0</v>
      </c>
      <c r="G1641" s="2439">
        <v>0</v>
      </c>
      <c r="H1641" s="2407">
        <v>0</v>
      </c>
      <c r="I1641" s="2408"/>
      <c r="J1641" s="2408"/>
      <c r="K1641" s="2672"/>
      <c r="L1641" s="2409"/>
    </row>
    <row r="1642" spans="1:12" ht="12.75" customHeight="1" x14ac:dyDescent="0.3">
      <c r="A1642" s="2394" t="s">
        <v>5101</v>
      </c>
      <c r="B1642" s="2395" t="s">
        <v>3640</v>
      </c>
      <c r="C1642" s="2406">
        <v>2022900</v>
      </c>
      <c r="D1642" s="2396"/>
      <c r="E1642" s="2406">
        <v>0</v>
      </c>
      <c r="F1642" s="2406">
        <v>0</v>
      </c>
      <c r="G1642" s="2439">
        <v>0</v>
      </c>
      <c r="H1642" s="2407">
        <v>2022900</v>
      </c>
      <c r="I1642" s="2408"/>
      <c r="J1642" s="2408"/>
      <c r="K1642" s="2672" t="s">
        <v>6515</v>
      </c>
      <c r="L1642" s="2409"/>
    </row>
    <row r="1643" spans="1:12" ht="12.75" customHeight="1" x14ac:dyDescent="0.3">
      <c r="A1643" s="2394" t="s">
        <v>5102</v>
      </c>
      <c r="B1643" s="2395" t="s">
        <v>3642</v>
      </c>
      <c r="C1643" s="2406">
        <v>126400</v>
      </c>
      <c r="D1643" s="2396"/>
      <c r="E1643" s="2406">
        <v>0</v>
      </c>
      <c r="F1643" s="2406">
        <v>0</v>
      </c>
      <c r="G1643" s="2439">
        <v>0</v>
      </c>
      <c r="H1643" s="2407">
        <v>126400</v>
      </c>
      <c r="I1643" s="2408"/>
      <c r="J1643" s="2408"/>
      <c r="K1643" s="2672" t="s">
        <v>6515</v>
      </c>
      <c r="L1643" s="2409"/>
    </row>
    <row r="1644" spans="1:12" ht="12.75" customHeight="1" x14ac:dyDescent="0.3">
      <c r="A1644" s="2394" t="s">
        <v>5103</v>
      </c>
      <c r="B1644" s="2395" t="s">
        <v>3644</v>
      </c>
      <c r="C1644" s="2406">
        <v>1602000</v>
      </c>
      <c r="D1644" s="2396"/>
      <c r="E1644" s="2406">
        <v>0</v>
      </c>
      <c r="F1644" s="2406">
        <v>0</v>
      </c>
      <c r="G1644" s="2439">
        <v>0</v>
      </c>
      <c r="H1644" s="2407">
        <v>1602000</v>
      </c>
      <c r="I1644" s="2408"/>
      <c r="J1644" s="2408"/>
      <c r="K1644" s="2672" t="s">
        <v>6515</v>
      </c>
      <c r="L1644" s="2409"/>
    </row>
    <row r="1645" spans="1:12" ht="12.75" customHeight="1" x14ac:dyDescent="0.3">
      <c r="A1645" s="2394" t="s">
        <v>5104</v>
      </c>
      <c r="B1645" s="2395" t="s">
        <v>3646</v>
      </c>
      <c r="C1645" s="2406">
        <v>667800</v>
      </c>
      <c r="D1645" s="2396"/>
      <c r="E1645" s="2406">
        <v>0</v>
      </c>
      <c r="F1645" s="2406">
        <v>0</v>
      </c>
      <c r="G1645" s="2439">
        <v>0</v>
      </c>
      <c r="H1645" s="2407">
        <v>667800</v>
      </c>
      <c r="I1645" s="2408"/>
      <c r="J1645" s="2408"/>
      <c r="K1645" s="2672" t="s">
        <v>6515</v>
      </c>
      <c r="L1645" s="2409"/>
    </row>
    <row r="1646" spans="1:12" ht="12.75" customHeight="1" x14ac:dyDescent="0.3">
      <c r="A1646" s="2394" t="s">
        <v>5105</v>
      </c>
      <c r="B1646" s="2395" t="s">
        <v>3648</v>
      </c>
      <c r="C1646" s="2406">
        <v>3218000</v>
      </c>
      <c r="D1646" s="2396"/>
      <c r="E1646" s="2406">
        <v>1536500</v>
      </c>
      <c r="F1646" s="2406">
        <v>0</v>
      </c>
      <c r="G1646" s="2439">
        <v>1536500</v>
      </c>
      <c r="H1646" s="2407">
        <v>4754500</v>
      </c>
      <c r="I1646" s="2408"/>
      <c r="J1646" s="2408"/>
      <c r="K1646" s="2672" t="s">
        <v>6516</v>
      </c>
      <c r="L1646" s="2409"/>
    </row>
    <row r="1647" spans="1:12" ht="12.75" customHeight="1" x14ac:dyDescent="0.3">
      <c r="A1647" s="2394" t="s">
        <v>5106</v>
      </c>
      <c r="B1647" s="2395" t="s">
        <v>3650</v>
      </c>
      <c r="C1647" s="2406">
        <v>830500</v>
      </c>
      <c r="D1647" s="2396"/>
      <c r="E1647" s="2406">
        <v>380200</v>
      </c>
      <c r="F1647" s="2406">
        <v>0</v>
      </c>
      <c r="G1647" s="2439">
        <v>380200</v>
      </c>
      <c r="H1647" s="2407">
        <v>1210700</v>
      </c>
      <c r="I1647" s="2408"/>
      <c r="J1647" s="2408"/>
      <c r="K1647" s="2672" t="s">
        <v>6517</v>
      </c>
      <c r="L1647" s="2409"/>
    </row>
    <row r="1648" spans="1:12" ht="12.75" customHeight="1" x14ac:dyDescent="0.3">
      <c r="A1648" s="2394" t="s">
        <v>5107</v>
      </c>
      <c r="B1648" s="2395" t="s">
        <v>3652</v>
      </c>
      <c r="C1648" s="2406">
        <v>2705700</v>
      </c>
      <c r="D1648" s="2396"/>
      <c r="E1648" s="2406">
        <v>0</v>
      </c>
      <c r="F1648" s="2406">
        <v>0</v>
      </c>
      <c r="G1648" s="2439">
        <v>0</v>
      </c>
      <c r="H1648" s="2407">
        <v>2705700</v>
      </c>
      <c r="I1648" s="2408"/>
      <c r="J1648" s="2408"/>
      <c r="K1648" s="2672" t="s">
        <v>6518</v>
      </c>
      <c r="L1648" s="2409"/>
    </row>
    <row r="1649" spans="1:12" ht="12.75" customHeight="1" x14ac:dyDescent="0.3">
      <c r="A1649" s="2394" t="s">
        <v>7876</v>
      </c>
      <c r="B1649" s="2395" t="s">
        <v>7830</v>
      </c>
      <c r="C1649" s="2406">
        <v>480000</v>
      </c>
      <c r="D1649" s="2396"/>
      <c r="E1649" s="2406">
        <v>0</v>
      </c>
      <c r="F1649" s="2406">
        <v>0</v>
      </c>
      <c r="G1649" s="2439">
        <v>0</v>
      </c>
      <c r="H1649" s="2407">
        <v>480000</v>
      </c>
      <c r="I1649" s="2408"/>
      <c r="J1649" s="2408"/>
      <c r="K1649" s="2672" t="s">
        <v>6518</v>
      </c>
      <c r="L1649" s="2409"/>
    </row>
    <row r="1650" spans="1:12" ht="12.75" customHeight="1" x14ac:dyDescent="0.3">
      <c r="A1650" s="2394" t="s">
        <v>5108</v>
      </c>
      <c r="B1650" s="2395" t="s">
        <v>3654</v>
      </c>
      <c r="C1650" s="2406">
        <v>755600</v>
      </c>
      <c r="D1650" s="2396"/>
      <c r="E1650" s="2406">
        <v>0</v>
      </c>
      <c r="F1650" s="2406">
        <v>0</v>
      </c>
      <c r="G1650" s="2439">
        <v>0</v>
      </c>
      <c r="H1650" s="2407">
        <v>755600</v>
      </c>
      <c r="I1650" s="2408"/>
      <c r="J1650" s="2408"/>
      <c r="K1650" s="2672" t="s">
        <v>6518</v>
      </c>
      <c r="L1650" s="2409"/>
    </row>
    <row r="1651" spans="1:12" ht="12.75" customHeight="1" x14ac:dyDescent="0.3">
      <c r="A1651" s="2394" t="s">
        <v>5109</v>
      </c>
      <c r="B1651" s="2395" t="s">
        <v>3656</v>
      </c>
      <c r="C1651" s="2406">
        <v>0</v>
      </c>
      <c r="D1651" s="2396"/>
      <c r="E1651" s="2406">
        <v>0</v>
      </c>
      <c r="F1651" s="2406">
        <v>0</v>
      </c>
      <c r="G1651" s="2439">
        <v>0</v>
      </c>
      <c r="H1651" s="2407">
        <v>0</v>
      </c>
      <c r="I1651" s="2408"/>
      <c r="J1651" s="2408"/>
      <c r="K1651" s="2672"/>
      <c r="L1651" s="2409"/>
    </row>
    <row r="1652" spans="1:12" ht="12.75" customHeight="1" x14ac:dyDescent="0.3">
      <c r="A1652" s="2394" t="s">
        <v>5110</v>
      </c>
      <c r="B1652" s="2395" t="s">
        <v>3658</v>
      </c>
      <c r="C1652" s="2406">
        <v>0</v>
      </c>
      <c r="D1652" s="2396"/>
      <c r="E1652" s="2406">
        <v>0</v>
      </c>
      <c r="F1652" s="2406">
        <v>0</v>
      </c>
      <c r="G1652" s="2439">
        <v>0</v>
      </c>
      <c r="H1652" s="2407">
        <v>0</v>
      </c>
      <c r="I1652" s="2408"/>
      <c r="J1652" s="2408"/>
      <c r="K1652" s="2672" t="s">
        <v>6519</v>
      </c>
      <c r="L1652" s="2409"/>
    </row>
    <row r="1653" spans="1:12" ht="12.75" customHeight="1" x14ac:dyDescent="0.3">
      <c r="A1653" s="2394" t="s">
        <v>5111</v>
      </c>
      <c r="B1653" s="2395" t="s">
        <v>3660</v>
      </c>
      <c r="C1653" s="2406">
        <v>49000</v>
      </c>
      <c r="D1653" s="2396"/>
      <c r="E1653" s="2406">
        <v>0</v>
      </c>
      <c r="F1653" s="2406">
        <v>0</v>
      </c>
      <c r="G1653" s="2439">
        <v>0</v>
      </c>
      <c r="H1653" s="2407">
        <v>49000</v>
      </c>
      <c r="I1653" s="2408"/>
      <c r="J1653" s="2408"/>
      <c r="K1653" s="2672" t="s">
        <v>6520</v>
      </c>
      <c r="L1653" s="2409"/>
    </row>
    <row r="1654" spans="1:12" ht="12.75" customHeight="1" x14ac:dyDescent="0.3">
      <c r="A1654" s="2394" t="s">
        <v>5112</v>
      </c>
      <c r="B1654" s="2395" t="s">
        <v>3662</v>
      </c>
      <c r="C1654" s="2406">
        <v>0</v>
      </c>
      <c r="D1654" s="2396"/>
      <c r="E1654" s="2406">
        <v>0</v>
      </c>
      <c r="F1654" s="2406">
        <v>0</v>
      </c>
      <c r="G1654" s="2439">
        <v>0</v>
      </c>
      <c r="H1654" s="2407">
        <v>0</v>
      </c>
      <c r="I1654" s="2408"/>
      <c r="J1654" s="2408"/>
      <c r="K1654" s="2672" t="s">
        <v>6521</v>
      </c>
      <c r="L1654" s="2409"/>
    </row>
    <row r="1655" spans="1:12" ht="12.75" customHeight="1" x14ac:dyDescent="0.3">
      <c r="A1655" s="2394" t="s">
        <v>5113</v>
      </c>
      <c r="B1655" s="2395" t="s">
        <v>3664</v>
      </c>
      <c r="C1655" s="2406">
        <v>0</v>
      </c>
      <c r="D1655" s="2396"/>
      <c r="E1655" s="2406">
        <v>0</v>
      </c>
      <c r="F1655" s="2406">
        <v>0</v>
      </c>
      <c r="G1655" s="2439">
        <v>0</v>
      </c>
      <c r="H1655" s="2407">
        <v>0</v>
      </c>
      <c r="I1655" s="2408"/>
      <c r="J1655" s="2408"/>
      <c r="K1655" s="2672" t="s">
        <v>6522</v>
      </c>
      <c r="L1655" s="2409"/>
    </row>
    <row r="1656" spans="1:12" ht="12.75" customHeight="1" x14ac:dyDescent="0.3">
      <c r="A1656" s="2394" t="s">
        <v>5114</v>
      </c>
      <c r="B1656" s="2395" t="s">
        <v>3666</v>
      </c>
      <c r="C1656" s="2406">
        <v>0</v>
      </c>
      <c r="D1656" s="2396"/>
      <c r="E1656" s="2406">
        <v>0</v>
      </c>
      <c r="F1656" s="2406">
        <v>0</v>
      </c>
      <c r="G1656" s="2439">
        <v>0</v>
      </c>
      <c r="H1656" s="2407">
        <v>0</v>
      </c>
      <c r="I1656" s="2408"/>
      <c r="J1656" s="2408"/>
      <c r="K1656" s="2672" t="s">
        <v>6523</v>
      </c>
      <c r="L1656" s="2409"/>
    </row>
    <row r="1657" spans="1:12" ht="12.75" customHeight="1" x14ac:dyDescent="0.3">
      <c r="A1657" s="2394" t="s">
        <v>5115</v>
      </c>
      <c r="B1657" s="2395" t="s">
        <v>3668</v>
      </c>
      <c r="C1657" s="2406">
        <v>0</v>
      </c>
      <c r="D1657" s="2396"/>
      <c r="E1657" s="2406">
        <v>0</v>
      </c>
      <c r="F1657" s="2406">
        <v>0</v>
      </c>
      <c r="G1657" s="2439">
        <v>0</v>
      </c>
      <c r="H1657" s="2407">
        <v>0</v>
      </c>
      <c r="I1657" s="2408"/>
      <c r="J1657" s="2408"/>
      <c r="K1657" s="2672" t="s">
        <v>6524</v>
      </c>
      <c r="L1657" s="2409"/>
    </row>
    <row r="1658" spans="1:12" ht="12.75" customHeight="1" x14ac:dyDescent="0.3">
      <c r="A1658" s="2394" t="s">
        <v>5116</v>
      </c>
      <c r="B1658" s="2395" t="s">
        <v>350</v>
      </c>
      <c r="C1658" s="2406">
        <v>105000</v>
      </c>
      <c r="D1658" s="2396"/>
      <c r="E1658" s="2406">
        <v>0</v>
      </c>
      <c r="F1658" s="2406">
        <v>0</v>
      </c>
      <c r="G1658" s="2439">
        <v>0</v>
      </c>
      <c r="H1658" s="2407">
        <v>105000</v>
      </c>
      <c r="I1658" s="2408"/>
      <c r="J1658" s="2408"/>
      <c r="K1658" s="2672" t="s">
        <v>6536</v>
      </c>
      <c r="L1658" s="2409"/>
    </row>
    <row r="1659" spans="1:12" ht="12.75" customHeight="1" x14ac:dyDescent="0.3">
      <c r="A1659" s="2394" t="s">
        <v>5117</v>
      </c>
      <c r="B1659" s="2395" t="s">
        <v>3671</v>
      </c>
      <c r="C1659" s="2406">
        <v>0</v>
      </c>
      <c r="D1659" s="2396"/>
      <c r="E1659" s="2406">
        <v>0</v>
      </c>
      <c r="F1659" s="2406">
        <v>0</v>
      </c>
      <c r="G1659" s="2439">
        <v>0</v>
      </c>
      <c r="H1659" s="2407">
        <v>0</v>
      </c>
      <c r="I1659" s="2408"/>
      <c r="J1659" s="2408"/>
      <c r="K1659" s="2672"/>
      <c r="L1659" s="2409"/>
    </row>
    <row r="1660" spans="1:12" ht="12.75" customHeight="1" x14ac:dyDescent="0.3">
      <c r="A1660" s="2394" t="s">
        <v>5118</v>
      </c>
      <c r="B1660" s="2395" t="s">
        <v>3673</v>
      </c>
      <c r="C1660" s="2406">
        <v>0</v>
      </c>
      <c r="D1660" s="2396"/>
      <c r="E1660" s="2406">
        <v>0</v>
      </c>
      <c r="F1660" s="2406">
        <v>0</v>
      </c>
      <c r="G1660" s="2439">
        <v>0</v>
      </c>
      <c r="H1660" s="2407">
        <v>0</v>
      </c>
      <c r="I1660" s="2408"/>
      <c r="J1660" s="2408"/>
      <c r="K1660" s="2672" t="s">
        <v>6525</v>
      </c>
      <c r="L1660" s="2409"/>
    </row>
    <row r="1661" spans="1:12" ht="12.75" customHeight="1" x14ac:dyDescent="0.3">
      <c r="A1661" s="2394" t="s">
        <v>5119</v>
      </c>
      <c r="B1661" s="2395" t="s">
        <v>3675</v>
      </c>
      <c r="C1661" s="2406">
        <v>2410000</v>
      </c>
      <c r="D1661" s="2396"/>
      <c r="E1661" s="2406">
        <v>0</v>
      </c>
      <c r="F1661" s="2406">
        <v>0</v>
      </c>
      <c r="G1661" s="2439">
        <v>0</v>
      </c>
      <c r="H1661" s="2407">
        <v>2410000</v>
      </c>
      <c r="I1661" s="2408"/>
      <c r="J1661" s="2408"/>
      <c r="K1661" s="2672" t="s">
        <v>6526</v>
      </c>
      <c r="L1661" s="2409"/>
    </row>
    <row r="1662" spans="1:12" ht="12.75" customHeight="1" x14ac:dyDescent="0.3">
      <c r="A1662" s="2394" t="s">
        <v>5120</v>
      </c>
      <c r="B1662" s="2395" t="s">
        <v>3677</v>
      </c>
      <c r="C1662" s="2406">
        <v>0</v>
      </c>
      <c r="D1662" s="2396"/>
      <c r="E1662" s="2406">
        <v>0</v>
      </c>
      <c r="F1662" s="2406">
        <v>0</v>
      </c>
      <c r="G1662" s="2439">
        <v>0</v>
      </c>
      <c r="H1662" s="2407">
        <v>0</v>
      </c>
      <c r="I1662" s="2408"/>
      <c r="J1662" s="2408"/>
      <c r="K1662" s="2672" t="s">
        <v>6526</v>
      </c>
      <c r="L1662" s="2409"/>
    </row>
    <row r="1663" spans="1:12" ht="12.75" customHeight="1" x14ac:dyDescent="0.3">
      <c r="A1663" s="2394" t="s">
        <v>5121</v>
      </c>
      <c r="B1663" s="2395" t="s">
        <v>3679</v>
      </c>
      <c r="C1663" s="2406">
        <v>1175800</v>
      </c>
      <c r="D1663" s="2396"/>
      <c r="E1663" s="2406">
        <v>0</v>
      </c>
      <c r="F1663" s="2406">
        <v>0</v>
      </c>
      <c r="G1663" s="2439">
        <v>0</v>
      </c>
      <c r="H1663" s="2407">
        <v>1175800</v>
      </c>
      <c r="I1663" s="2408"/>
      <c r="J1663" s="2408"/>
      <c r="K1663" s="2672" t="s">
        <v>6526</v>
      </c>
      <c r="L1663" s="2409"/>
    </row>
    <row r="1664" spans="1:12" ht="12.75" customHeight="1" x14ac:dyDescent="0.3">
      <c r="A1664" s="2394" t="s">
        <v>5122</v>
      </c>
      <c r="B1664" s="2395" t="s">
        <v>3681</v>
      </c>
      <c r="C1664" s="2406">
        <v>0</v>
      </c>
      <c r="D1664" s="2396"/>
      <c r="E1664" s="2406">
        <v>0</v>
      </c>
      <c r="F1664" s="2406">
        <v>0</v>
      </c>
      <c r="G1664" s="2439">
        <v>0</v>
      </c>
      <c r="H1664" s="2407">
        <v>0</v>
      </c>
      <c r="I1664" s="2408"/>
      <c r="J1664" s="2408"/>
      <c r="K1664" s="2672" t="s">
        <v>6526</v>
      </c>
      <c r="L1664" s="2409"/>
    </row>
    <row r="1665" spans="1:12" ht="12.75" customHeight="1" x14ac:dyDescent="0.3">
      <c r="A1665" s="2394" t="s">
        <v>5123</v>
      </c>
      <c r="B1665" s="2395" t="s">
        <v>3683</v>
      </c>
      <c r="C1665" s="2406">
        <v>0</v>
      </c>
      <c r="D1665" s="2396"/>
      <c r="E1665" s="2406">
        <v>0</v>
      </c>
      <c r="F1665" s="2406">
        <v>0</v>
      </c>
      <c r="G1665" s="2439">
        <v>0</v>
      </c>
      <c r="H1665" s="2407">
        <v>0</v>
      </c>
      <c r="I1665" s="2408"/>
      <c r="J1665" s="2408"/>
      <c r="K1665" s="2672" t="s">
        <v>6527</v>
      </c>
      <c r="L1665" s="2409"/>
    </row>
    <row r="1666" spans="1:12" ht="12.75" customHeight="1" x14ac:dyDescent="0.3">
      <c r="A1666" s="2394" t="s">
        <v>5124</v>
      </c>
      <c r="B1666" s="2395" t="s">
        <v>3685</v>
      </c>
      <c r="C1666" s="2406">
        <v>0</v>
      </c>
      <c r="D1666" s="2396"/>
      <c r="E1666" s="2406">
        <v>0</v>
      </c>
      <c r="F1666" s="2406">
        <v>0</v>
      </c>
      <c r="G1666" s="2439">
        <v>0</v>
      </c>
      <c r="H1666" s="2407">
        <v>0</v>
      </c>
      <c r="I1666" s="2408"/>
      <c r="J1666" s="2408"/>
      <c r="K1666" s="2672" t="s">
        <v>6528</v>
      </c>
      <c r="L1666" s="2409"/>
    </row>
    <row r="1667" spans="1:12" ht="12.75" customHeight="1" x14ac:dyDescent="0.3">
      <c r="A1667" s="2394" t="s">
        <v>5125</v>
      </c>
      <c r="B1667" s="2395" t="s">
        <v>3687</v>
      </c>
      <c r="C1667" s="2406">
        <v>0</v>
      </c>
      <c r="D1667" s="2396"/>
      <c r="E1667" s="2406">
        <v>0</v>
      </c>
      <c r="F1667" s="2406">
        <v>0</v>
      </c>
      <c r="G1667" s="2439">
        <v>0</v>
      </c>
      <c r="H1667" s="2407">
        <v>0</v>
      </c>
      <c r="I1667" s="2408"/>
      <c r="J1667" s="2408"/>
      <c r="K1667" s="2672" t="s">
        <v>6528</v>
      </c>
      <c r="L1667" s="2409"/>
    </row>
    <row r="1668" spans="1:12" ht="12.75" customHeight="1" x14ac:dyDescent="0.3">
      <c r="A1668" s="2394" t="s">
        <v>5126</v>
      </c>
      <c r="B1668" s="2395" t="s">
        <v>3689</v>
      </c>
      <c r="C1668" s="2406">
        <v>0</v>
      </c>
      <c r="D1668" s="2396"/>
      <c r="E1668" s="2406">
        <v>0</v>
      </c>
      <c r="F1668" s="2406">
        <v>0</v>
      </c>
      <c r="G1668" s="2439">
        <v>0</v>
      </c>
      <c r="H1668" s="2407">
        <v>0</v>
      </c>
      <c r="I1668" s="2408"/>
      <c r="J1668" s="2408"/>
      <c r="K1668" s="2672" t="s">
        <v>6528</v>
      </c>
      <c r="L1668" s="2409"/>
    </row>
    <row r="1669" spans="1:12" ht="12.75" customHeight="1" x14ac:dyDescent="0.3">
      <c r="A1669" s="2394" t="s">
        <v>5127</v>
      </c>
      <c r="B1669" s="2395" t="s">
        <v>3992</v>
      </c>
      <c r="C1669" s="2406">
        <v>0</v>
      </c>
      <c r="D1669" s="2396"/>
      <c r="E1669" s="2406">
        <v>0</v>
      </c>
      <c r="F1669" s="2406">
        <v>0</v>
      </c>
      <c r="G1669" s="2439">
        <v>0</v>
      </c>
      <c r="H1669" s="2407">
        <v>0</v>
      </c>
      <c r="I1669" s="2408"/>
      <c r="J1669" s="2408"/>
      <c r="K1669" s="2672"/>
      <c r="L1669" s="2409"/>
    </row>
    <row r="1670" spans="1:12" ht="12" customHeight="1" x14ac:dyDescent="0.3">
      <c r="A1670" s="2394" t="s">
        <v>5128</v>
      </c>
      <c r="B1670" s="2395" t="s">
        <v>3720</v>
      </c>
      <c r="C1670" s="2406">
        <v>30000</v>
      </c>
      <c r="D1670" s="2396"/>
      <c r="E1670" s="2406">
        <v>0</v>
      </c>
      <c r="F1670" s="2406">
        <v>0</v>
      </c>
      <c r="G1670" s="2439">
        <v>0</v>
      </c>
      <c r="H1670" s="2407">
        <v>30000</v>
      </c>
      <c r="I1670" s="2408"/>
      <c r="J1670" s="2408"/>
      <c r="K1670" s="2672" t="s">
        <v>6515</v>
      </c>
      <c r="L1670" s="2409"/>
    </row>
    <row r="1671" spans="1:12" ht="12" customHeight="1" x14ac:dyDescent="0.3">
      <c r="A1671" s="2394" t="s">
        <v>5129</v>
      </c>
      <c r="B1671" s="2395" t="s">
        <v>3993</v>
      </c>
      <c r="C1671" s="2406">
        <v>180000</v>
      </c>
      <c r="D1671" s="2396"/>
      <c r="E1671" s="2406">
        <v>0</v>
      </c>
      <c r="F1671" s="2406">
        <v>0</v>
      </c>
      <c r="G1671" s="2439">
        <v>0</v>
      </c>
      <c r="H1671" s="2407">
        <v>180000</v>
      </c>
      <c r="I1671" s="2408"/>
      <c r="J1671" s="2408"/>
      <c r="K1671" s="2672" t="s">
        <v>6518</v>
      </c>
      <c r="L1671" s="2409"/>
    </row>
    <row r="1672" spans="1:12" ht="12" customHeight="1" x14ac:dyDescent="0.3">
      <c r="A1672" s="2394" t="s">
        <v>5130</v>
      </c>
      <c r="B1672" s="2395" t="s">
        <v>3994</v>
      </c>
      <c r="C1672" s="2406">
        <v>0</v>
      </c>
      <c r="D1672" s="2396"/>
      <c r="E1672" s="2406">
        <v>0</v>
      </c>
      <c r="F1672" s="2406">
        <v>0</v>
      </c>
      <c r="G1672" s="2439">
        <v>0</v>
      </c>
      <c r="H1672" s="2407">
        <v>0</v>
      </c>
      <c r="I1672" s="2408"/>
      <c r="J1672" s="2408"/>
      <c r="K1672" s="2672" t="s">
        <v>6518</v>
      </c>
      <c r="L1672" s="2409"/>
    </row>
    <row r="1673" spans="1:12" ht="12" customHeight="1" x14ac:dyDescent="0.3">
      <c r="A1673" s="2394" t="s">
        <v>5131</v>
      </c>
      <c r="B1673" s="2395" t="s">
        <v>3995</v>
      </c>
      <c r="C1673" s="2406">
        <v>0</v>
      </c>
      <c r="D1673" s="2396"/>
      <c r="E1673" s="2406">
        <v>0</v>
      </c>
      <c r="F1673" s="2406">
        <v>0</v>
      </c>
      <c r="G1673" s="2439">
        <v>0</v>
      </c>
      <c r="H1673" s="2407">
        <v>0</v>
      </c>
      <c r="I1673" s="2408"/>
      <c r="J1673" s="2408"/>
      <c r="K1673" s="2672" t="s">
        <v>6518</v>
      </c>
      <c r="L1673" s="2409"/>
    </row>
    <row r="1674" spans="1:12" ht="12" customHeight="1" x14ac:dyDescent="0.3">
      <c r="A1674" s="2394" t="s">
        <v>5132</v>
      </c>
      <c r="B1674" s="2395" t="s">
        <v>3935</v>
      </c>
      <c r="C1674" s="2406">
        <v>5095700</v>
      </c>
      <c r="D1674" s="2396"/>
      <c r="E1674" s="2406">
        <v>188500</v>
      </c>
      <c r="F1674" s="2406">
        <v>0</v>
      </c>
      <c r="G1674" s="2439">
        <v>188500</v>
      </c>
      <c r="H1674" s="2407">
        <v>5284200</v>
      </c>
      <c r="I1674" s="2408"/>
      <c r="J1674" s="2408"/>
      <c r="K1674" s="2672" t="s">
        <v>6522</v>
      </c>
      <c r="L1674" s="2409"/>
    </row>
    <row r="1675" spans="1:12" ht="12" customHeight="1" x14ac:dyDescent="0.3">
      <c r="A1675" s="2394" t="s">
        <v>5133</v>
      </c>
      <c r="B1675" s="2395" t="s">
        <v>3968</v>
      </c>
      <c r="C1675" s="2406">
        <v>700000</v>
      </c>
      <c r="D1675" s="2396"/>
      <c r="E1675" s="2406">
        <v>0</v>
      </c>
      <c r="F1675" s="2406">
        <v>0</v>
      </c>
      <c r="G1675" s="2439">
        <v>0</v>
      </c>
      <c r="H1675" s="2407">
        <v>700000</v>
      </c>
      <c r="I1675" s="2408"/>
      <c r="J1675" s="2408"/>
      <c r="K1675" s="2672" t="s">
        <v>6538</v>
      </c>
      <c r="L1675" s="2409"/>
    </row>
    <row r="1676" spans="1:12" ht="12" customHeight="1" x14ac:dyDescent="0.3">
      <c r="A1676" s="2394" t="s">
        <v>5134</v>
      </c>
      <c r="B1676" s="2395" t="s">
        <v>3648</v>
      </c>
      <c r="C1676" s="2406">
        <v>362000</v>
      </c>
      <c r="D1676" s="2396"/>
      <c r="E1676" s="2406">
        <v>0</v>
      </c>
      <c r="F1676" s="2406">
        <v>0</v>
      </c>
      <c r="G1676" s="2439">
        <v>0</v>
      </c>
      <c r="H1676" s="2407">
        <v>362000</v>
      </c>
      <c r="I1676" s="2408"/>
      <c r="J1676" s="2408"/>
      <c r="K1676" s="2672" t="s">
        <v>6516</v>
      </c>
      <c r="L1676" s="2409"/>
    </row>
    <row r="1677" spans="1:12" ht="12" customHeight="1" x14ac:dyDescent="0.3">
      <c r="A1677" s="2394" t="s">
        <v>5135</v>
      </c>
      <c r="B1677" s="2395" t="s">
        <v>3996</v>
      </c>
      <c r="C1677" s="2406">
        <v>0</v>
      </c>
      <c r="D1677" s="2396"/>
      <c r="E1677" s="2406">
        <v>0</v>
      </c>
      <c r="F1677" s="2406">
        <v>0</v>
      </c>
      <c r="G1677" s="2439">
        <v>0</v>
      </c>
      <c r="H1677" s="2407">
        <v>0</v>
      </c>
      <c r="I1677" s="2408"/>
      <c r="J1677" s="2408"/>
      <c r="K1677" s="2672" t="s">
        <v>6527</v>
      </c>
      <c r="L1677" s="2409"/>
    </row>
    <row r="1678" spans="1:12" ht="12" customHeight="1" x14ac:dyDescent="0.3">
      <c r="A1678" s="2394" t="s">
        <v>5136</v>
      </c>
      <c r="B1678" s="2395" t="s">
        <v>350</v>
      </c>
      <c r="C1678" s="2406">
        <v>0</v>
      </c>
      <c r="D1678" s="2396"/>
      <c r="E1678" s="2406">
        <v>0</v>
      </c>
      <c r="F1678" s="2406">
        <v>0</v>
      </c>
      <c r="G1678" s="2439">
        <v>0</v>
      </c>
      <c r="H1678" s="2407">
        <v>0</v>
      </c>
      <c r="I1678" s="2408"/>
      <c r="J1678" s="2408"/>
      <c r="K1678" s="2672" t="s">
        <v>6536</v>
      </c>
      <c r="L1678" s="2409"/>
    </row>
    <row r="1679" spans="1:12" ht="12" customHeight="1" x14ac:dyDescent="0.3">
      <c r="A1679" s="2394" t="s">
        <v>5137</v>
      </c>
      <c r="B1679" s="2395" t="s">
        <v>3997</v>
      </c>
      <c r="C1679" s="2406">
        <v>0</v>
      </c>
      <c r="D1679" s="2396"/>
      <c r="E1679" s="2406">
        <v>0</v>
      </c>
      <c r="F1679" s="2406">
        <v>0</v>
      </c>
      <c r="G1679" s="2439">
        <v>0</v>
      </c>
      <c r="H1679" s="2407">
        <v>0</v>
      </c>
      <c r="I1679" s="2408"/>
      <c r="J1679" s="2408"/>
      <c r="K1679" s="2672"/>
      <c r="L1679" s="2409"/>
    </row>
    <row r="1680" spans="1:12" ht="12.75" customHeight="1" x14ac:dyDescent="0.3">
      <c r="A1680" s="2394" t="s">
        <v>5138</v>
      </c>
      <c r="B1680" s="2395" t="s">
        <v>3720</v>
      </c>
      <c r="C1680" s="2406">
        <v>0</v>
      </c>
      <c r="D1680" s="2396"/>
      <c r="E1680" s="2406">
        <v>0</v>
      </c>
      <c r="F1680" s="2406">
        <v>0</v>
      </c>
      <c r="G1680" s="2439">
        <v>0</v>
      </c>
      <c r="H1680" s="2407">
        <v>0</v>
      </c>
      <c r="I1680" s="2408"/>
      <c r="J1680" s="2408"/>
      <c r="K1680" s="2672" t="s">
        <v>6515</v>
      </c>
      <c r="L1680" s="2409"/>
    </row>
    <row r="1681" spans="1:12" ht="12" customHeight="1" x14ac:dyDescent="0.3">
      <c r="A1681" s="2394" t="s">
        <v>5139</v>
      </c>
      <c r="B1681" s="2395" t="s">
        <v>3993</v>
      </c>
      <c r="C1681" s="2406">
        <v>0</v>
      </c>
      <c r="D1681" s="2396"/>
      <c r="E1681" s="2406">
        <v>0</v>
      </c>
      <c r="F1681" s="2406">
        <v>0</v>
      </c>
      <c r="G1681" s="2439">
        <v>0</v>
      </c>
      <c r="H1681" s="2407">
        <v>0</v>
      </c>
      <c r="I1681" s="2408"/>
      <c r="J1681" s="2408"/>
      <c r="K1681" s="2672" t="s">
        <v>6518</v>
      </c>
      <c r="L1681" s="2409"/>
    </row>
    <row r="1682" spans="1:12" ht="12" customHeight="1" x14ac:dyDescent="0.3">
      <c r="A1682" s="2394" t="s">
        <v>5140</v>
      </c>
      <c r="B1682" s="2395" t="s">
        <v>3998</v>
      </c>
      <c r="C1682" s="2406">
        <v>0</v>
      </c>
      <c r="D1682" s="2396"/>
      <c r="E1682" s="2406">
        <v>0</v>
      </c>
      <c r="F1682" s="2406">
        <v>0</v>
      </c>
      <c r="G1682" s="2439">
        <v>0</v>
      </c>
      <c r="H1682" s="2407">
        <v>0</v>
      </c>
      <c r="I1682" s="2408"/>
      <c r="J1682" s="2408"/>
      <c r="K1682" s="2672" t="s">
        <v>6518</v>
      </c>
      <c r="L1682" s="2409"/>
    </row>
    <row r="1683" spans="1:12" ht="12" customHeight="1" x14ac:dyDescent="0.3">
      <c r="A1683" s="2394" t="s">
        <v>5141</v>
      </c>
      <c r="B1683" s="2395" t="s">
        <v>3999</v>
      </c>
      <c r="C1683" s="2406">
        <v>0</v>
      </c>
      <c r="D1683" s="2396"/>
      <c r="E1683" s="2406">
        <v>0</v>
      </c>
      <c r="F1683" s="2406">
        <v>0</v>
      </c>
      <c r="G1683" s="2439">
        <v>0</v>
      </c>
      <c r="H1683" s="2407">
        <v>0</v>
      </c>
      <c r="I1683" s="2408"/>
      <c r="J1683" s="2408"/>
      <c r="K1683" s="2672" t="s">
        <v>6518</v>
      </c>
      <c r="L1683" s="2409"/>
    </row>
    <row r="1684" spans="1:12" ht="12" customHeight="1" x14ac:dyDescent="0.3">
      <c r="A1684" s="2394" t="s">
        <v>5142</v>
      </c>
      <c r="B1684" s="2395" t="s">
        <v>3935</v>
      </c>
      <c r="C1684" s="2406">
        <v>0</v>
      </c>
      <c r="D1684" s="2396"/>
      <c r="E1684" s="2406">
        <v>0</v>
      </c>
      <c r="F1684" s="2406">
        <v>0</v>
      </c>
      <c r="G1684" s="2439">
        <v>0</v>
      </c>
      <c r="H1684" s="2407">
        <v>0</v>
      </c>
      <c r="I1684" s="2408"/>
      <c r="J1684" s="2408"/>
      <c r="K1684" s="2672" t="s">
        <v>6522</v>
      </c>
      <c r="L1684" s="2409"/>
    </row>
    <row r="1685" spans="1:12" ht="12" customHeight="1" x14ac:dyDescent="0.3">
      <c r="A1685" s="2394" t="s">
        <v>5143</v>
      </c>
      <c r="B1685" s="2395" t="s">
        <v>3968</v>
      </c>
      <c r="C1685" s="2406">
        <v>200000</v>
      </c>
      <c r="D1685" s="2396"/>
      <c r="E1685" s="2406">
        <v>0</v>
      </c>
      <c r="F1685" s="2406">
        <v>0</v>
      </c>
      <c r="G1685" s="2439">
        <v>0</v>
      </c>
      <c r="H1685" s="2407">
        <v>200000</v>
      </c>
      <c r="I1685" s="2408"/>
      <c r="J1685" s="2408"/>
      <c r="K1685" s="2672" t="s">
        <v>6538</v>
      </c>
      <c r="L1685" s="2409"/>
    </row>
    <row r="1686" spans="1:12" ht="12" customHeight="1" x14ac:dyDescent="0.3">
      <c r="A1686" s="2394" t="s">
        <v>5144</v>
      </c>
      <c r="B1686" s="2395" t="s">
        <v>3648</v>
      </c>
      <c r="C1686" s="2406">
        <v>962200</v>
      </c>
      <c r="D1686" s="2396"/>
      <c r="E1686" s="2406">
        <v>0</v>
      </c>
      <c r="F1686" s="2406">
        <v>0</v>
      </c>
      <c r="G1686" s="2439">
        <v>0</v>
      </c>
      <c r="H1686" s="2407">
        <v>962200</v>
      </c>
      <c r="I1686" s="2408"/>
      <c r="J1686" s="2408"/>
      <c r="K1686" s="2672" t="s">
        <v>6516</v>
      </c>
      <c r="L1686" s="2409"/>
    </row>
    <row r="1687" spans="1:12" ht="12" customHeight="1" x14ac:dyDescent="0.3">
      <c r="A1687" s="2394" t="s">
        <v>5145</v>
      </c>
      <c r="B1687" s="2395" t="s">
        <v>3996</v>
      </c>
      <c r="C1687" s="2406">
        <v>0</v>
      </c>
      <c r="D1687" s="2396"/>
      <c r="E1687" s="2406">
        <v>0</v>
      </c>
      <c r="F1687" s="2406">
        <v>0</v>
      </c>
      <c r="G1687" s="2439">
        <v>0</v>
      </c>
      <c r="H1687" s="2407">
        <v>0</v>
      </c>
      <c r="I1687" s="2408"/>
      <c r="J1687" s="2408"/>
      <c r="K1687" s="2672" t="s">
        <v>6527</v>
      </c>
      <c r="L1687" s="2409"/>
    </row>
    <row r="1688" spans="1:12" ht="12" customHeight="1" x14ac:dyDescent="0.3">
      <c r="A1688" s="2394" t="s">
        <v>5146</v>
      </c>
      <c r="B1688" s="2395" t="s">
        <v>350</v>
      </c>
      <c r="C1688" s="2406">
        <v>0</v>
      </c>
      <c r="D1688" s="2396"/>
      <c r="E1688" s="2406">
        <v>0</v>
      </c>
      <c r="F1688" s="2406">
        <v>0</v>
      </c>
      <c r="G1688" s="2439">
        <v>0</v>
      </c>
      <c r="H1688" s="2407">
        <v>0</v>
      </c>
      <c r="I1688" s="2408"/>
      <c r="J1688" s="2408"/>
      <c r="K1688" s="2672" t="s">
        <v>6536</v>
      </c>
      <c r="L1688" s="2409"/>
    </row>
    <row r="1689" spans="1:12" ht="12" customHeight="1" x14ac:dyDescent="0.3">
      <c r="A1689" s="2394" t="s">
        <v>5147</v>
      </c>
      <c r="B1689" s="2395" t="s">
        <v>4000</v>
      </c>
      <c r="C1689" s="2406">
        <v>0</v>
      </c>
      <c r="D1689" s="2396"/>
      <c r="E1689" s="2406">
        <v>0</v>
      </c>
      <c r="F1689" s="2406">
        <v>0</v>
      </c>
      <c r="G1689" s="2439">
        <v>0</v>
      </c>
      <c r="H1689" s="2407">
        <v>0</v>
      </c>
      <c r="I1689" s="2408"/>
      <c r="J1689" s="2408"/>
      <c r="K1689" s="2672"/>
      <c r="L1689" s="2409"/>
    </row>
    <row r="1690" spans="1:12" ht="12" customHeight="1" x14ac:dyDescent="0.3">
      <c r="A1690" s="2394" t="s">
        <v>5148</v>
      </c>
      <c r="B1690" s="2395" t="s">
        <v>3720</v>
      </c>
      <c r="C1690" s="2406">
        <v>0</v>
      </c>
      <c r="D1690" s="2396"/>
      <c r="E1690" s="2406">
        <v>0</v>
      </c>
      <c r="F1690" s="2406">
        <v>0</v>
      </c>
      <c r="G1690" s="2439">
        <v>0</v>
      </c>
      <c r="H1690" s="2407">
        <v>0</v>
      </c>
      <c r="I1690" s="2408"/>
      <c r="J1690" s="2408"/>
      <c r="K1690" s="2672" t="s">
        <v>6515</v>
      </c>
      <c r="L1690" s="2409"/>
    </row>
    <row r="1691" spans="1:12" ht="12" customHeight="1" x14ac:dyDescent="0.3">
      <c r="A1691" s="2394" t="s">
        <v>5149</v>
      </c>
      <c r="B1691" s="2395" t="s">
        <v>3993</v>
      </c>
      <c r="C1691" s="2406">
        <v>0</v>
      </c>
      <c r="D1691" s="2396"/>
      <c r="E1691" s="2406">
        <v>0</v>
      </c>
      <c r="F1691" s="2406">
        <v>0</v>
      </c>
      <c r="G1691" s="2439">
        <v>0</v>
      </c>
      <c r="H1691" s="2407">
        <v>0</v>
      </c>
      <c r="I1691" s="2408"/>
      <c r="J1691" s="2408"/>
      <c r="K1691" s="2672" t="s">
        <v>6518</v>
      </c>
      <c r="L1691" s="2409"/>
    </row>
    <row r="1692" spans="1:12" ht="12" customHeight="1" x14ac:dyDescent="0.3">
      <c r="A1692" s="2394" t="s">
        <v>5150</v>
      </c>
      <c r="B1692" s="2395" t="s">
        <v>3998</v>
      </c>
      <c r="C1692" s="2406">
        <v>0</v>
      </c>
      <c r="D1692" s="2396"/>
      <c r="E1692" s="2406">
        <v>0</v>
      </c>
      <c r="F1692" s="2406">
        <v>0</v>
      </c>
      <c r="G1692" s="2439">
        <v>0</v>
      </c>
      <c r="H1692" s="2407">
        <v>0</v>
      </c>
      <c r="I1692" s="2408"/>
      <c r="J1692" s="2408"/>
      <c r="K1692" s="2672" t="s">
        <v>6518</v>
      </c>
      <c r="L1692" s="2409"/>
    </row>
    <row r="1693" spans="1:12" ht="12" customHeight="1" x14ac:dyDescent="0.3">
      <c r="A1693" s="2394" t="s">
        <v>5151</v>
      </c>
      <c r="B1693" s="2395" t="s">
        <v>3999</v>
      </c>
      <c r="C1693" s="2406">
        <v>0</v>
      </c>
      <c r="D1693" s="2396"/>
      <c r="E1693" s="2406">
        <v>0</v>
      </c>
      <c r="F1693" s="2406">
        <v>0</v>
      </c>
      <c r="G1693" s="2439">
        <v>0</v>
      </c>
      <c r="H1693" s="2407">
        <v>0</v>
      </c>
      <c r="I1693" s="2408"/>
      <c r="J1693" s="2408"/>
      <c r="K1693" s="2672" t="s">
        <v>6518</v>
      </c>
      <c r="L1693" s="2409"/>
    </row>
    <row r="1694" spans="1:12" ht="12" customHeight="1" x14ac:dyDescent="0.3">
      <c r="A1694" s="2394" t="s">
        <v>5152</v>
      </c>
      <c r="B1694" s="2395" t="s">
        <v>3935</v>
      </c>
      <c r="C1694" s="2406">
        <v>0</v>
      </c>
      <c r="D1694" s="2396"/>
      <c r="E1694" s="2406">
        <v>0</v>
      </c>
      <c r="F1694" s="2406">
        <v>0</v>
      </c>
      <c r="G1694" s="2439">
        <v>0</v>
      </c>
      <c r="H1694" s="2407">
        <v>0</v>
      </c>
      <c r="I1694" s="2408"/>
      <c r="J1694" s="2408"/>
      <c r="K1694" s="2672" t="s">
        <v>6522</v>
      </c>
      <c r="L1694" s="2409"/>
    </row>
    <row r="1695" spans="1:12" ht="12" customHeight="1" x14ac:dyDescent="0.3">
      <c r="A1695" s="2394" t="s">
        <v>5153</v>
      </c>
      <c r="B1695" s="2395" t="s">
        <v>3968</v>
      </c>
      <c r="C1695" s="2406">
        <v>30000</v>
      </c>
      <c r="D1695" s="2396"/>
      <c r="E1695" s="2406">
        <v>0</v>
      </c>
      <c r="F1695" s="2406">
        <v>0</v>
      </c>
      <c r="G1695" s="2439">
        <v>0</v>
      </c>
      <c r="H1695" s="2407">
        <v>30000</v>
      </c>
      <c r="I1695" s="2408"/>
      <c r="J1695" s="2408"/>
      <c r="K1695" s="2672" t="s">
        <v>6538</v>
      </c>
      <c r="L1695" s="2409"/>
    </row>
    <row r="1696" spans="1:12" ht="12" customHeight="1" x14ac:dyDescent="0.3">
      <c r="A1696" s="2394" t="s">
        <v>5154</v>
      </c>
      <c r="B1696" s="2395" t="s">
        <v>3648</v>
      </c>
      <c r="C1696" s="2406">
        <v>686000</v>
      </c>
      <c r="D1696" s="2396"/>
      <c r="E1696" s="2406">
        <v>0</v>
      </c>
      <c r="F1696" s="2406">
        <v>0</v>
      </c>
      <c r="G1696" s="2439">
        <v>0</v>
      </c>
      <c r="H1696" s="2407">
        <v>686000</v>
      </c>
      <c r="I1696" s="2408"/>
      <c r="J1696" s="2408"/>
      <c r="K1696" s="2672" t="s">
        <v>6516</v>
      </c>
      <c r="L1696" s="2409"/>
    </row>
    <row r="1697" spans="1:12" ht="12" customHeight="1" x14ac:dyDescent="0.3">
      <c r="A1697" s="2394" t="s">
        <v>5155</v>
      </c>
      <c r="B1697" s="2395" t="s">
        <v>3996</v>
      </c>
      <c r="C1697" s="2406">
        <v>0</v>
      </c>
      <c r="D1697" s="2396"/>
      <c r="E1697" s="2406">
        <v>0</v>
      </c>
      <c r="F1697" s="2406">
        <v>0</v>
      </c>
      <c r="G1697" s="2439">
        <v>0</v>
      </c>
      <c r="H1697" s="2407">
        <v>0</v>
      </c>
      <c r="I1697" s="2408"/>
      <c r="J1697" s="2408"/>
      <c r="K1697" s="2672" t="s">
        <v>6527</v>
      </c>
      <c r="L1697" s="2409"/>
    </row>
    <row r="1698" spans="1:12" ht="12" customHeight="1" x14ac:dyDescent="0.3">
      <c r="A1698" s="2394" t="s">
        <v>5156</v>
      </c>
      <c r="B1698" s="2395" t="s">
        <v>350</v>
      </c>
      <c r="C1698" s="2406">
        <v>867500</v>
      </c>
      <c r="D1698" s="2396"/>
      <c r="E1698" s="2406">
        <v>0</v>
      </c>
      <c r="F1698" s="2406">
        <v>0</v>
      </c>
      <c r="G1698" s="2439">
        <v>0</v>
      </c>
      <c r="H1698" s="2407">
        <v>867500</v>
      </c>
      <c r="I1698" s="2408"/>
      <c r="J1698" s="2408"/>
      <c r="K1698" s="2672" t="s">
        <v>6536</v>
      </c>
      <c r="L1698" s="2409"/>
    </row>
    <row r="1699" spans="1:12" ht="12" customHeight="1" x14ac:dyDescent="0.3">
      <c r="A1699" s="2394" t="s">
        <v>5157</v>
      </c>
      <c r="B1699" s="2395" t="s">
        <v>4001</v>
      </c>
      <c r="C1699" s="2406">
        <v>0</v>
      </c>
      <c r="D1699" s="2396"/>
      <c r="E1699" s="2406">
        <v>0</v>
      </c>
      <c r="F1699" s="2406">
        <v>0</v>
      </c>
      <c r="G1699" s="2439">
        <v>0</v>
      </c>
      <c r="H1699" s="2407">
        <v>0</v>
      </c>
      <c r="I1699" s="2408"/>
      <c r="J1699" s="2408"/>
      <c r="K1699" s="2672"/>
      <c r="L1699" s="2409"/>
    </row>
    <row r="1700" spans="1:12" ht="12" customHeight="1" x14ac:dyDescent="0.3">
      <c r="A1700" s="2394" t="s">
        <v>5158</v>
      </c>
      <c r="B1700" s="2395" t="s">
        <v>3963</v>
      </c>
      <c r="C1700" s="2406">
        <v>1000000</v>
      </c>
      <c r="D1700" s="2396"/>
      <c r="E1700" s="2406">
        <v>0</v>
      </c>
      <c r="F1700" s="2406">
        <v>0</v>
      </c>
      <c r="G1700" s="2439">
        <v>0</v>
      </c>
      <c r="H1700" s="2407">
        <v>1000000</v>
      </c>
      <c r="I1700" s="2408"/>
      <c r="J1700" s="2408"/>
      <c r="K1700" s="2672" t="s">
        <v>6541</v>
      </c>
      <c r="L1700" s="2409"/>
    </row>
    <row r="1701" spans="1:12" ht="12" customHeight="1" x14ac:dyDescent="0.3">
      <c r="A1701" s="2394" t="s">
        <v>5159</v>
      </c>
      <c r="B1701" s="2395" t="s">
        <v>3754</v>
      </c>
      <c r="C1701" s="2406">
        <v>0</v>
      </c>
      <c r="D1701" s="2396"/>
      <c r="E1701" s="2406">
        <v>0</v>
      </c>
      <c r="F1701" s="2406">
        <v>0</v>
      </c>
      <c r="G1701" s="2439">
        <v>0</v>
      </c>
      <c r="H1701" s="2407">
        <v>0</v>
      </c>
      <c r="I1701" s="2408"/>
      <c r="J1701" s="2408"/>
      <c r="K1701" s="2672" t="s">
        <v>6539</v>
      </c>
      <c r="L1701" s="2409"/>
    </row>
    <row r="1702" spans="1:12" ht="12" customHeight="1" x14ac:dyDescent="0.3">
      <c r="A1702" s="2394" t="s">
        <v>7948</v>
      </c>
      <c r="B1702" s="2395" t="s">
        <v>3746</v>
      </c>
      <c r="C1702" s="2406">
        <v>140183000</v>
      </c>
      <c r="D1702" s="2396"/>
      <c r="E1702" s="2406">
        <v>0</v>
      </c>
      <c r="F1702" s="2406">
        <v>0</v>
      </c>
      <c r="G1702" s="2439">
        <v>0</v>
      </c>
      <c r="H1702" s="2407">
        <v>140183000</v>
      </c>
      <c r="I1702" s="2408"/>
      <c r="J1702" s="2408"/>
      <c r="K1702" s="2672" t="s">
        <v>6536</v>
      </c>
      <c r="L1702" s="2409"/>
    </row>
    <row r="1703" spans="1:12" ht="12" customHeight="1" x14ac:dyDescent="0.3">
      <c r="A1703" s="2394" t="s">
        <v>5160</v>
      </c>
      <c r="B1703" s="2395" t="s">
        <v>3599</v>
      </c>
      <c r="C1703" s="2406">
        <v>0</v>
      </c>
      <c r="D1703" s="2396"/>
      <c r="E1703" s="2406">
        <v>0</v>
      </c>
      <c r="F1703" s="2406">
        <v>0</v>
      </c>
      <c r="G1703" s="2440">
        <v>0</v>
      </c>
      <c r="H1703" s="2407">
        <v>0</v>
      </c>
      <c r="I1703" s="2408"/>
      <c r="J1703" s="2408"/>
      <c r="K1703" s="2672"/>
      <c r="L1703" s="2409"/>
    </row>
    <row r="1704" spans="1:12" ht="12" customHeight="1" x14ac:dyDescent="0.3">
      <c r="A1704" s="2394" t="s">
        <v>5161</v>
      </c>
      <c r="B1704" s="2395" t="s">
        <v>3601</v>
      </c>
      <c r="C1704" s="2406">
        <v>0</v>
      </c>
      <c r="D1704" s="2396"/>
      <c r="E1704" s="2406">
        <v>0</v>
      </c>
      <c r="F1704" s="2406">
        <v>0</v>
      </c>
      <c r="G1704" s="2440">
        <v>0</v>
      </c>
      <c r="H1704" s="2407">
        <v>0</v>
      </c>
      <c r="I1704" s="2408"/>
      <c r="J1704" s="2408"/>
      <c r="K1704" s="2672" t="s">
        <v>2586</v>
      </c>
      <c r="L1704" s="2409"/>
    </row>
    <row r="1705" spans="1:12" ht="12" customHeight="1" x14ac:dyDescent="0.3">
      <c r="A1705" s="2394" t="s">
        <v>5162</v>
      </c>
      <c r="B1705" s="2395" t="s">
        <v>3603</v>
      </c>
      <c r="C1705" s="2406">
        <v>0</v>
      </c>
      <c r="D1705" s="2396"/>
      <c r="E1705" s="2406">
        <v>0</v>
      </c>
      <c r="F1705" s="2406">
        <v>0</v>
      </c>
      <c r="G1705" s="2440">
        <v>0</v>
      </c>
      <c r="H1705" s="2407">
        <v>0</v>
      </c>
      <c r="I1705" s="2408"/>
      <c r="J1705" s="2408"/>
      <c r="K1705" s="2672" t="s">
        <v>2586</v>
      </c>
      <c r="L1705" s="2409"/>
    </row>
    <row r="1706" spans="1:12" ht="12" customHeight="1" x14ac:dyDescent="0.3">
      <c r="A1706" s="2394" t="s">
        <v>5163</v>
      </c>
      <c r="B1706" s="2395" t="s">
        <v>3605</v>
      </c>
      <c r="C1706" s="2406">
        <v>0</v>
      </c>
      <c r="D1706" s="2396"/>
      <c r="E1706" s="2406">
        <v>0</v>
      </c>
      <c r="F1706" s="2406">
        <v>0</v>
      </c>
      <c r="G1706" s="2440">
        <v>0</v>
      </c>
      <c r="H1706" s="2407">
        <v>0</v>
      </c>
      <c r="I1706" s="2408"/>
      <c r="J1706" s="2408"/>
      <c r="K1706" s="2672" t="s">
        <v>2585</v>
      </c>
      <c r="L1706" s="2409"/>
    </row>
    <row r="1707" spans="1:12" ht="12" customHeight="1" x14ac:dyDescent="0.3">
      <c r="A1707" s="2394" t="s">
        <v>5164</v>
      </c>
      <c r="B1707" s="2395" t="s">
        <v>3607</v>
      </c>
      <c r="C1707" s="2406">
        <v>0</v>
      </c>
      <c r="D1707" s="2396"/>
      <c r="E1707" s="2406">
        <v>0</v>
      </c>
      <c r="F1707" s="2406">
        <v>0</v>
      </c>
      <c r="G1707" s="2440">
        <v>0</v>
      </c>
      <c r="H1707" s="2407">
        <v>0</v>
      </c>
      <c r="I1707" s="2408"/>
      <c r="J1707" s="2408"/>
      <c r="K1707" s="2672" t="s">
        <v>2586</v>
      </c>
      <c r="L1707" s="2409"/>
    </row>
    <row r="1708" spans="1:12" ht="12" customHeight="1" x14ac:dyDescent="0.3">
      <c r="A1708" s="2394" t="s">
        <v>5165</v>
      </c>
      <c r="B1708" s="2395" t="s">
        <v>3609</v>
      </c>
      <c r="C1708" s="2406">
        <v>0</v>
      </c>
      <c r="D1708" s="2396"/>
      <c r="E1708" s="2406">
        <v>0</v>
      </c>
      <c r="F1708" s="2406">
        <v>0</v>
      </c>
      <c r="G1708" s="2440">
        <v>0</v>
      </c>
      <c r="H1708" s="2407">
        <v>0</v>
      </c>
      <c r="I1708" s="2408"/>
      <c r="J1708" s="2408"/>
      <c r="K1708" s="2672" t="s">
        <v>2585</v>
      </c>
      <c r="L1708" s="2409"/>
    </row>
    <row r="1709" spans="1:12" ht="12" customHeight="1" x14ac:dyDescent="0.3">
      <c r="A1709" s="2394" t="s">
        <v>5166</v>
      </c>
      <c r="B1709" s="2395" t="s">
        <v>3611</v>
      </c>
      <c r="C1709" s="2406">
        <v>0</v>
      </c>
      <c r="D1709" s="2396"/>
      <c r="E1709" s="2406">
        <v>0</v>
      </c>
      <c r="F1709" s="2406">
        <v>0</v>
      </c>
      <c r="G1709" s="2440">
        <v>0</v>
      </c>
      <c r="H1709" s="2407">
        <v>0</v>
      </c>
      <c r="I1709" s="2408"/>
      <c r="J1709" s="2408"/>
      <c r="K1709" s="2672" t="s">
        <v>6505</v>
      </c>
      <c r="L1709" s="2409"/>
    </row>
    <row r="1710" spans="1:12" ht="12" customHeight="1" x14ac:dyDescent="0.3">
      <c r="A1710" s="2394" t="s">
        <v>5167</v>
      </c>
      <c r="B1710" s="2395" t="s">
        <v>3613</v>
      </c>
      <c r="C1710" s="2406">
        <v>0</v>
      </c>
      <c r="D1710" s="2396"/>
      <c r="E1710" s="2406">
        <v>0</v>
      </c>
      <c r="F1710" s="2406">
        <v>0</v>
      </c>
      <c r="G1710" s="2440">
        <v>0</v>
      </c>
      <c r="H1710" s="2407">
        <v>0</v>
      </c>
      <c r="I1710" s="2408"/>
      <c r="J1710" s="2408"/>
      <c r="K1710" s="2672" t="s">
        <v>6505</v>
      </c>
      <c r="L1710" s="2409"/>
    </row>
    <row r="1711" spans="1:12" ht="12" customHeight="1" x14ac:dyDescent="0.3">
      <c r="A1711" s="2394" t="s">
        <v>5168</v>
      </c>
      <c r="B1711" s="2395" t="s">
        <v>3615</v>
      </c>
      <c r="C1711" s="2406">
        <v>0</v>
      </c>
      <c r="D1711" s="2396"/>
      <c r="E1711" s="2406">
        <v>0</v>
      </c>
      <c r="F1711" s="2406">
        <v>0</v>
      </c>
      <c r="G1711" s="2440">
        <v>0</v>
      </c>
      <c r="H1711" s="2407">
        <v>0</v>
      </c>
      <c r="I1711" s="2408"/>
      <c r="J1711" s="2408"/>
      <c r="K1711" s="2672" t="s">
        <v>2586</v>
      </c>
      <c r="L1711" s="2409"/>
    </row>
    <row r="1712" spans="1:12" ht="12" customHeight="1" x14ac:dyDescent="0.3">
      <c r="A1712" s="2394" t="s">
        <v>5169</v>
      </c>
      <c r="B1712" s="2395" t="s">
        <v>3617</v>
      </c>
      <c r="C1712" s="2406">
        <v>0</v>
      </c>
      <c r="D1712" s="2396"/>
      <c r="E1712" s="2406">
        <v>0</v>
      </c>
      <c r="F1712" s="2406">
        <v>0</v>
      </c>
      <c r="G1712" s="2440">
        <v>0</v>
      </c>
      <c r="H1712" s="2407">
        <v>0</v>
      </c>
      <c r="I1712" s="2408"/>
      <c r="J1712" s="2408"/>
      <c r="K1712" s="2672" t="s">
        <v>2586</v>
      </c>
      <c r="L1712" s="2409"/>
    </row>
    <row r="1713" spans="1:12" ht="12" customHeight="1" x14ac:dyDescent="0.3">
      <c r="A1713" s="2394" t="s">
        <v>5170</v>
      </c>
      <c r="B1713" s="2395" t="s">
        <v>3619</v>
      </c>
      <c r="C1713" s="2406">
        <v>0</v>
      </c>
      <c r="D1713" s="2396"/>
      <c r="E1713" s="2406">
        <v>0</v>
      </c>
      <c r="F1713" s="2406">
        <v>0</v>
      </c>
      <c r="G1713" s="2440">
        <v>0</v>
      </c>
      <c r="H1713" s="2407">
        <v>0</v>
      </c>
      <c r="I1713" s="2408"/>
      <c r="J1713" s="2408"/>
      <c r="K1713" s="2672"/>
      <c r="L1713" s="2409"/>
    </row>
    <row r="1714" spans="1:12" ht="12" customHeight="1" x14ac:dyDescent="0.3">
      <c r="A1714" s="2394" t="s">
        <v>5171</v>
      </c>
      <c r="B1714" s="2395" t="s">
        <v>3621</v>
      </c>
      <c r="C1714" s="2406">
        <v>0</v>
      </c>
      <c r="D1714" s="2396"/>
      <c r="E1714" s="2406">
        <v>0</v>
      </c>
      <c r="F1714" s="2406">
        <v>0</v>
      </c>
      <c r="G1714" s="2440">
        <v>0</v>
      </c>
      <c r="H1714" s="2407">
        <v>0</v>
      </c>
      <c r="I1714" s="2408"/>
      <c r="J1714" s="2408"/>
      <c r="K1714" s="2672" t="s">
        <v>6506</v>
      </c>
      <c r="L1714" s="2409"/>
    </row>
    <row r="1715" spans="1:12" ht="12" customHeight="1" x14ac:dyDescent="0.3">
      <c r="A1715" s="2394" t="s">
        <v>5172</v>
      </c>
      <c r="B1715" s="2395" t="s">
        <v>3623</v>
      </c>
      <c r="C1715" s="2406">
        <v>0</v>
      </c>
      <c r="D1715" s="2396"/>
      <c r="E1715" s="2406">
        <v>0</v>
      </c>
      <c r="F1715" s="2406">
        <v>0</v>
      </c>
      <c r="G1715" s="2440">
        <v>0</v>
      </c>
      <c r="H1715" s="2407">
        <v>0</v>
      </c>
      <c r="I1715" s="2408"/>
      <c r="J1715" s="2408"/>
      <c r="K1715" s="2672" t="s">
        <v>6507</v>
      </c>
      <c r="L1715" s="2409"/>
    </row>
    <row r="1716" spans="1:12" ht="12.75" customHeight="1" x14ac:dyDescent="0.3">
      <c r="A1716" s="2394" t="s">
        <v>5173</v>
      </c>
      <c r="B1716" s="2395" t="s">
        <v>3625</v>
      </c>
      <c r="C1716" s="2406">
        <v>0</v>
      </c>
      <c r="D1716" s="2396"/>
      <c r="E1716" s="2406">
        <v>0</v>
      </c>
      <c r="F1716" s="2406">
        <v>0</v>
      </c>
      <c r="G1716" s="2440">
        <v>0</v>
      </c>
      <c r="H1716" s="2407">
        <v>0</v>
      </c>
      <c r="I1716" s="2408"/>
      <c r="J1716" s="2408"/>
      <c r="K1716" s="2672" t="s">
        <v>6508</v>
      </c>
      <c r="L1716" s="2409"/>
    </row>
    <row r="1717" spans="1:12" ht="12.75" customHeight="1" x14ac:dyDescent="0.3">
      <c r="A1717" s="2394" t="s">
        <v>5174</v>
      </c>
      <c r="B1717" s="2395" t="s">
        <v>3627</v>
      </c>
      <c r="C1717" s="2406">
        <v>0</v>
      </c>
      <c r="D1717" s="2396"/>
      <c r="E1717" s="2406">
        <v>0</v>
      </c>
      <c r="F1717" s="2406">
        <v>0</v>
      </c>
      <c r="G1717" s="2440">
        <v>0</v>
      </c>
      <c r="H1717" s="2407">
        <v>0</v>
      </c>
      <c r="I1717" s="2408"/>
      <c r="J1717" s="2408"/>
      <c r="K1717" s="2672" t="s">
        <v>6509</v>
      </c>
      <c r="L1717" s="2409"/>
    </row>
    <row r="1718" spans="1:12" ht="12.75" customHeight="1" x14ac:dyDescent="0.3">
      <c r="A1718" s="2394" t="s">
        <v>5175</v>
      </c>
      <c r="B1718" s="2395" t="s">
        <v>3629</v>
      </c>
      <c r="C1718" s="2406">
        <v>0</v>
      </c>
      <c r="D1718" s="2396"/>
      <c r="E1718" s="2406">
        <v>0</v>
      </c>
      <c r="F1718" s="2406">
        <v>0</v>
      </c>
      <c r="G1718" s="2440">
        <v>0</v>
      </c>
      <c r="H1718" s="2407">
        <v>0</v>
      </c>
      <c r="I1718" s="2408"/>
      <c r="J1718" s="2408"/>
      <c r="K1718" s="2672" t="s">
        <v>6510</v>
      </c>
      <c r="L1718" s="2409"/>
    </row>
    <row r="1719" spans="1:12" ht="12.75" customHeight="1" x14ac:dyDescent="0.3">
      <c r="A1719" s="2394" t="s">
        <v>5176</v>
      </c>
      <c r="B1719" s="2395" t="s">
        <v>3631</v>
      </c>
      <c r="C1719" s="2406">
        <v>0</v>
      </c>
      <c r="D1719" s="2396"/>
      <c r="E1719" s="2406">
        <v>0</v>
      </c>
      <c r="F1719" s="2406">
        <v>0</v>
      </c>
      <c r="G1719" s="2440">
        <v>0</v>
      </c>
      <c r="H1719" s="2407">
        <v>0</v>
      </c>
      <c r="I1719" s="2408"/>
      <c r="J1719" s="2408"/>
      <c r="K1719" s="2672" t="s">
        <v>6511</v>
      </c>
      <c r="L1719" s="2409"/>
    </row>
    <row r="1720" spans="1:12" ht="12.75" customHeight="1" x14ac:dyDescent="0.3">
      <c r="A1720" s="2394" t="s">
        <v>5177</v>
      </c>
      <c r="B1720" s="2395" t="s">
        <v>3633</v>
      </c>
      <c r="C1720" s="2406">
        <v>0</v>
      </c>
      <c r="D1720" s="2396"/>
      <c r="E1720" s="2406">
        <v>0</v>
      </c>
      <c r="F1720" s="2406">
        <v>0</v>
      </c>
      <c r="G1720" s="2440">
        <v>0</v>
      </c>
      <c r="H1720" s="2407">
        <v>0</v>
      </c>
      <c r="I1720" s="2408"/>
      <c r="J1720" s="2408"/>
      <c r="K1720" s="2672" t="s">
        <v>6512</v>
      </c>
      <c r="L1720" s="2409"/>
    </row>
    <row r="1721" spans="1:12" ht="12.75" customHeight="1" x14ac:dyDescent="0.3">
      <c r="A1721" s="2394" t="s">
        <v>5178</v>
      </c>
      <c r="B1721" s="2395" t="s">
        <v>3635</v>
      </c>
      <c r="C1721" s="2406">
        <v>0</v>
      </c>
      <c r="D1721" s="2396"/>
      <c r="E1721" s="2406">
        <v>0</v>
      </c>
      <c r="F1721" s="2406">
        <v>0</v>
      </c>
      <c r="G1721" s="2440">
        <v>0</v>
      </c>
      <c r="H1721" s="2407">
        <v>0</v>
      </c>
      <c r="I1721" s="2408"/>
      <c r="J1721" s="2408"/>
      <c r="K1721" s="2672" t="s">
        <v>6513</v>
      </c>
      <c r="L1721" s="2409"/>
    </row>
    <row r="1722" spans="1:12" ht="12.75" customHeight="1" x14ac:dyDescent="0.3">
      <c r="A1722" s="2394" t="s">
        <v>5179</v>
      </c>
      <c r="B1722" s="2395" t="s">
        <v>3637</v>
      </c>
      <c r="C1722" s="2406">
        <v>0</v>
      </c>
      <c r="D1722" s="2396"/>
      <c r="E1722" s="2406">
        <v>0</v>
      </c>
      <c r="F1722" s="2406">
        <v>0</v>
      </c>
      <c r="G1722" s="2440">
        <v>0</v>
      </c>
      <c r="H1722" s="2407">
        <v>0</v>
      </c>
      <c r="I1722" s="2408"/>
      <c r="J1722" s="2408"/>
      <c r="K1722" s="2672" t="s">
        <v>6514</v>
      </c>
      <c r="L1722" s="2409"/>
    </row>
    <row r="1723" spans="1:12" ht="12.75" customHeight="1" x14ac:dyDescent="0.3">
      <c r="A1723" s="2394" t="s">
        <v>5180</v>
      </c>
      <c r="B1723" s="2395" t="s">
        <v>334</v>
      </c>
      <c r="C1723" s="2406">
        <v>0</v>
      </c>
      <c r="D1723" s="2396"/>
      <c r="E1723" s="2406">
        <v>0</v>
      </c>
      <c r="F1723" s="2406">
        <v>0</v>
      </c>
      <c r="G1723" s="2440">
        <v>0</v>
      </c>
      <c r="H1723" s="2407">
        <v>0</v>
      </c>
      <c r="I1723" s="2408"/>
      <c r="J1723" s="2408"/>
      <c r="K1723" s="2672"/>
      <c r="L1723" s="2409"/>
    </row>
    <row r="1724" spans="1:12" ht="12.75" customHeight="1" x14ac:dyDescent="0.3">
      <c r="A1724" s="2394" t="s">
        <v>5181</v>
      </c>
      <c r="B1724" s="2395" t="s">
        <v>3640</v>
      </c>
      <c r="C1724" s="2406">
        <v>0</v>
      </c>
      <c r="D1724" s="2396"/>
      <c r="E1724" s="2406">
        <v>0</v>
      </c>
      <c r="F1724" s="2406">
        <v>0</v>
      </c>
      <c r="G1724" s="2407">
        <v>0</v>
      </c>
      <c r="H1724" s="2407">
        <v>0</v>
      </c>
      <c r="I1724" s="2408"/>
      <c r="J1724" s="2408"/>
      <c r="K1724" s="2672" t="s">
        <v>6515</v>
      </c>
      <c r="L1724" s="2409"/>
    </row>
    <row r="1725" spans="1:12" ht="12.75" customHeight="1" x14ac:dyDescent="0.3">
      <c r="A1725" s="2394" t="s">
        <v>5182</v>
      </c>
      <c r="B1725" s="2395" t="s">
        <v>3642</v>
      </c>
      <c r="C1725" s="2406">
        <v>0</v>
      </c>
      <c r="D1725" s="2396"/>
      <c r="E1725" s="2406">
        <v>0</v>
      </c>
      <c r="F1725" s="2406">
        <v>0</v>
      </c>
      <c r="G1725" s="2407">
        <v>0</v>
      </c>
      <c r="H1725" s="2407">
        <v>0</v>
      </c>
      <c r="I1725" s="2408"/>
      <c r="J1725" s="2408"/>
      <c r="K1725" s="2672" t="s">
        <v>6515</v>
      </c>
      <c r="L1725" s="2409"/>
    </row>
    <row r="1726" spans="1:12" ht="12.75" customHeight="1" x14ac:dyDescent="0.3">
      <c r="A1726" s="2394" t="s">
        <v>5183</v>
      </c>
      <c r="B1726" s="2395" t="s">
        <v>3644</v>
      </c>
      <c r="C1726" s="2406">
        <v>0</v>
      </c>
      <c r="D1726" s="2396"/>
      <c r="E1726" s="2406">
        <v>0</v>
      </c>
      <c r="F1726" s="2406">
        <v>0</v>
      </c>
      <c r="G1726" s="2407">
        <v>0</v>
      </c>
      <c r="H1726" s="2407">
        <v>0</v>
      </c>
      <c r="I1726" s="2408"/>
      <c r="J1726" s="2408"/>
      <c r="K1726" s="2672" t="s">
        <v>6515</v>
      </c>
      <c r="L1726" s="2409"/>
    </row>
    <row r="1727" spans="1:12" ht="12.75" customHeight="1" x14ac:dyDescent="0.3">
      <c r="A1727" s="2394" t="s">
        <v>5184</v>
      </c>
      <c r="B1727" s="2395" t="s">
        <v>3646</v>
      </c>
      <c r="C1727" s="2406">
        <v>0</v>
      </c>
      <c r="D1727" s="2396"/>
      <c r="E1727" s="2406">
        <v>0</v>
      </c>
      <c r="F1727" s="2406">
        <v>0</v>
      </c>
      <c r="G1727" s="2407">
        <v>0</v>
      </c>
      <c r="H1727" s="2407">
        <v>0</v>
      </c>
      <c r="I1727" s="2408"/>
      <c r="J1727" s="2408"/>
      <c r="K1727" s="2672" t="s">
        <v>6515</v>
      </c>
      <c r="L1727" s="2409"/>
    </row>
    <row r="1728" spans="1:12" ht="12.75" customHeight="1" x14ac:dyDescent="0.3">
      <c r="A1728" s="2394" t="s">
        <v>5185</v>
      </c>
      <c r="B1728" s="2395" t="s">
        <v>3648</v>
      </c>
      <c r="C1728" s="2406">
        <v>0</v>
      </c>
      <c r="D1728" s="2396"/>
      <c r="E1728" s="2406">
        <v>0</v>
      </c>
      <c r="F1728" s="2406">
        <v>0</v>
      </c>
      <c r="G1728" s="2407">
        <v>0</v>
      </c>
      <c r="H1728" s="2407">
        <v>0</v>
      </c>
      <c r="I1728" s="2408"/>
      <c r="J1728" s="2408"/>
      <c r="K1728" s="2672" t="s">
        <v>6516</v>
      </c>
      <c r="L1728" s="2409"/>
    </row>
    <row r="1729" spans="1:12" ht="12.75" customHeight="1" x14ac:dyDescent="0.3">
      <c r="A1729" s="2394" t="s">
        <v>5186</v>
      </c>
      <c r="B1729" s="2395" t="s">
        <v>3650</v>
      </c>
      <c r="C1729" s="2406">
        <v>283100</v>
      </c>
      <c r="D1729" s="2396"/>
      <c r="E1729" s="2406">
        <v>0</v>
      </c>
      <c r="F1729" s="2406">
        <v>0</v>
      </c>
      <c r="G1729" s="2407">
        <v>0</v>
      </c>
      <c r="H1729" s="2407">
        <v>283100</v>
      </c>
      <c r="I1729" s="2408"/>
      <c r="J1729" s="2408"/>
      <c r="K1729" s="2672" t="s">
        <v>6517</v>
      </c>
      <c r="L1729" s="2409"/>
    </row>
    <row r="1730" spans="1:12" ht="12.75" customHeight="1" x14ac:dyDescent="0.3">
      <c r="A1730" s="2394" t="s">
        <v>5187</v>
      </c>
      <c r="B1730" s="2395" t="s">
        <v>3652</v>
      </c>
      <c r="C1730" s="2406">
        <v>0</v>
      </c>
      <c r="D1730" s="2396"/>
      <c r="E1730" s="2406">
        <v>0</v>
      </c>
      <c r="F1730" s="2406">
        <v>0</v>
      </c>
      <c r="G1730" s="2407">
        <v>0</v>
      </c>
      <c r="H1730" s="2407">
        <v>0</v>
      </c>
      <c r="I1730" s="2408"/>
      <c r="J1730" s="2408"/>
      <c r="K1730" s="2672" t="s">
        <v>6518</v>
      </c>
      <c r="L1730" s="2409"/>
    </row>
    <row r="1731" spans="1:12" ht="12" customHeight="1" x14ac:dyDescent="0.3">
      <c r="A1731" s="2394" t="s">
        <v>5188</v>
      </c>
      <c r="B1731" s="2395" t="s">
        <v>3654</v>
      </c>
      <c r="C1731" s="2406">
        <v>0</v>
      </c>
      <c r="D1731" s="2396"/>
      <c r="E1731" s="2406">
        <v>0</v>
      </c>
      <c r="F1731" s="2406">
        <v>0</v>
      </c>
      <c r="G1731" s="2407">
        <v>0</v>
      </c>
      <c r="H1731" s="2407">
        <v>0</v>
      </c>
      <c r="I1731" s="2408"/>
      <c r="J1731" s="2408"/>
      <c r="K1731" s="2672" t="s">
        <v>6518</v>
      </c>
      <c r="L1731" s="2409"/>
    </row>
    <row r="1732" spans="1:12" ht="12" customHeight="1" x14ac:dyDescent="0.3">
      <c r="A1732" s="2394" t="s">
        <v>5189</v>
      </c>
      <c r="B1732" s="2395" t="s">
        <v>3656</v>
      </c>
      <c r="C1732" s="2406">
        <v>0</v>
      </c>
      <c r="D1732" s="2396"/>
      <c r="E1732" s="2406">
        <v>0</v>
      </c>
      <c r="F1732" s="2406">
        <v>0</v>
      </c>
      <c r="G1732" s="2407">
        <v>0</v>
      </c>
      <c r="H1732" s="2407">
        <v>0</v>
      </c>
      <c r="I1732" s="2408"/>
      <c r="J1732" s="2408"/>
      <c r="K1732" s="2672"/>
      <c r="L1732" s="2409"/>
    </row>
    <row r="1733" spans="1:12" ht="12" customHeight="1" x14ac:dyDescent="0.3">
      <c r="A1733" s="2394" t="s">
        <v>5190</v>
      </c>
      <c r="B1733" s="2395" t="s">
        <v>3658</v>
      </c>
      <c r="C1733" s="2406">
        <v>0</v>
      </c>
      <c r="D1733" s="2396"/>
      <c r="E1733" s="2406">
        <v>0</v>
      </c>
      <c r="F1733" s="2406">
        <v>0</v>
      </c>
      <c r="G1733" s="2407">
        <v>0</v>
      </c>
      <c r="H1733" s="2407">
        <v>0</v>
      </c>
      <c r="I1733" s="2408"/>
      <c r="J1733" s="2408"/>
      <c r="K1733" s="2672" t="s">
        <v>6519</v>
      </c>
      <c r="L1733" s="2409"/>
    </row>
    <row r="1734" spans="1:12" ht="12" customHeight="1" x14ac:dyDescent="0.3">
      <c r="A1734" s="2394" t="s">
        <v>5191</v>
      </c>
      <c r="B1734" s="2395" t="s">
        <v>3660</v>
      </c>
      <c r="C1734" s="2406">
        <v>0</v>
      </c>
      <c r="D1734" s="2396"/>
      <c r="E1734" s="2406">
        <v>0</v>
      </c>
      <c r="F1734" s="2406">
        <v>0</v>
      </c>
      <c r="G1734" s="2407">
        <v>0</v>
      </c>
      <c r="H1734" s="2407">
        <v>0</v>
      </c>
      <c r="I1734" s="2408"/>
      <c r="J1734" s="2408"/>
      <c r="K1734" s="2672" t="s">
        <v>6520</v>
      </c>
      <c r="L1734" s="2409"/>
    </row>
    <row r="1735" spans="1:12" ht="12" customHeight="1" x14ac:dyDescent="0.3">
      <c r="A1735" s="2394" t="s">
        <v>5192</v>
      </c>
      <c r="B1735" s="2395" t="s">
        <v>3662</v>
      </c>
      <c r="C1735" s="2406">
        <v>0</v>
      </c>
      <c r="D1735" s="2396"/>
      <c r="E1735" s="2406">
        <v>0</v>
      </c>
      <c r="F1735" s="2406">
        <v>0</v>
      </c>
      <c r="G1735" s="2407">
        <v>0</v>
      </c>
      <c r="H1735" s="2407">
        <v>0</v>
      </c>
      <c r="I1735" s="2408"/>
      <c r="J1735" s="2408"/>
      <c r="K1735" s="2672" t="s">
        <v>6521</v>
      </c>
      <c r="L1735" s="2409"/>
    </row>
    <row r="1736" spans="1:12" ht="12" customHeight="1" x14ac:dyDescent="0.3">
      <c r="A1736" s="2394" t="s">
        <v>5193</v>
      </c>
      <c r="B1736" s="2395" t="s">
        <v>3664</v>
      </c>
      <c r="C1736" s="2406">
        <v>0</v>
      </c>
      <c r="D1736" s="2396"/>
      <c r="E1736" s="2406">
        <v>0</v>
      </c>
      <c r="F1736" s="2406">
        <v>0</v>
      </c>
      <c r="G1736" s="2407">
        <v>0</v>
      </c>
      <c r="H1736" s="2407">
        <v>0</v>
      </c>
      <c r="I1736" s="2408"/>
      <c r="J1736" s="2408"/>
      <c r="K1736" s="2672" t="s">
        <v>6522</v>
      </c>
      <c r="L1736" s="2409"/>
    </row>
    <row r="1737" spans="1:12" ht="12" customHeight="1" x14ac:dyDescent="0.3">
      <c r="A1737" s="2394" t="s">
        <v>5194</v>
      </c>
      <c r="B1737" s="2395" t="s">
        <v>3666</v>
      </c>
      <c r="C1737" s="2406">
        <v>0</v>
      </c>
      <c r="D1737" s="2396"/>
      <c r="E1737" s="2406">
        <v>0</v>
      </c>
      <c r="F1737" s="2406">
        <v>0</v>
      </c>
      <c r="G1737" s="2407">
        <v>0</v>
      </c>
      <c r="H1737" s="2407">
        <v>0</v>
      </c>
      <c r="I1737" s="2408"/>
      <c r="J1737" s="2408"/>
      <c r="K1737" s="2672" t="s">
        <v>6523</v>
      </c>
      <c r="L1737" s="2409"/>
    </row>
    <row r="1738" spans="1:12" ht="12" customHeight="1" x14ac:dyDescent="0.3">
      <c r="A1738" s="2394" t="s">
        <v>5195</v>
      </c>
      <c r="B1738" s="2395" t="s">
        <v>3668</v>
      </c>
      <c r="C1738" s="2406">
        <v>0</v>
      </c>
      <c r="D1738" s="2396"/>
      <c r="E1738" s="2406">
        <v>0</v>
      </c>
      <c r="F1738" s="2406">
        <v>0</v>
      </c>
      <c r="G1738" s="2407">
        <v>0</v>
      </c>
      <c r="H1738" s="2407">
        <v>0</v>
      </c>
      <c r="I1738" s="2408"/>
      <c r="J1738" s="2408"/>
      <c r="K1738" s="2672" t="s">
        <v>6524</v>
      </c>
      <c r="L1738" s="2409"/>
    </row>
    <row r="1739" spans="1:12" ht="12" customHeight="1" x14ac:dyDescent="0.3">
      <c r="A1739" s="2394" t="s">
        <v>5196</v>
      </c>
      <c r="B1739" s="2395" t="s">
        <v>350</v>
      </c>
      <c r="C1739" s="2406">
        <v>1000000</v>
      </c>
      <c r="D1739" s="2396"/>
      <c r="E1739" s="2406">
        <v>0</v>
      </c>
      <c r="F1739" s="2406">
        <v>0</v>
      </c>
      <c r="G1739" s="2407">
        <v>0</v>
      </c>
      <c r="H1739" s="2407">
        <v>1000000</v>
      </c>
      <c r="I1739" s="2408"/>
      <c r="J1739" s="2408"/>
      <c r="K1739" s="2672" t="s">
        <v>6524</v>
      </c>
      <c r="L1739" s="2409"/>
    </row>
    <row r="1740" spans="1:12" ht="12" customHeight="1" x14ac:dyDescent="0.3">
      <c r="A1740" s="2394" t="s">
        <v>5197</v>
      </c>
      <c r="B1740" s="2395" t="s">
        <v>3671</v>
      </c>
      <c r="C1740" s="2406">
        <v>0</v>
      </c>
      <c r="D1740" s="2396"/>
      <c r="E1740" s="2406">
        <v>0</v>
      </c>
      <c r="F1740" s="2406">
        <v>0</v>
      </c>
      <c r="G1740" s="2407">
        <v>0</v>
      </c>
      <c r="H1740" s="2407">
        <v>0</v>
      </c>
      <c r="I1740" s="2408"/>
      <c r="J1740" s="2408"/>
      <c r="K1740" s="2672"/>
      <c r="L1740" s="2409"/>
    </row>
    <row r="1741" spans="1:12" ht="12.75" customHeight="1" x14ac:dyDescent="0.3">
      <c r="A1741" s="2394" t="s">
        <v>5198</v>
      </c>
      <c r="B1741" s="2395" t="s">
        <v>3673</v>
      </c>
      <c r="C1741" s="2406">
        <v>0</v>
      </c>
      <c r="D1741" s="2396"/>
      <c r="E1741" s="2406">
        <v>0</v>
      </c>
      <c r="F1741" s="2406">
        <v>0</v>
      </c>
      <c r="G1741" s="2407">
        <v>0</v>
      </c>
      <c r="H1741" s="2407">
        <v>0</v>
      </c>
      <c r="I1741" s="2408"/>
      <c r="J1741" s="2408"/>
      <c r="K1741" s="2672" t="s">
        <v>6525</v>
      </c>
      <c r="L1741" s="2409"/>
    </row>
    <row r="1742" spans="1:12" ht="12" customHeight="1" x14ac:dyDescent="0.3">
      <c r="A1742" s="2394" t="s">
        <v>5199</v>
      </c>
      <c r="B1742" s="2395" t="s">
        <v>3675</v>
      </c>
      <c r="C1742" s="2406">
        <v>0</v>
      </c>
      <c r="D1742" s="2396"/>
      <c r="E1742" s="2406">
        <v>0</v>
      </c>
      <c r="F1742" s="2406">
        <v>0</v>
      </c>
      <c r="G1742" s="2407">
        <v>0</v>
      </c>
      <c r="H1742" s="2407">
        <v>0</v>
      </c>
      <c r="I1742" s="2408"/>
      <c r="J1742" s="2408"/>
      <c r="K1742" s="2672" t="s">
        <v>6526</v>
      </c>
      <c r="L1742" s="2409"/>
    </row>
    <row r="1743" spans="1:12" ht="12" customHeight="1" x14ac:dyDescent="0.3">
      <c r="A1743" s="2394" t="s">
        <v>5200</v>
      </c>
      <c r="B1743" s="2395" t="s">
        <v>3677</v>
      </c>
      <c r="C1743" s="2406">
        <v>0</v>
      </c>
      <c r="D1743" s="2396"/>
      <c r="E1743" s="2406">
        <v>0</v>
      </c>
      <c r="F1743" s="2406">
        <v>0</v>
      </c>
      <c r="G1743" s="2407">
        <v>0</v>
      </c>
      <c r="H1743" s="2407">
        <v>0</v>
      </c>
      <c r="I1743" s="2408"/>
      <c r="J1743" s="2408"/>
      <c r="K1743" s="2672" t="s">
        <v>6526</v>
      </c>
      <c r="L1743" s="2409"/>
    </row>
    <row r="1744" spans="1:12" ht="12" customHeight="1" x14ac:dyDescent="0.3">
      <c r="A1744" s="2394" t="s">
        <v>5201</v>
      </c>
      <c r="B1744" s="2395" t="s">
        <v>3679</v>
      </c>
      <c r="C1744" s="2406">
        <v>0</v>
      </c>
      <c r="D1744" s="2396"/>
      <c r="E1744" s="2406">
        <v>0</v>
      </c>
      <c r="F1744" s="2406">
        <v>0</v>
      </c>
      <c r="G1744" s="2407">
        <v>0</v>
      </c>
      <c r="H1744" s="2407">
        <v>0</v>
      </c>
      <c r="I1744" s="2408"/>
      <c r="J1744" s="2408"/>
      <c r="K1744" s="2672" t="s">
        <v>6526</v>
      </c>
      <c r="L1744" s="2409"/>
    </row>
    <row r="1745" spans="1:12" ht="12" customHeight="1" x14ac:dyDescent="0.3">
      <c r="A1745" s="2394" t="s">
        <v>5202</v>
      </c>
      <c r="B1745" s="2395" t="s">
        <v>3681</v>
      </c>
      <c r="C1745" s="2406">
        <v>0</v>
      </c>
      <c r="D1745" s="2396"/>
      <c r="E1745" s="2406">
        <v>0</v>
      </c>
      <c r="F1745" s="2406">
        <v>0</v>
      </c>
      <c r="G1745" s="2407">
        <v>0</v>
      </c>
      <c r="H1745" s="2407">
        <v>0</v>
      </c>
      <c r="I1745" s="2408"/>
      <c r="J1745" s="2408"/>
      <c r="K1745" s="2672" t="s">
        <v>6526</v>
      </c>
      <c r="L1745" s="2409"/>
    </row>
    <row r="1746" spans="1:12" ht="12" customHeight="1" x14ac:dyDescent="0.3">
      <c r="A1746" s="2394" t="s">
        <v>5203</v>
      </c>
      <c r="B1746" s="2395" t="s">
        <v>3683</v>
      </c>
      <c r="C1746" s="2406">
        <v>0</v>
      </c>
      <c r="D1746" s="2396"/>
      <c r="E1746" s="2406">
        <v>0</v>
      </c>
      <c r="F1746" s="2406">
        <v>0</v>
      </c>
      <c r="G1746" s="2407">
        <v>0</v>
      </c>
      <c r="H1746" s="2407">
        <v>0</v>
      </c>
      <c r="I1746" s="2408"/>
      <c r="J1746" s="2408"/>
      <c r="K1746" s="2672" t="s">
        <v>6527</v>
      </c>
      <c r="L1746" s="2409"/>
    </row>
    <row r="1747" spans="1:12" ht="12" customHeight="1" x14ac:dyDescent="0.3">
      <c r="A1747" s="2394" t="s">
        <v>5204</v>
      </c>
      <c r="B1747" s="2395" t="s">
        <v>3685</v>
      </c>
      <c r="C1747" s="2406">
        <v>0</v>
      </c>
      <c r="D1747" s="2396"/>
      <c r="E1747" s="2406">
        <v>0</v>
      </c>
      <c r="F1747" s="2406">
        <v>0</v>
      </c>
      <c r="G1747" s="2407">
        <v>0</v>
      </c>
      <c r="H1747" s="2407">
        <v>0</v>
      </c>
      <c r="I1747" s="2408"/>
      <c r="J1747" s="2408"/>
      <c r="K1747" s="2672" t="s">
        <v>6528</v>
      </c>
      <c r="L1747" s="2409"/>
    </row>
    <row r="1748" spans="1:12" ht="12" customHeight="1" x14ac:dyDescent="0.3">
      <c r="A1748" s="2394" t="s">
        <v>5205</v>
      </c>
      <c r="B1748" s="2395" t="s">
        <v>3687</v>
      </c>
      <c r="C1748" s="2406">
        <v>0</v>
      </c>
      <c r="D1748" s="2396"/>
      <c r="E1748" s="2406">
        <v>0</v>
      </c>
      <c r="F1748" s="2406">
        <v>0</v>
      </c>
      <c r="G1748" s="2407">
        <v>0</v>
      </c>
      <c r="H1748" s="2407">
        <v>0</v>
      </c>
      <c r="I1748" s="2408"/>
      <c r="J1748" s="2408"/>
      <c r="K1748" s="2672" t="s">
        <v>6528</v>
      </c>
      <c r="L1748" s="2409"/>
    </row>
    <row r="1749" spans="1:12" ht="12" customHeight="1" x14ac:dyDescent="0.3">
      <c r="A1749" s="2394" t="s">
        <v>5206</v>
      </c>
      <c r="B1749" s="2395" t="s">
        <v>3689</v>
      </c>
      <c r="C1749" s="2406">
        <v>0</v>
      </c>
      <c r="D1749" s="2396"/>
      <c r="E1749" s="2406">
        <v>0</v>
      </c>
      <c r="F1749" s="2406">
        <v>0</v>
      </c>
      <c r="G1749" s="2407">
        <v>0</v>
      </c>
      <c r="H1749" s="2407">
        <v>0</v>
      </c>
      <c r="I1749" s="2408"/>
      <c r="J1749" s="2408"/>
      <c r="K1749" s="2672" t="s">
        <v>6528</v>
      </c>
      <c r="L1749" s="2409"/>
    </row>
    <row r="1750" spans="1:12" ht="12" customHeight="1" x14ac:dyDescent="0.3">
      <c r="A1750" s="2394" t="s">
        <v>5207</v>
      </c>
      <c r="B1750" s="2395" t="s">
        <v>4008</v>
      </c>
      <c r="C1750" s="2406">
        <v>0</v>
      </c>
      <c r="D1750" s="2396"/>
      <c r="E1750" s="2406">
        <v>0</v>
      </c>
      <c r="F1750" s="2406">
        <v>0</v>
      </c>
      <c r="G1750" s="2407">
        <v>0</v>
      </c>
      <c r="H1750" s="2407">
        <v>0</v>
      </c>
      <c r="I1750" s="2408"/>
      <c r="J1750" s="2408"/>
      <c r="K1750" s="2672" t="s">
        <v>6536</v>
      </c>
      <c r="L1750" s="2409"/>
    </row>
    <row r="1751" spans="1:12" ht="12" customHeight="1" x14ac:dyDescent="0.3">
      <c r="A1751" s="2394" t="s">
        <v>5208</v>
      </c>
      <c r="B1751" s="2395" t="s">
        <v>4009</v>
      </c>
      <c r="C1751" s="2406">
        <v>2100000</v>
      </c>
      <c r="D1751" s="2396"/>
      <c r="E1751" s="2406">
        <v>0</v>
      </c>
      <c r="F1751" s="2406">
        <v>0</v>
      </c>
      <c r="G1751" s="2407">
        <v>0</v>
      </c>
      <c r="H1751" s="2407">
        <v>2100000</v>
      </c>
      <c r="I1751" s="2408"/>
      <c r="J1751" s="2408"/>
      <c r="K1751" s="2672" t="s">
        <v>6541</v>
      </c>
      <c r="L1751" s="2409"/>
    </row>
    <row r="1752" spans="1:12" ht="12" customHeight="1" x14ac:dyDescent="0.3">
      <c r="A1752" s="2394" t="s">
        <v>5209</v>
      </c>
      <c r="B1752" s="2395" t="s">
        <v>3754</v>
      </c>
      <c r="C1752" s="2406">
        <v>300000</v>
      </c>
      <c r="D1752" s="2396"/>
      <c r="E1752" s="2406">
        <v>0</v>
      </c>
      <c r="F1752" s="2406">
        <v>0</v>
      </c>
      <c r="G1752" s="2407">
        <v>0</v>
      </c>
      <c r="H1752" s="2407">
        <v>300000</v>
      </c>
      <c r="I1752" s="2408"/>
      <c r="J1752" s="2408"/>
      <c r="K1752" s="2672" t="s">
        <v>6539</v>
      </c>
      <c r="L1752" s="2409"/>
    </row>
    <row r="1753" spans="1:12" ht="12" customHeight="1" x14ac:dyDescent="0.3">
      <c r="A1753" s="2394" t="s">
        <v>5210</v>
      </c>
      <c r="B1753" s="2395" t="s">
        <v>3599</v>
      </c>
      <c r="C1753" s="2406">
        <v>0</v>
      </c>
      <c r="D1753" s="2396"/>
      <c r="E1753" s="2406">
        <v>0</v>
      </c>
      <c r="F1753" s="2406">
        <v>0</v>
      </c>
      <c r="G1753" s="2430">
        <v>0</v>
      </c>
      <c r="H1753" s="2407">
        <v>0</v>
      </c>
      <c r="I1753" s="2408"/>
      <c r="J1753" s="2408"/>
      <c r="K1753" s="2672"/>
      <c r="L1753" s="2409"/>
    </row>
    <row r="1754" spans="1:12" ht="12" customHeight="1" x14ac:dyDescent="0.3">
      <c r="A1754" s="2394" t="s">
        <v>5211</v>
      </c>
      <c r="B1754" s="2395" t="s">
        <v>4012</v>
      </c>
      <c r="C1754" s="2406">
        <v>0</v>
      </c>
      <c r="D1754" s="2396"/>
      <c r="E1754" s="2406">
        <v>0</v>
      </c>
      <c r="F1754" s="2406">
        <v>0</v>
      </c>
      <c r="G1754" s="2430">
        <v>0</v>
      </c>
      <c r="H1754" s="2407">
        <v>0</v>
      </c>
      <c r="I1754" s="2408"/>
      <c r="J1754" s="2408"/>
      <c r="K1754" s="2672" t="s">
        <v>2586</v>
      </c>
      <c r="L1754" s="2409"/>
    </row>
    <row r="1755" spans="1:12" ht="12" customHeight="1" x14ac:dyDescent="0.3">
      <c r="A1755" s="2394" t="s">
        <v>5212</v>
      </c>
      <c r="B1755" s="2395" t="s">
        <v>4013</v>
      </c>
      <c r="C1755" s="2406">
        <v>0</v>
      </c>
      <c r="D1755" s="2396"/>
      <c r="E1755" s="2406">
        <v>0</v>
      </c>
      <c r="F1755" s="2406">
        <v>0</v>
      </c>
      <c r="G1755" s="2430">
        <v>0</v>
      </c>
      <c r="H1755" s="2407">
        <v>0</v>
      </c>
      <c r="I1755" s="2408"/>
      <c r="J1755" s="2408"/>
      <c r="K1755" s="2672" t="s">
        <v>2586</v>
      </c>
      <c r="L1755" s="2409"/>
    </row>
    <row r="1756" spans="1:12" ht="12" customHeight="1" x14ac:dyDescent="0.3">
      <c r="A1756" s="2394" t="s">
        <v>5213</v>
      </c>
      <c r="B1756" s="2395" t="s">
        <v>3605</v>
      </c>
      <c r="C1756" s="2406">
        <v>0</v>
      </c>
      <c r="D1756" s="2396"/>
      <c r="E1756" s="2406">
        <v>0</v>
      </c>
      <c r="F1756" s="2406">
        <v>0</v>
      </c>
      <c r="G1756" s="2430">
        <v>0</v>
      </c>
      <c r="H1756" s="2407">
        <v>0</v>
      </c>
      <c r="I1756" s="2408"/>
      <c r="J1756" s="2408"/>
      <c r="K1756" s="2672" t="s">
        <v>2586</v>
      </c>
      <c r="L1756" s="2409"/>
    </row>
    <row r="1757" spans="1:12" ht="12" customHeight="1" x14ac:dyDescent="0.3">
      <c r="A1757" s="2394" t="s">
        <v>5214</v>
      </c>
      <c r="B1757" s="2395" t="s">
        <v>3607</v>
      </c>
      <c r="C1757" s="2406">
        <v>0</v>
      </c>
      <c r="D1757" s="2396"/>
      <c r="E1757" s="2406">
        <v>0</v>
      </c>
      <c r="F1757" s="2406">
        <v>0</v>
      </c>
      <c r="G1757" s="2430">
        <v>0</v>
      </c>
      <c r="H1757" s="2407">
        <v>0</v>
      </c>
      <c r="I1757" s="2408"/>
      <c r="J1757" s="2408"/>
      <c r="K1757" s="2672" t="s">
        <v>2586</v>
      </c>
      <c r="L1757" s="2409"/>
    </row>
    <row r="1758" spans="1:12" ht="12" customHeight="1" x14ac:dyDescent="0.3">
      <c r="A1758" s="2394" t="s">
        <v>5215</v>
      </c>
      <c r="B1758" s="2395" t="s">
        <v>4014</v>
      </c>
      <c r="C1758" s="2406">
        <v>0</v>
      </c>
      <c r="D1758" s="2396"/>
      <c r="E1758" s="2406">
        <v>0</v>
      </c>
      <c r="F1758" s="2406">
        <v>0</v>
      </c>
      <c r="G1758" s="2430">
        <v>0</v>
      </c>
      <c r="H1758" s="2407">
        <v>0</v>
      </c>
      <c r="I1758" s="2408"/>
      <c r="J1758" s="2408"/>
      <c r="K1758" s="2672" t="s">
        <v>2585</v>
      </c>
      <c r="L1758" s="2409"/>
    </row>
    <row r="1759" spans="1:12" ht="12" customHeight="1" x14ac:dyDescent="0.3">
      <c r="A1759" s="2394" t="s">
        <v>5216</v>
      </c>
      <c r="B1759" s="2395" t="s">
        <v>3613</v>
      </c>
      <c r="C1759" s="2406">
        <v>0</v>
      </c>
      <c r="D1759" s="2396"/>
      <c r="E1759" s="2406">
        <v>0</v>
      </c>
      <c r="F1759" s="2406">
        <v>0</v>
      </c>
      <c r="G1759" s="2430">
        <v>0</v>
      </c>
      <c r="H1759" s="2407">
        <v>0</v>
      </c>
      <c r="I1759" s="2408"/>
      <c r="J1759" s="2408"/>
      <c r="K1759" s="2672" t="s">
        <v>6505</v>
      </c>
      <c r="L1759" s="2409"/>
    </row>
    <row r="1760" spans="1:12" ht="12" customHeight="1" x14ac:dyDescent="0.3">
      <c r="A1760" s="2394" t="s">
        <v>5217</v>
      </c>
      <c r="B1760" s="2395" t="s">
        <v>4015</v>
      </c>
      <c r="C1760" s="2406">
        <v>0</v>
      </c>
      <c r="D1760" s="2396"/>
      <c r="E1760" s="2406">
        <v>0</v>
      </c>
      <c r="F1760" s="2406">
        <v>0</v>
      </c>
      <c r="G1760" s="2430">
        <v>0</v>
      </c>
      <c r="H1760" s="2407">
        <v>0</v>
      </c>
      <c r="I1760" s="2408"/>
      <c r="J1760" s="2408"/>
      <c r="K1760" s="2672" t="s">
        <v>2586</v>
      </c>
      <c r="L1760" s="2409"/>
    </row>
    <row r="1761" spans="1:12" ht="12" customHeight="1" x14ac:dyDescent="0.3">
      <c r="A1761" s="2394" t="s">
        <v>5218</v>
      </c>
      <c r="B1761" s="2395" t="s">
        <v>3617</v>
      </c>
      <c r="C1761" s="2406">
        <v>0</v>
      </c>
      <c r="D1761" s="2396"/>
      <c r="E1761" s="2406">
        <v>0</v>
      </c>
      <c r="F1761" s="2406">
        <v>0</v>
      </c>
      <c r="G1761" s="2430">
        <v>0</v>
      </c>
      <c r="H1761" s="2407">
        <v>0</v>
      </c>
      <c r="I1761" s="2408"/>
      <c r="J1761" s="2408"/>
      <c r="K1761" s="2672" t="s">
        <v>2586</v>
      </c>
      <c r="L1761" s="2409"/>
    </row>
    <row r="1762" spans="1:12" ht="12" customHeight="1" x14ac:dyDescent="0.3">
      <c r="A1762" s="2394" t="s">
        <v>5219</v>
      </c>
      <c r="B1762" s="2395" t="s">
        <v>3619</v>
      </c>
      <c r="C1762" s="2406">
        <v>0</v>
      </c>
      <c r="D1762" s="2396"/>
      <c r="E1762" s="2406">
        <v>0</v>
      </c>
      <c r="F1762" s="2406">
        <v>0</v>
      </c>
      <c r="G1762" s="2430">
        <v>0</v>
      </c>
      <c r="H1762" s="2407">
        <v>0</v>
      </c>
      <c r="I1762" s="2408"/>
      <c r="J1762" s="2408"/>
      <c r="K1762" s="2672"/>
      <c r="L1762" s="2409"/>
    </row>
    <row r="1763" spans="1:12" ht="12" customHeight="1" x14ac:dyDescent="0.3">
      <c r="A1763" s="2394" t="s">
        <v>5220</v>
      </c>
      <c r="B1763" s="2395" t="s">
        <v>3621</v>
      </c>
      <c r="C1763" s="2406">
        <v>0</v>
      </c>
      <c r="D1763" s="2396"/>
      <c r="E1763" s="2406">
        <v>0</v>
      </c>
      <c r="F1763" s="2406">
        <v>0</v>
      </c>
      <c r="G1763" s="2430">
        <v>0</v>
      </c>
      <c r="H1763" s="2407">
        <v>0</v>
      </c>
      <c r="I1763" s="2408"/>
      <c r="J1763" s="2408"/>
      <c r="K1763" s="2672" t="s">
        <v>6506</v>
      </c>
      <c r="L1763" s="2409"/>
    </row>
    <row r="1764" spans="1:12" ht="12" customHeight="1" x14ac:dyDescent="0.3">
      <c r="A1764" s="2394" t="s">
        <v>5221</v>
      </c>
      <c r="B1764" s="2395" t="s">
        <v>3623</v>
      </c>
      <c r="C1764" s="2406">
        <v>0</v>
      </c>
      <c r="D1764" s="2396"/>
      <c r="E1764" s="2406">
        <v>0</v>
      </c>
      <c r="F1764" s="2406">
        <v>0</v>
      </c>
      <c r="G1764" s="2430">
        <v>0</v>
      </c>
      <c r="H1764" s="2407">
        <v>0</v>
      </c>
      <c r="I1764" s="2408"/>
      <c r="J1764" s="2408"/>
      <c r="K1764" s="2672" t="s">
        <v>6507</v>
      </c>
      <c r="L1764" s="2409"/>
    </row>
    <row r="1765" spans="1:12" ht="12" customHeight="1" x14ac:dyDescent="0.3">
      <c r="A1765" s="2394" t="s">
        <v>5222</v>
      </c>
      <c r="B1765" s="2395" t="s">
        <v>3625</v>
      </c>
      <c r="C1765" s="2406">
        <v>0</v>
      </c>
      <c r="D1765" s="2396"/>
      <c r="E1765" s="2406">
        <v>0</v>
      </c>
      <c r="F1765" s="2406">
        <v>0</v>
      </c>
      <c r="G1765" s="2430">
        <v>0</v>
      </c>
      <c r="H1765" s="2407">
        <v>0</v>
      </c>
      <c r="I1765" s="2408"/>
      <c r="J1765" s="2408"/>
      <c r="K1765" s="2672" t="s">
        <v>6508</v>
      </c>
      <c r="L1765" s="2409"/>
    </row>
    <row r="1766" spans="1:12" ht="12" customHeight="1" x14ac:dyDescent="0.3">
      <c r="A1766" s="2394" t="s">
        <v>5223</v>
      </c>
      <c r="B1766" s="2395" t="s">
        <v>3627</v>
      </c>
      <c r="C1766" s="2406">
        <v>0</v>
      </c>
      <c r="D1766" s="2396"/>
      <c r="E1766" s="2406">
        <v>0</v>
      </c>
      <c r="F1766" s="2406">
        <v>0</v>
      </c>
      <c r="G1766" s="2430">
        <v>0</v>
      </c>
      <c r="H1766" s="2407">
        <v>0</v>
      </c>
      <c r="I1766" s="2408"/>
      <c r="J1766" s="2408"/>
      <c r="K1766" s="2672" t="s">
        <v>6509</v>
      </c>
      <c r="L1766" s="2409"/>
    </row>
    <row r="1767" spans="1:12" ht="12" customHeight="1" x14ac:dyDescent="0.3">
      <c r="A1767" s="2394" t="s">
        <v>5224</v>
      </c>
      <c r="B1767" s="2395" t="s">
        <v>3629</v>
      </c>
      <c r="C1767" s="2406">
        <v>0</v>
      </c>
      <c r="D1767" s="2396"/>
      <c r="E1767" s="2406">
        <v>0</v>
      </c>
      <c r="F1767" s="2406">
        <v>0</v>
      </c>
      <c r="G1767" s="2430">
        <v>0</v>
      </c>
      <c r="H1767" s="2407">
        <v>0</v>
      </c>
      <c r="I1767" s="2408"/>
      <c r="J1767" s="2408"/>
      <c r="K1767" s="2672" t="s">
        <v>6510</v>
      </c>
      <c r="L1767" s="2409"/>
    </row>
    <row r="1768" spans="1:12" ht="12" customHeight="1" x14ac:dyDescent="0.3">
      <c r="A1768" s="2394" t="s">
        <v>5225</v>
      </c>
      <c r="B1768" s="2395" t="s">
        <v>3631</v>
      </c>
      <c r="C1768" s="2406">
        <v>0</v>
      </c>
      <c r="D1768" s="2396"/>
      <c r="E1768" s="2406">
        <v>0</v>
      </c>
      <c r="F1768" s="2406">
        <v>0</v>
      </c>
      <c r="G1768" s="2430">
        <v>0</v>
      </c>
      <c r="H1768" s="2407">
        <v>0</v>
      </c>
      <c r="I1768" s="2408"/>
      <c r="J1768" s="2408"/>
      <c r="K1768" s="2672" t="s">
        <v>6511</v>
      </c>
      <c r="L1768" s="2409"/>
    </row>
    <row r="1769" spans="1:12" ht="12" customHeight="1" x14ac:dyDescent="0.3">
      <c r="A1769" s="2394" t="s">
        <v>5226</v>
      </c>
      <c r="B1769" s="2395" t="s">
        <v>3633</v>
      </c>
      <c r="C1769" s="2406">
        <v>0</v>
      </c>
      <c r="D1769" s="2396"/>
      <c r="E1769" s="2406">
        <v>0</v>
      </c>
      <c r="F1769" s="2406">
        <v>0</v>
      </c>
      <c r="G1769" s="2430">
        <v>0</v>
      </c>
      <c r="H1769" s="2407">
        <v>0</v>
      </c>
      <c r="I1769" s="2408"/>
      <c r="J1769" s="2408"/>
      <c r="K1769" s="2672" t="s">
        <v>6512</v>
      </c>
      <c r="L1769" s="2409"/>
    </row>
    <row r="1770" spans="1:12" ht="12" customHeight="1" x14ac:dyDescent="0.3">
      <c r="A1770" s="2394" t="s">
        <v>5227</v>
      </c>
      <c r="B1770" s="2395" t="s">
        <v>3635</v>
      </c>
      <c r="C1770" s="2406">
        <v>0</v>
      </c>
      <c r="D1770" s="2396"/>
      <c r="E1770" s="2406">
        <v>0</v>
      </c>
      <c r="F1770" s="2406">
        <v>0</v>
      </c>
      <c r="G1770" s="2430">
        <v>0</v>
      </c>
      <c r="H1770" s="2407">
        <v>0</v>
      </c>
      <c r="I1770" s="2408"/>
      <c r="J1770" s="2408"/>
      <c r="K1770" s="2672" t="s">
        <v>6513</v>
      </c>
      <c r="L1770" s="2409"/>
    </row>
    <row r="1771" spans="1:12" ht="12" customHeight="1" x14ac:dyDescent="0.3">
      <c r="A1771" s="2394" t="s">
        <v>5228</v>
      </c>
      <c r="B1771" s="2395" t="s">
        <v>3637</v>
      </c>
      <c r="C1771" s="2406">
        <v>0</v>
      </c>
      <c r="D1771" s="2396"/>
      <c r="E1771" s="2406">
        <v>0</v>
      </c>
      <c r="F1771" s="2406">
        <v>0</v>
      </c>
      <c r="G1771" s="2430">
        <v>0</v>
      </c>
      <c r="H1771" s="2407">
        <v>0</v>
      </c>
      <c r="I1771" s="2408"/>
      <c r="J1771" s="2408"/>
      <c r="K1771" s="2672" t="s">
        <v>6514</v>
      </c>
      <c r="L1771" s="2409"/>
    </row>
    <row r="1772" spans="1:12" ht="12" customHeight="1" x14ac:dyDescent="0.3">
      <c r="A1772" s="2394" t="s">
        <v>5229</v>
      </c>
      <c r="B1772" s="2395" t="s">
        <v>334</v>
      </c>
      <c r="C1772" s="2406">
        <v>0</v>
      </c>
      <c r="D1772" s="2396"/>
      <c r="E1772" s="2406">
        <v>0</v>
      </c>
      <c r="F1772" s="2406">
        <v>0</v>
      </c>
      <c r="G1772" s="2430">
        <v>0</v>
      </c>
      <c r="H1772" s="2407">
        <v>0</v>
      </c>
      <c r="I1772" s="2408"/>
      <c r="J1772" s="2408"/>
      <c r="K1772" s="2672" t="s">
        <v>6515</v>
      </c>
      <c r="L1772" s="2409"/>
    </row>
    <row r="1773" spans="1:12" ht="12" customHeight="1" x14ac:dyDescent="0.3">
      <c r="A1773" s="2394" t="s">
        <v>5230</v>
      </c>
      <c r="B1773" s="2395" t="s">
        <v>3640</v>
      </c>
      <c r="C1773" s="2406">
        <v>0</v>
      </c>
      <c r="D1773" s="2396"/>
      <c r="E1773" s="2406">
        <v>0</v>
      </c>
      <c r="F1773" s="2406">
        <v>0</v>
      </c>
      <c r="G1773" s="2430">
        <v>0</v>
      </c>
      <c r="H1773" s="2407">
        <v>0</v>
      </c>
      <c r="I1773" s="2408"/>
      <c r="J1773" s="2408"/>
      <c r="K1773" s="2672"/>
      <c r="L1773" s="2409"/>
    </row>
    <row r="1774" spans="1:12" ht="12" customHeight="1" x14ac:dyDescent="0.3">
      <c r="A1774" s="2394" t="s">
        <v>5231</v>
      </c>
      <c r="B1774" s="2395" t="s">
        <v>3642</v>
      </c>
      <c r="C1774" s="2406">
        <v>0</v>
      </c>
      <c r="D1774" s="2396"/>
      <c r="E1774" s="2406">
        <v>0</v>
      </c>
      <c r="F1774" s="2406">
        <v>0</v>
      </c>
      <c r="G1774" s="2430">
        <v>0</v>
      </c>
      <c r="H1774" s="2407">
        <v>0</v>
      </c>
      <c r="I1774" s="2408"/>
      <c r="J1774" s="2408"/>
      <c r="K1774" s="2672" t="s">
        <v>6515</v>
      </c>
      <c r="L1774" s="2409"/>
    </row>
    <row r="1775" spans="1:12" ht="12" customHeight="1" x14ac:dyDescent="0.3">
      <c r="A1775" s="2394" t="s">
        <v>5232</v>
      </c>
      <c r="B1775" s="2395" t="s">
        <v>3644</v>
      </c>
      <c r="C1775" s="2406">
        <v>0</v>
      </c>
      <c r="D1775" s="2396"/>
      <c r="E1775" s="2406">
        <v>0</v>
      </c>
      <c r="F1775" s="2406">
        <v>0</v>
      </c>
      <c r="G1775" s="2430">
        <v>0</v>
      </c>
      <c r="H1775" s="2407">
        <v>0</v>
      </c>
      <c r="I1775" s="2408"/>
      <c r="J1775" s="2408"/>
      <c r="K1775" s="2672" t="s">
        <v>6515</v>
      </c>
      <c r="L1775" s="2409"/>
    </row>
    <row r="1776" spans="1:12" ht="12" customHeight="1" x14ac:dyDescent="0.3">
      <c r="A1776" s="2394" t="s">
        <v>5233</v>
      </c>
      <c r="B1776" s="2395" t="s">
        <v>3646</v>
      </c>
      <c r="C1776" s="2406">
        <v>11000</v>
      </c>
      <c r="D1776" s="2396"/>
      <c r="E1776" s="2406">
        <v>0</v>
      </c>
      <c r="F1776" s="2406">
        <v>0</v>
      </c>
      <c r="G1776" s="2430">
        <v>0</v>
      </c>
      <c r="H1776" s="2407">
        <v>11000</v>
      </c>
      <c r="I1776" s="2408"/>
      <c r="J1776" s="2408"/>
      <c r="K1776" s="2672" t="s">
        <v>6515</v>
      </c>
      <c r="L1776" s="2409"/>
    </row>
    <row r="1777" spans="1:12" ht="12" customHeight="1" x14ac:dyDescent="0.3">
      <c r="A1777" s="2394" t="s">
        <v>5234</v>
      </c>
      <c r="B1777" s="2395" t="s">
        <v>3648</v>
      </c>
      <c r="C1777" s="2406">
        <v>1491600</v>
      </c>
      <c r="D1777" s="2396"/>
      <c r="E1777" s="2406">
        <v>0</v>
      </c>
      <c r="F1777" s="2406">
        <v>0</v>
      </c>
      <c r="G1777" s="2430">
        <v>0</v>
      </c>
      <c r="H1777" s="2407">
        <v>1491600</v>
      </c>
      <c r="I1777" s="2408"/>
      <c r="J1777" s="2408"/>
      <c r="K1777" s="2672" t="s">
        <v>6516</v>
      </c>
      <c r="L1777" s="2409"/>
    </row>
    <row r="1778" spans="1:12" ht="12" customHeight="1" x14ac:dyDescent="0.3">
      <c r="A1778" s="2394" t="s">
        <v>5235</v>
      </c>
      <c r="B1778" s="2395" t="s">
        <v>3650</v>
      </c>
      <c r="C1778" s="2406">
        <v>50000</v>
      </c>
      <c r="D1778" s="2396"/>
      <c r="E1778" s="2406">
        <v>0</v>
      </c>
      <c r="F1778" s="2406">
        <v>0</v>
      </c>
      <c r="G1778" s="2430">
        <v>0</v>
      </c>
      <c r="H1778" s="2407">
        <v>50000</v>
      </c>
      <c r="I1778" s="2408"/>
      <c r="J1778" s="2408"/>
      <c r="K1778" s="2672" t="s">
        <v>6517</v>
      </c>
      <c r="L1778" s="2409"/>
    </row>
    <row r="1779" spans="1:12" ht="12" customHeight="1" x14ac:dyDescent="0.3">
      <c r="A1779" s="2394" t="s">
        <v>5236</v>
      </c>
      <c r="B1779" s="2395" t="s">
        <v>3652</v>
      </c>
      <c r="C1779" s="2406">
        <v>0</v>
      </c>
      <c r="D1779" s="2396"/>
      <c r="E1779" s="2406">
        <v>0</v>
      </c>
      <c r="F1779" s="2406">
        <v>0</v>
      </c>
      <c r="G1779" s="2430">
        <v>0</v>
      </c>
      <c r="H1779" s="2407">
        <v>0</v>
      </c>
      <c r="I1779" s="2408"/>
      <c r="J1779" s="2408"/>
      <c r="K1779" s="2672" t="s">
        <v>6518</v>
      </c>
      <c r="L1779" s="2409"/>
    </row>
    <row r="1780" spans="1:12" ht="12" customHeight="1" x14ac:dyDescent="0.3">
      <c r="A1780" s="2394" t="s">
        <v>5237</v>
      </c>
      <c r="B1780" s="2395" t="s">
        <v>3654</v>
      </c>
      <c r="C1780" s="2406">
        <v>381900</v>
      </c>
      <c r="D1780" s="2396"/>
      <c r="E1780" s="2406">
        <v>0</v>
      </c>
      <c r="F1780" s="2406">
        <v>0</v>
      </c>
      <c r="G1780" s="2430">
        <v>0</v>
      </c>
      <c r="H1780" s="2407">
        <v>381900</v>
      </c>
      <c r="I1780" s="2408"/>
      <c r="J1780" s="2408"/>
      <c r="K1780" s="2672" t="s">
        <v>6518</v>
      </c>
      <c r="L1780" s="2409"/>
    </row>
    <row r="1781" spans="1:12" ht="12" customHeight="1" x14ac:dyDescent="0.3">
      <c r="A1781" s="2394" t="s">
        <v>5238</v>
      </c>
      <c r="B1781" s="2395" t="s">
        <v>3656</v>
      </c>
      <c r="C1781" s="2406">
        <v>0</v>
      </c>
      <c r="D1781" s="2396"/>
      <c r="E1781" s="2406">
        <v>0</v>
      </c>
      <c r="F1781" s="2406">
        <v>0</v>
      </c>
      <c r="G1781" s="2430">
        <v>0</v>
      </c>
      <c r="H1781" s="2407">
        <v>0</v>
      </c>
      <c r="I1781" s="2408"/>
      <c r="J1781" s="2408"/>
      <c r="K1781" s="2672"/>
      <c r="L1781" s="2409"/>
    </row>
    <row r="1782" spans="1:12" ht="12.75" customHeight="1" x14ac:dyDescent="0.3">
      <c r="A1782" s="2394" t="s">
        <v>5239</v>
      </c>
      <c r="B1782" s="2395" t="s">
        <v>3658</v>
      </c>
      <c r="C1782" s="2406">
        <v>0</v>
      </c>
      <c r="D1782" s="2396"/>
      <c r="E1782" s="2406">
        <v>0</v>
      </c>
      <c r="F1782" s="2406">
        <v>0</v>
      </c>
      <c r="G1782" s="2430">
        <v>0</v>
      </c>
      <c r="H1782" s="2407">
        <v>0</v>
      </c>
      <c r="I1782" s="2408"/>
      <c r="J1782" s="2408"/>
      <c r="K1782" s="2672" t="s">
        <v>6519</v>
      </c>
      <c r="L1782" s="2409"/>
    </row>
    <row r="1783" spans="1:12" ht="12.75" customHeight="1" x14ac:dyDescent="0.3">
      <c r="A1783" s="2394" t="s">
        <v>5240</v>
      </c>
      <c r="B1783" s="2395" t="s">
        <v>3660</v>
      </c>
      <c r="C1783" s="2406">
        <v>0</v>
      </c>
      <c r="D1783" s="2396"/>
      <c r="E1783" s="2406">
        <v>0</v>
      </c>
      <c r="F1783" s="2406">
        <v>0</v>
      </c>
      <c r="G1783" s="2430">
        <v>0</v>
      </c>
      <c r="H1783" s="2407">
        <v>0</v>
      </c>
      <c r="I1783" s="2408"/>
      <c r="J1783" s="2408"/>
      <c r="K1783" s="2672" t="s">
        <v>6520</v>
      </c>
      <c r="L1783" s="2409"/>
    </row>
    <row r="1784" spans="1:12" ht="12.75" customHeight="1" x14ac:dyDescent="0.3">
      <c r="A1784" s="2394" t="s">
        <v>5241</v>
      </c>
      <c r="B1784" s="2395" t="s">
        <v>3662</v>
      </c>
      <c r="C1784" s="2406">
        <v>633000</v>
      </c>
      <c r="D1784" s="2396"/>
      <c r="E1784" s="2406">
        <v>0</v>
      </c>
      <c r="F1784" s="2406">
        <v>0</v>
      </c>
      <c r="G1784" s="2430">
        <v>0</v>
      </c>
      <c r="H1784" s="2407">
        <v>633000</v>
      </c>
      <c r="I1784" s="2408"/>
      <c r="J1784" s="2408"/>
      <c r="K1784" s="2672" t="s">
        <v>6521</v>
      </c>
      <c r="L1784" s="2409"/>
    </row>
    <row r="1785" spans="1:12" ht="12.75" customHeight="1" x14ac:dyDescent="0.3">
      <c r="A1785" s="2394" t="s">
        <v>5242</v>
      </c>
      <c r="B1785" s="2395" t="s">
        <v>3664</v>
      </c>
      <c r="C1785" s="2406">
        <v>4728000</v>
      </c>
      <c r="D1785" s="2396"/>
      <c r="E1785" s="2406">
        <v>0</v>
      </c>
      <c r="F1785" s="2406">
        <v>0</v>
      </c>
      <c r="G1785" s="2430">
        <v>0</v>
      </c>
      <c r="H1785" s="2407">
        <v>4728000</v>
      </c>
      <c r="I1785" s="2408"/>
      <c r="J1785" s="2408"/>
      <c r="K1785" s="2672" t="s">
        <v>6522</v>
      </c>
      <c r="L1785" s="2409"/>
    </row>
    <row r="1786" spans="1:12" ht="12.75" customHeight="1" x14ac:dyDescent="0.3">
      <c r="A1786" s="2394" t="s">
        <v>5243</v>
      </c>
      <c r="B1786" s="2395" t="s">
        <v>3666</v>
      </c>
      <c r="C1786" s="2406">
        <v>0</v>
      </c>
      <c r="D1786" s="2396"/>
      <c r="E1786" s="2406">
        <v>0</v>
      </c>
      <c r="F1786" s="2406">
        <v>0</v>
      </c>
      <c r="G1786" s="2430">
        <v>0</v>
      </c>
      <c r="H1786" s="2407">
        <v>0</v>
      </c>
      <c r="I1786" s="2408"/>
      <c r="J1786" s="2408"/>
      <c r="K1786" s="2672" t="s">
        <v>6523</v>
      </c>
      <c r="L1786" s="2409"/>
    </row>
    <row r="1787" spans="1:12" ht="12.75" customHeight="1" x14ac:dyDescent="0.3">
      <c r="A1787" s="2394" t="s">
        <v>5244</v>
      </c>
      <c r="B1787" s="2395" t="s">
        <v>3668</v>
      </c>
      <c r="C1787" s="2406">
        <v>0</v>
      </c>
      <c r="D1787" s="2396"/>
      <c r="E1787" s="2406">
        <v>0</v>
      </c>
      <c r="F1787" s="2406">
        <v>0</v>
      </c>
      <c r="G1787" s="2430">
        <v>0</v>
      </c>
      <c r="H1787" s="2407">
        <v>0</v>
      </c>
      <c r="I1787" s="2408"/>
      <c r="J1787" s="2408"/>
      <c r="K1787" s="2672" t="s">
        <v>6524</v>
      </c>
      <c r="L1787" s="2409"/>
    </row>
    <row r="1788" spans="1:12" ht="12.75" customHeight="1" x14ac:dyDescent="0.3">
      <c r="A1788" s="2394" t="s">
        <v>5245</v>
      </c>
      <c r="B1788" s="2395" t="s">
        <v>350</v>
      </c>
      <c r="C1788" s="2406">
        <v>0</v>
      </c>
      <c r="D1788" s="2396"/>
      <c r="E1788" s="2406">
        <v>0</v>
      </c>
      <c r="F1788" s="2406">
        <v>0</v>
      </c>
      <c r="G1788" s="2430">
        <v>0</v>
      </c>
      <c r="H1788" s="2407">
        <v>0</v>
      </c>
      <c r="I1788" s="2408"/>
      <c r="J1788" s="2408"/>
      <c r="K1788" s="2672" t="s">
        <v>6524</v>
      </c>
      <c r="L1788" s="2409"/>
    </row>
    <row r="1789" spans="1:12" ht="12.75" customHeight="1" x14ac:dyDescent="0.3">
      <c r="A1789" s="2394" t="s">
        <v>5246</v>
      </c>
      <c r="B1789" s="2395" t="s">
        <v>3671</v>
      </c>
      <c r="C1789" s="2406">
        <v>0</v>
      </c>
      <c r="D1789" s="2396"/>
      <c r="E1789" s="2406">
        <v>0</v>
      </c>
      <c r="F1789" s="2406">
        <v>0</v>
      </c>
      <c r="G1789" s="2430">
        <v>0</v>
      </c>
      <c r="H1789" s="2407">
        <v>0</v>
      </c>
      <c r="I1789" s="2408"/>
      <c r="J1789" s="2408"/>
      <c r="K1789" s="2672"/>
      <c r="L1789" s="2409"/>
    </row>
    <row r="1790" spans="1:12" ht="12.75" customHeight="1" x14ac:dyDescent="0.3">
      <c r="A1790" s="2394" t="s">
        <v>5247</v>
      </c>
      <c r="B1790" s="2395" t="s">
        <v>3673</v>
      </c>
      <c r="C1790" s="2406">
        <v>65000</v>
      </c>
      <c r="D1790" s="2396"/>
      <c r="E1790" s="2406">
        <v>0</v>
      </c>
      <c r="F1790" s="2406">
        <v>0</v>
      </c>
      <c r="G1790" s="2430">
        <v>0</v>
      </c>
      <c r="H1790" s="2407">
        <v>65000</v>
      </c>
      <c r="I1790" s="2408"/>
      <c r="J1790" s="2408"/>
      <c r="K1790" s="2672" t="s">
        <v>6525</v>
      </c>
      <c r="L1790" s="2409"/>
    </row>
    <row r="1791" spans="1:12" ht="12.75" customHeight="1" x14ac:dyDescent="0.3">
      <c r="A1791" s="2394" t="s">
        <v>5248</v>
      </c>
      <c r="B1791" s="2395" t="s">
        <v>3675</v>
      </c>
      <c r="C1791" s="2406">
        <v>0</v>
      </c>
      <c r="D1791" s="2396"/>
      <c r="E1791" s="2406">
        <v>0</v>
      </c>
      <c r="F1791" s="2406">
        <v>0</v>
      </c>
      <c r="G1791" s="2430">
        <v>0</v>
      </c>
      <c r="H1791" s="2407">
        <v>0</v>
      </c>
      <c r="I1791" s="2408"/>
      <c r="J1791" s="2408"/>
      <c r="K1791" s="2672" t="s">
        <v>6526</v>
      </c>
      <c r="L1791" s="2409"/>
    </row>
    <row r="1792" spans="1:12" ht="12.75" customHeight="1" x14ac:dyDescent="0.3">
      <c r="A1792" s="2394" t="s">
        <v>5249</v>
      </c>
      <c r="B1792" s="2395" t="s">
        <v>3677</v>
      </c>
      <c r="C1792" s="2406">
        <v>0</v>
      </c>
      <c r="D1792" s="2396"/>
      <c r="E1792" s="2406">
        <v>0</v>
      </c>
      <c r="F1792" s="2406">
        <v>0</v>
      </c>
      <c r="G1792" s="2430">
        <v>0</v>
      </c>
      <c r="H1792" s="2407">
        <v>0</v>
      </c>
      <c r="I1792" s="2408"/>
      <c r="J1792" s="2408"/>
      <c r="K1792" s="2672" t="s">
        <v>6526</v>
      </c>
      <c r="L1792" s="2409"/>
    </row>
    <row r="1793" spans="1:12" ht="12.75" customHeight="1" x14ac:dyDescent="0.3">
      <c r="A1793" s="2394" t="s">
        <v>5250</v>
      </c>
      <c r="B1793" s="2395" t="s">
        <v>3679</v>
      </c>
      <c r="C1793" s="2406">
        <v>0</v>
      </c>
      <c r="D1793" s="2396"/>
      <c r="E1793" s="2406">
        <v>0</v>
      </c>
      <c r="F1793" s="2406">
        <v>0</v>
      </c>
      <c r="G1793" s="2430">
        <v>0</v>
      </c>
      <c r="H1793" s="2407">
        <v>0</v>
      </c>
      <c r="I1793" s="2408"/>
      <c r="J1793" s="2408"/>
      <c r="K1793" s="2672" t="s">
        <v>6526</v>
      </c>
      <c r="L1793" s="2409"/>
    </row>
    <row r="1794" spans="1:12" ht="12.75" customHeight="1" x14ac:dyDescent="0.3">
      <c r="A1794" s="2394" t="s">
        <v>5251</v>
      </c>
      <c r="B1794" s="2395" t="s">
        <v>3681</v>
      </c>
      <c r="C1794" s="2406">
        <v>0</v>
      </c>
      <c r="D1794" s="2396"/>
      <c r="E1794" s="2406">
        <v>0</v>
      </c>
      <c r="F1794" s="2406">
        <v>0</v>
      </c>
      <c r="G1794" s="2430">
        <v>0</v>
      </c>
      <c r="H1794" s="2407">
        <v>0</v>
      </c>
      <c r="I1794" s="2408"/>
      <c r="J1794" s="2408"/>
      <c r="K1794" s="2672" t="s">
        <v>6526</v>
      </c>
      <c r="L1794" s="2409"/>
    </row>
    <row r="1795" spans="1:12" ht="12.75" customHeight="1" x14ac:dyDescent="0.3">
      <c r="A1795" s="2394" t="s">
        <v>5252</v>
      </c>
      <c r="B1795" s="2395" t="s">
        <v>3683</v>
      </c>
      <c r="C1795" s="2406">
        <v>0</v>
      </c>
      <c r="D1795" s="2396"/>
      <c r="E1795" s="2406">
        <v>0</v>
      </c>
      <c r="F1795" s="2406">
        <v>0</v>
      </c>
      <c r="G1795" s="2430">
        <v>0</v>
      </c>
      <c r="H1795" s="2407">
        <v>0</v>
      </c>
      <c r="I1795" s="2408"/>
      <c r="J1795" s="2408"/>
      <c r="K1795" s="2672" t="s">
        <v>6527</v>
      </c>
      <c r="L1795" s="2409"/>
    </row>
    <row r="1796" spans="1:12" ht="12.75" customHeight="1" x14ac:dyDescent="0.3">
      <c r="A1796" s="2394" t="s">
        <v>5253</v>
      </c>
      <c r="B1796" s="2395" t="s">
        <v>3685</v>
      </c>
      <c r="C1796" s="2406">
        <v>0</v>
      </c>
      <c r="D1796" s="2396"/>
      <c r="E1796" s="2406">
        <v>0</v>
      </c>
      <c r="F1796" s="2406">
        <v>0</v>
      </c>
      <c r="G1796" s="2430">
        <v>0</v>
      </c>
      <c r="H1796" s="2407">
        <v>0</v>
      </c>
      <c r="I1796" s="2408"/>
      <c r="J1796" s="2408"/>
      <c r="K1796" s="2672" t="s">
        <v>6528</v>
      </c>
      <c r="L1796" s="2409"/>
    </row>
    <row r="1797" spans="1:12" ht="12.75" customHeight="1" x14ac:dyDescent="0.3">
      <c r="A1797" s="2394" t="s">
        <v>5254</v>
      </c>
      <c r="B1797" s="2395" t="s">
        <v>3687</v>
      </c>
      <c r="C1797" s="2406">
        <v>0</v>
      </c>
      <c r="D1797" s="2396"/>
      <c r="E1797" s="2406">
        <v>0</v>
      </c>
      <c r="F1797" s="2406">
        <v>0</v>
      </c>
      <c r="G1797" s="2430">
        <v>0</v>
      </c>
      <c r="H1797" s="2407">
        <v>0</v>
      </c>
      <c r="I1797" s="2408"/>
      <c r="J1797" s="2408"/>
      <c r="K1797" s="2672" t="s">
        <v>6528</v>
      </c>
      <c r="L1797" s="2409"/>
    </row>
    <row r="1798" spans="1:12" ht="12.75" customHeight="1" x14ac:dyDescent="0.3">
      <c r="A1798" s="2394" t="s">
        <v>5255</v>
      </c>
      <c r="B1798" s="2395" t="s">
        <v>3689</v>
      </c>
      <c r="C1798" s="2406">
        <v>140947</v>
      </c>
      <c r="D1798" s="2396"/>
      <c r="E1798" s="2406">
        <v>0</v>
      </c>
      <c r="F1798" s="2406">
        <v>0</v>
      </c>
      <c r="G1798" s="2430">
        <v>0</v>
      </c>
      <c r="H1798" s="2407">
        <v>140947</v>
      </c>
      <c r="I1798" s="2408"/>
      <c r="J1798" s="2408"/>
      <c r="K1798" s="2672" t="s">
        <v>6528</v>
      </c>
      <c r="L1798" s="2409"/>
    </row>
    <row r="1799" spans="1:12" ht="12.75" customHeight="1" x14ac:dyDescent="0.3">
      <c r="A1799" s="2394" t="s">
        <v>5256</v>
      </c>
      <c r="B1799" s="2395" t="s">
        <v>4016</v>
      </c>
      <c r="C1799" s="2406">
        <v>0</v>
      </c>
      <c r="D1799" s="2396"/>
      <c r="E1799" s="2406">
        <v>0</v>
      </c>
      <c r="F1799" s="2406">
        <v>0</v>
      </c>
      <c r="G1799" s="2430">
        <v>0</v>
      </c>
      <c r="H1799" s="2407">
        <v>0</v>
      </c>
      <c r="I1799" s="2408"/>
      <c r="J1799" s="2408"/>
      <c r="K1799" s="2672"/>
      <c r="L1799" s="2409"/>
    </row>
    <row r="1800" spans="1:12" ht="12.75" customHeight="1" x14ac:dyDescent="0.3">
      <c r="A1800" s="2394" t="s">
        <v>5257</v>
      </c>
      <c r="B1800" s="2395" t="s">
        <v>3640</v>
      </c>
      <c r="C1800" s="2406">
        <v>0</v>
      </c>
      <c r="D1800" s="2396"/>
      <c r="E1800" s="2406">
        <v>0</v>
      </c>
      <c r="F1800" s="2406">
        <v>0</v>
      </c>
      <c r="G1800" s="2430">
        <v>0</v>
      </c>
      <c r="H1800" s="2407">
        <v>0</v>
      </c>
      <c r="I1800" s="2408"/>
      <c r="J1800" s="2408"/>
      <c r="K1800" s="2672" t="s">
        <v>6515</v>
      </c>
      <c r="L1800" s="2409"/>
    </row>
    <row r="1801" spans="1:12" ht="12.75" customHeight="1" x14ac:dyDescent="0.3">
      <c r="A1801" s="2394" t="s">
        <v>5258</v>
      </c>
      <c r="B1801" s="2395" t="s">
        <v>4017</v>
      </c>
      <c r="C1801" s="2406">
        <v>0</v>
      </c>
      <c r="D1801" s="2396"/>
      <c r="E1801" s="2406">
        <v>0</v>
      </c>
      <c r="F1801" s="2406">
        <v>0</v>
      </c>
      <c r="G1801" s="2430">
        <v>0</v>
      </c>
      <c r="H1801" s="2407">
        <v>0</v>
      </c>
      <c r="I1801" s="2408"/>
      <c r="J1801" s="2408"/>
      <c r="K1801" s="2672" t="s">
        <v>6515</v>
      </c>
      <c r="L1801" s="2409"/>
    </row>
    <row r="1802" spans="1:12" ht="12" customHeight="1" x14ac:dyDescent="0.3">
      <c r="A1802" s="2394" t="s">
        <v>5259</v>
      </c>
      <c r="B1802" s="2395" t="s">
        <v>3646</v>
      </c>
      <c r="C1802" s="2406">
        <v>0</v>
      </c>
      <c r="D1802" s="2396"/>
      <c r="E1802" s="2406">
        <v>0</v>
      </c>
      <c r="F1802" s="2406">
        <v>0</v>
      </c>
      <c r="G1802" s="2430">
        <v>0</v>
      </c>
      <c r="H1802" s="2407">
        <v>0</v>
      </c>
      <c r="I1802" s="2408"/>
      <c r="J1802" s="2408"/>
      <c r="K1802" s="2672" t="s">
        <v>6515</v>
      </c>
      <c r="L1802" s="2409"/>
    </row>
    <row r="1803" spans="1:12" ht="12.75" customHeight="1" x14ac:dyDescent="0.3">
      <c r="A1803" s="2394" t="s">
        <v>5260</v>
      </c>
      <c r="B1803" s="2395" t="s">
        <v>3648</v>
      </c>
      <c r="C1803" s="2406">
        <v>0</v>
      </c>
      <c r="D1803" s="2396"/>
      <c r="E1803" s="2406">
        <v>0</v>
      </c>
      <c r="F1803" s="2406">
        <v>0</v>
      </c>
      <c r="G1803" s="2430">
        <v>0</v>
      </c>
      <c r="H1803" s="2407">
        <v>0</v>
      </c>
      <c r="I1803" s="2408"/>
      <c r="J1803" s="2408"/>
      <c r="K1803" s="2672" t="s">
        <v>6516</v>
      </c>
      <c r="L1803" s="2409"/>
    </row>
    <row r="1804" spans="1:12" ht="12.75" customHeight="1" x14ac:dyDescent="0.3">
      <c r="A1804" s="2394" t="s">
        <v>5261</v>
      </c>
      <c r="B1804" s="2395" t="s">
        <v>3932</v>
      </c>
      <c r="C1804" s="2406">
        <v>0</v>
      </c>
      <c r="D1804" s="2396"/>
      <c r="E1804" s="2406">
        <v>0</v>
      </c>
      <c r="F1804" s="2406">
        <v>0</v>
      </c>
      <c r="G1804" s="2430">
        <v>0</v>
      </c>
      <c r="H1804" s="2407">
        <v>0</v>
      </c>
      <c r="I1804" s="2408"/>
      <c r="J1804" s="2408"/>
      <c r="K1804" s="2672" t="s">
        <v>6517</v>
      </c>
      <c r="L1804" s="2409"/>
    </row>
    <row r="1805" spans="1:12" ht="12.75" customHeight="1" x14ac:dyDescent="0.3">
      <c r="A1805" s="2394" t="s">
        <v>5262</v>
      </c>
      <c r="B1805" s="2395" t="s">
        <v>3966</v>
      </c>
      <c r="C1805" s="2406">
        <v>699800</v>
      </c>
      <c r="D1805" s="2396"/>
      <c r="E1805" s="2406">
        <v>186500</v>
      </c>
      <c r="F1805" s="2406">
        <v>0</v>
      </c>
      <c r="G1805" s="2430">
        <v>186500</v>
      </c>
      <c r="H1805" s="2407">
        <v>886300</v>
      </c>
      <c r="I1805" s="2408"/>
      <c r="J1805" s="2408"/>
      <c r="K1805" s="2672" t="s">
        <v>6547</v>
      </c>
      <c r="L1805" s="2409"/>
    </row>
    <row r="1806" spans="1:12" ht="12.75" customHeight="1" x14ac:dyDescent="0.3">
      <c r="A1806" s="2394" t="s">
        <v>5263</v>
      </c>
      <c r="B1806" s="2395" t="s">
        <v>4018</v>
      </c>
      <c r="C1806" s="2406">
        <v>1176000</v>
      </c>
      <c r="D1806" s="2396"/>
      <c r="E1806" s="2406">
        <v>0</v>
      </c>
      <c r="F1806" s="2406">
        <v>0</v>
      </c>
      <c r="G1806" s="2430">
        <v>0</v>
      </c>
      <c r="H1806" s="2407">
        <v>1176000</v>
      </c>
      <c r="I1806" s="2408"/>
      <c r="J1806" s="2408"/>
      <c r="K1806" s="2672" t="s">
        <v>6547</v>
      </c>
      <c r="L1806" s="2409"/>
    </row>
    <row r="1807" spans="1:12" ht="12.75" customHeight="1" x14ac:dyDescent="0.3">
      <c r="A1807" s="2394" t="s">
        <v>5264</v>
      </c>
      <c r="B1807" s="2395" t="s">
        <v>3250</v>
      </c>
      <c r="C1807" s="2406">
        <v>30672600</v>
      </c>
      <c r="D1807" s="2396"/>
      <c r="E1807" s="2406">
        <v>2252100</v>
      </c>
      <c r="F1807" s="2406">
        <v>0</v>
      </c>
      <c r="G1807" s="2430">
        <v>2252100</v>
      </c>
      <c r="H1807" s="2407">
        <v>32924700</v>
      </c>
      <c r="I1807" s="2408"/>
      <c r="J1807" s="2408"/>
      <c r="K1807" s="2672" t="s">
        <v>6548</v>
      </c>
      <c r="L1807" s="2409"/>
    </row>
    <row r="1808" spans="1:12" ht="12.75" customHeight="1" x14ac:dyDescent="0.3">
      <c r="A1808" s="2394" t="s">
        <v>5265</v>
      </c>
      <c r="B1808" s="2395" t="s">
        <v>350</v>
      </c>
      <c r="C1808" s="2406">
        <v>0</v>
      </c>
      <c r="D1808" s="2396"/>
      <c r="E1808" s="2406">
        <v>0</v>
      </c>
      <c r="F1808" s="2406">
        <v>0</v>
      </c>
      <c r="G1808" s="2430">
        <v>0</v>
      </c>
      <c r="H1808" s="2407">
        <v>0</v>
      </c>
      <c r="I1808" s="2408"/>
      <c r="J1808" s="2408"/>
      <c r="K1808" s="2672" t="s">
        <v>6536</v>
      </c>
      <c r="L1808" s="2409"/>
    </row>
    <row r="1809" spans="1:12" ht="12.75" customHeight="1" x14ac:dyDescent="0.3">
      <c r="A1809" s="2394" t="s">
        <v>5266</v>
      </c>
      <c r="B1809" s="2395" t="s">
        <v>4008</v>
      </c>
      <c r="C1809" s="2406">
        <v>0</v>
      </c>
      <c r="D1809" s="2396"/>
      <c r="E1809" s="2406">
        <v>0</v>
      </c>
      <c r="F1809" s="2406">
        <v>0</v>
      </c>
      <c r="G1809" s="2430">
        <v>0</v>
      </c>
      <c r="H1809" s="2407">
        <v>0</v>
      </c>
      <c r="I1809" s="2408"/>
      <c r="J1809" s="2408"/>
      <c r="K1809" s="2672"/>
      <c r="L1809" s="2409"/>
    </row>
    <row r="1810" spans="1:12" ht="12.75" customHeight="1" x14ac:dyDescent="0.3">
      <c r="A1810" s="2394" t="s">
        <v>5267</v>
      </c>
      <c r="B1810" s="2395" t="s">
        <v>4009</v>
      </c>
      <c r="C1810" s="2406">
        <v>0</v>
      </c>
      <c r="D1810" s="2396"/>
      <c r="E1810" s="2406">
        <v>0</v>
      </c>
      <c r="F1810" s="2406">
        <v>0</v>
      </c>
      <c r="G1810" s="2430">
        <v>0</v>
      </c>
      <c r="H1810" s="2407">
        <v>0</v>
      </c>
      <c r="I1810" s="2408"/>
      <c r="J1810" s="2408"/>
      <c r="K1810" s="2672" t="s">
        <v>6541</v>
      </c>
      <c r="L1810" s="2409"/>
    </row>
    <row r="1811" spans="1:12" ht="12.75" customHeight="1" x14ac:dyDescent="0.3">
      <c r="A1811" s="2394" t="s">
        <v>5268</v>
      </c>
      <c r="B1811" s="2395" t="s">
        <v>3754</v>
      </c>
      <c r="C1811" s="2406">
        <v>0</v>
      </c>
      <c r="D1811" s="2396"/>
      <c r="E1811" s="2406">
        <v>0</v>
      </c>
      <c r="F1811" s="2406">
        <v>0</v>
      </c>
      <c r="G1811" s="2430">
        <v>0</v>
      </c>
      <c r="H1811" s="2407">
        <v>0</v>
      </c>
      <c r="I1811" s="2408"/>
      <c r="J1811" s="2408"/>
      <c r="K1811" s="2672" t="s">
        <v>6539</v>
      </c>
      <c r="L1811" s="2409"/>
    </row>
    <row r="1812" spans="1:12" ht="12.75" customHeight="1" x14ac:dyDescent="0.3">
      <c r="A1812" s="2394" t="s">
        <v>5269</v>
      </c>
      <c r="B1812" s="2395" t="s">
        <v>4023</v>
      </c>
      <c r="C1812" s="2406">
        <v>0</v>
      </c>
      <c r="D1812" s="2396"/>
      <c r="E1812" s="2406">
        <v>0</v>
      </c>
      <c r="F1812" s="2406">
        <v>0</v>
      </c>
      <c r="G1812" s="2441">
        <v>0</v>
      </c>
      <c r="H1812" s="2407">
        <v>0</v>
      </c>
      <c r="I1812" s="2408"/>
      <c r="J1812" s="2408"/>
      <c r="K1812" s="2672"/>
      <c r="L1812" s="2409"/>
    </row>
    <row r="1813" spans="1:12" ht="12.75" customHeight="1" x14ac:dyDescent="0.3">
      <c r="A1813" s="2394" t="s">
        <v>5270</v>
      </c>
      <c r="B1813" s="2395" t="s">
        <v>3720</v>
      </c>
      <c r="C1813" s="2406">
        <v>0</v>
      </c>
      <c r="D1813" s="2396"/>
      <c r="E1813" s="2406">
        <v>0</v>
      </c>
      <c r="F1813" s="2406">
        <v>0</v>
      </c>
      <c r="G1813" s="2441">
        <v>0</v>
      </c>
      <c r="H1813" s="2407">
        <v>0</v>
      </c>
      <c r="I1813" s="2408"/>
      <c r="J1813" s="2408"/>
      <c r="K1813" s="2672" t="s">
        <v>6515</v>
      </c>
      <c r="L1813" s="2409"/>
    </row>
    <row r="1814" spans="1:12" ht="12.75" customHeight="1" x14ac:dyDescent="0.3">
      <c r="A1814" s="2394" t="s">
        <v>5271</v>
      </c>
      <c r="B1814" s="2395" t="s">
        <v>3932</v>
      </c>
      <c r="C1814" s="2406">
        <v>0</v>
      </c>
      <c r="D1814" s="2396"/>
      <c r="E1814" s="2406">
        <v>0</v>
      </c>
      <c r="F1814" s="2406">
        <v>0</v>
      </c>
      <c r="G1814" s="2441">
        <v>0</v>
      </c>
      <c r="H1814" s="2407">
        <v>0</v>
      </c>
      <c r="I1814" s="2408"/>
      <c r="J1814" s="2408"/>
      <c r="K1814" s="2672" t="s">
        <v>6517</v>
      </c>
      <c r="L1814" s="2409"/>
    </row>
    <row r="1815" spans="1:12" ht="12.75" customHeight="1" x14ac:dyDescent="0.3">
      <c r="A1815" s="2394" t="s">
        <v>5272</v>
      </c>
      <c r="B1815" s="2395" t="s">
        <v>4024</v>
      </c>
      <c r="C1815" s="2406">
        <v>0</v>
      </c>
      <c r="D1815" s="2396"/>
      <c r="E1815" s="2406">
        <v>0</v>
      </c>
      <c r="F1815" s="2406">
        <v>0</v>
      </c>
      <c r="G1815" s="2441">
        <v>0</v>
      </c>
      <c r="H1815" s="2407">
        <v>0</v>
      </c>
      <c r="I1815" s="2408"/>
      <c r="J1815" s="2408"/>
      <c r="K1815" s="2672" t="s">
        <v>6518</v>
      </c>
      <c r="L1815" s="2409"/>
    </row>
    <row r="1816" spans="1:12" ht="12.75" customHeight="1" x14ac:dyDescent="0.3">
      <c r="A1816" s="2394" t="s">
        <v>5273</v>
      </c>
      <c r="B1816" s="2395" t="s">
        <v>4025</v>
      </c>
      <c r="C1816" s="2406">
        <v>0</v>
      </c>
      <c r="D1816" s="2396"/>
      <c r="E1816" s="2406">
        <v>0</v>
      </c>
      <c r="F1816" s="2406">
        <v>0</v>
      </c>
      <c r="G1816" s="2441">
        <v>0</v>
      </c>
      <c r="H1816" s="2407">
        <v>0</v>
      </c>
      <c r="I1816" s="2408"/>
      <c r="J1816" s="2408"/>
      <c r="K1816" s="2672" t="s">
        <v>6522</v>
      </c>
      <c r="L1816" s="2409"/>
    </row>
    <row r="1817" spans="1:12" ht="12.75" customHeight="1" x14ac:dyDescent="0.3">
      <c r="A1817" s="2394" t="s">
        <v>5274</v>
      </c>
      <c r="B1817" s="2395" t="s">
        <v>4026</v>
      </c>
      <c r="C1817" s="2406">
        <v>0</v>
      </c>
      <c r="D1817" s="2396"/>
      <c r="E1817" s="2406">
        <v>0</v>
      </c>
      <c r="F1817" s="2406">
        <v>0</v>
      </c>
      <c r="G1817" s="2441">
        <v>0</v>
      </c>
      <c r="H1817" s="2407">
        <v>0</v>
      </c>
      <c r="I1817" s="2408"/>
      <c r="J1817" s="2408"/>
      <c r="K1817" s="2672" t="s">
        <v>6520</v>
      </c>
      <c r="L1817" s="2409"/>
    </row>
    <row r="1818" spans="1:12" ht="12.75" customHeight="1" x14ac:dyDescent="0.3">
      <c r="A1818" s="2394" t="s">
        <v>5275</v>
      </c>
      <c r="B1818" s="2395" t="s">
        <v>3718</v>
      </c>
      <c r="C1818" s="2406">
        <v>0</v>
      </c>
      <c r="D1818" s="2396"/>
      <c r="E1818" s="2406">
        <v>0</v>
      </c>
      <c r="F1818" s="2406">
        <v>0</v>
      </c>
      <c r="G1818" s="2441">
        <v>0</v>
      </c>
      <c r="H1818" s="2407">
        <v>0</v>
      </c>
      <c r="I1818" s="2408"/>
      <c r="J1818" s="2408"/>
      <c r="K1818" s="2672" t="s">
        <v>6516</v>
      </c>
      <c r="L1818" s="2409"/>
    </row>
    <row r="1819" spans="1:12" ht="12.75" customHeight="1" x14ac:dyDescent="0.3">
      <c r="A1819" s="2394" t="s">
        <v>5276</v>
      </c>
      <c r="B1819" s="2395" t="s">
        <v>3996</v>
      </c>
      <c r="C1819" s="2406">
        <v>0</v>
      </c>
      <c r="D1819" s="2396"/>
      <c r="E1819" s="2406">
        <v>0</v>
      </c>
      <c r="F1819" s="2406">
        <v>0</v>
      </c>
      <c r="G1819" s="2441">
        <v>0</v>
      </c>
      <c r="H1819" s="2407">
        <v>0</v>
      </c>
      <c r="I1819" s="2408"/>
      <c r="J1819" s="2408"/>
      <c r="K1819" s="2672" t="s">
        <v>6527</v>
      </c>
      <c r="L1819" s="2409"/>
    </row>
    <row r="1820" spans="1:12" ht="12.75" customHeight="1" x14ac:dyDescent="0.3">
      <c r="A1820" s="2394" t="s">
        <v>5277</v>
      </c>
      <c r="B1820" s="2395" t="s">
        <v>4027</v>
      </c>
      <c r="C1820" s="2406">
        <v>0</v>
      </c>
      <c r="D1820" s="2396"/>
      <c r="E1820" s="2406">
        <v>0</v>
      </c>
      <c r="F1820" s="2406">
        <v>0</v>
      </c>
      <c r="G1820" s="2441">
        <v>0</v>
      </c>
      <c r="H1820" s="2407">
        <v>0</v>
      </c>
      <c r="I1820" s="2408"/>
      <c r="J1820" s="2408"/>
      <c r="K1820" s="2672" t="s">
        <v>6538</v>
      </c>
      <c r="L1820" s="2409"/>
    </row>
    <row r="1821" spans="1:12" ht="12.75" customHeight="1" x14ac:dyDescent="0.3">
      <c r="A1821" s="2394" t="s">
        <v>5278</v>
      </c>
      <c r="B1821" s="2395" t="s">
        <v>350</v>
      </c>
      <c r="C1821" s="2406">
        <v>0</v>
      </c>
      <c r="D1821" s="2396"/>
      <c r="E1821" s="2406">
        <v>0</v>
      </c>
      <c r="F1821" s="2406">
        <v>0</v>
      </c>
      <c r="G1821" s="2441">
        <v>0</v>
      </c>
      <c r="H1821" s="2407">
        <v>0</v>
      </c>
      <c r="I1821" s="2408"/>
      <c r="J1821" s="2408"/>
      <c r="K1821" s="2672" t="s">
        <v>6536</v>
      </c>
      <c r="L1821" s="2409"/>
    </row>
    <row r="1822" spans="1:12" ht="12.75" customHeight="1" x14ac:dyDescent="0.3">
      <c r="A1822" s="2394" t="s">
        <v>5279</v>
      </c>
      <c r="B1822" s="2395" t="s">
        <v>4028</v>
      </c>
      <c r="C1822" s="2406">
        <v>0</v>
      </c>
      <c r="D1822" s="2396"/>
      <c r="E1822" s="2406">
        <v>0</v>
      </c>
      <c r="F1822" s="2406">
        <v>0</v>
      </c>
      <c r="G1822" s="2441">
        <v>0</v>
      </c>
      <c r="H1822" s="2407">
        <v>0</v>
      </c>
      <c r="I1822" s="2408"/>
      <c r="J1822" s="2408"/>
      <c r="K1822" s="2672"/>
      <c r="L1822" s="2409"/>
    </row>
    <row r="1823" spans="1:12" ht="12.75" customHeight="1" x14ac:dyDescent="0.3">
      <c r="A1823" s="2394" t="s">
        <v>5280</v>
      </c>
      <c r="B1823" s="2395" t="s">
        <v>3720</v>
      </c>
      <c r="C1823" s="2406">
        <v>0</v>
      </c>
      <c r="D1823" s="2396"/>
      <c r="E1823" s="2406">
        <v>0</v>
      </c>
      <c r="F1823" s="2406">
        <v>0</v>
      </c>
      <c r="G1823" s="2441">
        <v>0</v>
      </c>
      <c r="H1823" s="2407">
        <v>0</v>
      </c>
      <c r="I1823" s="2408"/>
      <c r="J1823" s="2408"/>
      <c r="K1823" s="2672" t="s">
        <v>6515</v>
      </c>
      <c r="L1823" s="2409"/>
    </row>
    <row r="1824" spans="1:12" ht="12.75" customHeight="1" x14ac:dyDescent="0.3">
      <c r="A1824" s="2394" t="s">
        <v>5281</v>
      </c>
      <c r="B1824" s="2395" t="s">
        <v>3934</v>
      </c>
      <c r="C1824" s="2406">
        <v>0</v>
      </c>
      <c r="D1824" s="2396"/>
      <c r="E1824" s="2406">
        <v>0</v>
      </c>
      <c r="F1824" s="2406">
        <v>0</v>
      </c>
      <c r="G1824" s="2441">
        <v>0</v>
      </c>
      <c r="H1824" s="2407">
        <v>0</v>
      </c>
      <c r="I1824" s="2408"/>
      <c r="J1824" s="2408"/>
      <c r="K1824" s="2672" t="s">
        <v>6518</v>
      </c>
      <c r="L1824" s="2409"/>
    </row>
    <row r="1825" spans="1:12" ht="12.75" customHeight="1" x14ac:dyDescent="0.3">
      <c r="A1825" s="2394" t="s">
        <v>5282</v>
      </c>
      <c r="B1825" s="2395" t="s">
        <v>3723</v>
      </c>
      <c r="C1825" s="2406">
        <v>0</v>
      </c>
      <c r="D1825" s="2396"/>
      <c r="E1825" s="2406">
        <v>0</v>
      </c>
      <c r="F1825" s="2406">
        <v>0</v>
      </c>
      <c r="G1825" s="2441">
        <v>0</v>
      </c>
      <c r="H1825" s="2407">
        <v>0</v>
      </c>
      <c r="I1825" s="2408"/>
      <c r="J1825" s="2408"/>
      <c r="K1825" s="2672" t="s">
        <v>6521</v>
      </c>
      <c r="L1825" s="2409"/>
    </row>
    <row r="1826" spans="1:12" ht="12.75" customHeight="1" x14ac:dyDescent="0.3">
      <c r="A1826" s="2394" t="s">
        <v>5283</v>
      </c>
      <c r="B1826" s="2395" t="s">
        <v>3968</v>
      </c>
      <c r="C1826" s="2406">
        <v>0</v>
      </c>
      <c r="D1826" s="2396"/>
      <c r="E1826" s="2406">
        <v>0</v>
      </c>
      <c r="F1826" s="2406">
        <v>0</v>
      </c>
      <c r="G1826" s="2441">
        <v>0</v>
      </c>
      <c r="H1826" s="2407">
        <v>0</v>
      </c>
      <c r="I1826" s="2408"/>
      <c r="J1826" s="2408"/>
      <c r="K1826" s="2672" t="s">
        <v>6538</v>
      </c>
      <c r="L1826" s="2409"/>
    </row>
    <row r="1827" spans="1:12" ht="12.75" customHeight="1" x14ac:dyDescent="0.3">
      <c r="A1827" s="2394" t="s">
        <v>5284</v>
      </c>
      <c r="B1827" s="2395" t="s">
        <v>3718</v>
      </c>
      <c r="C1827" s="2406">
        <v>0</v>
      </c>
      <c r="D1827" s="2396"/>
      <c r="E1827" s="2406">
        <v>0</v>
      </c>
      <c r="F1827" s="2406">
        <v>0</v>
      </c>
      <c r="G1827" s="2441">
        <v>0</v>
      </c>
      <c r="H1827" s="2407">
        <v>0</v>
      </c>
      <c r="I1827" s="2408"/>
      <c r="J1827" s="2408"/>
      <c r="K1827" s="2672" t="s">
        <v>6516</v>
      </c>
      <c r="L1827" s="2409"/>
    </row>
    <row r="1828" spans="1:12" ht="12.75" customHeight="1" x14ac:dyDescent="0.3">
      <c r="A1828" s="2394" t="s">
        <v>5285</v>
      </c>
      <c r="B1828" s="2395" t="s">
        <v>3996</v>
      </c>
      <c r="C1828" s="2406">
        <v>0</v>
      </c>
      <c r="D1828" s="2396"/>
      <c r="E1828" s="2406">
        <v>0</v>
      </c>
      <c r="F1828" s="2406">
        <v>0</v>
      </c>
      <c r="G1828" s="2441">
        <v>0</v>
      </c>
      <c r="H1828" s="2407">
        <v>0</v>
      </c>
      <c r="I1828" s="2408"/>
      <c r="J1828" s="2408"/>
      <c r="K1828" s="2672" t="s">
        <v>6527</v>
      </c>
      <c r="L1828" s="2409"/>
    </row>
    <row r="1829" spans="1:12" ht="12.75" customHeight="1" x14ac:dyDescent="0.3">
      <c r="A1829" s="2394" t="s">
        <v>5286</v>
      </c>
      <c r="B1829" s="2395" t="s">
        <v>4029</v>
      </c>
      <c r="C1829" s="2406">
        <v>0</v>
      </c>
      <c r="D1829" s="2396"/>
      <c r="E1829" s="2406">
        <v>0</v>
      </c>
      <c r="F1829" s="2406">
        <v>0</v>
      </c>
      <c r="G1829" s="2441">
        <v>0</v>
      </c>
      <c r="H1829" s="2407">
        <v>0</v>
      </c>
      <c r="I1829" s="2408"/>
      <c r="J1829" s="2408"/>
      <c r="K1829" s="2672" t="s">
        <v>6518</v>
      </c>
      <c r="L1829" s="2409"/>
    </row>
    <row r="1830" spans="1:12" ht="12.75" customHeight="1" x14ac:dyDescent="0.3">
      <c r="A1830" s="2394" t="s">
        <v>5287</v>
      </c>
      <c r="B1830" s="2395" t="s">
        <v>4030</v>
      </c>
      <c r="C1830" s="2406">
        <v>0</v>
      </c>
      <c r="D1830" s="2396"/>
      <c r="E1830" s="2406">
        <v>0</v>
      </c>
      <c r="F1830" s="2406">
        <v>0</v>
      </c>
      <c r="G1830" s="2441">
        <v>0</v>
      </c>
      <c r="H1830" s="2407">
        <v>0</v>
      </c>
      <c r="I1830" s="2408"/>
      <c r="J1830" s="2408"/>
      <c r="K1830" s="2672"/>
      <c r="L1830" s="2409"/>
    </row>
    <row r="1831" spans="1:12" ht="12.75" customHeight="1" x14ac:dyDescent="0.3">
      <c r="A1831" s="2394" t="s">
        <v>5288</v>
      </c>
      <c r="B1831" s="2395" t="s">
        <v>3720</v>
      </c>
      <c r="C1831" s="2406">
        <v>0</v>
      </c>
      <c r="D1831" s="2396"/>
      <c r="E1831" s="2406">
        <v>0</v>
      </c>
      <c r="F1831" s="2406">
        <v>0</v>
      </c>
      <c r="G1831" s="2441">
        <v>0</v>
      </c>
      <c r="H1831" s="2407">
        <v>0</v>
      </c>
      <c r="I1831" s="2408"/>
      <c r="J1831" s="2408"/>
      <c r="K1831" s="2672" t="s">
        <v>6515</v>
      </c>
      <c r="L1831" s="2409"/>
    </row>
    <row r="1832" spans="1:12" ht="12.75" customHeight="1" x14ac:dyDescent="0.3">
      <c r="A1832" s="2394" t="s">
        <v>5289</v>
      </c>
      <c r="B1832" s="2395" t="s">
        <v>3934</v>
      </c>
      <c r="C1832" s="2406">
        <v>0</v>
      </c>
      <c r="D1832" s="2396"/>
      <c r="E1832" s="2406">
        <v>0</v>
      </c>
      <c r="F1832" s="2406">
        <v>0</v>
      </c>
      <c r="G1832" s="2441">
        <v>0</v>
      </c>
      <c r="H1832" s="2407">
        <v>0</v>
      </c>
      <c r="I1832" s="2408"/>
      <c r="J1832" s="2408"/>
      <c r="K1832" s="2672" t="s">
        <v>6518</v>
      </c>
      <c r="L1832" s="2409"/>
    </row>
    <row r="1833" spans="1:12" ht="12.75" customHeight="1" x14ac:dyDescent="0.3">
      <c r="A1833" s="2394" t="s">
        <v>5290</v>
      </c>
      <c r="B1833" s="2395" t="s">
        <v>3723</v>
      </c>
      <c r="C1833" s="2406">
        <v>0</v>
      </c>
      <c r="D1833" s="2396"/>
      <c r="E1833" s="2406">
        <v>0</v>
      </c>
      <c r="F1833" s="2406">
        <v>0</v>
      </c>
      <c r="G1833" s="2441">
        <v>0</v>
      </c>
      <c r="H1833" s="2407">
        <v>0</v>
      </c>
      <c r="I1833" s="2408"/>
      <c r="J1833" s="2408"/>
      <c r="K1833" s="2672" t="s">
        <v>6521</v>
      </c>
      <c r="L1833" s="2409"/>
    </row>
    <row r="1834" spans="1:12" ht="12.75" customHeight="1" x14ac:dyDescent="0.3">
      <c r="A1834" s="2394" t="s">
        <v>5291</v>
      </c>
      <c r="B1834" s="2395" t="s">
        <v>3968</v>
      </c>
      <c r="C1834" s="2406">
        <v>0</v>
      </c>
      <c r="D1834" s="2396"/>
      <c r="E1834" s="2406">
        <v>0</v>
      </c>
      <c r="F1834" s="2406">
        <v>0</v>
      </c>
      <c r="G1834" s="2441">
        <v>0</v>
      </c>
      <c r="H1834" s="2407">
        <v>0</v>
      </c>
      <c r="I1834" s="2408"/>
      <c r="J1834" s="2408"/>
      <c r="K1834" s="2672" t="s">
        <v>6538</v>
      </c>
      <c r="L1834" s="2409"/>
    </row>
    <row r="1835" spans="1:12" ht="12.75" customHeight="1" x14ac:dyDescent="0.3">
      <c r="A1835" s="2394" t="s">
        <v>5292</v>
      </c>
      <c r="B1835" s="2395" t="s">
        <v>3718</v>
      </c>
      <c r="C1835" s="2406">
        <v>0</v>
      </c>
      <c r="D1835" s="2396"/>
      <c r="E1835" s="2406">
        <v>0</v>
      </c>
      <c r="F1835" s="2406">
        <v>0</v>
      </c>
      <c r="G1835" s="2441">
        <v>0</v>
      </c>
      <c r="H1835" s="2407">
        <v>0</v>
      </c>
      <c r="I1835" s="2408"/>
      <c r="J1835" s="2408"/>
      <c r="K1835" s="2672" t="s">
        <v>6516</v>
      </c>
      <c r="L1835" s="2409"/>
    </row>
    <row r="1836" spans="1:12" ht="12.75" customHeight="1" x14ac:dyDescent="0.3">
      <c r="A1836" s="2394" t="s">
        <v>5293</v>
      </c>
      <c r="B1836" s="2395" t="s">
        <v>3996</v>
      </c>
      <c r="C1836" s="2406">
        <v>0</v>
      </c>
      <c r="D1836" s="2396"/>
      <c r="E1836" s="2406">
        <v>0</v>
      </c>
      <c r="F1836" s="2406">
        <v>0</v>
      </c>
      <c r="G1836" s="2441">
        <v>0</v>
      </c>
      <c r="H1836" s="2407">
        <v>0</v>
      </c>
      <c r="I1836" s="2408"/>
      <c r="J1836" s="2408"/>
      <c r="K1836" s="2672" t="s">
        <v>6527</v>
      </c>
      <c r="L1836" s="2409"/>
    </row>
    <row r="1837" spans="1:12" ht="12.75" customHeight="1" x14ac:dyDescent="0.3">
      <c r="A1837" s="2394" t="s">
        <v>5294</v>
      </c>
      <c r="B1837" s="2395" t="s">
        <v>4029</v>
      </c>
      <c r="C1837" s="2406">
        <v>0</v>
      </c>
      <c r="D1837" s="2396"/>
      <c r="E1837" s="2406">
        <v>0</v>
      </c>
      <c r="F1837" s="2406">
        <v>0</v>
      </c>
      <c r="G1837" s="2441">
        <v>0</v>
      </c>
      <c r="H1837" s="2407">
        <v>0</v>
      </c>
      <c r="I1837" s="2408"/>
      <c r="J1837" s="2408"/>
      <c r="K1837" s="2672" t="s">
        <v>6518</v>
      </c>
      <c r="L1837" s="2409"/>
    </row>
    <row r="1838" spans="1:12" ht="12.75" customHeight="1" x14ac:dyDescent="0.3">
      <c r="A1838" s="2394" t="s">
        <v>5295</v>
      </c>
      <c r="B1838" s="2395" t="s">
        <v>4031</v>
      </c>
      <c r="C1838" s="2406">
        <v>0</v>
      </c>
      <c r="D1838" s="2396"/>
      <c r="E1838" s="2406">
        <v>0</v>
      </c>
      <c r="F1838" s="2406">
        <v>0</v>
      </c>
      <c r="G1838" s="2441">
        <v>0</v>
      </c>
      <c r="H1838" s="2407">
        <v>0</v>
      </c>
      <c r="I1838" s="2408"/>
      <c r="J1838" s="2408"/>
      <c r="K1838" s="2672"/>
      <c r="L1838" s="2409"/>
    </row>
    <row r="1839" spans="1:12" ht="12.75" customHeight="1" x14ac:dyDescent="0.3">
      <c r="A1839" s="2394" t="s">
        <v>5296</v>
      </c>
      <c r="B1839" s="2395" t="s">
        <v>3720</v>
      </c>
      <c r="C1839" s="2406">
        <v>0</v>
      </c>
      <c r="D1839" s="2396"/>
      <c r="E1839" s="2406">
        <v>0</v>
      </c>
      <c r="F1839" s="2406">
        <v>0</v>
      </c>
      <c r="G1839" s="2441">
        <v>0</v>
      </c>
      <c r="H1839" s="2407">
        <v>0</v>
      </c>
      <c r="I1839" s="2408"/>
      <c r="J1839" s="2408"/>
      <c r="K1839" s="2672" t="s">
        <v>6515</v>
      </c>
      <c r="L1839" s="2409"/>
    </row>
    <row r="1840" spans="1:12" ht="12.75" customHeight="1" x14ac:dyDescent="0.3">
      <c r="A1840" s="2394" t="s">
        <v>5297</v>
      </c>
      <c r="B1840" s="2395" t="s">
        <v>3934</v>
      </c>
      <c r="C1840" s="2406">
        <v>0</v>
      </c>
      <c r="D1840" s="2396"/>
      <c r="E1840" s="2406">
        <v>0</v>
      </c>
      <c r="F1840" s="2406">
        <v>0</v>
      </c>
      <c r="G1840" s="2441">
        <v>0</v>
      </c>
      <c r="H1840" s="2407">
        <v>0</v>
      </c>
      <c r="I1840" s="2408"/>
      <c r="J1840" s="2408"/>
      <c r="K1840" s="2672" t="s">
        <v>6518</v>
      </c>
      <c r="L1840" s="2409"/>
    </row>
    <row r="1841" spans="1:12" ht="12.75" customHeight="1" x14ac:dyDescent="0.3">
      <c r="A1841" s="2394" t="s">
        <v>5298</v>
      </c>
      <c r="B1841" s="2395" t="s">
        <v>3723</v>
      </c>
      <c r="C1841" s="2406">
        <v>0</v>
      </c>
      <c r="D1841" s="2396"/>
      <c r="E1841" s="2406">
        <v>0</v>
      </c>
      <c r="F1841" s="2406">
        <v>0</v>
      </c>
      <c r="G1841" s="2441">
        <v>0</v>
      </c>
      <c r="H1841" s="2407">
        <v>0</v>
      </c>
      <c r="I1841" s="2408"/>
      <c r="J1841" s="2408"/>
      <c r="K1841" s="2672" t="s">
        <v>6521</v>
      </c>
      <c r="L1841" s="2409"/>
    </row>
    <row r="1842" spans="1:12" ht="12.75" customHeight="1" x14ac:dyDescent="0.3">
      <c r="A1842" s="2394" t="s">
        <v>5299</v>
      </c>
      <c r="B1842" s="2395" t="s">
        <v>3968</v>
      </c>
      <c r="C1842" s="2406">
        <v>0</v>
      </c>
      <c r="D1842" s="2396"/>
      <c r="E1842" s="2406">
        <v>0</v>
      </c>
      <c r="F1842" s="2406">
        <v>0</v>
      </c>
      <c r="G1842" s="2441">
        <v>0</v>
      </c>
      <c r="H1842" s="2407">
        <v>0</v>
      </c>
      <c r="I1842" s="2408"/>
      <c r="J1842" s="2408"/>
      <c r="K1842" s="2672" t="s">
        <v>6538</v>
      </c>
      <c r="L1842" s="2409"/>
    </row>
    <row r="1843" spans="1:12" ht="12.75" customHeight="1" x14ac:dyDescent="0.3">
      <c r="A1843" s="2394" t="s">
        <v>5300</v>
      </c>
      <c r="B1843" s="2395" t="s">
        <v>3718</v>
      </c>
      <c r="C1843" s="2406">
        <v>0</v>
      </c>
      <c r="D1843" s="2396"/>
      <c r="E1843" s="2406">
        <v>0</v>
      </c>
      <c r="F1843" s="2406">
        <v>0</v>
      </c>
      <c r="G1843" s="2441">
        <v>0</v>
      </c>
      <c r="H1843" s="2407">
        <v>0</v>
      </c>
      <c r="I1843" s="2408"/>
      <c r="J1843" s="2408"/>
      <c r="K1843" s="2672" t="s">
        <v>6516</v>
      </c>
      <c r="L1843" s="2409"/>
    </row>
    <row r="1844" spans="1:12" ht="12.75" customHeight="1" x14ac:dyDescent="0.3">
      <c r="A1844" s="2394" t="s">
        <v>5301</v>
      </c>
      <c r="B1844" s="2395" t="s">
        <v>3996</v>
      </c>
      <c r="C1844" s="2406">
        <v>0</v>
      </c>
      <c r="D1844" s="2396"/>
      <c r="E1844" s="2406">
        <v>0</v>
      </c>
      <c r="F1844" s="2406">
        <v>0</v>
      </c>
      <c r="G1844" s="2441">
        <v>0</v>
      </c>
      <c r="H1844" s="2407">
        <v>0</v>
      </c>
      <c r="I1844" s="2408"/>
      <c r="J1844" s="2408"/>
      <c r="K1844" s="2672" t="s">
        <v>6527</v>
      </c>
      <c r="L1844" s="2409"/>
    </row>
    <row r="1845" spans="1:12" ht="12.75" customHeight="1" x14ac:dyDescent="0.3">
      <c r="A1845" s="2394" t="s">
        <v>5302</v>
      </c>
      <c r="B1845" s="2395" t="s">
        <v>4029</v>
      </c>
      <c r="C1845" s="2406">
        <v>0</v>
      </c>
      <c r="D1845" s="2396"/>
      <c r="E1845" s="2406">
        <v>0</v>
      </c>
      <c r="F1845" s="2406">
        <v>0</v>
      </c>
      <c r="G1845" s="2441">
        <v>0</v>
      </c>
      <c r="H1845" s="2407">
        <v>0</v>
      </c>
      <c r="I1845" s="2408"/>
      <c r="J1845" s="2408"/>
      <c r="K1845" s="2672" t="s">
        <v>6518</v>
      </c>
      <c r="L1845" s="2409"/>
    </row>
    <row r="1846" spans="1:12" ht="12.75" customHeight="1" x14ac:dyDescent="0.3">
      <c r="A1846" s="2394" t="s">
        <v>5303</v>
      </c>
      <c r="B1846" s="2395" t="s">
        <v>4032</v>
      </c>
      <c r="C1846" s="2406">
        <v>0</v>
      </c>
      <c r="D1846" s="2396"/>
      <c r="E1846" s="2406">
        <v>0</v>
      </c>
      <c r="F1846" s="2406">
        <v>0</v>
      </c>
      <c r="G1846" s="2441">
        <v>0</v>
      </c>
      <c r="H1846" s="2407">
        <v>0</v>
      </c>
      <c r="I1846" s="2408"/>
      <c r="J1846" s="2408"/>
      <c r="K1846" s="2672"/>
      <c r="L1846" s="2409"/>
    </row>
    <row r="1847" spans="1:12" ht="12.75" customHeight="1" x14ac:dyDescent="0.3">
      <c r="A1847" s="2394" t="s">
        <v>5304</v>
      </c>
      <c r="B1847" s="2395" t="s">
        <v>3720</v>
      </c>
      <c r="C1847" s="2406">
        <v>0</v>
      </c>
      <c r="D1847" s="2396"/>
      <c r="E1847" s="2406">
        <v>0</v>
      </c>
      <c r="F1847" s="2406">
        <v>0</v>
      </c>
      <c r="G1847" s="2441">
        <v>0</v>
      </c>
      <c r="H1847" s="2407">
        <v>0</v>
      </c>
      <c r="I1847" s="2408"/>
      <c r="J1847" s="2408"/>
      <c r="K1847" s="2672" t="s">
        <v>6515</v>
      </c>
      <c r="L1847" s="2409"/>
    </row>
    <row r="1848" spans="1:12" ht="12.75" customHeight="1" x14ac:dyDescent="0.3">
      <c r="A1848" s="2394" t="s">
        <v>5305</v>
      </c>
      <c r="B1848" s="2395" t="s">
        <v>3934</v>
      </c>
      <c r="C1848" s="2406">
        <v>0</v>
      </c>
      <c r="D1848" s="2396"/>
      <c r="E1848" s="2406">
        <v>0</v>
      </c>
      <c r="F1848" s="2406">
        <v>0</v>
      </c>
      <c r="G1848" s="2441">
        <v>0</v>
      </c>
      <c r="H1848" s="2407">
        <v>0</v>
      </c>
      <c r="I1848" s="2408"/>
      <c r="J1848" s="2408"/>
      <c r="K1848" s="2672" t="s">
        <v>6518</v>
      </c>
      <c r="L1848" s="2409"/>
    </row>
    <row r="1849" spans="1:12" ht="12.75" customHeight="1" x14ac:dyDescent="0.3">
      <c r="A1849" s="2394" t="s">
        <v>5306</v>
      </c>
      <c r="B1849" s="2395" t="s">
        <v>3723</v>
      </c>
      <c r="C1849" s="2406">
        <v>0</v>
      </c>
      <c r="D1849" s="2396"/>
      <c r="E1849" s="2406">
        <v>0</v>
      </c>
      <c r="F1849" s="2406">
        <v>0</v>
      </c>
      <c r="G1849" s="2441">
        <v>0</v>
      </c>
      <c r="H1849" s="2407">
        <v>0</v>
      </c>
      <c r="I1849" s="2408"/>
      <c r="J1849" s="2408"/>
      <c r="K1849" s="2672" t="s">
        <v>6521</v>
      </c>
      <c r="L1849" s="2409"/>
    </row>
    <row r="1850" spans="1:12" ht="12.75" customHeight="1" x14ac:dyDescent="0.3">
      <c r="A1850" s="2394" t="s">
        <v>5307</v>
      </c>
      <c r="B1850" s="2395" t="s">
        <v>3968</v>
      </c>
      <c r="C1850" s="2406">
        <v>0</v>
      </c>
      <c r="D1850" s="2396"/>
      <c r="E1850" s="2406">
        <v>0</v>
      </c>
      <c r="F1850" s="2406">
        <v>0</v>
      </c>
      <c r="G1850" s="2441">
        <v>0</v>
      </c>
      <c r="H1850" s="2407">
        <v>0</v>
      </c>
      <c r="I1850" s="2408"/>
      <c r="J1850" s="2408"/>
      <c r="K1850" s="2672" t="s">
        <v>6538</v>
      </c>
      <c r="L1850" s="2409"/>
    </row>
    <row r="1851" spans="1:12" ht="12.75" customHeight="1" x14ac:dyDescent="0.3">
      <c r="A1851" s="2394" t="s">
        <v>5308</v>
      </c>
      <c r="B1851" s="2395" t="s">
        <v>3718</v>
      </c>
      <c r="C1851" s="2406">
        <v>0</v>
      </c>
      <c r="D1851" s="2396"/>
      <c r="E1851" s="2406">
        <v>0</v>
      </c>
      <c r="F1851" s="2406">
        <v>0</v>
      </c>
      <c r="G1851" s="2441">
        <v>0</v>
      </c>
      <c r="H1851" s="2407">
        <v>0</v>
      </c>
      <c r="I1851" s="2408"/>
      <c r="J1851" s="2408"/>
      <c r="K1851" s="2672" t="s">
        <v>6516</v>
      </c>
      <c r="L1851" s="2409"/>
    </row>
    <row r="1852" spans="1:12" ht="12.75" customHeight="1" x14ac:dyDescent="0.3">
      <c r="A1852" s="2394" t="s">
        <v>5309</v>
      </c>
      <c r="B1852" s="2395" t="s">
        <v>3996</v>
      </c>
      <c r="C1852" s="2406">
        <v>0</v>
      </c>
      <c r="D1852" s="2396"/>
      <c r="E1852" s="2406">
        <v>0</v>
      </c>
      <c r="F1852" s="2406">
        <v>0</v>
      </c>
      <c r="G1852" s="2441">
        <v>0</v>
      </c>
      <c r="H1852" s="2407">
        <v>0</v>
      </c>
      <c r="I1852" s="2408"/>
      <c r="J1852" s="2408"/>
      <c r="K1852" s="2672" t="s">
        <v>6527</v>
      </c>
      <c r="L1852" s="2409"/>
    </row>
    <row r="1853" spans="1:12" ht="12.75" customHeight="1" x14ac:dyDescent="0.3">
      <c r="A1853" s="2394" t="s">
        <v>5310</v>
      </c>
      <c r="B1853" s="2395" t="s">
        <v>4029</v>
      </c>
      <c r="C1853" s="2406">
        <v>0</v>
      </c>
      <c r="D1853" s="2396"/>
      <c r="E1853" s="2406">
        <v>0</v>
      </c>
      <c r="F1853" s="2406">
        <v>0</v>
      </c>
      <c r="G1853" s="2441">
        <v>0</v>
      </c>
      <c r="H1853" s="2407">
        <v>0</v>
      </c>
      <c r="I1853" s="2408"/>
      <c r="J1853" s="2408"/>
      <c r="K1853" s="2672" t="s">
        <v>6518</v>
      </c>
      <c r="L1853" s="2409"/>
    </row>
    <row r="1854" spans="1:12" ht="12.75" customHeight="1" x14ac:dyDescent="0.3">
      <c r="A1854" s="2394" t="s">
        <v>5311</v>
      </c>
      <c r="B1854" s="2395" t="s">
        <v>4033</v>
      </c>
      <c r="C1854" s="2406">
        <v>0</v>
      </c>
      <c r="D1854" s="2396"/>
      <c r="E1854" s="2406">
        <v>0</v>
      </c>
      <c r="F1854" s="2406">
        <v>0</v>
      </c>
      <c r="G1854" s="2441">
        <v>0</v>
      </c>
      <c r="H1854" s="2407">
        <v>0</v>
      </c>
      <c r="I1854" s="2408"/>
      <c r="J1854" s="2408"/>
      <c r="K1854" s="2672"/>
      <c r="L1854" s="2409"/>
    </row>
    <row r="1855" spans="1:12" ht="12.75" customHeight="1" x14ac:dyDescent="0.3">
      <c r="A1855" s="2394" t="s">
        <v>5312</v>
      </c>
      <c r="B1855" s="2395" t="s">
        <v>3720</v>
      </c>
      <c r="C1855" s="2406">
        <v>0</v>
      </c>
      <c r="D1855" s="2396"/>
      <c r="E1855" s="2406">
        <v>0</v>
      </c>
      <c r="F1855" s="2406">
        <v>0</v>
      </c>
      <c r="G1855" s="2441">
        <v>0</v>
      </c>
      <c r="H1855" s="2407">
        <v>0</v>
      </c>
      <c r="I1855" s="2408"/>
      <c r="J1855" s="2408"/>
      <c r="K1855" s="2672" t="s">
        <v>6515</v>
      </c>
      <c r="L1855" s="2409"/>
    </row>
    <row r="1856" spans="1:12" ht="12.75" customHeight="1" x14ac:dyDescent="0.3">
      <c r="A1856" s="2394" t="s">
        <v>5313</v>
      </c>
      <c r="B1856" s="2395" t="s">
        <v>3934</v>
      </c>
      <c r="C1856" s="2406">
        <v>0</v>
      </c>
      <c r="D1856" s="2396"/>
      <c r="E1856" s="2406">
        <v>0</v>
      </c>
      <c r="F1856" s="2406">
        <v>0</v>
      </c>
      <c r="G1856" s="2441">
        <v>0</v>
      </c>
      <c r="H1856" s="2407">
        <v>0</v>
      </c>
      <c r="I1856" s="2408"/>
      <c r="J1856" s="2408"/>
      <c r="K1856" s="2672" t="s">
        <v>6518</v>
      </c>
      <c r="L1856" s="2409"/>
    </row>
    <row r="1857" spans="1:12" ht="12.75" customHeight="1" x14ac:dyDescent="0.3">
      <c r="A1857" s="2394" t="s">
        <v>5314</v>
      </c>
      <c r="B1857" s="2395" t="s">
        <v>3723</v>
      </c>
      <c r="C1857" s="2406">
        <v>0</v>
      </c>
      <c r="D1857" s="2396"/>
      <c r="E1857" s="2406">
        <v>0</v>
      </c>
      <c r="F1857" s="2406">
        <v>0</v>
      </c>
      <c r="G1857" s="2441">
        <v>0</v>
      </c>
      <c r="H1857" s="2407">
        <v>0</v>
      </c>
      <c r="I1857" s="2408"/>
      <c r="J1857" s="2408"/>
      <c r="K1857" s="2672" t="s">
        <v>6521</v>
      </c>
      <c r="L1857" s="2409"/>
    </row>
    <row r="1858" spans="1:12" ht="12" customHeight="1" x14ac:dyDescent="0.3">
      <c r="A1858" s="2394" t="s">
        <v>5315</v>
      </c>
      <c r="B1858" s="2395" t="s">
        <v>3968</v>
      </c>
      <c r="C1858" s="2406">
        <v>0</v>
      </c>
      <c r="D1858" s="2396"/>
      <c r="E1858" s="2406">
        <v>0</v>
      </c>
      <c r="F1858" s="2406">
        <v>0</v>
      </c>
      <c r="G1858" s="2441">
        <v>0</v>
      </c>
      <c r="H1858" s="2407">
        <v>0</v>
      </c>
      <c r="I1858" s="2408"/>
      <c r="J1858" s="2408"/>
      <c r="K1858" s="2672" t="s">
        <v>6538</v>
      </c>
      <c r="L1858" s="2409"/>
    </row>
    <row r="1859" spans="1:12" s="2442" customFormat="1" ht="12" customHeight="1" x14ac:dyDescent="0.3">
      <c r="A1859" s="2394" t="s">
        <v>5316</v>
      </c>
      <c r="B1859" s="2395" t="s">
        <v>3718</v>
      </c>
      <c r="C1859" s="2406">
        <v>0</v>
      </c>
      <c r="D1859" s="2396"/>
      <c r="E1859" s="2406">
        <v>0</v>
      </c>
      <c r="F1859" s="2406">
        <v>0</v>
      </c>
      <c r="G1859" s="2441">
        <v>0</v>
      </c>
      <c r="H1859" s="2407">
        <v>0</v>
      </c>
      <c r="I1859" s="2408"/>
      <c r="J1859" s="2408"/>
      <c r="K1859" s="2672" t="s">
        <v>6516</v>
      </c>
      <c r="L1859" s="2409"/>
    </row>
    <row r="1860" spans="1:12" ht="12" customHeight="1" x14ac:dyDescent="0.3">
      <c r="A1860" s="2394" t="s">
        <v>5317</v>
      </c>
      <c r="B1860" s="2395" t="s">
        <v>3996</v>
      </c>
      <c r="C1860" s="2406">
        <v>0</v>
      </c>
      <c r="D1860" s="2396"/>
      <c r="E1860" s="2406">
        <v>0</v>
      </c>
      <c r="F1860" s="2406">
        <v>0</v>
      </c>
      <c r="G1860" s="2441">
        <v>0</v>
      </c>
      <c r="H1860" s="2407">
        <v>0</v>
      </c>
      <c r="I1860" s="2408"/>
      <c r="J1860" s="2408"/>
      <c r="K1860" s="2672" t="s">
        <v>6527</v>
      </c>
      <c r="L1860" s="2409"/>
    </row>
    <row r="1861" spans="1:12" ht="12" customHeight="1" x14ac:dyDescent="0.3">
      <c r="A1861" s="2394" t="s">
        <v>5318</v>
      </c>
      <c r="B1861" s="2395" t="s">
        <v>4034</v>
      </c>
      <c r="C1861" s="2406">
        <v>0</v>
      </c>
      <c r="D1861" s="2396"/>
      <c r="E1861" s="2406">
        <v>0</v>
      </c>
      <c r="F1861" s="2406">
        <v>0</v>
      </c>
      <c r="G1861" s="2441">
        <v>0</v>
      </c>
      <c r="H1861" s="2407">
        <v>0</v>
      </c>
      <c r="I1861" s="2408"/>
      <c r="J1861" s="2408"/>
      <c r="K1861" s="2672" t="s">
        <v>6516</v>
      </c>
      <c r="L1861" s="2409"/>
    </row>
    <row r="1862" spans="1:12" ht="12" customHeight="1" x14ac:dyDescent="0.3">
      <c r="A1862" s="2394" t="s">
        <v>5319</v>
      </c>
      <c r="B1862" s="2395" t="s">
        <v>4035</v>
      </c>
      <c r="C1862" s="2406">
        <v>0</v>
      </c>
      <c r="D1862" s="2396"/>
      <c r="E1862" s="2406">
        <v>0</v>
      </c>
      <c r="F1862" s="2406">
        <v>0</v>
      </c>
      <c r="G1862" s="2441">
        <v>0</v>
      </c>
      <c r="H1862" s="2407">
        <v>0</v>
      </c>
      <c r="I1862" s="2408"/>
      <c r="J1862" s="2408"/>
      <c r="K1862" s="2672"/>
      <c r="L1862" s="2409"/>
    </row>
    <row r="1863" spans="1:12" ht="12" customHeight="1" x14ac:dyDescent="0.3">
      <c r="A1863" s="2394" t="s">
        <v>5320</v>
      </c>
      <c r="B1863" s="2395" t="s">
        <v>3720</v>
      </c>
      <c r="C1863" s="2406">
        <v>0</v>
      </c>
      <c r="D1863" s="2396"/>
      <c r="E1863" s="2406">
        <v>0</v>
      </c>
      <c r="F1863" s="2406">
        <v>0</v>
      </c>
      <c r="G1863" s="2441">
        <v>0</v>
      </c>
      <c r="H1863" s="2407">
        <v>0</v>
      </c>
      <c r="I1863" s="2408"/>
      <c r="J1863" s="2408"/>
      <c r="K1863" s="2672" t="s">
        <v>6515</v>
      </c>
      <c r="L1863" s="2409"/>
    </row>
    <row r="1864" spans="1:12" ht="12" customHeight="1" x14ac:dyDescent="0.3">
      <c r="A1864" s="2394" t="s">
        <v>5321</v>
      </c>
      <c r="B1864" s="2395" t="s">
        <v>3934</v>
      </c>
      <c r="C1864" s="2406">
        <v>0</v>
      </c>
      <c r="D1864" s="2396"/>
      <c r="E1864" s="2406">
        <v>0</v>
      </c>
      <c r="F1864" s="2406">
        <v>0</v>
      </c>
      <c r="G1864" s="2441">
        <v>0</v>
      </c>
      <c r="H1864" s="2407">
        <v>0</v>
      </c>
      <c r="I1864" s="2408"/>
      <c r="J1864" s="2408"/>
      <c r="K1864" s="2672" t="s">
        <v>6518</v>
      </c>
      <c r="L1864" s="2409"/>
    </row>
    <row r="1865" spans="1:12" ht="12" customHeight="1" x14ac:dyDescent="0.3">
      <c r="A1865" s="2394" t="s">
        <v>5322</v>
      </c>
      <c r="B1865" s="2395" t="s">
        <v>3723</v>
      </c>
      <c r="C1865" s="2406">
        <v>0</v>
      </c>
      <c r="D1865" s="2396"/>
      <c r="E1865" s="2406">
        <v>0</v>
      </c>
      <c r="F1865" s="2406">
        <v>0</v>
      </c>
      <c r="G1865" s="2441">
        <v>0</v>
      </c>
      <c r="H1865" s="2407">
        <v>0</v>
      </c>
      <c r="I1865" s="2408"/>
      <c r="J1865" s="2408"/>
      <c r="K1865" s="2672" t="s">
        <v>6521</v>
      </c>
      <c r="L1865" s="2409"/>
    </row>
    <row r="1866" spans="1:12" ht="12" customHeight="1" x14ac:dyDescent="0.3">
      <c r="A1866" s="2394" t="s">
        <v>5323</v>
      </c>
      <c r="B1866" s="2395" t="s">
        <v>3968</v>
      </c>
      <c r="C1866" s="2406">
        <v>0</v>
      </c>
      <c r="D1866" s="2396"/>
      <c r="E1866" s="2406">
        <v>0</v>
      </c>
      <c r="F1866" s="2406">
        <v>0</v>
      </c>
      <c r="G1866" s="2441">
        <v>0</v>
      </c>
      <c r="H1866" s="2407">
        <v>0</v>
      </c>
      <c r="I1866" s="2408"/>
      <c r="J1866" s="2408"/>
      <c r="K1866" s="2672" t="s">
        <v>6538</v>
      </c>
      <c r="L1866" s="2409"/>
    </row>
    <row r="1867" spans="1:12" ht="12" customHeight="1" x14ac:dyDescent="0.3">
      <c r="A1867" s="2394" t="s">
        <v>5324</v>
      </c>
      <c r="B1867" s="2395" t="s">
        <v>3718</v>
      </c>
      <c r="C1867" s="2406">
        <v>0</v>
      </c>
      <c r="D1867" s="2396"/>
      <c r="E1867" s="2406">
        <v>0</v>
      </c>
      <c r="F1867" s="2406">
        <v>0</v>
      </c>
      <c r="G1867" s="2441">
        <v>0</v>
      </c>
      <c r="H1867" s="2407">
        <v>0</v>
      </c>
      <c r="I1867" s="2408"/>
      <c r="J1867" s="2408"/>
      <c r="K1867" s="2672" t="s">
        <v>6516</v>
      </c>
      <c r="L1867" s="2409"/>
    </row>
    <row r="1868" spans="1:12" ht="12" customHeight="1" x14ac:dyDescent="0.3">
      <c r="A1868" s="2394" t="s">
        <v>5325</v>
      </c>
      <c r="B1868" s="2395" t="s">
        <v>3996</v>
      </c>
      <c r="C1868" s="2406">
        <v>0</v>
      </c>
      <c r="D1868" s="2396"/>
      <c r="E1868" s="2406">
        <v>0</v>
      </c>
      <c r="F1868" s="2406">
        <v>0</v>
      </c>
      <c r="G1868" s="2441">
        <v>0</v>
      </c>
      <c r="H1868" s="2407">
        <v>0</v>
      </c>
      <c r="I1868" s="2408"/>
      <c r="J1868" s="2408"/>
      <c r="K1868" s="2672" t="s">
        <v>6527</v>
      </c>
      <c r="L1868" s="2409"/>
    </row>
    <row r="1869" spans="1:12" ht="12" customHeight="1" x14ac:dyDescent="0.3">
      <c r="A1869" s="2394" t="s">
        <v>5326</v>
      </c>
      <c r="B1869" s="2395" t="s">
        <v>4029</v>
      </c>
      <c r="C1869" s="2406">
        <v>0</v>
      </c>
      <c r="D1869" s="2396"/>
      <c r="E1869" s="2406">
        <v>0</v>
      </c>
      <c r="F1869" s="2406">
        <v>0</v>
      </c>
      <c r="G1869" s="2441">
        <v>0</v>
      </c>
      <c r="H1869" s="2407">
        <v>0</v>
      </c>
      <c r="I1869" s="2408"/>
      <c r="J1869" s="2408"/>
      <c r="K1869" s="2672" t="s">
        <v>6518</v>
      </c>
      <c r="L1869" s="2409"/>
    </row>
    <row r="1870" spans="1:12" ht="12" customHeight="1" x14ac:dyDescent="0.3">
      <c r="A1870" s="2394" t="s">
        <v>5327</v>
      </c>
      <c r="B1870" s="2395" t="s">
        <v>4036</v>
      </c>
      <c r="C1870" s="2406">
        <v>0</v>
      </c>
      <c r="D1870" s="2396"/>
      <c r="E1870" s="2406">
        <v>0</v>
      </c>
      <c r="F1870" s="2406">
        <v>0</v>
      </c>
      <c r="G1870" s="2441">
        <v>0</v>
      </c>
      <c r="H1870" s="2407">
        <v>0</v>
      </c>
      <c r="I1870" s="2408"/>
      <c r="J1870" s="2408"/>
      <c r="K1870" s="2672"/>
      <c r="L1870" s="2409"/>
    </row>
    <row r="1871" spans="1:12" ht="12" customHeight="1" x14ac:dyDescent="0.3">
      <c r="A1871" s="2394" t="s">
        <v>5328</v>
      </c>
      <c r="B1871" s="2395" t="s">
        <v>3720</v>
      </c>
      <c r="C1871" s="2406">
        <v>0</v>
      </c>
      <c r="D1871" s="2396"/>
      <c r="E1871" s="2406">
        <v>0</v>
      </c>
      <c r="F1871" s="2406">
        <v>0</v>
      </c>
      <c r="G1871" s="2441">
        <v>0</v>
      </c>
      <c r="H1871" s="2407">
        <v>0</v>
      </c>
      <c r="I1871" s="2408"/>
      <c r="J1871" s="2408"/>
      <c r="K1871" s="2672" t="s">
        <v>6515</v>
      </c>
      <c r="L1871" s="2409"/>
    </row>
    <row r="1872" spans="1:12" ht="12" customHeight="1" x14ac:dyDescent="0.3">
      <c r="A1872" s="2394" t="s">
        <v>5329</v>
      </c>
      <c r="B1872" s="2395" t="s">
        <v>3934</v>
      </c>
      <c r="C1872" s="2406">
        <v>0</v>
      </c>
      <c r="D1872" s="2396"/>
      <c r="E1872" s="2406">
        <v>0</v>
      </c>
      <c r="F1872" s="2406">
        <v>0</v>
      </c>
      <c r="G1872" s="2441">
        <v>0</v>
      </c>
      <c r="H1872" s="2407">
        <v>0</v>
      </c>
      <c r="I1872" s="2408"/>
      <c r="J1872" s="2408"/>
      <c r="K1872" s="2672" t="s">
        <v>6518</v>
      </c>
      <c r="L1872" s="2409"/>
    </row>
    <row r="1873" spans="1:12" ht="12" customHeight="1" x14ac:dyDescent="0.3">
      <c r="A1873" s="2394" t="s">
        <v>5330</v>
      </c>
      <c r="B1873" s="2395" t="s">
        <v>3723</v>
      </c>
      <c r="C1873" s="2406">
        <v>0</v>
      </c>
      <c r="D1873" s="2396"/>
      <c r="E1873" s="2406">
        <v>0</v>
      </c>
      <c r="F1873" s="2406">
        <v>0</v>
      </c>
      <c r="G1873" s="2441">
        <v>0</v>
      </c>
      <c r="H1873" s="2407">
        <v>0</v>
      </c>
      <c r="I1873" s="2408"/>
      <c r="J1873" s="2408"/>
      <c r="K1873" s="2672" t="s">
        <v>6521</v>
      </c>
      <c r="L1873" s="2409"/>
    </row>
    <row r="1874" spans="1:12" ht="12" customHeight="1" x14ac:dyDescent="0.3">
      <c r="A1874" s="2394" t="s">
        <v>5331</v>
      </c>
      <c r="B1874" s="2395" t="s">
        <v>3968</v>
      </c>
      <c r="C1874" s="2406">
        <v>0</v>
      </c>
      <c r="D1874" s="2396"/>
      <c r="E1874" s="2406">
        <v>0</v>
      </c>
      <c r="F1874" s="2406">
        <v>0</v>
      </c>
      <c r="G1874" s="2441">
        <v>0</v>
      </c>
      <c r="H1874" s="2407">
        <v>0</v>
      </c>
      <c r="I1874" s="2408"/>
      <c r="J1874" s="2408"/>
      <c r="K1874" s="2672" t="s">
        <v>6538</v>
      </c>
      <c r="L1874" s="2409"/>
    </row>
    <row r="1875" spans="1:12" ht="12" customHeight="1" x14ac:dyDescent="0.3">
      <c r="A1875" s="2394" t="s">
        <v>5332</v>
      </c>
      <c r="B1875" s="2395" t="s">
        <v>3718</v>
      </c>
      <c r="C1875" s="2406">
        <v>0</v>
      </c>
      <c r="D1875" s="2396"/>
      <c r="E1875" s="2406">
        <v>0</v>
      </c>
      <c r="F1875" s="2406">
        <v>0</v>
      </c>
      <c r="G1875" s="2441">
        <v>0</v>
      </c>
      <c r="H1875" s="2407">
        <v>0</v>
      </c>
      <c r="I1875" s="2408"/>
      <c r="J1875" s="2408"/>
      <c r="K1875" s="2672" t="s">
        <v>6516</v>
      </c>
      <c r="L1875" s="2409"/>
    </row>
    <row r="1876" spans="1:12" ht="12" customHeight="1" x14ac:dyDescent="0.3">
      <c r="A1876" s="2394" t="s">
        <v>5333</v>
      </c>
      <c r="B1876" s="2395" t="s">
        <v>3996</v>
      </c>
      <c r="C1876" s="2406">
        <v>0</v>
      </c>
      <c r="D1876" s="2396"/>
      <c r="E1876" s="2406">
        <v>0</v>
      </c>
      <c r="F1876" s="2406">
        <v>0</v>
      </c>
      <c r="G1876" s="2441">
        <v>0</v>
      </c>
      <c r="H1876" s="2407">
        <v>0</v>
      </c>
      <c r="I1876" s="2408"/>
      <c r="J1876" s="2408"/>
      <c r="K1876" s="2672" t="s">
        <v>6527</v>
      </c>
      <c r="L1876" s="2409"/>
    </row>
    <row r="1877" spans="1:12" ht="12" customHeight="1" x14ac:dyDescent="0.3">
      <c r="A1877" s="2394" t="s">
        <v>5334</v>
      </c>
      <c r="B1877" s="2395" t="s">
        <v>4029</v>
      </c>
      <c r="C1877" s="2406">
        <v>0</v>
      </c>
      <c r="D1877" s="2396"/>
      <c r="E1877" s="2406">
        <v>0</v>
      </c>
      <c r="F1877" s="2406">
        <v>0</v>
      </c>
      <c r="G1877" s="2441">
        <v>0</v>
      </c>
      <c r="H1877" s="2407">
        <v>0</v>
      </c>
      <c r="I1877" s="2408"/>
      <c r="J1877" s="2408"/>
      <c r="K1877" s="2672" t="s">
        <v>6518</v>
      </c>
      <c r="L1877" s="2409"/>
    </row>
    <row r="1878" spans="1:12" ht="12" customHeight="1" x14ac:dyDescent="0.3">
      <c r="A1878" s="2394" t="s">
        <v>5335</v>
      </c>
      <c r="B1878" s="2395" t="s">
        <v>4037</v>
      </c>
      <c r="C1878" s="2406">
        <v>0</v>
      </c>
      <c r="D1878" s="2396"/>
      <c r="E1878" s="2406">
        <v>0</v>
      </c>
      <c r="F1878" s="2406">
        <v>0</v>
      </c>
      <c r="G1878" s="2441">
        <v>0</v>
      </c>
      <c r="H1878" s="2407">
        <v>0</v>
      </c>
      <c r="I1878" s="2408"/>
      <c r="J1878" s="2408"/>
      <c r="K1878" s="2672"/>
      <c r="L1878" s="2409"/>
    </row>
    <row r="1879" spans="1:12" ht="12" customHeight="1" x14ac:dyDescent="0.3">
      <c r="A1879" s="2394" t="s">
        <v>5336</v>
      </c>
      <c r="B1879" s="2395" t="s">
        <v>3720</v>
      </c>
      <c r="C1879" s="2406">
        <v>0</v>
      </c>
      <c r="D1879" s="2396"/>
      <c r="E1879" s="2406">
        <v>0</v>
      </c>
      <c r="F1879" s="2406">
        <v>0</v>
      </c>
      <c r="G1879" s="2441">
        <v>0</v>
      </c>
      <c r="H1879" s="2407">
        <v>0</v>
      </c>
      <c r="I1879" s="2408"/>
      <c r="J1879" s="2408"/>
      <c r="K1879" s="2672" t="s">
        <v>6515</v>
      </c>
      <c r="L1879" s="2409"/>
    </row>
    <row r="1880" spans="1:12" ht="12" customHeight="1" x14ac:dyDescent="0.3">
      <c r="A1880" s="2394" t="s">
        <v>5337</v>
      </c>
      <c r="B1880" s="2395" t="s">
        <v>3934</v>
      </c>
      <c r="C1880" s="2406">
        <v>0</v>
      </c>
      <c r="D1880" s="2396"/>
      <c r="E1880" s="2406">
        <v>0</v>
      </c>
      <c r="F1880" s="2406">
        <v>0</v>
      </c>
      <c r="G1880" s="2441">
        <v>0</v>
      </c>
      <c r="H1880" s="2407">
        <v>0</v>
      </c>
      <c r="I1880" s="2408"/>
      <c r="J1880" s="2408"/>
      <c r="K1880" s="2672" t="s">
        <v>6518</v>
      </c>
      <c r="L1880" s="2409"/>
    </row>
    <row r="1881" spans="1:12" ht="12" customHeight="1" x14ac:dyDescent="0.3">
      <c r="A1881" s="2394" t="s">
        <v>5338</v>
      </c>
      <c r="B1881" s="2395" t="s">
        <v>3723</v>
      </c>
      <c r="C1881" s="2406">
        <v>0</v>
      </c>
      <c r="D1881" s="2396"/>
      <c r="E1881" s="2406">
        <v>0</v>
      </c>
      <c r="F1881" s="2406">
        <v>0</v>
      </c>
      <c r="G1881" s="2441">
        <v>0</v>
      </c>
      <c r="H1881" s="2407">
        <v>0</v>
      </c>
      <c r="I1881" s="2408"/>
      <c r="J1881" s="2408"/>
      <c r="K1881" s="2672" t="s">
        <v>6521</v>
      </c>
      <c r="L1881" s="2409"/>
    </row>
    <row r="1882" spans="1:12" ht="12" customHeight="1" x14ac:dyDescent="0.3">
      <c r="A1882" s="2394" t="s">
        <v>5339</v>
      </c>
      <c r="B1882" s="2395" t="s">
        <v>3968</v>
      </c>
      <c r="C1882" s="2406">
        <v>0</v>
      </c>
      <c r="D1882" s="2396"/>
      <c r="E1882" s="2406">
        <v>0</v>
      </c>
      <c r="F1882" s="2406">
        <v>0</v>
      </c>
      <c r="G1882" s="2441">
        <v>0</v>
      </c>
      <c r="H1882" s="2407">
        <v>0</v>
      </c>
      <c r="I1882" s="2408"/>
      <c r="J1882" s="2408"/>
      <c r="K1882" s="2672" t="s">
        <v>6538</v>
      </c>
      <c r="L1882" s="2409"/>
    </row>
    <row r="1883" spans="1:12" ht="12" customHeight="1" x14ac:dyDescent="0.3">
      <c r="A1883" s="2394" t="s">
        <v>5340</v>
      </c>
      <c r="B1883" s="2395" t="s">
        <v>3718</v>
      </c>
      <c r="C1883" s="2406">
        <v>0</v>
      </c>
      <c r="D1883" s="2396"/>
      <c r="E1883" s="2406">
        <v>0</v>
      </c>
      <c r="F1883" s="2406">
        <v>0</v>
      </c>
      <c r="G1883" s="2441">
        <v>0</v>
      </c>
      <c r="H1883" s="2407">
        <v>0</v>
      </c>
      <c r="I1883" s="2408"/>
      <c r="J1883" s="2408"/>
      <c r="K1883" s="2672" t="s">
        <v>6516</v>
      </c>
      <c r="L1883" s="2409"/>
    </row>
    <row r="1884" spans="1:12" ht="12" customHeight="1" x14ac:dyDescent="0.3">
      <c r="A1884" s="2394" t="s">
        <v>5341</v>
      </c>
      <c r="B1884" s="2395" t="s">
        <v>3996</v>
      </c>
      <c r="C1884" s="2406">
        <v>0</v>
      </c>
      <c r="D1884" s="2396"/>
      <c r="E1884" s="2406">
        <v>0</v>
      </c>
      <c r="F1884" s="2406">
        <v>0</v>
      </c>
      <c r="G1884" s="2441">
        <v>0</v>
      </c>
      <c r="H1884" s="2407">
        <v>0</v>
      </c>
      <c r="I1884" s="2408"/>
      <c r="J1884" s="2408"/>
      <c r="K1884" s="2672" t="s">
        <v>6527</v>
      </c>
      <c r="L1884" s="2409"/>
    </row>
    <row r="1885" spans="1:12" ht="12" customHeight="1" x14ac:dyDescent="0.3">
      <c r="A1885" s="2394" t="s">
        <v>5342</v>
      </c>
      <c r="B1885" s="2395" t="s">
        <v>4029</v>
      </c>
      <c r="C1885" s="2406">
        <v>0</v>
      </c>
      <c r="D1885" s="2396"/>
      <c r="E1885" s="2406">
        <v>0</v>
      </c>
      <c r="F1885" s="2406">
        <v>0</v>
      </c>
      <c r="G1885" s="2441">
        <v>0</v>
      </c>
      <c r="H1885" s="2407">
        <v>0</v>
      </c>
      <c r="I1885" s="2408"/>
      <c r="J1885" s="2408"/>
      <c r="K1885" s="2672" t="s">
        <v>6518</v>
      </c>
      <c r="L1885" s="2409"/>
    </row>
    <row r="1886" spans="1:12" ht="12" customHeight="1" x14ac:dyDescent="0.3">
      <c r="A1886" s="2394" t="s">
        <v>5343</v>
      </c>
      <c r="B1886" s="2395" t="s">
        <v>4023</v>
      </c>
      <c r="C1886" s="2406">
        <v>0</v>
      </c>
      <c r="D1886" s="2396"/>
      <c r="E1886" s="2406">
        <v>0</v>
      </c>
      <c r="F1886" s="2406">
        <v>0</v>
      </c>
      <c r="G1886" s="2441">
        <v>0</v>
      </c>
      <c r="H1886" s="2407">
        <v>0</v>
      </c>
      <c r="I1886" s="2408"/>
      <c r="J1886" s="2408"/>
      <c r="K1886" s="2672"/>
      <c r="L1886" s="2409"/>
    </row>
    <row r="1887" spans="1:12" ht="12" customHeight="1" x14ac:dyDescent="0.3">
      <c r="A1887" s="2394" t="s">
        <v>5344</v>
      </c>
      <c r="B1887" s="2395" t="s">
        <v>3720</v>
      </c>
      <c r="C1887" s="2406">
        <v>0</v>
      </c>
      <c r="D1887" s="2396"/>
      <c r="E1887" s="2406">
        <v>0</v>
      </c>
      <c r="F1887" s="2406">
        <v>0</v>
      </c>
      <c r="G1887" s="2441">
        <v>0</v>
      </c>
      <c r="H1887" s="2407">
        <v>0</v>
      </c>
      <c r="I1887" s="2408"/>
      <c r="J1887" s="2408"/>
      <c r="K1887" s="2672" t="s">
        <v>6515</v>
      </c>
      <c r="L1887" s="2409"/>
    </row>
    <row r="1888" spans="1:12" ht="12" customHeight="1" x14ac:dyDescent="0.3">
      <c r="A1888" s="2394" t="s">
        <v>5345</v>
      </c>
      <c r="B1888" s="2395" t="s">
        <v>3932</v>
      </c>
      <c r="C1888" s="2406">
        <v>0</v>
      </c>
      <c r="D1888" s="2396"/>
      <c r="E1888" s="2406">
        <v>0</v>
      </c>
      <c r="F1888" s="2406">
        <v>0</v>
      </c>
      <c r="G1888" s="2441">
        <v>0</v>
      </c>
      <c r="H1888" s="2407">
        <v>0</v>
      </c>
      <c r="I1888" s="2408"/>
      <c r="J1888" s="2408"/>
      <c r="K1888" s="2672" t="s">
        <v>6517</v>
      </c>
      <c r="L1888" s="2409"/>
    </row>
    <row r="1889" spans="1:12" ht="12" customHeight="1" x14ac:dyDescent="0.3">
      <c r="A1889" s="2394" t="s">
        <v>5346</v>
      </c>
      <c r="B1889" s="2395" t="s">
        <v>4024</v>
      </c>
      <c r="C1889" s="2406">
        <v>0</v>
      </c>
      <c r="D1889" s="2396"/>
      <c r="E1889" s="2406">
        <v>0</v>
      </c>
      <c r="F1889" s="2406">
        <v>0</v>
      </c>
      <c r="G1889" s="2441">
        <v>0</v>
      </c>
      <c r="H1889" s="2407">
        <v>0</v>
      </c>
      <c r="I1889" s="2408"/>
      <c r="J1889" s="2408"/>
      <c r="K1889" s="2672" t="s">
        <v>6518</v>
      </c>
      <c r="L1889" s="2409"/>
    </row>
    <row r="1890" spans="1:12" ht="12" customHeight="1" x14ac:dyDescent="0.3">
      <c r="A1890" s="2394" t="s">
        <v>5347</v>
      </c>
      <c r="B1890" s="2395" t="s">
        <v>4025</v>
      </c>
      <c r="C1890" s="2406">
        <v>0</v>
      </c>
      <c r="D1890" s="2396"/>
      <c r="E1890" s="2406">
        <v>0</v>
      </c>
      <c r="F1890" s="2406">
        <v>0</v>
      </c>
      <c r="G1890" s="2441">
        <v>0</v>
      </c>
      <c r="H1890" s="2407">
        <v>0</v>
      </c>
      <c r="I1890" s="2408"/>
      <c r="J1890" s="2408"/>
      <c r="K1890" s="2672" t="s">
        <v>6522</v>
      </c>
      <c r="L1890" s="2409"/>
    </row>
    <row r="1891" spans="1:12" ht="12" customHeight="1" x14ac:dyDescent="0.3">
      <c r="A1891" s="2394" t="s">
        <v>5348</v>
      </c>
      <c r="B1891" s="2395" t="s">
        <v>4026</v>
      </c>
      <c r="C1891" s="2406">
        <v>0</v>
      </c>
      <c r="D1891" s="2396"/>
      <c r="E1891" s="2406">
        <v>0</v>
      </c>
      <c r="F1891" s="2406">
        <v>0</v>
      </c>
      <c r="G1891" s="2441">
        <v>0</v>
      </c>
      <c r="H1891" s="2407">
        <v>0</v>
      </c>
      <c r="I1891" s="2408"/>
      <c r="J1891" s="2408"/>
      <c r="K1891" s="2672" t="s">
        <v>6520</v>
      </c>
      <c r="L1891" s="2409"/>
    </row>
    <row r="1892" spans="1:12" ht="12" customHeight="1" x14ac:dyDescent="0.3">
      <c r="A1892" s="2394" t="s">
        <v>5349</v>
      </c>
      <c r="B1892" s="2395" t="s">
        <v>3718</v>
      </c>
      <c r="C1892" s="2406">
        <v>0</v>
      </c>
      <c r="D1892" s="2396"/>
      <c r="E1892" s="2406">
        <v>0</v>
      </c>
      <c r="F1892" s="2406">
        <v>0</v>
      </c>
      <c r="G1892" s="2441">
        <v>0</v>
      </c>
      <c r="H1892" s="2407">
        <v>0</v>
      </c>
      <c r="I1892" s="2408"/>
      <c r="J1892" s="2408"/>
      <c r="K1892" s="2672" t="s">
        <v>6516</v>
      </c>
      <c r="L1892" s="2409"/>
    </row>
    <row r="1893" spans="1:12" ht="12" customHeight="1" x14ac:dyDescent="0.3">
      <c r="A1893" s="2394" t="s">
        <v>5350</v>
      </c>
      <c r="B1893" s="2395" t="s">
        <v>3996</v>
      </c>
      <c r="C1893" s="2406">
        <v>0</v>
      </c>
      <c r="D1893" s="2396"/>
      <c r="E1893" s="2406">
        <v>0</v>
      </c>
      <c r="F1893" s="2406">
        <v>0</v>
      </c>
      <c r="G1893" s="2441">
        <v>0</v>
      </c>
      <c r="H1893" s="2407">
        <v>0</v>
      </c>
      <c r="I1893" s="2408"/>
      <c r="J1893" s="2408"/>
      <c r="K1893" s="2672" t="s">
        <v>6527</v>
      </c>
      <c r="L1893" s="2409"/>
    </row>
    <row r="1894" spans="1:12" ht="12.75" customHeight="1" x14ac:dyDescent="0.3">
      <c r="A1894" s="2394" t="s">
        <v>5351</v>
      </c>
      <c r="B1894" s="2395" t="s">
        <v>4027</v>
      </c>
      <c r="C1894" s="2406">
        <v>0</v>
      </c>
      <c r="D1894" s="2396"/>
      <c r="E1894" s="2406">
        <v>0</v>
      </c>
      <c r="F1894" s="2406">
        <v>0</v>
      </c>
      <c r="G1894" s="2441">
        <v>0</v>
      </c>
      <c r="H1894" s="2407">
        <v>0</v>
      </c>
      <c r="I1894" s="2408"/>
      <c r="J1894" s="2408"/>
      <c r="K1894" s="2672" t="s">
        <v>6538</v>
      </c>
      <c r="L1894" s="2409"/>
    </row>
    <row r="1895" spans="1:12" ht="12.75" customHeight="1" x14ac:dyDescent="0.3">
      <c r="A1895" s="2394" t="s">
        <v>5352</v>
      </c>
      <c r="B1895" s="2395" t="s">
        <v>350</v>
      </c>
      <c r="C1895" s="2406">
        <v>0</v>
      </c>
      <c r="D1895" s="2396"/>
      <c r="E1895" s="2406">
        <v>0</v>
      </c>
      <c r="F1895" s="2406">
        <v>0</v>
      </c>
      <c r="G1895" s="2441">
        <v>0</v>
      </c>
      <c r="H1895" s="2407">
        <v>0</v>
      </c>
      <c r="I1895" s="2408"/>
      <c r="J1895" s="2408"/>
      <c r="K1895" s="2672" t="s">
        <v>6536</v>
      </c>
      <c r="L1895" s="2409"/>
    </row>
    <row r="1896" spans="1:12" ht="12.75" customHeight="1" x14ac:dyDescent="0.3">
      <c r="A1896" s="2394" t="s">
        <v>5353</v>
      </c>
      <c r="B1896" s="2395" t="s">
        <v>4028</v>
      </c>
      <c r="C1896" s="2406">
        <v>0</v>
      </c>
      <c r="D1896" s="2396"/>
      <c r="E1896" s="2406">
        <v>0</v>
      </c>
      <c r="F1896" s="2406">
        <v>0</v>
      </c>
      <c r="G1896" s="2441">
        <v>0</v>
      </c>
      <c r="H1896" s="2407">
        <v>0</v>
      </c>
      <c r="I1896" s="2408"/>
      <c r="J1896" s="2408"/>
      <c r="K1896" s="2672"/>
      <c r="L1896" s="2409"/>
    </row>
    <row r="1897" spans="1:12" ht="12.75" customHeight="1" x14ac:dyDescent="0.3">
      <c r="A1897" s="2394" t="s">
        <v>5354</v>
      </c>
      <c r="B1897" s="2395" t="s">
        <v>3720</v>
      </c>
      <c r="C1897" s="2406">
        <v>0</v>
      </c>
      <c r="D1897" s="2396"/>
      <c r="E1897" s="2406">
        <v>0</v>
      </c>
      <c r="F1897" s="2406">
        <v>0</v>
      </c>
      <c r="G1897" s="2441">
        <v>0</v>
      </c>
      <c r="H1897" s="2407">
        <v>0</v>
      </c>
      <c r="I1897" s="2408"/>
      <c r="J1897" s="2408"/>
      <c r="K1897" s="2672" t="s">
        <v>6515</v>
      </c>
      <c r="L1897" s="2409"/>
    </row>
    <row r="1898" spans="1:12" ht="12.75" customHeight="1" x14ac:dyDescent="0.3">
      <c r="A1898" s="2394" t="s">
        <v>5355</v>
      </c>
      <c r="B1898" s="2395" t="s">
        <v>3934</v>
      </c>
      <c r="C1898" s="2406">
        <v>0</v>
      </c>
      <c r="D1898" s="2396"/>
      <c r="E1898" s="2406">
        <v>0</v>
      </c>
      <c r="F1898" s="2406">
        <v>0</v>
      </c>
      <c r="G1898" s="2441">
        <v>0</v>
      </c>
      <c r="H1898" s="2407">
        <v>0</v>
      </c>
      <c r="I1898" s="2408"/>
      <c r="J1898" s="2408"/>
      <c r="K1898" s="2672" t="s">
        <v>6518</v>
      </c>
      <c r="L1898" s="2409"/>
    </row>
    <row r="1899" spans="1:12" ht="12.75" customHeight="1" x14ac:dyDescent="0.3">
      <c r="A1899" s="2394" t="s">
        <v>5356</v>
      </c>
      <c r="B1899" s="2395" t="s">
        <v>3723</v>
      </c>
      <c r="C1899" s="2406">
        <v>0</v>
      </c>
      <c r="D1899" s="2396"/>
      <c r="E1899" s="2406">
        <v>0</v>
      </c>
      <c r="F1899" s="2406">
        <v>0</v>
      </c>
      <c r="G1899" s="2441">
        <v>0</v>
      </c>
      <c r="H1899" s="2407">
        <v>0</v>
      </c>
      <c r="I1899" s="2408"/>
      <c r="J1899" s="2408"/>
      <c r="K1899" s="2672" t="s">
        <v>6521</v>
      </c>
      <c r="L1899" s="2409"/>
    </row>
    <row r="1900" spans="1:12" ht="12.75" customHeight="1" x14ac:dyDescent="0.3">
      <c r="A1900" s="2394" t="s">
        <v>5357</v>
      </c>
      <c r="B1900" s="2395" t="s">
        <v>3968</v>
      </c>
      <c r="C1900" s="2406">
        <v>0</v>
      </c>
      <c r="D1900" s="2396"/>
      <c r="E1900" s="2406">
        <v>0</v>
      </c>
      <c r="F1900" s="2406">
        <v>0</v>
      </c>
      <c r="G1900" s="2441">
        <v>0</v>
      </c>
      <c r="H1900" s="2407">
        <v>0</v>
      </c>
      <c r="I1900" s="2408"/>
      <c r="J1900" s="2408"/>
      <c r="K1900" s="2672" t="s">
        <v>6538</v>
      </c>
      <c r="L1900" s="2409"/>
    </row>
    <row r="1901" spans="1:12" ht="12.75" customHeight="1" x14ac:dyDescent="0.3">
      <c r="A1901" s="2394" t="s">
        <v>5358</v>
      </c>
      <c r="B1901" s="2395" t="s">
        <v>3718</v>
      </c>
      <c r="C1901" s="2406">
        <v>0</v>
      </c>
      <c r="D1901" s="2396"/>
      <c r="E1901" s="2406">
        <v>0</v>
      </c>
      <c r="F1901" s="2406">
        <v>0</v>
      </c>
      <c r="G1901" s="2441">
        <v>0</v>
      </c>
      <c r="H1901" s="2407">
        <v>0</v>
      </c>
      <c r="I1901" s="2408"/>
      <c r="J1901" s="2408"/>
      <c r="K1901" s="2672" t="s">
        <v>6516</v>
      </c>
      <c r="L1901" s="2409"/>
    </row>
    <row r="1902" spans="1:12" ht="12.75" customHeight="1" x14ac:dyDescent="0.3">
      <c r="A1902" s="2394" t="s">
        <v>5359</v>
      </c>
      <c r="B1902" s="2395" t="s">
        <v>3996</v>
      </c>
      <c r="C1902" s="2406">
        <v>0</v>
      </c>
      <c r="D1902" s="2396"/>
      <c r="E1902" s="2406">
        <v>0</v>
      </c>
      <c r="F1902" s="2406">
        <v>0</v>
      </c>
      <c r="G1902" s="2441">
        <v>0</v>
      </c>
      <c r="H1902" s="2407">
        <v>0</v>
      </c>
      <c r="I1902" s="2408"/>
      <c r="J1902" s="2408"/>
      <c r="K1902" s="2672" t="s">
        <v>6527</v>
      </c>
      <c r="L1902" s="2409"/>
    </row>
    <row r="1903" spans="1:12" ht="12.75" customHeight="1" x14ac:dyDescent="0.3">
      <c r="A1903" s="2394" t="s">
        <v>5360</v>
      </c>
      <c r="B1903" s="2395" t="s">
        <v>4029</v>
      </c>
      <c r="C1903" s="2406">
        <v>0</v>
      </c>
      <c r="D1903" s="2396"/>
      <c r="E1903" s="2406">
        <v>0</v>
      </c>
      <c r="F1903" s="2406">
        <v>0</v>
      </c>
      <c r="G1903" s="2441">
        <v>0</v>
      </c>
      <c r="H1903" s="2407">
        <v>0</v>
      </c>
      <c r="I1903" s="2408"/>
      <c r="J1903" s="2408"/>
      <c r="K1903" s="2672" t="s">
        <v>6518</v>
      </c>
      <c r="L1903" s="2409"/>
    </row>
    <row r="1904" spans="1:12" ht="12.75" customHeight="1" x14ac:dyDescent="0.3">
      <c r="A1904" s="2394" t="s">
        <v>5361</v>
      </c>
      <c r="B1904" s="2395" t="s">
        <v>4030</v>
      </c>
      <c r="C1904" s="2406">
        <v>0</v>
      </c>
      <c r="D1904" s="2396"/>
      <c r="E1904" s="2406">
        <v>0</v>
      </c>
      <c r="F1904" s="2406">
        <v>0</v>
      </c>
      <c r="G1904" s="2441">
        <v>0</v>
      </c>
      <c r="H1904" s="2407">
        <v>0</v>
      </c>
      <c r="I1904" s="2408"/>
      <c r="J1904" s="2408"/>
      <c r="K1904" s="2672"/>
      <c r="L1904" s="2409"/>
    </row>
    <row r="1905" spans="1:12" ht="12.75" customHeight="1" x14ac:dyDescent="0.3">
      <c r="A1905" s="2394" t="s">
        <v>5362</v>
      </c>
      <c r="B1905" s="2395" t="s">
        <v>3720</v>
      </c>
      <c r="C1905" s="2406">
        <v>0</v>
      </c>
      <c r="D1905" s="2396"/>
      <c r="E1905" s="2406">
        <v>0</v>
      </c>
      <c r="F1905" s="2406">
        <v>0</v>
      </c>
      <c r="G1905" s="2441">
        <v>0</v>
      </c>
      <c r="H1905" s="2407">
        <v>0</v>
      </c>
      <c r="I1905" s="2408"/>
      <c r="J1905" s="2408"/>
      <c r="K1905" s="2672" t="s">
        <v>6515</v>
      </c>
      <c r="L1905" s="2409"/>
    </row>
    <row r="1906" spans="1:12" ht="12.75" customHeight="1" x14ac:dyDescent="0.3">
      <c r="A1906" s="2394" t="s">
        <v>5363</v>
      </c>
      <c r="B1906" s="2395" t="s">
        <v>3934</v>
      </c>
      <c r="C1906" s="2406">
        <v>0</v>
      </c>
      <c r="D1906" s="2396"/>
      <c r="E1906" s="2406">
        <v>0</v>
      </c>
      <c r="F1906" s="2406">
        <v>0</v>
      </c>
      <c r="G1906" s="2441">
        <v>0</v>
      </c>
      <c r="H1906" s="2407">
        <v>0</v>
      </c>
      <c r="I1906" s="2408"/>
      <c r="J1906" s="2408"/>
      <c r="K1906" s="2672" t="s">
        <v>6518</v>
      </c>
      <c r="L1906" s="2409"/>
    </row>
    <row r="1907" spans="1:12" ht="12.75" customHeight="1" x14ac:dyDescent="0.3">
      <c r="A1907" s="2394" t="s">
        <v>5364</v>
      </c>
      <c r="B1907" s="2395" t="s">
        <v>3723</v>
      </c>
      <c r="C1907" s="2406">
        <v>0</v>
      </c>
      <c r="D1907" s="2396"/>
      <c r="E1907" s="2406">
        <v>0</v>
      </c>
      <c r="F1907" s="2406">
        <v>0</v>
      </c>
      <c r="G1907" s="2441">
        <v>0</v>
      </c>
      <c r="H1907" s="2407">
        <v>0</v>
      </c>
      <c r="I1907" s="2408"/>
      <c r="J1907" s="2408"/>
      <c r="K1907" s="2672" t="s">
        <v>6521</v>
      </c>
      <c r="L1907" s="2409"/>
    </row>
    <row r="1908" spans="1:12" ht="12.75" customHeight="1" x14ac:dyDescent="0.3">
      <c r="A1908" s="2394" t="s">
        <v>5365</v>
      </c>
      <c r="B1908" s="2395" t="s">
        <v>3968</v>
      </c>
      <c r="C1908" s="2406">
        <v>0</v>
      </c>
      <c r="D1908" s="2396"/>
      <c r="E1908" s="2406">
        <v>0</v>
      </c>
      <c r="F1908" s="2406">
        <v>0</v>
      </c>
      <c r="G1908" s="2441">
        <v>0</v>
      </c>
      <c r="H1908" s="2407">
        <v>0</v>
      </c>
      <c r="I1908" s="2408"/>
      <c r="J1908" s="2408"/>
      <c r="K1908" s="2672" t="s">
        <v>6538</v>
      </c>
      <c r="L1908" s="2409"/>
    </row>
    <row r="1909" spans="1:12" ht="12.75" customHeight="1" x14ac:dyDescent="0.3">
      <c r="A1909" s="2394" t="s">
        <v>5366</v>
      </c>
      <c r="B1909" s="2395" t="s">
        <v>3718</v>
      </c>
      <c r="C1909" s="2406">
        <v>0</v>
      </c>
      <c r="D1909" s="2396"/>
      <c r="E1909" s="2406">
        <v>0</v>
      </c>
      <c r="F1909" s="2406">
        <v>0</v>
      </c>
      <c r="G1909" s="2441">
        <v>0</v>
      </c>
      <c r="H1909" s="2407">
        <v>0</v>
      </c>
      <c r="I1909" s="2408"/>
      <c r="J1909" s="2408"/>
      <c r="K1909" s="2672" t="s">
        <v>6516</v>
      </c>
      <c r="L1909" s="2409"/>
    </row>
    <row r="1910" spans="1:12" ht="12.75" customHeight="1" x14ac:dyDescent="0.3">
      <c r="A1910" s="2394" t="s">
        <v>5367</v>
      </c>
      <c r="B1910" s="2395" t="s">
        <v>3996</v>
      </c>
      <c r="C1910" s="2406">
        <v>0</v>
      </c>
      <c r="D1910" s="2396"/>
      <c r="E1910" s="2406">
        <v>0</v>
      </c>
      <c r="F1910" s="2406">
        <v>0</v>
      </c>
      <c r="G1910" s="2441">
        <v>0</v>
      </c>
      <c r="H1910" s="2407">
        <v>0</v>
      </c>
      <c r="I1910" s="2408"/>
      <c r="J1910" s="2408"/>
      <c r="K1910" s="2672" t="s">
        <v>6527</v>
      </c>
      <c r="L1910" s="2409"/>
    </row>
    <row r="1911" spans="1:12" ht="12.75" customHeight="1" x14ac:dyDescent="0.3">
      <c r="A1911" s="2394" t="s">
        <v>5368</v>
      </c>
      <c r="B1911" s="2395" t="s">
        <v>4029</v>
      </c>
      <c r="C1911" s="2406">
        <v>0</v>
      </c>
      <c r="D1911" s="2396"/>
      <c r="E1911" s="2406">
        <v>0</v>
      </c>
      <c r="F1911" s="2406">
        <v>0</v>
      </c>
      <c r="G1911" s="2441">
        <v>0</v>
      </c>
      <c r="H1911" s="2407">
        <v>0</v>
      </c>
      <c r="I1911" s="2408"/>
      <c r="J1911" s="2408"/>
      <c r="K1911" s="2672" t="s">
        <v>6518</v>
      </c>
      <c r="L1911" s="2409"/>
    </row>
    <row r="1912" spans="1:12" ht="12.75" customHeight="1" x14ac:dyDescent="0.3">
      <c r="A1912" s="2394" t="s">
        <v>5369</v>
      </c>
      <c r="B1912" s="2395" t="s">
        <v>4031</v>
      </c>
      <c r="C1912" s="2406">
        <v>0</v>
      </c>
      <c r="D1912" s="2396"/>
      <c r="E1912" s="2406">
        <v>0</v>
      </c>
      <c r="F1912" s="2406">
        <v>0</v>
      </c>
      <c r="G1912" s="2441">
        <v>0</v>
      </c>
      <c r="H1912" s="2407">
        <v>0</v>
      </c>
      <c r="I1912" s="2408"/>
      <c r="J1912" s="2408"/>
      <c r="K1912" s="2672"/>
      <c r="L1912" s="2409"/>
    </row>
    <row r="1913" spans="1:12" ht="12.75" customHeight="1" x14ac:dyDescent="0.3">
      <c r="A1913" s="2394" t="s">
        <v>5370</v>
      </c>
      <c r="B1913" s="2395" t="s">
        <v>3720</v>
      </c>
      <c r="C1913" s="2406">
        <v>0</v>
      </c>
      <c r="D1913" s="2396"/>
      <c r="E1913" s="2406">
        <v>0</v>
      </c>
      <c r="F1913" s="2406">
        <v>0</v>
      </c>
      <c r="G1913" s="2441">
        <v>0</v>
      </c>
      <c r="H1913" s="2407">
        <v>0</v>
      </c>
      <c r="I1913" s="2408"/>
      <c r="J1913" s="2408"/>
      <c r="K1913" s="2672" t="s">
        <v>6515</v>
      </c>
      <c r="L1913" s="2409"/>
    </row>
    <row r="1914" spans="1:12" ht="12.75" customHeight="1" x14ac:dyDescent="0.3">
      <c r="A1914" s="2394" t="s">
        <v>5371</v>
      </c>
      <c r="B1914" s="2395" t="s">
        <v>3934</v>
      </c>
      <c r="C1914" s="2406">
        <v>0</v>
      </c>
      <c r="D1914" s="2396"/>
      <c r="E1914" s="2406">
        <v>0</v>
      </c>
      <c r="F1914" s="2406">
        <v>0</v>
      </c>
      <c r="G1914" s="2441">
        <v>0</v>
      </c>
      <c r="H1914" s="2407">
        <v>0</v>
      </c>
      <c r="I1914" s="2408"/>
      <c r="J1914" s="2408"/>
      <c r="K1914" s="2672" t="s">
        <v>6518</v>
      </c>
      <c r="L1914" s="2409"/>
    </row>
    <row r="1915" spans="1:12" ht="12" customHeight="1" x14ac:dyDescent="0.3">
      <c r="A1915" s="2394" t="s">
        <v>5372</v>
      </c>
      <c r="B1915" s="2395" t="s">
        <v>3723</v>
      </c>
      <c r="C1915" s="2406">
        <v>0</v>
      </c>
      <c r="D1915" s="2396"/>
      <c r="E1915" s="2406">
        <v>0</v>
      </c>
      <c r="F1915" s="2406">
        <v>0</v>
      </c>
      <c r="G1915" s="2441">
        <v>0</v>
      </c>
      <c r="H1915" s="2407">
        <v>0</v>
      </c>
      <c r="I1915" s="2408"/>
      <c r="J1915" s="2408"/>
      <c r="K1915" s="2672" t="s">
        <v>6521</v>
      </c>
      <c r="L1915" s="2409"/>
    </row>
    <row r="1916" spans="1:12" ht="12" customHeight="1" x14ac:dyDescent="0.3">
      <c r="A1916" s="2394" t="s">
        <v>5373</v>
      </c>
      <c r="B1916" s="2395" t="s">
        <v>3968</v>
      </c>
      <c r="C1916" s="2406">
        <v>0</v>
      </c>
      <c r="D1916" s="2396"/>
      <c r="E1916" s="2406">
        <v>0</v>
      </c>
      <c r="F1916" s="2406">
        <v>0</v>
      </c>
      <c r="G1916" s="2441">
        <v>0</v>
      </c>
      <c r="H1916" s="2407">
        <v>0</v>
      </c>
      <c r="I1916" s="2408"/>
      <c r="J1916" s="2408"/>
      <c r="K1916" s="2672" t="s">
        <v>6538</v>
      </c>
      <c r="L1916" s="2409"/>
    </row>
    <row r="1917" spans="1:12" ht="12" customHeight="1" x14ac:dyDescent="0.3">
      <c r="A1917" s="2394" t="s">
        <v>5374</v>
      </c>
      <c r="B1917" s="2395" t="s">
        <v>3718</v>
      </c>
      <c r="C1917" s="2406">
        <v>0</v>
      </c>
      <c r="D1917" s="2396"/>
      <c r="E1917" s="2406">
        <v>0</v>
      </c>
      <c r="F1917" s="2406">
        <v>0</v>
      </c>
      <c r="G1917" s="2441">
        <v>0</v>
      </c>
      <c r="H1917" s="2407">
        <v>0</v>
      </c>
      <c r="I1917" s="2408"/>
      <c r="J1917" s="2408"/>
      <c r="K1917" s="2672" t="s">
        <v>6516</v>
      </c>
      <c r="L1917" s="2409"/>
    </row>
    <row r="1918" spans="1:12" ht="12" customHeight="1" x14ac:dyDescent="0.3">
      <c r="A1918" s="2394" t="s">
        <v>5375</v>
      </c>
      <c r="B1918" s="2395" t="s">
        <v>3996</v>
      </c>
      <c r="C1918" s="2406">
        <v>0</v>
      </c>
      <c r="D1918" s="2396"/>
      <c r="E1918" s="2406">
        <v>0</v>
      </c>
      <c r="F1918" s="2406">
        <v>0</v>
      </c>
      <c r="G1918" s="2441">
        <v>0</v>
      </c>
      <c r="H1918" s="2407">
        <v>0</v>
      </c>
      <c r="I1918" s="2408"/>
      <c r="J1918" s="2408"/>
      <c r="K1918" s="2672" t="s">
        <v>6527</v>
      </c>
      <c r="L1918" s="2409"/>
    </row>
    <row r="1919" spans="1:12" ht="12" customHeight="1" x14ac:dyDescent="0.3">
      <c r="A1919" s="2394" t="s">
        <v>5376</v>
      </c>
      <c r="B1919" s="2395" t="s">
        <v>4029</v>
      </c>
      <c r="C1919" s="2406">
        <v>0</v>
      </c>
      <c r="D1919" s="2396"/>
      <c r="E1919" s="2406">
        <v>0</v>
      </c>
      <c r="F1919" s="2406">
        <v>0</v>
      </c>
      <c r="G1919" s="2441">
        <v>0</v>
      </c>
      <c r="H1919" s="2407">
        <v>0</v>
      </c>
      <c r="I1919" s="2408"/>
      <c r="J1919" s="2408"/>
      <c r="K1919" s="2672" t="s">
        <v>6518</v>
      </c>
      <c r="L1919" s="2409"/>
    </row>
    <row r="1920" spans="1:12" ht="12" customHeight="1" x14ac:dyDescent="0.3">
      <c r="A1920" s="2394" t="s">
        <v>5377</v>
      </c>
      <c r="B1920" s="2395" t="s">
        <v>4032</v>
      </c>
      <c r="C1920" s="2406">
        <v>0</v>
      </c>
      <c r="D1920" s="2396"/>
      <c r="E1920" s="2406">
        <v>0</v>
      </c>
      <c r="F1920" s="2406">
        <v>0</v>
      </c>
      <c r="G1920" s="2441">
        <v>0</v>
      </c>
      <c r="H1920" s="2407">
        <v>0</v>
      </c>
      <c r="I1920" s="2408"/>
      <c r="J1920" s="2408"/>
      <c r="K1920" s="2672"/>
      <c r="L1920" s="2409"/>
    </row>
    <row r="1921" spans="1:12" ht="12" customHeight="1" x14ac:dyDescent="0.3">
      <c r="A1921" s="2394" t="s">
        <v>5378</v>
      </c>
      <c r="B1921" s="2395" t="s">
        <v>3720</v>
      </c>
      <c r="C1921" s="2406">
        <v>0</v>
      </c>
      <c r="D1921" s="2396"/>
      <c r="E1921" s="2406">
        <v>0</v>
      </c>
      <c r="F1921" s="2406">
        <v>0</v>
      </c>
      <c r="G1921" s="2441">
        <v>0</v>
      </c>
      <c r="H1921" s="2407">
        <v>0</v>
      </c>
      <c r="I1921" s="2408"/>
      <c r="J1921" s="2408"/>
      <c r="K1921" s="2672" t="s">
        <v>6515</v>
      </c>
      <c r="L1921" s="2409"/>
    </row>
    <row r="1922" spans="1:12" ht="12" customHeight="1" x14ac:dyDescent="0.3">
      <c r="A1922" s="2394" t="s">
        <v>5379</v>
      </c>
      <c r="B1922" s="2395" t="s">
        <v>3934</v>
      </c>
      <c r="C1922" s="2406">
        <v>0</v>
      </c>
      <c r="D1922" s="2396"/>
      <c r="E1922" s="2406">
        <v>0</v>
      </c>
      <c r="F1922" s="2406">
        <v>0</v>
      </c>
      <c r="G1922" s="2441">
        <v>0</v>
      </c>
      <c r="H1922" s="2407">
        <v>0</v>
      </c>
      <c r="I1922" s="2408"/>
      <c r="J1922" s="2408"/>
      <c r="K1922" s="2672" t="s">
        <v>6518</v>
      </c>
      <c r="L1922" s="2409"/>
    </row>
    <row r="1923" spans="1:12" ht="12" customHeight="1" x14ac:dyDescent="0.3">
      <c r="A1923" s="2394" t="s">
        <v>5380</v>
      </c>
      <c r="B1923" s="2395" t="s">
        <v>3723</v>
      </c>
      <c r="C1923" s="2406">
        <v>0</v>
      </c>
      <c r="D1923" s="2396"/>
      <c r="E1923" s="2406">
        <v>0</v>
      </c>
      <c r="F1923" s="2406">
        <v>0</v>
      </c>
      <c r="G1923" s="2441">
        <v>0</v>
      </c>
      <c r="H1923" s="2407">
        <v>0</v>
      </c>
      <c r="I1923" s="2408"/>
      <c r="J1923" s="2408"/>
      <c r="K1923" s="2672" t="s">
        <v>6521</v>
      </c>
      <c r="L1923" s="2409"/>
    </row>
    <row r="1924" spans="1:12" ht="12" customHeight="1" x14ac:dyDescent="0.3">
      <c r="A1924" s="2394" t="s">
        <v>5381</v>
      </c>
      <c r="B1924" s="2395" t="s">
        <v>3968</v>
      </c>
      <c r="C1924" s="2406">
        <v>0</v>
      </c>
      <c r="D1924" s="2396"/>
      <c r="E1924" s="2406">
        <v>0</v>
      </c>
      <c r="F1924" s="2406">
        <v>0</v>
      </c>
      <c r="G1924" s="2441">
        <v>0</v>
      </c>
      <c r="H1924" s="2407">
        <v>0</v>
      </c>
      <c r="I1924" s="2408"/>
      <c r="J1924" s="2408"/>
      <c r="K1924" s="2672" t="s">
        <v>6538</v>
      </c>
      <c r="L1924" s="2409"/>
    </row>
    <row r="1925" spans="1:12" ht="12" customHeight="1" x14ac:dyDescent="0.3">
      <c r="A1925" s="2394" t="s">
        <v>5382</v>
      </c>
      <c r="B1925" s="2395" t="s">
        <v>3718</v>
      </c>
      <c r="C1925" s="2406">
        <v>0</v>
      </c>
      <c r="D1925" s="2396"/>
      <c r="E1925" s="2406">
        <v>0</v>
      </c>
      <c r="F1925" s="2406">
        <v>0</v>
      </c>
      <c r="G1925" s="2441">
        <v>0</v>
      </c>
      <c r="H1925" s="2407">
        <v>0</v>
      </c>
      <c r="I1925" s="2408"/>
      <c r="J1925" s="2408"/>
      <c r="K1925" s="2672" t="s">
        <v>6516</v>
      </c>
      <c r="L1925" s="2409"/>
    </row>
    <row r="1926" spans="1:12" ht="12" customHeight="1" x14ac:dyDescent="0.3">
      <c r="A1926" s="2394" t="s">
        <v>5383</v>
      </c>
      <c r="B1926" s="2395" t="s">
        <v>3996</v>
      </c>
      <c r="C1926" s="2406">
        <v>0</v>
      </c>
      <c r="D1926" s="2396"/>
      <c r="E1926" s="2406">
        <v>0</v>
      </c>
      <c r="F1926" s="2406">
        <v>0</v>
      </c>
      <c r="G1926" s="2441">
        <v>0</v>
      </c>
      <c r="H1926" s="2407">
        <v>0</v>
      </c>
      <c r="I1926" s="2408"/>
      <c r="J1926" s="2408"/>
      <c r="K1926" s="2672" t="s">
        <v>6527</v>
      </c>
      <c r="L1926" s="2409"/>
    </row>
    <row r="1927" spans="1:12" ht="12" customHeight="1" x14ac:dyDescent="0.3">
      <c r="A1927" s="2394" t="s">
        <v>5384</v>
      </c>
      <c r="B1927" s="2395" t="s">
        <v>4029</v>
      </c>
      <c r="C1927" s="2406">
        <v>0</v>
      </c>
      <c r="D1927" s="2396"/>
      <c r="E1927" s="2406">
        <v>0</v>
      </c>
      <c r="F1927" s="2406">
        <v>0</v>
      </c>
      <c r="G1927" s="2441">
        <v>0</v>
      </c>
      <c r="H1927" s="2407">
        <v>0</v>
      </c>
      <c r="I1927" s="2408"/>
      <c r="J1927" s="2408"/>
      <c r="K1927" s="2672" t="s">
        <v>6518</v>
      </c>
      <c r="L1927" s="2409"/>
    </row>
    <row r="1928" spans="1:12" ht="12" customHeight="1" x14ac:dyDescent="0.3">
      <c r="A1928" s="2394" t="s">
        <v>5385</v>
      </c>
      <c r="B1928" s="2395" t="s">
        <v>4033</v>
      </c>
      <c r="C1928" s="2406">
        <v>0</v>
      </c>
      <c r="D1928" s="2396"/>
      <c r="E1928" s="2406">
        <v>0</v>
      </c>
      <c r="F1928" s="2406">
        <v>0</v>
      </c>
      <c r="G1928" s="2441">
        <v>0</v>
      </c>
      <c r="H1928" s="2407">
        <v>0</v>
      </c>
      <c r="I1928" s="2408"/>
      <c r="J1928" s="2408"/>
      <c r="K1928" s="2672"/>
      <c r="L1928" s="2409"/>
    </row>
    <row r="1929" spans="1:12" ht="12" customHeight="1" x14ac:dyDescent="0.3">
      <c r="A1929" s="2394" t="s">
        <v>5386</v>
      </c>
      <c r="B1929" s="2395" t="s">
        <v>3720</v>
      </c>
      <c r="C1929" s="2406">
        <v>0</v>
      </c>
      <c r="D1929" s="2396"/>
      <c r="E1929" s="2406">
        <v>0</v>
      </c>
      <c r="F1929" s="2406">
        <v>0</v>
      </c>
      <c r="G1929" s="2441">
        <v>0</v>
      </c>
      <c r="H1929" s="2407">
        <v>0</v>
      </c>
      <c r="I1929" s="2408"/>
      <c r="J1929" s="2408"/>
      <c r="K1929" s="2672" t="s">
        <v>6515</v>
      </c>
      <c r="L1929" s="2409"/>
    </row>
    <row r="1930" spans="1:12" ht="12" customHeight="1" x14ac:dyDescent="0.3">
      <c r="A1930" s="2394" t="s">
        <v>5387</v>
      </c>
      <c r="B1930" s="2395" t="s">
        <v>3934</v>
      </c>
      <c r="C1930" s="2406">
        <v>0</v>
      </c>
      <c r="D1930" s="2396"/>
      <c r="E1930" s="2406">
        <v>0</v>
      </c>
      <c r="F1930" s="2406">
        <v>0</v>
      </c>
      <c r="G1930" s="2441">
        <v>0</v>
      </c>
      <c r="H1930" s="2407">
        <v>0</v>
      </c>
      <c r="I1930" s="2408"/>
      <c r="J1930" s="2408"/>
      <c r="K1930" s="2672" t="s">
        <v>6518</v>
      </c>
      <c r="L1930" s="2409"/>
    </row>
    <row r="1931" spans="1:12" ht="12" customHeight="1" x14ac:dyDescent="0.3">
      <c r="A1931" s="2394" t="s">
        <v>5388</v>
      </c>
      <c r="B1931" s="2395" t="s">
        <v>3723</v>
      </c>
      <c r="C1931" s="2406">
        <v>0</v>
      </c>
      <c r="D1931" s="2396"/>
      <c r="E1931" s="2406">
        <v>0</v>
      </c>
      <c r="F1931" s="2406">
        <v>0</v>
      </c>
      <c r="G1931" s="2441">
        <v>0</v>
      </c>
      <c r="H1931" s="2407">
        <v>0</v>
      </c>
      <c r="I1931" s="2408"/>
      <c r="J1931" s="2408"/>
      <c r="K1931" s="2672" t="s">
        <v>6521</v>
      </c>
      <c r="L1931" s="2409"/>
    </row>
    <row r="1932" spans="1:12" ht="12" customHeight="1" x14ac:dyDescent="0.3">
      <c r="A1932" s="2394" t="s">
        <v>5389</v>
      </c>
      <c r="B1932" s="2395" t="s">
        <v>3968</v>
      </c>
      <c r="C1932" s="2406">
        <v>0</v>
      </c>
      <c r="D1932" s="2396"/>
      <c r="E1932" s="2406">
        <v>0</v>
      </c>
      <c r="F1932" s="2406">
        <v>0</v>
      </c>
      <c r="G1932" s="2441">
        <v>0</v>
      </c>
      <c r="H1932" s="2407">
        <v>0</v>
      </c>
      <c r="I1932" s="2408"/>
      <c r="J1932" s="2408"/>
      <c r="K1932" s="2672" t="s">
        <v>6538</v>
      </c>
      <c r="L1932" s="2409"/>
    </row>
    <row r="1933" spans="1:12" ht="12" customHeight="1" x14ac:dyDescent="0.3">
      <c r="A1933" s="2394" t="s">
        <v>5390</v>
      </c>
      <c r="B1933" s="2395" t="s">
        <v>3718</v>
      </c>
      <c r="C1933" s="2406">
        <v>0</v>
      </c>
      <c r="D1933" s="2396"/>
      <c r="E1933" s="2406">
        <v>0</v>
      </c>
      <c r="F1933" s="2406">
        <v>0</v>
      </c>
      <c r="G1933" s="2441">
        <v>0</v>
      </c>
      <c r="H1933" s="2407">
        <v>0</v>
      </c>
      <c r="I1933" s="2408"/>
      <c r="J1933" s="2408"/>
      <c r="K1933" s="2672" t="s">
        <v>6516</v>
      </c>
      <c r="L1933" s="2409"/>
    </row>
    <row r="1934" spans="1:12" ht="12" customHeight="1" x14ac:dyDescent="0.3">
      <c r="A1934" s="2394" t="s">
        <v>5391</v>
      </c>
      <c r="B1934" s="2395" t="s">
        <v>3996</v>
      </c>
      <c r="C1934" s="2406">
        <v>0</v>
      </c>
      <c r="D1934" s="2396"/>
      <c r="E1934" s="2406">
        <v>0</v>
      </c>
      <c r="F1934" s="2406">
        <v>0</v>
      </c>
      <c r="G1934" s="2441">
        <v>0</v>
      </c>
      <c r="H1934" s="2407">
        <v>0</v>
      </c>
      <c r="I1934" s="2408"/>
      <c r="J1934" s="2408"/>
      <c r="K1934" s="2672" t="s">
        <v>6527</v>
      </c>
      <c r="L1934" s="2409"/>
    </row>
    <row r="1935" spans="1:12" ht="12" customHeight="1" x14ac:dyDescent="0.3">
      <c r="A1935" s="2394" t="s">
        <v>5392</v>
      </c>
      <c r="B1935" s="2395" t="s">
        <v>4034</v>
      </c>
      <c r="C1935" s="2406">
        <v>0</v>
      </c>
      <c r="D1935" s="2396"/>
      <c r="E1935" s="2406">
        <v>0</v>
      </c>
      <c r="F1935" s="2406">
        <v>0</v>
      </c>
      <c r="G1935" s="2441">
        <v>0</v>
      </c>
      <c r="H1935" s="2407">
        <v>0</v>
      </c>
      <c r="I1935" s="2408"/>
      <c r="J1935" s="2408"/>
      <c r="K1935" s="2672" t="s">
        <v>6516</v>
      </c>
      <c r="L1935" s="2409"/>
    </row>
    <row r="1936" spans="1:12" ht="12" customHeight="1" x14ac:dyDescent="0.3">
      <c r="A1936" s="2394" t="s">
        <v>5393</v>
      </c>
      <c r="B1936" s="2395" t="s">
        <v>4029</v>
      </c>
      <c r="C1936" s="2406">
        <v>0</v>
      </c>
      <c r="D1936" s="2396"/>
      <c r="E1936" s="2406">
        <v>0</v>
      </c>
      <c r="F1936" s="2406">
        <v>0</v>
      </c>
      <c r="G1936" s="2441">
        <v>0</v>
      </c>
      <c r="H1936" s="2407">
        <v>0</v>
      </c>
      <c r="I1936" s="2408"/>
      <c r="J1936" s="2408"/>
      <c r="K1936" s="2672" t="s">
        <v>6536</v>
      </c>
      <c r="L1936" s="2409"/>
    </row>
    <row r="1937" spans="1:12" ht="12" customHeight="1" x14ac:dyDescent="0.3">
      <c r="A1937" s="2394" t="s">
        <v>5394</v>
      </c>
      <c r="B1937" s="2395" t="s">
        <v>4035</v>
      </c>
      <c r="C1937" s="2406">
        <v>0</v>
      </c>
      <c r="D1937" s="2396"/>
      <c r="E1937" s="2406">
        <v>0</v>
      </c>
      <c r="F1937" s="2406">
        <v>0</v>
      </c>
      <c r="G1937" s="2441">
        <v>0</v>
      </c>
      <c r="H1937" s="2407">
        <v>0</v>
      </c>
      <c r="I1937" s="2408"/>
      <c r="J1937" s="2408"/>
      <c r="K1937" s="2672"/>
      <c r="L1937" s="2409"/>
    </row>
    <row r="1938" spans="1:12" ht="12" customHeight="1" x14ac:dyDescent="0.3">
      <c r="A1938" s="2394" t="s">
        <v>5395</v>
      </c>
      <c r="B1938" s="2395" t="s">
        <v>3720</v>
      </c>
      <c r="C1938" s="2406">
        <v>0</v>
      </c>
      <c r="D1938" s="2396"/>
      <c r="E1938" s="2406">
        <v>0</v>
      </c>
      <c r="F1938" s="2406">
        <v>0</v>
      </c>
      <c r="G1938" s="2441">
        <v>0</v>
      </c>
      <c r="H1938" s="2407">
        <v>0</v>
      </c>
      <c r="I1938" s="2408"/>
      <c r="J1938" s="2408"/>
      <c r="K1938" s="2672" t="s">
        <v>6515</v>
      </c>
      <c r="L1938" s="2409"/>
    </row>
    <row r="1939" spans="1:12" ht="12" customHeight="1" x14ac:dyDescent="0.3">
      <c r="A1939" s="2394" t="s">
        <v>5396</v>
      </c>
      <c r="B1939" s="2395" t="s">
        <v>3934</v>
      </c>
      <c r="C1939" s="2406">
        <v>0</v>
      </c>
      <c r="D1939" s="2396"/>
      <c r="E1939" s="2406">
        <v>0</v>
      </c>
      <c r="F1939" s="2406">
        <v>0</v>
      </c>
      <c r="G1939" s="2441">
        <v>0</v>
      </c>
      <c r="H1939" s="2407">
        <v>0</v>
      </c>
      <c r="I1939" s="2408"/>
      <c r="J1939" s="2408"/>
      <c r="K1939" s="2672" t="s">
        <v>6518</v>
      </c>
      <c r="L1939" s="2409"/>
    </row>
    <row r="1940" spans="1:12" ht="12.75" customHeight="1" x14ac:dyDescent="0.3">
      <c r="A1940" s="2394" t="s">
        <v>5397</v>
      </c>
      <c r="B1940" s="2395" t="s">
        <v>3723</v>
      </c>
      <c r="C1940" s="2406">
        <v>0</v>
      </c>
      <c r="D1940" s="2396"/>
      <c r="E1940" s="2406">
        <v>0</v>
      </c>
      <c r="F1940" s="2406">
        <v>0</v>
      </c>
      <c r="G1940" s="2441">
        <v>0</v>
      </c>
      <c r="H1940" s="2407">
        <v>0</v>
      </c>
      <c r="I1940" s="2408"/>
      <c r="J1940" s="2408"/>
      <c r="K1940" s="2672" t="s">
        <v>6521</v>
      </c>
      <c r="L1940" s="2409"/>
    </row>
    <row r="1941" spans="1:12" ht="12" customHeight="1" x14ac:dyDescent="0.3">
      <c r="A1941" s="2394" t="s">
        <v>5398</v>
      </c>
      <c r="B1941" s="2395" t="s">
        <v>3968</v>
      </c>
      <c r="C1941" s="2406">
        <v>0</v>
      </c>
      <c r="D1941" s="2396"/>
      <c r="E1941" s="2406">
        <v>0</v>
      </c>
      <c r="F1941" s="2406">
        <v>0</v>
      </c>
      <c r="G1941" s="2441">
        <v>0</v>
      </c>
      <c r="H1941" s="2407">
        <v>0</v>
      </c>
      <c r="I1941" s="2408"/>
      <c r="J1941" s="2408"/>
      <c r="K1941" s="2672" t="s">
        <v>6538</v>
      </c>
      <c r="L1941" s="2409"/>
    </row>
    <row r="1942" spans="1:12" ht="12" customHeight="1" x14ac:dyDescent="0.3">
      <c r="A1942" s="2394" t="s">
        <v>5399</v>
      </c>
      <c r="B1942" s="2395" t="s">
        <v>3718</v>
      </c>
      <c r="C1942" s="2406">
        <v>0</v>
      </c>
      <c r="D1942" s="2396"/>
      <c r="E1942" s="2406">
        <v>0</v>
      </c>
      <c r="F1942" s="2406">
        <v>0</v>
      </c>
      <c r="G1942" s="2441">
        <v>0</v>
      </c>
      <c r="H1942" s="2407">
        <v>0</v>
      </c>
      <c r="I1942" s="2408"/>
      <c r="J1942" s="2408"/>
      <c r="K1942" s="2672" t="s">
        <v>6516</v>
      </c>
      <c r="L1942" s="2409"/>
    </row>
    <row r="1943" spans="1:12" ht="12" customHeight="1" x14ac:dyDescent="0.3">
      <c r="A1943" s="2394" t="s">
        <v>5400</v>
      </c>
      <c r="B1943" s="2395" t="s">
        <v>3996</v>
      </c>
      <c r="C1943" s="2406">
        <v>0</v>
      </c>
      <c r="D1943" s="2396"/>
      <c r="E1943" s="2406">
        <v>0</v>
      </c>
      <c r="F1943" s="2406">
        <v>0</v>
      </c>
      <c r="G1943" s="2441">
        <v>0</v>
      </c>
      <c r="H1943" s="2407">
        <v>0</v>
      </c>
      <c r="I1943" s="2408"/>
      <c r="J1943" s="2408"/>
      <c r="K1943" s="2672" t="s">
        <v>6527</v>
      </c>
      <c r="L1943" s="2409"/>
    </row>
    <row r="1944" spans="1:12" ht="12" customHeight="1" x14ac:dyDescent="0.3">
      <c r="A1944" s="2394" t="s">
        <v>5401</v>
      </c>
      <c r="B1944" s="2395" t="s">
        <v>4029</v>
      </c>
      <c r="C1944" s="2406">
        <v>0</v>
      </c>
      <c r="D1944" s="2396"/>
      <c r="E1944" s="2406">
        <v>0</v>
      </c>
      <c r="F1944" s="2406">
        <v>0</v>
      </c>
      <c r="G1944" s="2441">
        <v>0</v>
      </c>
      <c r="H1944" s="2407">
        <v>0</v>
      </c>
      <c r="I1944" s="2408"/>
      <c r="J1944" s="2408"/>
      <c r="K1944" s="2672" t="s">
        <v>6518</v>
      </c>
      <c r="L1944" s="2409"/>
    </row>
    <row r="1945" spans="1:12" ht="12" customHeight="1" x14ac:dyDescent="0.3">
      <c r="A1945" s="2394" t="s">
        <v>5402</v>
      </c>
      <c r="B1945" s="2395" t="s">
        <v>4036</v>
      </c>
      <c r="C1945" s="2406">
        <v>0</v>
      </c>
      <c r="D1945" s="2396"/>
      <c r="E1945" s="2406">
        <v>0</v>
      </c>
      <c r="F1945" s="2406">
        <v>0</v>
      </c>
      <c r="G1945" s="2441">
        <v>0</v>
      </c>
      <c r="H1945" s="2407">
        <v>0</v>
      </c>
      <c r="I1945" s="2408"/>
      <c r="J1945" s="2408"/>
      <c r="K1945" s="2672"/>
      <c r="L1945" s="2409"/>
    </row>
    <row r="1946" spans="1:12" ht="12" customHeight="1" x14ac:dyDescent="0.3">
      <c r="A1946" s="2394" t="s">
        <v>5403</v>
      </c>
      <c r="B1946" s="2395" t="s">
        <v>3720</v>
      </c>
      <c r="C1946" s="2406">
        <v>0</v>
      </c>
      <c r="D1946" s="2396"/>
      <c r="E1946" s="2406">
        <v>0</v>
      </c>
      <c r="F1946" s="2406">
        <v>0</v>
      </c>
      <c r="G1946" s="2441">
        <v>0</v>
      </c>
      <c r="H1946" s="2407">
        <v>0</v>
      </c>
      <c r="I1946" s="2408"/>
      <c r="J1946" s="2408"/>
      <c r="K1946" s="2672" t="s">
        <v>6515</v>
      </c>
      <c r="L1946" s="2409"/>
    </row>
    <row r="1947" spans="1:12" ht="12" customHeight="1" x14ac:dyDescent="0.3">
      <c r="A1947" s="2394" t="s">
        <v>5404</v>
      </c>
      <c r="B1947" s="2395" t="s">
        <v>3934</v>
      </c>
      <c r="C1947" s="2406">
        <v>0</v>
      </c>
      <c r="D1947" s="2396"/>
      <c r="E1947" s="2406">
        <v>0</v>
      </c>
      <c r="F1947" s="2406">
        <v>0</v>
      </c>
      <c r="G1947" s="2441">
        <v>0</v>
      </c>
      <c r="H1947" s="2407">
        <v>0</v>
      </c>
      <c r="I1947" s="2408"/>
      <c r="J1947" s="2408"/>
      <c r="K1947" s="2672" t="s">
        <v>6518</v>
      </c>
      <c r="L1947" s="2409"/>
    </row>
    <row r="1948" spans="1:12" ht="12" customHeight="1" x14ac:dyDescent="0.3">
      <c r="A1948" s="2394" t="s">
        <v>5405</v>
      </c>
      <c r="B1948" s="2395" t="s">
        <v>3723</v>
      </c>
      <c r="C1948" s="2406">
        <v>0</v>
      </c>
      <c r="D1948" s="2396"/>
      <c r="E1948" s="2406">
        <v>0</v>
      </c>
      <c r="F1948" s="2406">
        <v>0</v>
      </c>
      <c r="G1948" s="2441">
        <v>0</v>
      </c>
      <c r="H1948" s="2407">
        <v>0</v>
      </c>
      <c r="I1948" s="2408"/>
      <c r="J1948" s="2408"/>
      <c r="K1948" s="2672" t="s">
        <v>6521</v>
      </c>
      <c r="L1948" s="2409"/>
    </row>
    <row r="1949" spans="1:12" ht="12" customHeight="1" x14ac:dyDescent="0.3">
      <c r="A1949" s="2394" t="s">
        <v>5406</v>
      </c>
      <c r="B1949" s="2395" t="s">
        <v>3968</v>
      </c>
      <c r="C1949" s="2406">
        <v>0</v>
      </c>
      <c r="D1949" s="2396"/>
      <c r="E1949" s="2406">
        <v>0</v>
      </c>
      <c r="F1949" s="2406">
        <v>0</v>
      </c>
      <c r="G1949" s="2441">
        <v>0</v>
      </c>
      <c r="H1949" s="2407">
        <v>0</v>
      </c>
      <c r="I1949" s="2408"/>
      <c r="J1949" s="2408"/>
      <c r="K1949" s="2672" t="s">
        <v>6538</v>
      </c>
      <c r="L1949" s="2409"/>
    </row>
    <row r="1950" spans="1:12" ht="12" customHeight="1" x14ac:dyDescent="0.3">
      <c r="A1950" s="2394" t="s">
        <v>5407</v>
      </c>
      <c r="B1950" s="2395" t="s">
        <v>3718</v>
      </c>
      <c r="C1950" s="2406">
        <v>0</v>
      </c>
      <c r="D1950" s="2396"/>
      <c r="E1950" s="2406">
        <v>0</v>
      </c>
      <c r="F1950" s="2406">
        <v>0</v>
      </c>
      <c r="G1950" s="2441">
        <v>0</v>
      </c>
      <c r="H1950" s="2407">
        <v>0</v>
      </c>
      <c r="I1950" s="2408"/>
      <c r="J1950" s="2408"/>
      <c r="K1950" s="2672" t="s">
        <v>6516</v>
      </c>
      <c r="L1950" s="2409"/>
    </row>
    <row r="1951" spans="1:12" ht="12" customHeight="1" x14ac:dyDescent="0.3">
      <c r="A1951" s="2394" t="s">
        <v>5408</v>
      </c>
      <c r="B1951" s="2395" t="s">
        <v>3996</v>
      </c>
      <c r="C1951" s="2406">
        <v>0</v>
      </c>
      <c r="D1951" s="2396"/>
      <c r="E1951" s="2406">
        <v>0</v>
      </c>
      <c r="F1951" s="2406">
        <v>0</v>
      </c>
      <c r="G1951" s="2441">
        <v>0</v>
      </c>
      <c r="H1951" s="2407">
        <v>0</v>
      </c>
      <c r="I1951" s="2408"/>
      <c r="J1951" s="2408"/>
      <c r="K1951" s="2672" t="s">
        <v>6527</v>
      </c>
      <c r="L1951" s="2409"/>
    </row>
    <row r="1952" spans="1:12" ht="12.75" customHeight="1" x14ac:dyDescent="0.3">
      <c r="A1952" s="2394" t="s">
        <v>5409</v>
      </c>
      <c r="B1952" s="2395" t="s">
        <v>4029</v>
      </c>
      <c r="C1952" s="2406">
        <v>0</v>
      </c>
      <c r="D1952" s="2396"/>
      <c r="E1952" s="2406">
        <v>0</v>
      </c>
      <c r="F1952" s="2406">
        <v>0</v>
      </c>
      <c r="G1952" s="2441">
        <v>0</v>
      </c>
      <c r="H1952" s="2407">
        <v>0</v>
      </c>
      <c r="I1952" s="2408"/>
      <c r="J1952" s="2408"/>
      <c r="K1952" s="2672" t="s">
        <v>6518</v>
      </c>
      <c r="L1952" s="2409"/>
    </row>
    <row r="1953" spans="1:12" ht="12.75" customHeight="1" x14ac:dyDescent="0.3">
      <c r="A1953" s="2394" t="s">
        <v>5410</v>
      </c>
      <c r="B1953" s="2395" t="s">
        <v>4037</v>
      </c>
      <c r="C1953" s="2406">
        <v>0</v>
      </c>
      <c r="D1953" s="2396"/>
      <c r="E1953" s="2406">
        <v>0</v>
      </c>
      <c r="F1953" s="2406">
        <v>0</v>
      </c>
      <c r="G1953" s="2441">
        <v>0</v>
      </c>
      <c r="H1953" s="2407">
        <v>0</v>
      </c>
      <c r="I1953" s="2408"/>
      <c r="J1953" s="2408"/>
      <c r="K1953" s="2672"/>
      <c r="L1953" s="2409"/>
    </row>
    <row r="1954" spans="1:12" ht="12.75" customHeight="1" x14ac:dyDescent="0.3">
      <c r="A1954" s="2394" t="s">
        <v>5411</v>
      </c>
      <c r="B1954" s="2395" t="s">
        <v>3720</v>
      </c>
      <c r="C1954" s="2406">
        <v>0</v>
      </c>
      <c r="D1954" s="2396"/>
      <c r="E1954" s="2406">
        <v>0</v>
      </c>
      <c r="F1954" s="2406">
        <v>0</v>
      </c>
      <c r="G1954" s="2441">
        <v>0</v>
      </c>
      <c r="H1954" s="2407">
        <v>0</v>
      </c>
      <c r="I1954" s="2408"/>
      <c r="J1954" s="2408"/>
      <c r="K1954" s="2672" t="s">
        <v>6515</v>
      </c>
      <c r="L1954" s="2409"/>
    </row>
    <row r="1955" spans="1:12" ht="12.75" customHeight="1" x14ac:dyDescent="0.3">
      <c r="A1955" s="2394" t="s">
        <v>5412</v>
      </c>
      <c r="B1955" s="2395" t="s">
        <v>3934</v>
      </c>
      <c r="C1955" s="2406">
        <v>0</v>
      </c>
      <c r="D1955" s="2396"/>
      <c r="E1955" s="2406">
        <v>0</v>
      </c>
      <c r="F1955" s="2406">
        <v>0</v>
      </c>
      <c r="G1955" s="2441">
        <v>0</v>
      </c>
      <c r="H1955" s="2407">
        <v>0</v>
      </c>
      <c r="I1955" s="2408"/>
      <c r="J1955" s="2408"/>
      <c r="K1955" s="2672" t="s">
        <v>6518</v>
      </c>
      <c r="L1955" s="2409"/>
    </row>
    <row r="1956" spans="1:12" ht="12.75" customHeight="1" x14ac:dyDescent="0.3">
      <c r="A1956" s="2394" t="s">
        <v>5413</v>
      </c>
      <c r="B1956" s="2395" t="s">
        <v>3723</v>
      </c>
      <c r="C1956" s="2406">
        <v>0</v>
      </c>
      <c r="D1956" s="2396"/>
      <c r="E1956" s="2406">
        <v>0</v>
      </c>
      <c r="F1956" s="2406">
        <v>0</v>
      </c>
      <c r="G1956" s="2441">
        <v>0</v>
      </c>
      <c r="H1956" s="2407">
        <v>0</v>
      </c>
      <c r="I1956" s="2408"/>
      <c r="J1956" s="2408"/>
      <c r="K1956" s="2672" t="s">
        <v>6521</v>
      </c>
      <c r="L1956" s="2409"/>
    </row>
    <row r="1957" spans="1:12" ht="12.75" customHeight="1" x14ac:dyDescent="0.3">
      <c r="A1957" s="2394" t="s">
        <v>5414</v>
      </c>
      <c r="B1957" s="2395" t="s">
        <v>3968</v>
      </c>
      <c r="C1957" s="2406">
        <v>0</v>
      </c>
      <c r="D1957" s="2396"/>
      <c r="E1957" s="2406">
        <v>0</v>
      </c>
      <c r="F1957" s="2406">
        <v>0</v>
      </c>
      <c r="G1957" s="2441">
        <v>0</v>
      </c>
      <c r="H1957" s="2407">
        <v>0</v>
      </c>
      <c r="I1957" s="2408"/>
      <c r="J1957" s="2408"/>
      <c r="K1957" s="2672" t="s">
        <v>6538</v>
      </c>
      <c r="L1957" s="2409"/>
    </row>
    <row r="1958" spans="1:12" ht="12.75" customHeight="1" x14ac:dyDescent="0.3">
      <c r="A1958" s="2394" t="s">
        <v>5415</v>
      </c>
      <c r="B1958" s="2395" t="s">
        <v>3718</v>
      </c>
      <c r="C1958" s="2406">
        <v>0</v>
      </c>
      <c r="D1958" s="2396"/>
      <c r="E1958" s="2406">
        <v>0</v>
      </c>
      <c r="F1958" s="2406">
        <v>0</v>
      </c>
      <c r="G1958" s="2441">
        <v>0</v>
      </c>
      <c r="H1958" s="2407">
        <v>0</v>
      </c>
      <c r="I1958" s="2408"/>
      <c r="J1958" s="2408"/>
      <c r="K1958" s="2672" t="s">
        <v>6516</v>
      </c>
      <c r="L1958" s="2409"/>
    </row>
    <row r="1959" spans="1:12" ht="12" customHeight="1" x14ac:dyDescent="0.3">
      <c r="A1959" s="2394" t="s">
        <v>5416</v>
      </c>
      <c r="B1959" s="2395" t="s">
        <v>3996</v>
      </c>
      <c r="C1959" s="2406">
        <v>0</v>
      </c>
      <c r="D1959" s="2396"/>
      <c r="E1959" s="2406">
        <v>0</v>
      </c>
      <c r="F1959" s="2406">
        <v>0</v>
      </c>
      <c r="G1959" s="2441">
        <v>0</v>
      </c>
      <c r="H1959" s="2407">
        <v>0</v>
      </c>
      <c r="I1959" s="2408"/>
      <c r="J1959" s="2408"/>
      <c r="K1959" s="2672" t="s">
        <v>6527</v>
      </c>
      <c r="L1959" s="2409"/>
    </row>
    <row r="1960" spans="1:12" ht="12.75" customHeight="1" x14ac:dyDescent="0.3">
      <c r="A1960" s="2394" t="s">
        <v>5417</v>
      </c>
      <c r="B1960" s="2395" t="s">
        <v>4029</v>
      </c>
      <c r="C1960" s="2406">
        <v>0</v>
      </c>
      <c r="D1960" s="2396"/>
      <c r="E1960" s="2406">
        <v>0</v>
      </c>
      <c r="F1960" s="2406">
        <v>0</v>
      </c>
      <c r="G1960" s="2441">
        <v>0</v>
      </c>
      <c r="H1960" s="2407">
        <v>0</v>
      </c>
      <c r="I1960" s="2408"/>
      <c r="J1960" s="2408"/>
      <c r="K1960" s="2672" t="s">
        <v>6518</v>
      </c>
      <c r="L1960" s="2409"/>
    </row>
    <row r="1961" spans="1:12" ht="12.75" customHeight="1" x14ac:dyDescent="0.3">
      <c r="A1961" s="2394" t="s">
        <v>5418</v>
      </c>
      <c r="B1961" s="2395" t="s">
        <v>4023</v>
      </c>
      <c r="C1961" s="2406">
        <v>0</v>
      </c>
      <c r="D1961" s="2396"/>
      <c r="E1961" s="2406">
        <v>0</v>
      </c>
      <c r="F1961" s="2406">
        <v>0</v>
      </c>
      <c r="G1961" s="2441">
        <v>0</v>
      </c>
      <c r="H1961" s="2407">
        <v>0</v>
      </c>
      <c r="I1961" s="2408"/>
      <c r="J1961" s="2408"/>
      <c r="K1961" s="2672"/>
      <c r="L1961" s="2409"/>
    </row>
    <row r="1962" spans="1:12" ht="12.75" customHeight="1" x14ac:dyDescent="0.3">
      <c r="A1962" s="2394" t="s">
        <v>5419</v>
      </c>
      <c r="B1962" s="2395" t="s">
        <v>3720</v>
      </c>
      <c r="C1962" s="2406">
        <v>119900</v>
      </c>
      <c r="D1962" s="2396"/>
      <c r="E1962" s="2406">
        <v>42500</v>
      </c>
      <c r="F1962" s="2406">
        <v>0</v>
      </c>
      <c r="G1962" s="2441">
        <v>42500</v>
      </c>
      <c r="H1962" s="2407">
        <v>162400</v>
      </c>
      <c r="I1962" s="2408"/>
      <c r="J1962" s="2408"/>
      <c r="K1962" s="2672" t="s">
        <v>6515</v>
      </c>
      <c r="L1962" s="2409"/>
    </row>
    <row r="1963" spans="1:12" ht="12.75" customHeight="1" x14ac:dyDescent="0.3">
      <c r="A1963" s="2394" t="s">
        <v>5420</v>
      </c>
      <c r="B1963" s="2395" t="s">
        <v>3932</v>
      </c>
      <c r="C1963" s="2406">
        <v>92900</v>
      </c>
      <c r="D1963" s="2396"/>
      <c r="E1963" s="2406">
        <v>0</v>
      </c>
      <c r="F1963" s="2406">
        <v>0</v>
      </c>
      <c r="G1963" s="2441">
        <v>0</v>
      </c>
      <c r="H1963" s="2407">
        <v>92900</v>
      </c>
      <c r="I1963" s="2408"/>
      <c r="J1963" s="2408"/>
      <c r="K1963" s="2672" t="s">
        <v>6517</v>
      </c>
      <c r="L1963" s="2409"/>
    </row>
    <row r="1964" spans="1:12" ht="12.75" customHeight="1" x14ac:dyDescent="0.3">
      <c r="A1964" s="2394" t="s">
        <v>5421</v>
      </c>
      <c r="B1964" s="2395" t="s">
        <v>4024</v>
      </c>
      <c r="C1964" s="2406">
        <v>2769900</v>
      </c>
      <c r="D1964" s="2396"/>
      <c r="E1964" s="2406">
        <v>213800</v>
      </c>
      <c r="F1964" s="2406">
        <v>0</v>
      </c>
      <c r="G1964" s="2441">
        <v>213800</v>
      </c>
      <c r="H1964" s="2407">
        <v>2983700</v>
      </c>
      <c r="I1964" s="2408"/>
      <c r="J1964" s="2408"/>
      <c r="K1964" s="2672" t="s">
        <v>6518</v>
      </c>
      <c r="L1964" s="2409"/>
    </row>
    <row r="1965" spans="1:12" ht="12.75" customHeight="1" x14ac:dyDescent="0.3">
      <c r="A1965" s="2394" t="s">
        <v>5422</v>
      </c>
      <c r="B1965" s="2395" t="s">
        <v>4025</v>
      </c>
      <c r="C1965" s="2406">
        <v>200000</v>
      </c>
      <c r="D1965" s="2396"/>
      <c r="E1965" s="2406">
        <v>0</v>
      </c>
      <c r="F1965" s="2406">
        <v>0</v>
      </c>
      <c r="G1965" s="2441">
        <v>0</v>
      </c>
      <c r="H1965" s="2407">
        <v>200000</v>
      </c>
      <c r="I1965" s="2408"/>
      <c r="J1965" s="2408"/>
      <c r="K1965" s="2672" t="s">
        <v>6522</v>
      </c>
      <c r="L1965" s="2409"/>
    </row>
    <row r="1966" spans="1:12" ht="12" customHeight="1" x14ac:dyDescent="0.3">
      <c r="A1966" s="2394" t="s">
        <v>5423</v>
      </c>
      <c r="B1966" s="2395" t="s">
        <v>4026</v>
      </c>
      <c r="C1966" s="2406">
        <v>0</v>
      </c>
      <c r="D1966" s="2396"/>
      <c r="E1966" s="2406">
        <v>0</v>
      </c>
      <c r="F1966" s="2406">
        <v>0</v>
      </c>
      <c r="G1966" s="2441">
        <v>0</v>
      </c>
      <c r="H1966" s="2407">
        <v>0</v>
      </c>
      <c r="I1966" s="2408"/>
      <c r="J1966" s="2408"/>
      <c r="K1966" s="2672" t="s">
        <v>6520</v>
      </c>
      <c r="L1966" s="2409"/>
    </row>
    <row r="1967" spans="1:12" ht="12" customHeight="1" x14ac:dyDescent="0.3">
      <c r="A1967" s="2394" t="s">
        <v>5424</v>
      </c>
      <c r="B1967" s="2395" t="s">
        <v>3718</v>
      </c>
      <c r="C1967" s="2406">
        <v>5691500</v>
      </c>
      <c r="D1967" s="2396"/>
      <c r="E1967" s="2406">
        <v>234000</v>
      </c>
      <c r="F1967" s="2406">
        <v>0</v>
      </c>
      <c r="G1967" s="2441">
        <v>234000</v>
      </c>
      <c r="H1967" s="2407">
        <v>5925500</v>
      </c>
      <c r="I1967" s="2408"/>
      <c r="J1967" s="2408"/>
      <c r="K1967" s="2672" t="s">
        <v>6516</v>
      </c>
      <c r="L1967" s="2409"/>
    </row>
    <row r="1968" spans="1:12" ht="12" customHeight="1" x14ac:dyDescent="0.3">
      <c r="A1968" s="2394" t="s">
        <v>5425</v>
      </c>
      <c r="B1968" s="2395" t="s">
        <v>3996</v>
      </c>
      <c r="C1968" s="2406">
        <v>0</v>
      </c>
      <c r="D1968" s="2396"/>
      <c r="E1968" s="2406">
        <v>0</v>
      </c>
      <c r="F1968" s="2406">
        <v>0</v>
      </c>
      <c r="G1968" s="2441">
        <v>0</v>
      </c>
      <c r="H1968" s="2407">
        <v>0</v>
      </c>
      <c r="I1968" s="2408"/>
      <c r="J1968" s="2408"/>
      <c r="K1968" s="2672" t="s">
        <v>6527</v>
      </c>
      <c r="L1968" s="2409"/>
    </row>
    <row r="1969" spans="1:12" ht="12" customHeight="1" x14ac:dyDescent="0.3">
      <c r="A1969" s="2394" t="s">
        <v>5426</v>
      </c>
      <c r="B1969" s="2395" t="s">
        <v>4027</v>
      </c>
      <c r="C1969" s="2406">
        <v>1100000</v>
      </c>
      <c r="D1969" s="2396"/>
      <c r="E1969" s="2406">
        <v>0</v>
      </c>
      <c r="F1969" s="2406">
        <v>0</v>
      </c>
      <c r="G1969" s="2441">
        <v>0</v>
      </c>
      <c r="H1969" s="2407">
        <v>1100000</v>
      </c>
      <c r="I1969" s="2408"/>
      <c r="J1969" s="2408"/>
      <c r="K1969" s="2672" t="s">
        <v>6538</v>
      </c>
      <c r="L1969" s="2409"/>
    </row>
    <row r="1970" spans="1:12" ht="12" customHeight="1" x14ac:dyDescent="0.3">
      <c r="A1970" s="2394" t="s">
        <v>5427</v>
      </c>
      <c r="B1970" s="2395" t="s">
        <v>350</v>
      </c>
      <c r="C1970" s="2406">
        <v>4937200</v>
      </c>
      <c r="D1970" s="2396"/>
      <c r="E1970" s="2406">
        <v>4761000</v>
      </c>
      <c r="F1970" s="2406">
        <v>0</v>
      </c>
      <c r="G1970" s="2441">
        <v>4761000</v>
      </c>
      <c r="H1970" s="2407">
        <v>9698200</v>
      </c>
      <c r="I1970" s="2408"/>
      <c r="J1970" s="2408"/>
      <c r="K1970" s="2672" t="s">
        <v>6536</v>
      </c>
      <c r="L1970" s="2409"/>
    </row>
    <row r="1971" spans="1:12" ht="12" customHeight="1" x14ac:dyDescent="0.3">
      <c r="A1971" s="2394" t="s">
        <v>5428</v>
      </c>
      <c r="B1971" s="2395" t="s">
        <v>4028</v>
      </c>
      <c r="C1971" s="2406">
        <v>0</v>
      </c>
      <c r="D1971" s="2396"/>
      <c r="E1971" s="2406">
        <v>0</v>
      </c>
      <c r="F1971" s="2406">
        <v>0</v>
      </c>
      <c r="G1971" s="2441">
        <v>0</v>
      </c>
      <c r="H1971" s="2407">
        <v>0</v>
      </c>
      <c r="I1971" s="2408"/>
      <c r="J1971" s="2408"/>
      <c r="K1971" s="2672"/>
      <c r="L1971" s="2409"/>
    </row>
    <row r="1972" spans="1:12" ht="12" customHeight="1" x14ac:dyDescent="0.3">
      <c r="A1972" s="2394" t="s">
        <v>5429</v>
      </c>
      <c r="B1972" s="2395" t="s">
        <v>3720</v>
      </c>
      <c r="C1972" s="2406">
        <v>24000</v>
      </c>
      <c r="D1972" s="2396"/>
      <c r="E1972" s="2406">
        <v>0</v>
      </c>
      <c r="F1972" s="2406">
        <v>0</v>
      </c>
      <c r="G1972" s="2441">
        <v>0</v>
      </c>
      <c r="H1972" s="2407">
        <v>24000</v>
      </c>
      <c r="I1972" s="2408"/>
      <c r="J1972" s="2408"/>
      <c r="K1972" s="2672" t="s">
        <v>6515</v>
      </c>
      <c r="L1972" s="2409"/>
    </row>
    <row r="1973" spans="1:12" ht="12" customHeight="1" x14ac:dyDescent="0.3">
      <c r="A1973" s="2394" t="s">
        <v>5430</v>
      </c>
      <c r="B1973" s="2395" t="s">
        <v>3934</v>
      </c>
      <c r="C1973" s="2406">
        <v>401300</v>
      </c>
      <c r="D1973" s="2396"/>
      <c r="E1973" s="2406">
        <v>0</v>
      </c>
      <c r="F1973" s="2406">
        <v>0</v>
      </c>
      <c r="G1973" s="2441">
        <v>0</v>
      </c>
      <c r="H1973" s="2407">
        <v>401300</v>
      </c>
      <c r="I1973" s="2408"/>
      <c r="J1973" s="2408"/>
      <c r="K1973" s="2672" t="s">
        <v>6518</v>
      </c>
      <c r="L1973" s="2409"/>
    </row>
    <row r="1974" spans="1:12" ht="12" customHeight="1" x14ac:dyDescent="0.3">
      <c r="A1974" s="2394" t="s">
        <v>5431</v>
      </c>
      <c r="B1974" s="2395" t="s">
        <v>3723</v>
      </c>
      <c r="C1974" s="2406">
        <v>0</v>
      </c>
      <c r="D1974" s="2396"/>
      <c r="E1974" s="2406">
        <v>0</v>
      </c>
      <c r="F1974" s="2406">
        <v>0</v>
      </c>
      <c r="G1974" s="2441">
        <v>0</v>
      </c>
      <c r="H1974" s="2407">
        <v>0</v>
      </c>
      <c r="I1974" s="2408"/>
      <c r="J1974" s="2408"/>
      <c r="K1974" s="2672" t="s">
        <v>6521</v>
      </c>
      <c r="L1974" s="2409"/>
    </row>
    <row r="1975" spans="1:12" ht="12" customHeight="1" x14ac:dyDescent="0.3">
      <c r="A1975" s="2394" t="s">
        <v>5432</v>
      </c>
      <c r="B1975" s="2395" t="s">
        <v>3968</v>
      </c>
      <c r="C1975" s="2406">
        <v>333000</v>
      </c>
      <c r="D1975" s="2396"/>
      <c r="E1975" s="2406">
        <v>0</v>
      </c>
      <c r="F1975" s="2406">
        <v>0</v>
      </c>
      <c r="G1975" s="2441">
        <v>0</v>
      </c>
      <c r="H1975" s="2407">
        <v>333000</v>
      </c>
      <c r="I1975" s="2408"/>
      <c r="J1975" s="2408"/>
      <c r="K1975" s="2672" t="s">
        <v>6538</v>
      </c>
      <c r="L1975" s="2409"/>
    </row>
    <row r="1976" spans="1:12" ht="12" customHeight="1" x14ac:dyDescent="0.3">
      <c r="A1976" s="2394" t="s">
        <v>5433</v>
      </c>
      <c r="B1976" s="2395" t="s">
        <v>3718</v>
      </c>
      <c r="C1976" s="2406">
        <v>1211000</v>
      </c>
      <c r="D1976" s="2396"/>
      <c r="E1976" s="2406">
        <v>338000</v>
      </c>
      <c r="F1976" s="2406">
        <v>0</v>
      </c>
      <c r="G1976" s="2441">
        <v>338000</v>
      </c>
      <c r="H1976" s="2407">
        <v>1549000</v>
      </c>
      <c r="I1976" s="2408"/>
      <c r="J1976" s="2408"/>
      <c r="K1976" s="2672" t="s">
        <v>6516</v>
      </c>
      <c r="L1976" s="2409"/>
    </row>
    <row r="1977" spans="1:12" ht="12" customHeight="1" x14ac:dyDescent="0.3">
      <c r="A1977" s="2394" t="s">
        <v>5434</v>
      </c>
      <c r="B1977" s="2395" t="s">
        <v>3996</v>
      </c>
      <c r="C1977" s="2406">
        <v>0</v>
      </c>
      <c r="D1977" s="2396"/>
      <c r="E1977" s="2406">
        <v>0</v>
      </c>
      <c r="F1977" s="2406">
        <v>0</v>
      </c>
      <c r="G1977" s="2441">
        <v>0</v>
      </c>
      <c r="H1977" s="2407">
        <v>0</v>
      </c>
      <c r="I1977" s="2408"/>
      <c r="J1977" s="2408"/>
      <c r="K1977" s="2672" t="s">
        <v>6527</v>
      </c>
      <c r="L1977" s="2409"/>
    </row>
    <row r="1978" spans="1:12" ht="12" customHeight="1" x14ac:dyDescent="0.3">
      <c r="A1978" s="2394" t="s">
        <v>5435</v>
      </c>
      <c r="B1978" s="2395" t="s">
        <v>4029</v>
      </c>
      <c r="C1978" s="2406">
        <v>1021000</v>
      </c>
      <c r="D1978" s="2396"/>
      <c r="E1978" s="2406">
        <v>0</v>
      </c>
      <c r="F1978" s="2406">
        <v>0</v>
      </c>
      <c r="G1978" s="2441">
        <v>0</v>
      </c>
      <c r="H1978" s="2407">
        <v>1021000</v>
      </c>
      <c r="I1978" s="2408"/>
      <c r="J1978" s="2408"/>
      <c r="K1978" s="2672" t="s">
        <v>6518</v>
      </c>
      <c r="L1978" s="2409"/>
    </row>
    <row r="1979" spans="1:12" ht="12" customHeight="1" x14ac:dyDescent="0.3">
      <c r="A1979" s="2394" t="s">
        <v>5436</v>
      </c>
      <c r="B1979" s="2395" t="s">
        <v>4030</v>
      </c>
      <c r="C1979" s="2406">
        <v>0</v>
      </c>
      <c r="D1979" s="2396"/>
      <c r="E1979" s="2406">
        <v>0</v>
      </c>
      <c r="F1979" s="2406">
        <v>0</v>
      </c>
      <c r="G1979" s="2441">
        <v>0</v>
      </c>
      <c r="H1979" s="2407">
        <v>0</v>
      </c>
      <c r="I1979" s="2408"/>
      <c r="J1979" s="2408"/>
      <c r="K1979" s="2672"/>
      <c r="L1979" s="2409"/>
    </row>
    <row r="1980" spans="1:12" ht="12" customHeight="1" x14ac:dyDescent="0.3">
      <c r="A1980" s="2394" t="s">
        <v>5437</v>
      </c>
      <c r="B1980" s="2395" t="s">
        <v>3720</v>
      </c>
      <c r="C1980" s="2406">
        <v>0</v>
      </c>
      <c r="D1980" s="2396"/>
      <c r="E1980" s="2406">
        <v>0</v>
      </c>
      <c r="F1980" s="2406">
        <v>0</v>
      </c>
      <c r="G1980" s="2441">
        <v>0</v>
      </c>
      <c r="H1980" s="2407">
        <v>0</v>
      </c>
      <c r="I1980" s="2408"/>
      <c r="J1980" s="2408"/>
      <c r="K1980" s="2672" t="s">
        <v>6515</v>
      </c>
      <c r="L1980" s="2409"/>
    </row>
    <row r="1981" spans="1:12" ht="12" customHeight="1" x14ac:dyDescent="0.3">
      <c r="A1981" s="2394" t="s">
        <v>5438</v>
      </c>
      <c r="B1981" s="2395" t="s">
        <v>3934</v>
      </c>
      <c r="C1981" s="2406">
        <v>0</v>
      </c>
      <c r="D1981" s="2396"/>
      <c r="E1981" s="2406">
        <v>0</v>
      </c>
      <c r="F1981" s="2406">
        <v>0</v>
      </c>
      <c r="G1981" s="2441">
        <v>0</v>
      </c>
      <c r="H1981" s="2407">
        <v>0</v>
      </c>
      <c r="I1981" s="2408"/>
      <c r="J1981" s="2408"/>
      <c r="K1981" s="2672" t="s">
        <v>6518</v>
      </c>
      <c r="L1981" s="2409"/>
    </row>
    <row r="1982" spans="1:12" ht="12" customHeight="1" x14ac:dyDescent="0.3">
      <c r="A1982" s="2394" t="s">
        <v>5439</v>
      </c>
      <c r="B1982" s="2395" t="s">
        <v>3723</v>
      </c>
      <c r="C1982" s="2406">
        <v>0</v>
      </c>
      <c r="D1982" s="2396"/>
      <c r="E1982" s="2406">
        <v>0</v>
      </c>
      <c r="F1982" s="2406">
        <v>0</v>
      </c>
      <c r="G1982" s="2441">
        <v>0</v>
      </c>
      <c r="H1982" s="2407">
        <v>0</v>
      </c>
      <c r="I1982" s="2408"/>
      <c r="J1982" s="2408"/>
      <c r="K1982" s="2672" t="s">
        <v>6521</v>
      </c>
      <c r="L1982" s="2409"/>
    </row>
    <row r="1983" spans="1:12" ht="12" customHeight="1" x14ac:dyDescent="0.3">
      <c r="A1983" s="2394" t="s">
        <v>5440</v>
      </c>
      <c r="B1983" s="2395" t="s">
        <v>3968</v>
      </c>
      <c r="C1983" s="2406">
        <v>0</v>
      </c>
      <c r="D1983" s="2396"/>
      <c r="E1983" s="2406">
        <v>0</v>
      </c>
      <c r="F1983" s="2406">
        <v>0</v>
      </c>
      <c r="G1983" s="2441">
        <v>0</v>
      </c>
      <c r="H1983" s="2407">
        <v>0</v>
      </c>
      <c r="I1983" s="2408"/>
      <c r="J1983" s="2408"/>
      <c r="K1983" s="2672" t="s">
        <v>6538</v>
      </c>
      <c r="L1983" s="2409"/>
    </row>
    <row r="1984" spans="1:12" ht="12" customHeight="1" x14ac:dyDescent="0.3">
      <c r="A1984" s="2394" t="s">
        <v>5441</v>
      </c>
      <c r="B1984" s="2395" t="s">
        <v>3718</v>
      </c>
      <c r="C1984" s="2406">
        <v>0</v>
      </c>
      <c r="D1984" s="2396"/>
      <c r="E1984" s="2406">
        <v>0</v>
      </c>
      <c r="F1984" s="2406">
        <v>0</v>
      </c>
      <c r="G1984" s="2441">
        <v>0</v>
      </c>
      <c r="H1984" s="2407">
        <v>0</v>
      </c>
      <c r="I1984" s="2408"/>
      <c r="J1984" s="2408"/>
      <c r="K1984" s="2672" t="s">
        <v>6516</v>
      </c>
      <c r="L1984" s="2409"/>
    </row>
    <row r="1985" spans="1:12" ht="12" customHeight="1" x14ac:dyDescent="0.3">
      <c r="A1985" s="2394" t="s">
        <v>5442</v>
      </c>
      <c r="B1985" s="2395" t="s">
        <v>3996</v>
      </c>
      <c r="C1985" s="2406">
        <v>0</v>
      </c>
      <c r="D1985" s="2396"/>
      <c r="E1985" s="2406">
        <v>0</v>
      </c>
      <c r="F1985" s="2406">
        <v>0</v>
      </c>
      <c r="G1985" s="2441">
        <v>0</v>
      </c>
      <c r="H1985" s="2407">
        <v>0</v>
      </c>
      <c r="I1985" s="2408"/>
      <c r="J1985" s="2408"/>
      <c r="K1985" s="2672" t="s">
        <v>6527</v>
      </c>
      <c r="L1985" s="2409"/>
    </row>
    <row r="1986" spans="1:12" ht="12" customHeight="1" x14ac:dyDescent="0.3">
      <c r="A1986" s="2394" t="s">
        <v>5443</v>
      </c>
      <c r="B1986" s="2395" t="s">
        <v>4029</v>
      </c>
      <c r="C1986" s="2406">
        <v>0</v>
      </c>
      <c r="D1986" s="2396"/>
      <c r="E1986" s="2406">
        <v>0</v>
      </c>
      <c r="F1986" s="2406">
        <v>0</v>
      </c>
      <c r="G1986" s="2441">
        <v>0</v>
      </c>
      <c r="H1986" s="2407">
        <v>0</v>
      </c>
      <c r="I1986" s="2408"/>
      <c r="J1986" s="2408"/>
      <c r="K1986" s="2672" t="s">
        <v>6518</v>
      </c>
      <c r="L1986" s="2409"/>
    </row>
    <row r="1987" spans="1:12" ht="12" customHeight="1" x14ac:dyDescent="0.3">
      <c r="A1987" s="2394" t="s">
        <v>5444</v>
      </c>
      <c r="B1987" s="2395" t="s">
        <v>4031</v>
      </c>
      <c r="C1987" s="2406">
        <v>0</v>
      </c>
      <c r="D1987" s="2396"/>
      <c r="E1987" s="2406">
        <v>0</v>
      </c>
      <c r="F1987" s="2406">
        <v>0</v>
      </c>
      <c r="G1987" s="2441">
        <v>0</v>
      </c>
      <c r="H1987" s="2407">
        <v>0</v>
      </c>
      <c r="I1987" s="2408"/>
      <c r="J1987" s="2408"/>
      <c r="K1987" s="2672"/>
      <c r="L1987" s="2409"/>
    </row>
    <row r="1988" spans="1:12" ht="12" customHeight="1" x14ac:dyDescent="0.3">
      <c r="A1988" s="2394" t="s">
        <v>5445</v>
      </c>
      <c r="B1988" s="2395" t="s">
        <v>3720</v>
      </c>
      <c r="C1988" s="2406">
        <v>0</v>
      </c>
      <c r="D1988" s="2396"/>
      <c r="E1988" s="2406">
        <v>0</v>
      </c>
      <c r="F1988" s="2406">
        <v>0</v>
      </c>
      <c r="G1988" s="2441">
        <v>0</v>
      </c>
      <c r="H1988" s="2407">
        <v>0</v>
      </c>
      <c r="I1988" s="2408"/>
      <c r="J1988" s="2408"/>
      <c r="K1988" s="2672" t="s">
        <v>6515</v>
      </c>
      <c r="L1988" s="2409"/>
    </row>
    <row r="1989" spans="1:12" ht="12" customHeight="1" x14ac:dyDescent="0.3">
      <c r="A1989" s="2394" t="s">
        <v>5446</v>
      </c>
      <c r="B1989" s="2395" t="s">
        <v>3934</v>
      </c>
      <c r="C1989" s="2406">
        <v>60000</v>
      </c>
      <c r="D1989" s="2396"/>
      <c r="E1989" s="2406">
        <v>0</v>
      </c>
      <c r="F1989" s="2406">
        <v>0</v>
      </c>
      <c r="G1989" s="2441">
        <v>0</v>
      </c>
      <c r="H1989" s="2407">
        <v>60000</v>
      </c>
      <c r="I1989" s="2408"/>
      <c r="J1989" s="2408"/>
      <c r="K1989" s="2672" t="s">
        <v>6518</v>
      </c>
      <c r="L1989" s="2409"/>
    </row>
    <row r="1990" spans="1:12" ht="15.75" customHeight="1" x14ac:dyDescent="0.3">
      <c r="A1990" s="2394" t="s">
        <v>5447</v>
      </c>
      <c r="B1990" s="2395" t="s">
        <v>3723</v>
      </c>
      <c r="C1990" s="2406">
        <v>0</v>
      </c>
      <c r="D1990" s="2396"/>
      <c r="E1990" s="2406">
        <v>0</v>
      </c>
      <c r="F1990" s="2406">
        <v>0</v>
      </c>
      <c r="G1990" s="2441">
        <v>0</v>
      </c>
      <c r="H1990" s="2407">
        <v>0</v>
      </c>
      <c r="I1990" s="2408"/>
      <c r="J1990" s="2408"/>
      <c r="K1990" s="2672" t="s">
        <v>6521</v>
      </c>
      <c r="L1990" s="2409"/>
    </row>
    <row r="1991" spans="1:12" ht="12" customHeight="1" x14ac:dyDescent="0.3">
      <c r="A1991" s="2394" t="s">
        <v>5448</v>
      </c>
      <c r="B1991" s="2395" t="s">
        <v>3968</v>
      </c>
      <c r="C1991" s="2406">
        <v>1400000</v>
      </c>
      <c r="D1991" s="2396"/>
      <c r="E1991" s="2406">
        <v>0</v>
      </c>
      <c r="F1991" s="2406">
        <v>0</v>
      </c>
      <c r="G1991" s="2441">
        <v>0</v>
      </c>
      <c r="H1991" s="2407">
        <v>1400000</v>
      </c>
      <c r="I1991" s="2408"/>
      <c r="J1991" s="2408"/>
      <c r="K1991" s="2672" t="s">
        <v>6538</v>
      </c>
      <c r="L1991" s="2409"/>
    </row>
    <row r="1992" spans="1:12" ht="12" customHeight="1" x14ac:dyDescent="0.3">
      <c r="A1992" s="2394" t="s">
        <v>5449</v>
      </c>
      <c r="B1992" s="2395" t="s">
        <v>3718</v>
      </c>
      <c r="C1992" s="2406">
        <v>600000</v>
      </c>
      <c r="D1992" s="2396"/>
      <c r="E1992" s="2406">
        <v>100000</v>
      </c>
      <c r="F1992" s="2406">
        <v>0</v>
      </c>
      <c r="G1992" s="2441">
        <v>100000</v>
      </c>
      <c r="H1992" s="2407">
        <v>700000</v>
      </c>
      <c r="I1992" s="2408"/>
      <c r="J1992" s="2408"/>
      <c r="K1992" s="2672" t="s">
        <v>6516</v>
      </c>
      <c r="L1992" s="2409"/>
    </row>
    <row r="1993" spans="1:12" ht="12" customHeight="1" x14ac:dyDescent="0.3">
      <c r="A1993" s="2394" t="s">
        <v>5450</v>
      </c>
      <c r="B1993" s="2395" t="s">
        <v>3996</v>
      </c>
      <c r="C1993" s="2406">
        <v>0</v>
      </c>
      <c r="D1993" s="2396"/>
      <c r="E1993" s="2406">
        <v>0</v>
      </c>
      <c r="F1993" s="2406">
        <v>0</v>
      </c>
      <c r="G1993" s="2441">
        <v>0</v>
      </c>
      <c r="H1993" s="2407">
        <v>0</v>
      </c>
      <c r="I1993" s="2408"/>
      <c r="J1993" s="2408"/>
      <c r="K1993" s="2672" t="s">
        <v>6527</v>
      </c>
      <c r="L1993" s="2409"/>
    </row>
    <row r="1994" spans="1:12" ht="12" customHeight="1" x14ac:dyDescent="0.3">
      <c r="A1994" s="2394" t="s">
        <v>5451</v>
      </c>
      <c r="B1994" s="2395" t="s">
        <v>4029</v>
      </c>
      <c r="C1994" s="2406">
        <v>0</v>
      </c>
      <c r="D1994" s="2396"/>
      <c r="E1994" s="2406">
        <v>0</v>
      </c>
      <c r="F1994" s="2406">
        <v>0</v>
      </c>
      <c r="G1994" s="2441">
        <v>0</v>
      </c>
      <c r="H1994" s="2407">
        <v>0</v>
      </c>
      <c r="I1994" s="2408"/>
      <c r="J1994" s="2408"/>
      <c r="K1994" s="2672" t="s">
        <v>6518</v>
      </c>
      <c r="L1994" s="2409"/>
    </row>
    <row r="1995" spans="1:12" ht="12" customHeight="1" x14ac:dyDescent="0.3">
      <c r="A1995" s="2394" t="s">
        <v>5452</v>
      </c>
      <c r="B1995" s="2395" t="s">
        <v>4032</v>
      </c>
      <c r="C1995" s="2406">
        <v>0</v>
      </c>
      <c r="D1995" s="2396"/>
      <c r="E1995" s="2406">
        <v>0</v>
      </c>
      <c r="F1995" s="2406">
        <v>0</v>
      </c>
      <c r="G1995" s="2441">
        <v>0</v>
      </c>
      <c r="H1995" s="2407">
        <v>0</v>
      </c>
      <c r="I1995" s="2408"/>
      <c r="J1995" s="2408"/>
      <c r="K1995" s="2672"/>
      <c r="L1995" s="2409"/>
    </row>
    <row r="1996" spans="1:12" ht="12" customHeight="1" x14ac:dyDescent="0.3">
      <c r="A1996" s="2394" t="s">
        <v>5453</v>
      </c>
      <c r="B1996" s="2395" t="s">
        <v>3720</v>
      </c>
      <c r="C1996" s="2406">
        <v>0</v>
      </c>
      <c r="D1996" s="2396"/>
      <c r="E1996" s="2406">
        <v>0</v>
      </c>
      <c r="F1996" s="2406">
        <v>0</v>
      </c>
      <c r="G1996" s="2441">
        <v>0</v>
      </c>
      <c r="H1996" s="2407">
        <v>0</v>
      </c>
      <c r="I1996" s="2408"/>
      <c r="J1996" s="2408"/>
      <c r="K1996" s="2672" t="s">
        <v>6515</v>
      </c>
      <c r="L1996" s="2409"/>
    </row>
    <row r="1997" spans="1:12" ht="12" customHeight="1" x14ac:dyDescent="0.3">
      <c r="A1997" s="2394" t="s">
        <v>5454</v>
      </c>
      <c r="B1997" s="2395" t="s">
        <v>3934</v>
      </c>
      <c r="C1997" s="2406">
        <v>0</v>
      </c>
      <c r="D1997" s="2396"/>
      <c r="E1997" s="2406">
        <v>0</v>
      </c>
      <c r="F1997" s="2406">
        <v>0</v>
      </c>
      <c r="G1997" s="2441">
        <v>0</v>
      </c>
      <c r="H1997" s="2407">
        <v>0</v>
      </c>
      <c r="I1997" s="2408"/>
      <c r="J1997" s="2408"/>
      <c r="K1997" s="2672" t="s">
        <v>6518</v>
      </c>
      <c r="L1997" s="2409"/>
    </row>
    <row r="1998" spans="1:12" ht="12" customHeight="1" x14ac:dyDescent="0.3">
      <c r="A1998" s="2394" t="s">
        <v>5455</v>
      </c>
      <c r="B1998" s="2395" t="s">
        <v>3723</v>
      </c>
      <c r="C1998" s="2406">
        <v>0</v>
      </c>
      <c r="D1998" s="2396"/>
      <c r="E1998" s="2406">
        <v>0</v>
      </c>
      <c r="F1998" s="2406">
        <v>0</v>
      </c>
      <c r="G1998" s="2441">
        <v>0</v>
      </c>
      <c r="H1998" s="2407">
        <v>0</v>
      </c>
      <c r="I1998" s="2408"/>
      <c r="J1998" s="2408"/>
      <c r="K1998" s="2672" t="s">
        <v>6521</v>
      </c>
      <c r="L1998" s="2409"/>
    </row>
    <row r="1999" spans="1:12" ht="12" customHeight="1" x14ac:dyDescent="0.3">
      <c r="A1999" s="2394" t="s">
        <v>5456</v>
      </c>
      <c r="B1999" s="2395" t="s">
        <v>3968</v>
      </c>
      <c r="C1999" s="2406">
        <v>0</v>
      </c>
      <c r="D1999" s="2396"/>
      <c r="E1999" s="2406">
        <v>0</v>
      </c>
      <c r="F1999" s="2406">
        <v>0</v>
      </c>
      <c r="G1999" s="2441">
        <v>0</v>
      </c>
      <c r="H1999" s="2407">
        <v>0</v>
      </c>
      <c r="I1999" s="2408"/>
      <c r="J1999" s="2408"/>
      <c r="K1999" s="2672" t="s">
        <v>6538</v>
      </c>
      <c r="L1999" s="2409"/>
    </row>
    <row r="2000" spans="1:12" ht="12" customHeight="1" x14ac:dyDescent="0.3">
      <c r="A2000" s="2394" t="s">
        <v>5457</v>
      </c>
      <c r="B2000" s="2395" t="s">
        <v>3718</v>
      </c>
      <c r="C2000" s="2406">
        <v>0</v>
      </c>
      <c r="D2000" s="2396"/>
      <c r="E2000" s="2406">
        <v>0</v>
      </c>
      <c r="F2000" s="2406">
        <v>0</v>
      </c>
      <c r="G2000" s="2441">
        <v>0</v>
      </c>
      <c r="H2000" s="2407">
        <v>0</v>
      </c>
      <c r="I2000" s="2408"/>
      <c r="J2000" s="2408"/>
      <c r="K2000" s="2672" t="s">
        <v>6516</v>
      </c>
      <c r="L2000" s="2409"/>
    </row>
    <row r="2001" spans="1:12" ht="12" customHeight="1" x14ac:dyDescent="0.3">
      <c r="A2001" s="2394" t="s">
        <v>5458</v>
      </c>
      <c r="B2001" s="2395" t="s">
        <v>3996</v>
      </c>
      <c r="C2001" s="2406">
        <v>0</v>
      </c>
      <c r="D2001" s="2396"/>
      <c r="E2001" s="2406">
        <v>0</v>
      </c>
      <c r="F2001" s="2406">
        <v>0</v>
      </c>
      <c r="G2001" s="2441">
        <v>0</v>
      </c>
      <c r="H2001" s="2407">
        <v>0</v>
      </c>
      <c r="I2001" s="2408"/>
      <c r="J2001" s="2408"/>
      <c r="K2001" s="2672" t="s">
        <v>6527</v>
      </c>
      <c r="L2001" s="2409"/>
    </row>
    <row r="2002" spans="1:12" ht="12" customHeight="1" x14ac:dyDescent="0.3">
      <c r="A2002" s="2394" t="s">
        <v>5459</v>
      </c>
      <c r="B2002" s="2395" t="s">
        <v>4029</v>
      </c>
      <c r="C2002" s="2406">
        <v>0</v>
      </c>
      <c r="D2002" s="2396"/>
      <c r="E2002" s="2406">
        <v>0</v>
      </c>
      <c r="F2002" s="2406">
        <v>0</v>
      </c>
      <c r="G2002" s="2441">
        <v>0</v>
      </c>
      <c r="H2002" s="2407">
        <v>0</v>
      </c>
      <c r="I2002" s="2408"/>
      <c r="J2002" s="2408"/>
      <c r="K2002" s="2672" t="s">
        <v>6518</v>
      </c>
      <c r="L2002" s="2409"/>
    </row>
    <row r="2003" spans="1:12" ht="12" customHeight="1" x14ac:dyDescent="0.3">
      <c r="A2003" s="2394" t="s">
        <v>5460</v>
      </c>
      <c r="B2003" s="2395" t="s">
        <v>4033</v>
      </c>
      <c r="C2003" s="2406">
        <v>0</v>
      </c>
      <c r="D2003" s="2396"/>
      <c r="E2003" s="2406">
        <v>0</v>
      </c>
      <c r="F2003" s="2406">
        <v>0</v>
      </c>
      <c r="G2003" s="2441">
        <v>0</v>
      </c>
      <c r="H2003" s="2407">
        <v>0</v>
      </c>
      <c r="I2003" s="2408"/>
      <c r="J2003" s="2408"/>
      <c r="K2003" s="2672"/>
      <c r="L2003" s="2409"/>
    </row>
    <row r="2004" spans="1:12" ht="12" customHeight="1" x14ac:dyDescent="0.3">
      <c r="A2004" s="2394" t="s">
        <v>5461</v>
      </c>
      <c r="B2004" s="2395" t="s">
        <v>3720</v>
      </c>
      <c r="C2004" s="2406">
        <v>0</v>
      </c>
      <c r="D2004" s="2396"/>
      <c r="E2004" s="2406">
        <v>0</v>
      </c>
      <c r="F2004" s="2406">
        <v>0</v>
      </c>
      <c r="G2004" s="2441">
        <v>0</v>
      </c>
      <c r="H2004" s="2407">
        <v>0</v>
      </c>
      <c r="I2004" s="2408"/>
      <c r="J2004" s="2408"/>
      <c r="K2004" s="2672" t="s">
        <v>6515</v>
      </c>
      <c r="L2004" s="2409"/>
    </row>
    <row r="2005" spans="1:12" ht="12" customHeight="1" x14ac:dyDescent="0.3">
      <c r="A2005" s="2394" t="s">
        <v>5462</v>
      </c>
      <c r="B2005" s="2395" t="s">
        <v>3934</v>
      </c>
      <c r="C2005" s="2406">
        <v>1163200</v>
      </c>
      <c r="D2005" s="2396"/>
      <c r="E2005" s="2406">
        <v>0</v>
      </c>
      <c r="F2005" s="2406">
        <v>0</v>
      </c>
      <c r="G2005" s="2441">
        <v>0</v>
      </c>
      <c r="H2005" s="2407">
        <v>1163200</v>
      </c>
      <c r="I2005" s="2408"/>
      <c r="J2005" s="2408"/>
      <c r="K2005" s="2672" t="s">
        <v>6518</v>
      </c>
      <c r="L2005" s="2409"/>
    </row>
    <row r="2006" spans="1:12" ht="12" customHeight="1" x14ac:dyDescent="0.3">
      <c r="A2006" s="2394" t="s">
        <v>5463</v>
      </c>
      <c r="B2006" s="2395" t="s">
        <v>3723</v>
      </c>
      <c r="C2006" s="2406">
        <v>0</v>
      </c>
      <c r="D2006" s="2396"/>
      <c r="E2006" s="2406">
        <v>0</v>
      </c>
      <c r="F2006" s="2406">
        <v>0</v>
      </c>
      <c r="G2006" s="2441">
        <v>0</v>
      </c>
      <c r="H2006" s="2407">
        <v>0</v>
      </c>
      <c r="I2006" s="2408"/>
      <c r="J2006" s="2408"/>
      <c r="K2006" s="2672" t="s">
        <v>6521</v>
      </c>
      <c r="L2006" s="2409"/>
    </row>
    <row r="2007" spans="1:12" ht="12" customHeight="1" x14ac:dyDescent="0.3">
      <c r="A2007" s="2394" t="s">
        <v>5464</v>
      </c>
      <c r="B2007" s="2395" t="s">
        <v>3968</v>
      </c>
      <c r="C2007" s="2406">
        <v>0</v>
      </c>
      <c r="D2007" s="2396"/>
      <c r="E2007" s="2406">
        <v>0</v>
      </c>
      <c r="F2007" s="2406">
        <v>0</v>
      </c>
      <c r="G2007" s="2441">
        <v>0</v>
      </c>
      <c r="H2007" s="2407">
        <v>0</v>
      </c>
      <c r="I2007" s="2408"/>
      <c r="J2007" s="2408"/>
      <c r="K2007" s="2672" t="s">
        <v>6538</v>
      </c>
      <c r="L2007" s="2409"/>
    </row>
    <row r="2008" spans="1:12" ht="12" customHeight="1" x14ac:dyDescent="0.3">
      <c r="A2008" s="2394" t="s">
        <v>5465</v>
      </c>
      <c r="B2008" s="2395" t="s">
        <v>3718</v>
      </c>
      <c r="C2008" s="2406">
        <v>645000</v>
      </c>
      <c r="D2008" s="2396"/>
      <c r="E2008" s="2406">
        <v>100000</v>
      </c>
      <c r="F2008" s="2406">
        <v>0</v>
      </c>
      <c r="G2008" s="2441">
        <v>100000</v>
      </c>
      <c r="H2008" s="2407">
        <v>745000</v>
      </c>
      <c r="I2008" s="2408"/>
      <c r="J2008" s="2408"/>
      <c r="K2008" s="2672" t="s">
        <v>6516</v>
      </c>
      <c r="L2008" s="2409"/>
    </row>
    <row r="2009" spans="1:12" ht="12" customHeight="1" x14ac:dyDescent="0.3">
      <c r="A2009" s="2394" t="s">
        <v>5466</v>
      </c>
      <c r="B2009" s="2395" t="s">
        <v>3996</v>
      </c>
      <c r="C2009" s="2406">
        <v>0</v>
      </c>
      <c r="D2009" s="2396"/>
      <c r="E2009" s="2406">
        <v>0</v>
      </c>
      <c r="F2009" s="2406">
        <v>0</v>
      </c>
      <c r="G2009" s="2441">
        <v>0</v>
      </c>
      <c r="H2009" s="2407">
        <v>0</v>
      </c>
      <c r="I2009" s="2408"/>
      <c r="J2009" s="2408"/>
      <c r="K2009" s="2672" t="s">
        <v>6527</v>
      </c>
      <c r="L2009" s="2409"/>
    </row>
    <row r="2010" spans="1:12" ht="12" customHeight="1" x14ac:dyDescent="0.3">
      <c r="A2010" s="2394" t="s">
        <v>5467</v>
      </c>
      <c r="B2010" s="2395" t="s">
        <v>4034</v>
      </c>
      <c r="C2010" s="2406">
        <v>0</v>
      </c>
      <c r="D2010" s="2396"/>
      <c r="E2010" s="2406">
        <v>0</v>
      </c>
      <c r="F2010" s="2406">
        <v>0</v>
      </c>
      <c r="G2010" s="2441">
        <v>0</v>
      </c>
      <c r="H2010" s="2407">
        <v>0</v>
      </c>
      <c r="I2010" s="2408"/>
      <c r="J2010" s="2408"/>
      <c r="K2010" s="2672" t="s">
        <v>6516</v>
      </c>
      <c r="L2010" s="2409"/>
    </row>
    <row r="2011" spans="1:12" ht="12" customHeight="1" x14ac:dyDescent="0.3">
      <c r="A2011" s="2394" t="s">
        <v>5468</v>
      </c>
      <c r="B2011" s="2395" t="s">
        <v>4029</v>
      </c>
      <c r="C2011" s="2406">
        <v>1007500</v>
      </c>
      <c r="D2011" s="2396"/>
      <c r="E2011" s="2406">
        <v>0</v>
      </c>
      <c r="F2011" s="2406">
        <v>0</v>
      </c>
      <c r="G2011" s="2441">
        <v>0</v>
      </c>
      <c r="H2011" s="2407">
        <v>1007500</v>
      </c>
      <c r="I2011" s="2408"/>
      <c r="J2011" s="2408"/>
      <c r="K2011" s="2672" t="s">
        <v>6536</v>
      </c>
      <c r="L2011" s="2409"/>
    </row>
    <row r="2012" spans="1:12" ht="12" customHeight="1" x14ac:dyDescent="0.3">
      <c r="A2012" s="2394" t="s">
        <v>5469</v>
      </c>
      <c r="B2012" s="2395" t="s">
        <v>4035</v>
      </c>
      <c r="C2012" s="2406">
        <v>0</v>
      </c>
      <c r="D2012" s="2396"/>
      <c r="E2012" s="2406">
        <v>0</v>
      </c>
      <c r="F2012" s="2406">
        <v>0</v>
      </c>
      <c r="G2012" s="2441">
        <v>0</v>
      </c>
      <c r="H2012" s="2407">
        <v>0</v>
      </c>
      <c r="I2012" s="2408"/>
      <c r="J2012" s="2408"/>
      <c r="K2012" s="2672"/>
      <c r="L2012" s="2409"/>
    </row>
    <row r="2013" spans="1:12" ht="12" customHeight="1" x14ac:dyDescent="0.3">
      <c r="A2013" s="2394" t="s">
        <v>5470</v>
      </c>
      <c r="B2013" s="2395" t="s">
        <v>3720</v>
      </c>
      <c r="C2013" s="2406">
        <v>0</v>
      </c>
      <c r="D2013" s="2396"/>
      <c r="E2013" s="2406">
        <v>0</v>
      </c>
      <c r="F2013" s="2406">
        <v>0</v>
      </c>
      <c r="G2013" s="2441">
        <v>0</v>
      </c>
      <c r="H2013" s="2407">
        <v>0</v>
      </c>
      <c r="I2013" s="2408"/>
      <c r="J2013" s="2408"/>
      <c r="K2013" s="2672" t="s">
        <v>6515</v>
      </c>
      <c r="L2013" s="2409"/>
    </row>
    <row r="2014" spans="1:12" ht="12" customHeight="1" x14ac:dyDescent="0.3">
      <c r="A2014" s="2394" t="s">
        <v>5471</v>
      </c>
      <c r="B2014" s="2395" t="s">
        <v>3934</v>
      </c>
      <c r="C2014" s="2406">
        <v>0</v>
      </c>
      <c r="D2014" s="2396"/>
      <c r="E2014" s="2406">
        <v>0</v>
      </c>
      <c r="F2014" s="2406">
        <v>0</v>
      </c>
      <c r="G2014" s="2441">
        <v>0</v>
      </c>
      <c r="H2014" s="2407">
        <v>0</v>
      </c>
      <c r="I2014" s="2408"/>
      <c r="J2014" s="2408"/>
      <c r="K2014" s="2672" t="s">
        <v>6518</v>
      </c>
      <c r="L2014" s="2409"/>
    </row>
    <row r="2015" spans="1:12" ht="12.75" customHeight="1" x14ac:dyDescent="0.3">
      <c r="A2015" s="2394" t="s">
        <v>5472</v>
      </c>
      <c r="B2015" s="2395" t="s">
        <v>3723</v>
      </c>
      <c r="C2015" s="2406">
        <v>0</v>
      </c>
      <c r="D2015" s="2396"/>
      <c r="E2015" s="2406">
        <v>0</v>
      </c>
      <c r="F2015" s="2406">
        <v>0</v>
      </c>
      <c r="G2015" s="2441">
        <v>0</v>
      </c>
      <c r="H2015" s="2407">
        <v>0</v>
      </c>
      <c r="I2015" s="2408"/>
      <c r="J2015" s="2408"/>
      <c r="K2015" s="2672" t="s">
        <v>6521</v>
      </c>
      <c r="L2015" s="2409"/>
    </row>
    <row r="2016" spans="1:12" ht="12" customHeight="1" x14ac:dyDescent="0.3">
      <c r="A2016" s="2394" t="s">
        <v>5473</v>
      </c>
      <c r="B2016" s="2395" t="s">
        <v>3968</v>
      </c>
      <c r="C2016" s="2406">
        <v>0</v>
      </c>
      <c r="D2016" s="2396"/>
      <c r="E2016" s="2406">
        <v>0</v>
      </c>
      <c r="F2016" s="2406">
        <v>0</v>
      </c>
      <c r="G2016" s="2441">
        <v>0</v>
      </c>
      <c r="H2016" s="2407">
        <v>0</v>
      </c>
      <c r="I2016" s="2408"/>
      <c r="J2016" s="2408"/>
      <c r="K2016" s="2672" t="s">
        <v>6538</v>
      </c>
      <c r="L2016" s="2409"/>
    </row>
    <row r="2017" spans="1:18" ht="12" customHeight="1" x14ac:dyDescent="0.3">
      <c r="A2017" s="2394" t="s">
        <v>5474</v>
      </c>
      <c r="B2017" s="2395" t="s">
        <v>3718</v>
      </c>
      <c r="C2017" s="2406">
        <v>0</v>
      </c>
      <c r="D2017" s="2396"/>
      <c r="E2017" s="2406">
        <v>0</v>
      </c>
      <c r="F2017" s="2406">
        <v>0</v>
      </c>
      <c r="G2017" s="2441">
        <v>0</v>
      </c>
      <c r="H2017" s="2407">
        <v>0</v>
      </c>
      <c r="I2017" s="2408"/>
      <c r="J2017" s="2408"/>
      <c r="K2017" s="2672" t="s">
        <v>6516</v>
      </c>
      <c r="L2017" s="2409"/>
    </row>
    <row r="2018" spans="1:18" ht="12" customHeight="1" x14ac:dyDescent="0.3">
      <c r="A2018" s="2394" t="s">
        <v>5475</v>
      </c>
      <c r="B2018" s="2395" t="s">
        <v>3996</v>
      </c>
      <c r="C2018" s="2406">
        <v>0</v>
      </c>
      <c r="D2018" s="2396"/>
      <c r="E2018" s="2406">
        <v>0</v>
      </c>
      <c r="F2018" s="2406">
        <v>0</v>
      </c>
      <c r="G2018" s="2441">
        <v>0</v>
      </c>
      <c r="H2018" s="2407">
        <v>0</v>
      </c>
      <c r="I2018" s="2408"/>
      <c r="J2018" s="2408"/>
      <c r="K2018" s="2672" t="s">
        <v>6527</v>
      </c>
      <c r="L2018" s="2409"/>
    </row>
    <row r="2019" spans="1:18" ht="12" customHeight="1" x14ac:dyDescent="0.3">
      <c r="A2019" s="2394" t="s">
        <v>5476</v>
      </c>
      <c r="B2019" s="2395" t="s">
        <v>4029</v>
      </c>
      <c r="C2019" s="2406">
        <v>0</v>
      </c>
      <c r="D2019" s="2396"/>
      <c r="E2019" s="2406">
        <v>0</v>
      </c>
      <c r="F2019" s="2406">
        <v>0</v>
      </c>
      <c r="G2019" s="2441">
        <v>0</v>
      </c>
      <c r="H2019" s="2407">
        <v>0</v>
      </c>
      <c r="I2019" s="2408"/>
      <c r="J2019" s="2408"/>
      <c r="K2019" s="2672" t="s">
        <v>6518</v>
      </c>
      <c r="L2019" s="2409"/>
    </row>
    <row r="2020" spans="1:18" ht="12" customHeight="1" x14ac:dyDescent="0.3">
      <c r="A2020" s="2394" t="s">
        <v>5477</v>
      </c>
      <c r="B2020" s="2395" t="s">
        <v>4036</v>
      </c>
      <c r="C2020" s="2406">
        <v>0</v>
      </c>
      <c r="D2020" s="2396"/>
      <c r="E2020" s="2406">
        <v>0</v>
      </c>
      <c r="F2020" s="2406">
        <v>0</v>
      </c>
      <c r="G2020" s="2441">
        <v>0</v>
      </c>
      <c r="H2020" s="2407">
        <v>0</v>
      </c>
      <c r="I2020" s="2408"/>
      <c r="J2020" s="2408"/>
      <c r="K2020" s="2672"/>
      <c r="L2020" s="2409"/>
    </row>
    <row r="2021" spans="1:18" ht="12" customHeight="1" x14ac:dyDescent="0.3">
      <c r="A2021" s="2394" t="s">
        <v>5478</v>
      </c>
      <c r="B2021" s="2395" t="s">
        <v>3720</v>
      </c>
      <c r="C2021" s="2406">
        <v>9500</v>
      </c>
      <c r="D2021" s="2396"/>
      <c r="E2021" s="2406">
        <v>0</v>
      </c>
      <c r="F2021" s="2406">
        <v>0</v>
      </c>
      <c r="G2021" s="2441">
        <v>0</v>
      </c>
      <c r="H2021" s="2407">
        <v>9500</v>
      </c>
      <c r="I2021" s="2408"/>
      <c r="J2021" s="2408"/>
      <c r="K2021" s="2672" t="s">
        <v>6515</v>
      </c>
      <c r="L2021" s="2409"/>
    </row>
    <row r="2022" spans="1:18" ht="12" customHeight="1" x14ac:dyDescent="0.3">
      <c r="A2022" s="2394" t="s">
        <v>5479</v>
      </c>
      <c r="B2022" s="2395" t="s">
        <v>3934</v>
      </c>
      <c r="C2022" s="2406">
        <v>3128600</v>
      </c>
      <c r="D2022" s="2396"/>
      <c r="E2022" s="2406">
        <v>200000</v>
      </c>
      <c r="F2022" s="2406">
        <v>0</v>
      </c>
      <c r="G2022" s="2441">
        <v>200000</v>
      </c>
      <c r="H2022" s="2407">
        <v>3328600</v>
      </c>
      <c r="I2022" s="2408"/>
      <c r="J2022" s="2408"/>
      <c r="K2022" s="2672" t="s">
        <v>6518</v>
      </c>
      <c r="L2022" s="2409"/>
    </row>
    <row r="2023" spans="1:18" ht="12" customHeight="1" x14ac:dyDescent="0.3">
      <c r="A2023" s="2394" t="s">
        <v>5480</v>
      </c>
      <c r="B2023" s="2395" t="s">
        <v>3723</v>
      </c>
      <c r="C2023" s="2406">
        <v>0</v>
      </c>
      <c r="D2023" s="2396"/>
      <c r="E2023" s="2406">
        <v>0</v>
      </c>
      <c r="F2023" s="2406">
        <v>0</v>
      </c>
      <c r="G2023" s="2441">
        <v>0</v>
      </c>
      <c r="H2023" s="2407">
        <v>0</v>
      </c>
      <c r="I2023" s="2408"/>
      <c r="J2023" s="2408"/>
      <c r="K2023" s="2672" t="s">
        <v>6521</v>
      </c>
      <c r="L2023" s="2409"/>
    </row>
    <row r="2024" spans="1:18" ht="12" customHeight="1" x14ac:dyDescent="0.3">
      <c r="A2024" s="2394" t="s">
        <v>5481</v>
      </c>
      <c r="B2024" s="2395" t="s">
        <v>3968</v>
      </c>
      <c r="C2024" s="2406">
        <v>0</v>
      </c>
      <c r="D2024" s="2396"/>
      <c r="E2024" s="2406">
        <v>0</v>
      </c>
      <c r="F2024" s="2406">
        <v>0</v>
      </c>
      <c r="G2024" s="2441">
        <v>0</v>
      </c>
      <c r="H2024" s="2407">
        <v>0</v>
      </c>
      <c r="I2024" s="2408"/>
      <c r="J2024" s="2408"/>
      <c r="K2024" s="2672" t="s">
        <v>6538</v>
      </c>
      <c r="L2024" s="2409"/>
    </row>
    <row r="2025" spans="1:18" ht="12" customHeight="1" x14ac:dyDescent="0.3">
      <c r="A2025" s="2394" t="s">
        <v>5482</v>
      </c>
      <c r="B2025" s="2395" t="s">
        <v>3718</v>
      </c>
      <c r="C2025" s="2406">
        <v>308800</v>
      </c>
      <c r="D2025" s="2396"/>
      <c r="E2025" s="2406">
        <v>50000</v>
      </c>
      <c r="F2025" s="2406">
        <v>0</v>
      </c>
      <c r="G2025" s="2441">
        <v>50000</v>
      </c>
      <c r="H2025" s="2407">
        <v>358800</v>
      </c>
      <c r="I2025" s="2408"/>
      <c r="J2025" s="2408"/>
      <c r="K2025" s="2672" t="s">
        <v>6516</v>
      </c>
      <c r="L2025" s="2409"/>
    </row>
    <row r="2026" spans="1:18" ht="12" customHeight="1" x14ac:dyDescent="0.3">
      <c r="A2026" s="2394" t="s">
        <v>5483</v>
      </c>
      <c r="B2026" s="2395" t="s">
        <v>3996</v>
      </c>
      <c r="C2026" s="2406">
        <v>121200</v>
      </c>
      <c r="D2026" s="2396"/>
      <c r="E2026" s="2406">
        <v>0</v>
      </c>
      <c r="F2026" s="2406">
        <v>0</v>
      </c>
      <c r="G2026" s="2441">
        <v>0</v>
      </c>
      <c r="H2026" s="2407">
        <v>121200</v>
      </c>
      <c r="I2026" s="2408"/>
      <c r="J2026" s="2408"/>
      <c r="K2026" s="2672" t="s">
        <v>6527</v>
      </c>
      <c r="L2026" s="2409"/>
    </row>
    <row r="2027" spans="1:18" ht="12" customHeight="1" x14ac:dyDescent="0.3">
      <c r="A2027" s="2394" t="s">
        <v>5484</v>
      </c>
      <c r="B2027" s="2395" t="s">
        <v>4029</v>
      </c>
      <c r="C2027" s="2406">
        <v>22000</v>
      </c>
      <c r="D2027" s="2396"/>
      <c r="E2027" s="2406">
        <v>0</v>
      </c>
      <c r="F2027" s="2406">
        <v>0</v>
      </c>
      <c r="G2027" s="2441">
        <v>0</v>
      </c>
      <c r="H2027" s="2407">
        <v>22000</v>
      </c>
      <c r="I2027" s="2408"/>
      <c r="J2027" s="2408"/>
      <c r="K2027" s="2672" t="s">
        <v>6518</v>
      </c>
      <c r="L2027" s="2409"/>
    </row>
    <row r="2028" spans="1:18" ht="12.75" customHeight="1" x14ac:dyDescent="0.3">
      <c r="A2028" s="2394" t="s">
        <v>5485</v>
      </c>
      <c r="B2028" s="2395" t="s">
        <v>4037</v>
      </c>
      <c r="C2028" s="2406">
        <v>0</v>
      </c>
      <c r="D2028" s="2396"/>
      <c r="E2028" s="2406">
        <v>0</v>
      </c>
      <c r="F2028" s="2406">
        <v>0</v>
      </c>
      <c r="G2028" s="2441">
        <v>0</v>
      </c>
      <c r="H2028" s="2407">
        <v>0</v>
      </c>
      <c r="I2028" s="2408"/>
      <c r="J2028" s="2408"/>
      <c r="K2028" s="2672" t="s">
        <v>6515</v>
      </c>
      <c r="L2028" s="2409"/>
    </row>
    <row r="2029" spans="1:18" ht="15" customHeight="1" x14ac:dyDescent="0.3">
      <c r="A2029" s="2394" t="s">
        <v>5486</v>
      </c>
      <c r="B2029" s="2395" t="s">
        <v>3720</v>
      </c>
      <c r="C2029" s="2406">
        <v>236500</v>
      </c>
      <c r="D2029" s="2396"/>
      <c r="E2029" s="2406">
        <v>139000</v>
      </c>
      <c r="F2029" s="2406">
        <v>0</v>
      </c>
      <c r="G2029" s="2441">
        <v>139000</v>
      </c>
      <c r="H2029" s="2407">
        <v>375500</v>
      </c>
      <c r="I2029" s="2408"/>
      <c r="J2029" s="2408"/>
      <c r="K2029" s="2672" t="s">
        <v>6515</v>
      </c>
      <c r="L2029" s="2409"/>
    </row>
    <row r="2030" spans="1:18" ht="12" customHeight="1" x14ac:dyDescent="0.3">
      <c r="A2030" s="2394" t="s">
        <v>5487</v>
      </c>
      <c r="B2030" s="2395" t="s">
        <v>3934</v>
      </c>
      <c r="C2030" s="2406">
        <v>32000</v>
      </c>
      <c r="D2030" s="2396"/>
      <c r="E2030" s="2406">
        <v>46700</v>
      </c>
      <c r="F2030" s="2406">
        <v>0</v>
      </c>
      <c r="G2030" s="2441">
        <v>46700</v>
      </c>
      <c r="H2030" s="2407">
        <v>78700</v>
      </c>
      <c r="I2030" s="2408"/>
      <c r="J2030" s="2408"/>
      <c r="K2030" s="2672" t="s">
        <v>6518</v>
      </c>
      <c r="L2030" s="2409"/>
    </row>
    <row r="2031" spans="1:18" ht="12.75" customHeight="1" thickBot="1" x14ac:dyDescent="0.35">
      <c r="A2031" s="2394" t="s">
        <v>5488</v>
      </c>
      <c r="B2031" s="2395" t="s">
        <v>3723</v>
      </c>
      <c r="C2031" s="2406">
        <v>0</v>
      </c>
      <c r="D2031" s="2396"/>
      <c r="E2031" s="2406">
        <v>0</v>
      </c>
      <c r="F2031" s="2406">
        <v>0</v>
      </c>
      <c r="G2031" s="2441">
        <v>0</v>
      </c>
      <c r="H2031" s="2407">
        <v>0</v>
      </c>
      <c r="I2031" s="2408"/>
      <c r="J2031" s="2443"/>
      <c r="K2031" s="2672" t="s">
        <v>6521</v>
      </c>
      <c r="L2031" s="2444"/>
      <c r="M2031" s="2413"/>
      <c r="N2031" s="2413"/>
      <c r="O2031" s="2413"/>
      <c r="P2031" s="2413"/>
      <c r="Q2031" s="2413"/>
      <c r="R2031" s="2413"/>
    </row>
    <row r="2032" spans="1:18" ht="14.5" thickTop="1" x14ac:dyDescent="0.3">
      <c r="A2032" s="81" t="s">
        <v>5489</v>
      </c>
      <c r="B2032" s="2445" t="s">
        <v>3968</v>
      </c>
      <c r="C2032" s="2406">
        <v>0</v>
      </c>
      <c r="D2032" s="2396"/>
      <c r="E2032" s="2406">
        <v>0</v>
      </c>
      <c r="F2032" s="2406">
        <v>0</v>
      </c>
      <c r="G2032" s="2447">
        <v>0</v>
      </c>
      <c r="H2032" s="2407">
        <v>0</v>
      </c>
      <c r="I2032" s="2361"/>
      <c r="J2032" s="2361"/>
      <c r="K2032" s="2672" t="s">
        <v>6538</v>
      </c>
      <c r="L2032" s="2408"/>
    </row>
    <row r="2033" spans="1:12" x14ac:dyDescent="0.3">
      <c r="A2033" s="2364" t="s">
        <v>5490</v>
      </c>
      <c r="B2033" s="2365" t="s">
        <v>3718</v>
      </c>
      <c r="C2033" s="2406">
        <v>100000</v>
      </c>
      <c r="D2033" s="2396"/>
      <c r="E2033" s="2406">
        <v>40000</v>
      </c>
      <c r="F2033" s="2406">
        <v>0</v>
      </c>
      <c r="G2033" s="2366">
        <v>40000</v>
      </c>
      <c r="H2033" s="2407">
        <v>140000</v>
      </c>
      <c r="I2033" s="2361"/>
      <c r="J2033" s="2361"/>
      <c r="K2033" s="2672" t="s">
        <v>6516</v>
      </c>
      <c r="L2033" s="2408"/>
    </row>
    <row r="2034" spans="1:12" x14ac:dyDescent="0.3">
      <c r="A2034" s="2364" t="s">
        <v>5491</v>
      </c>
      <c r="B2034" s="2365" t="s">
        <v>3996</v>
      </c>
      <c r="C2034" s="2406">
        <v>0</v>
      </c>
      <c r="D2034" s="2396"/>
      <c r="E2034" s="2406">
        <v>0</v>
      </c>
      <c r="F2034" s="2406">
        <v>0</v>
      </c>
      <c r="G2034" s="2366">
        <v>0</v>
      </c>
      <c r="H2034" s="2407">
        <v>0</v>
      </c>
      <c r="I2034" s="2361"/>
      <c r="J2034" s="2361"/>
      <c r="K2034" s="2672" t="s">
        <v>6527</v>
      </c>
      <c r="L2034" s="2408"/>
    </row>
    <row r="2035" spans="1:12" x14ac:dyDescent="0.3">
      <c r="A2035" s="2364" t="s">
        <v>5492</v>
      </c>
      <c r="B2035" s="2365" t="s">
        <v>4029</v>
      </c>
      <c r="C2035" s="2406">
        <v>0</v>
      </c>
      <c r="D2035" s="2396"/>
      <c r="E2035" s="2406">
        <v>0</v>
      </c>
      <c r="F2035" s="2406">
        <v>0</v>
      </c>
      <c r="G2035" s="2366">
        <v>0</v>
      </c>
      <c r="H2035" s="2407">
        <v>0</v>
      </c>
      <c r="I2035" s="2361"/>
      <c r="J2035" s="2361"/>
      <c r="K2035" s="2672" t="s">
        <v>6518</v>
      </c>
      <c r="L2035" s="2408"/>
    </row>
    <row r="2036" spans="1:12" x14ac:dyDescent="0.3">
      <c r="A2036" s="2364" t="s">
        <v>5493</v>
      </c>
      <c r="B2036" s="2365" t="s">
        <v>3720</v>
      </c>
      <c r="C2036" s="2406">
        <v>0</v>
      </c>
      <c r="D2036" s="2396"/>
      <c r="E2036" s="2406">
        <v>0</v>
      </c>
      <c r="F2036" s="2406">
        <v>0</v>
      </c>
      <c r="G2036" s="2367">
        <v>0</v>
      </c>
      <c r="H2036" s="2407">
        <v>0</v>
      </c>
      <c r="I2036" s="2361"/>
      <c r="J2036" s="2361"/>
      <c r="K2036" s="2672" t="s">
        <v>6515</v>
      </c>
      <c r="L2036" s="2408"/>
    </row>
    <row r="2037" spans="1:12" x14ac:dyDescent="0.3">
      <c r="A2037" s="2364" t="s">
        <v>5494</v>
      </c>
      <c r="B2037" s="2365" t="s">
        <v>3934</v>
      </c>
      <c r="C2037" s="2406">
        <v>0</v>
      </c>
      <c r="D2037" s="2396"/>
      <c r="E2037" s="2406">
        <v>0</v>
      </c>
      <c r="F2037" s="2406">
        <v>0</v>
      </c>
      <c r="G2037" s="2367">
        <v>0</v>
      </c>
      <c r="H2037" s="2407">
        <v>0</v>
      </c>
      <c r="I2037" s="2361"/>
      <c r="J2037" s="2361"/>
      <c r="K2037" s="2679" t="s">
        <v>6518</v>
      </c>
      <c r="L2037" s="2408"/>
    </row>
    <row r="2038" spans="1:12" x14ac:dyDescent="0.3">
      <c r="A2038" s="2364" t="s">
        <v>5495</v>
      </c>
      <c r="B2038" s="2365" t="s">
        <v>3935</v>
      </c>
      <c r="C2038" s="2406">
        <v>0</v>
      </c>
      <c r="D2038" s="2396"/>
      <c r="E2038" s="2406">
        <v>0</v>
      </c>
      <c r="F2038" s="2406">
        <v>0</v>
      </c>
      <c r="G2038" s="2367">
        <v>0</v>
      </c>
      <c r="H2038" s="2407">
        <v>0</v>
      </c>
      <c r="I2038" s="2361"/>
      <c r="J2038" s="2361"/>
      <c r="K2038" s="2672" t="s">
        <v>6522</v>
      </c>
      <c r="L2038" s="2408"/>
    </row>
    <row r="2039" spans="1:12" x14ac:dyDescent="0.3">
      <c r="A2039" s="2364" t="s">
        <v>5496</v>
      </c>
      <c r="B2039" s="2365" t="s">
        <v>3968</v>
      </c>
      <c r="C2039" s="2406">
        <v>0</v>
      </c>
      <c r="D2039" s="2396"/>
      <c r="E2039" s="2406">
        <v>0</v>
      </c>
      <c r="F2039" s="2406">
        <v>0</v>
      </c>
      <c r="G2039" s="2367">
        <v>0</v>
      </c>
      <c r="H2039" s="2407">
        <v>0</v>
      </c>
      <c r="I2039" s="2361"/>
      <c r="J2039" s="2361"/>
      <c r="K2039" s="2679" t="s">
        <v>6538</v>
      </c>
      <c r="L2039" s="2408"/>
    </row>
    <row r="2040" spans="1:12" x14ac:dyDescent="0.3">
      <c r="A2040" s="2364" t="s">
        <v>5497</v>
      </c>
      <c r="B2040" s="2365" t="s">
        <v>3648</v>
      </c>
      <c r="C2040" s="2406">
        <v>0</v>
      </c>
      <c r="D2040" s="2396"/>
      <c r="E2040" s="2406">
        <v>0</v>
      </c>
      <c r="F2040" s="2406">
        <v>0</v>
      </c>
      <c r="G2040" s="2367">
        <v>0</v>
      </c>
      <c r="H2040" s="2407">
        <v>0</v>
      </c>
      <c r="I2040" s="2361"/>
      <c r="J2040" s="2361"/>
      <c r="K2040" s="2672" t="s">
        <v>6516</v>
      </c>
      <c r="L2040" s="2408"/>
    </row>
    <row r="2041" spans="1:12" x14ac:dyDescent="0.3">
      <c r="A2041" s="2364" t="s">
        <v>5498</v>
      </c>
      <c r="B2041" s="2365" t="s">
        <v>3996</v>
      </c>
      <c r="C2041" s="2406">
        <v>0</v>
      </c>
      <c r="D2041" s="2396"/>
      <c r="E2041" s="2406">
        <v>0</v>
      </c>
      <c r="F2041" s="2406">
        <v>0</v>
      </c>
      <c r="G2041" s="2367">
        <v>0</v>
      </c>
      <c r="H2041" s="2407">
        <v>0</v>
      </c>
      <c r="I2041" s="2361"/>
      <c r="J2041" s="2361"/>
      <c r="K2041" s="2672" t="s">
        <v>6527</v>
      </c>
      <c r="L2041" s="2408"/>
    </row>
    <row r="2042" spans="1:12" x14ac:dyDescent="0.3">
      <c r="A2042" s="2364" t="s">
        <v>5499</v>
      </c>
      <c r="B2042" s="2365" t="s">
        <v>350</v>
      </c>
      <c r="C2042" s="2406">
        <v>0</v>
      </c>
      <c r="D2042" s="2396"/>
      <c r="E2042" s="2406">
        <v>0</v>
      </c>
      <c r="F2042" s="2406">
        <v>0</v>
      </c>
      <c r="G2042" s="2367">
        <v>0</v>
      </c>
      <c r="H2042" s="2407">
        <v>0</v>
      </c>
      <c r="I2042" s="2361"/>
      <c r="J2042" s="2361"/>
      <c r="K2042" s="2672" t="s">
        <v>6518</v>
      </c>
      <c r="L2042" s="2408"/>
    </row>
    <row r="2043" spans="1:12" x14ac:dyDescent="0.3">
      <c r="A2043" s="2364" t="s">
        <v>5500</v>
      </c>
      <c r="B2043" s="2365" t="s">
        <v>3720</v>
      </c>
      <c r="C2043" s="2406">
        <v>0</v>
      </c>
      <c r="D2043" s="2396"/>
      <c r="E2043" s="2406">
        <v>0</v>
      </c>
      <c r="F2043" s="2406">
        <v>0</v>
      </c>
      <c r="G2043" s="2368">
        <v>0</v>
      </c>
      <c r="H2043" s="2407">
        <v>0</v>
      </c>
      <c r="I2043" s="2361"/>
      <c r="J2043" s="2361"/>
      <c r="K2043" s="2672" t="s">
        <v>6515</v>
      </c>
      <c r="L2043" s="2408"/>
    </row>
    <row r="2044" spans="1:12" x14ac:dyDescent="0.3">
      <c r="A2044" s="2364" t="s">
        <v>5501</v>
      </c>
      <c r="B2044" s="2365" t="s">
        <v>4046</v>
      </c>
      <c r="C2044" s="2406">
        <v>0</v>
      </c>
      <c r="D2044" s="2396"/>
      <c r="E2044" s="2406">
        <v>0</v>
      </c>
      <c r="F2044" s="2406">
        <v>0</v>
      </c>
      <c r="G2044" s="2368">
        <v>0</v>
      </c>
      <c r="H2044" s="2407">
        <v>0</v>
      </c>
      <c r="I2044" s="2361"/>
      <c r="J2044" s="2361"/>
      <c r="K2044" s="2679" t="s">
        <v>6533</v>
      </c>
      <c r="L2044" s="2408"/>
    </row>
    <row r="2045" spans="1:12" x14ac:dyDescent="0.3">
      <c r="A2045" s="2364" t="s">
        <v>5502</v>
      </c>
      <c r="B2045" s="2365" t="s">
        <v>4047</v>
      </c>
      <c r="C2045" s="2406">
        <v>0</v>
      </c>
      <c r="D2045" s="2396"/>
      <c r="E2045" s="2406">
        <v>0</v>
      </c>
      <c r="F2045" s="2406">
        <v>0</v>
      </c>
      <c r="G2045" s="2368">
        <v>0</v>
      </c>
      <c r="H2045" s="2407">
        <v>0</v>
      </c>
      <c r="I2045" s="2361"/>
      <c r="J2045" s="2361"/>
      <c r="K2045" s="2679" t="s">
        <v>6533</v>
      </c>
      <c r="L2045" s="2408"/>
    </row>
    <row r="2046" spans="1:12" x14ac:dyDescent="0.3">
      <c r="A2046" s="2364" t="s">
        <v>5503</v>
      </c>
      <c r="B2046" s="2365" t="s">
        <v>4048</v>
      </c>
      <c r="C2046" s="2406">
        <v>556900</v>
      </c>
      <c r="D2046" s="2396"/>
      <c r="E2046" s="2406">
        <v>0</v>
      </c>
      <c r="F2046" s="2406">
        <v>0</v>
      </c>
      <c r="G2046" s="2368">
        <v>0</v>
      </c>
      <c r="H2046" s="2407">
        <v>556900</v>
      </c>
      <c r="I2046" s="2361"/>
      <c r="J2046" s="2361"/>
      <c r="K2046" s="2679" t="s">
        <v>6533</v>
      </c>
      <c r="L2046" s="2408"/>
    </row>
    <row r="2047" spans="1:12" x14ac:dyDescent="0.3">
      <c r="A2047" s="81" t="s">
        <v>5504</v>
      </c>
      <c r="B2047" s="2445" t="s">
        <v>3935</v>
      </c>
      <c r="C2047" s="2406">
        <v>0</v>
      </c>
      <c r="D2047" s="2396"/>
      <c r="E2047" s="2406">
        <v>0</v>
      </c>
      <c r="F2047" s="2406">
        <v>0</v>
      </c>
      <c r="G2047" s="2449">
        <v>0</v>
      </c>
      <c r="H2047" s="2407">
        <v>0</v>
      </c>
      <c r="I2047" s="2413"/>
      <c r="J2047" s="2413"/>
      <c r="K2047" s="2672" t="s">
        <v>6522</v>
      </c>
      <c r="L2047" s="2408"/>
    </row>
    <row r="2048" spans="1:12" x14ac:dyDescent="0.3">
      <c r="A2048" s="81" t="s">
        <v>5505</v>
      </c>
      <c r="B2048" s="2445" t="s">
        <v>3968</v>
      </c>
      <c r="C2048" s="2406">
        <v>0</v>
      </c>
      <c r="D2048" s="2396"/>
      <c r="E2048" s="2406">
        <v>0</v>
      </c>
      <c r="F2048" s="2406">
        <v>0</v>
      </c>
      <c r="G2048" s="2449">
        <v>0</v>
      </c>
      <c r="H2048" s="2407">
        <v>0</v>
      </c>
      <c r="I2048" s="2413"/>
      <c r="J2048" s="2413"/>
      <c r="K2048" s="2679" t="s">
        <v>6538</v>
      </c>
      <c r="L2048" s="2408"/>
    </row>
    <row r="2049" spans="1:12" x14ac:dyDescent="0.3">
      <c r="A2049" s="81" t="s">
        <v>5506</v>
      </c>
      <c r="B2049" s="2445" t="s">
        <v>3648</v>
      </c>
      <c r="C2049" s="2406">
        <v>0</v>
      </c>
      <c r="D2049" s="2396"/>
      <c r="E2049" s="2406">
        <v>0</v>
      </c>
      <c r="F2049" s="2406">
        <v>0</v>
      </c>
      <c r="G2049" s="2449">
        <v>0</v>
      </c>
      <c r="H2049" s="2407">
        <v>0</v>
      </c>
      <c r="I2049" s="2413"/>
      <c r="J2049" s="2413"/>
      <c r="K2049" s="2672" t="s">
        <v>6516</v>
      </c>
      <c r="L2049" s="2408"/>
    </row>
    <row r="2050" spans="1:12" x14ac:dyDescent="0.3">
      <c r="A2050" s="81" t="s">
        <v>5507</v>
      </c>
      <c r="B2050" s="2445" t="s">
        <v>3996</v>
      </c>
      <c r="C2050" s="2406">
        <v>0</v>
      </c>
      <c r="D2050" s="2396"/>
      <c r="E2050" s="2406">
        <v>0</v>
      </c>
      <c r="F2050" s="2406">
        <v>0</v>
      </c>
      <c r="G2050" s="2449">
        <v>0</v>
      </c>
      <c r="H2050" s="2407">
        <v>0</v>
      </c>
      <c r="I2050" s="2413"/>
      <c r="J2050" s="2413"/>
      <c r="K2050" s="2672" t="s">
        <v>6527</v>
      </c>
      <c r="L2050" s="2408"/>
    </row>
    <row r="2051" spans="1:12" x14ac:dyDescent="0.3">
      <c r="A2051" s="81" t="s">
        <v>5508</v>
      </c>
      <c r="B2051" s="2445" t="s">
        <v>350</v>
      </c>
      <c r="C2051" s="2406">
        <v>0</v>
      </c>
      <c r="D2051" s="2396"/>
      <c r="E2051" s="2406">
        <v>0</v>
      </c>
      <c r="F2051" s="2406">
        <v>0</v>
      </c>
      <c r="G2051" s="2449">
        <v>0</v>
      </c>
      <c r="H2051" s="2407">
        <v>0</v>
      </c>
      <c r="I2051" s="2413"/>
      <c r="J2051" s="2413"/>
      <c r="K2051" s="2679" t="s">
        <v>6536</v>
      </c>
      <c r="L2051" s="2408"/>
    </row>
    <row r="2052" spans="1:12" x14ac:dyDescent="0.3">
      <c r="A2052" s="81" t="s">
        <v>5509</v>
      </c>
      <c r="B2052" s="2445" t="s">
        <v>4051</v>
      </c>
      <c r="C2052" s="2406">
        <v>0</v>
      </c>
      <c r="D2052" s="2396"/>
      <c r="E2052" s="2406">
        <v>0</v>
      </c>
      <c r="F2052" s="2406">
        <v>0</v>
      </c>
      <c r="G2052" s="2450">
        <v>0</v>
      </c>
      <c r="H2052" s="2407">
        <v>0</v>
      </c>
      <c r="I2052" s="2413"/>
      <c r="J2052" s="2413"/>
      <c r="K2052" s="2672"/>
      <c r="L2052" s="2408"/>
    </row>
    <row r="2053" spans="1:12" x14ac:dyDescent="0.3">
      <c r="A2053" s="81" t="s">
        <v>5510</v>
      </c>
      <c r="B2053" s="2445" t="s">
        <v>3720</v>
      </c>
      <c r="C2053" s="2406">
        <v>0</v>
      </c>
      <c r="D2053" s="2396"/>
      <c r="E2053" s="2406">
        <v>0</v>
      </c>
      <c r="F2053" s="2406">
        <v>0</v>
      </c>
      <c r="G2053" s="2450">
        <v>0</v>
      </c>
      <c r="H2053" s="2407">
        <v>0</v>
      </c>
      <c r="I2053" s="2413"/>
      <c r="J2053" s="2413"/>
      <c r="K2053" s="2672" t="s">
        <v>6515</v>
      </c>
      <c r="L2053" s="2408"/>
    </row>
    <row r="2054" spans="1:12" x14ac:dyDescent="0.3">
      <c r="A2054" s="81" t="s">
        <v>5511</v>
      </c>
      <c r="B2054" s="2445" t="s">
        <v>3993</v>
      </c>
      <c r="C2054" s="2406">
        <v>0</v>
      </c>
      <c r="D2054" s="2396"/>
      <c r="E2054" s="2406">
        <v>0</v>
      </c>
      <c r="F2054" s="2406">
        <v>0</v>
      </c>
      <c r="G2054" s="2450">
        <v>0</v>
      </c>
      <c r="H2054" s="2407">
        <v>0</v>
      </c>
      <c r="I2054" s="2413"/>
      <c r="J2054" s="2413"/>
      <c r="K2054" s="2672" t="s">
        <v>6518</v>
      </c>
      <c r="L2054" s="2408"/>
    </row>
    <row r="2055" spans="1:12" x14ac:dyDescent="0.3">
      <c r="A2055" s="81" t="s">
        <v>5512</v>
      </c>
      <c r="B2055" s="2445" t="s">
        <v>3998</v>
      </c>
      <c r="C2055" s="2406">
        <v>0</v>
      </c>
      <c r="D2055" s="2396"/>
      <c r="E2055" s="2406">
        <v>0</v>
      </c>
      <c r="F2055" s="2406">
        <v>0</v>
      </c>
      <c r="G2055" s="2450">
        <v>0</v>
      </c>
      <c r="H2055" s="2407">
        <v>0</v>
      </c>
      <c r="I2055" s="2413"/>
      <c r="J2055" s="2413"/>
      <c r="K2055" s="2672" t="s">
        <v>6518</v>
      </c>
      <c r="L2055" s="2408"/>
    </row>
    <row r="2056" spans="1:12" x14ac:dyDescent="0.3">
      <c r="A2056" s="81" t="s">
        <v>5513</v>
      </c>
      <c r="B2056" s="2445" t="s">
        <v>4048</v>
      </c>
      <c r="C2056" s="2406">
        <v>0</v>
      </c>
      <c r="D2056" s="2396"/>
      <c r="E2056" s="2406">
        <v>0</v>
      </c>
      <c r="F2056" s="2406">
        <v>0</v>
      </c>
      <c r="G2056" s="2450">
        <v>0</v>
      </c>
      <c r="H2056" s="2407">
        <v>0</v>
      </c>
      <c r="I2056" s="2413"/>
      <c r="J2056" s="2413"/>
      <c r="K2056" s="2672" t="s">
        <v>6518</v>
      </c>
      <c r="L2056" s="2408"/>
    </row>
    <row r="2057" spans="1:12" x14ac:dyDescent="0.3">
      <c r="A2057" s="81" t="s">
        <v>5514</v>
      </c>
      <c r="B2057" s="2445" t="s">
        <v>3935</v>
      </c>
      <c r="C2057" s="2406">
        <v>0</v>
      </c>
      <c r="D2057" s="2396"/>
      <c r="E2057" s="2406">
        <v>0</v>
      </c>
      <c r="F2057" s="2406">
        <v>0</v>
      </c>
      <c r="G2057" s="2450">
        <v>0</v>
      </c>
      <c r="H2057" s="2407">
        <v>0</v>
      </c>
      <c r="I2057" s="2413"/>
      <c r="J2057" s="2413"/>
      <c r="K2057" s="2672" t="s">
        <v>6522</v>
      </c>
      <c r="L2057" s="2408"/>
    </row>
    <row r="2058" spans="1:12" x14ac:dyDescent="0.3">
      <c r="A2058" s="81" t="s">
        <v>5515</v>
      </c>
      <c r="B2058" s="2445" t="s">
        <v>3968</v>
      </c>
      <c r="C2058" s="2406">
        <v>0</v>
      </c>
      <c r="D2058" s="2396"/>
      <c r="E2058" s="2406">
        <v>0</v>
      </c>
      <c r="F2058" s="2406">
        <v>0</v>
      </c>
      <c r="G2058" s="2450">
        <v>0</v>
      </c>
      <c r="H2058" s="2407">
        <v>0</v>
      </c>
      <c r="I2058" s="2413"/>
      <c r="J2058" s="2413"/>
      <c r="K2058" s="2672" t="s">
        <v>6538</v>
      </c>
      <c r="L2058" s="2408"/>
    </row>
    <row r="2059" spans="1:12" x14ac:dyDescent="0.3">
      <c r="A2059" s="81" t="s">
        <v>5516</v>
      </c>
      <c r="B2059" s="2445" t="s">
        <v>3648</v>
      </c>
      <c r="C2059" s="2406">
        <v>0</v>
      </c>
      <c r="D2059" s="2396"/>
      <c r="E2059" s="2406">
        <v>0</v>
      </c>
      <c r="F2059" s="2406">
        <v>0</v>
      </c>
      <c r="G2059" s="2450">
        <v>0</v>
      </c>
      <c r="H2059" s="2407">
        <v>0</v>
      </c>
      <c r="I2059" s="2413"/>
      <c r="J2059" s="2413"/>
      <c r="K2059" s="2672" t="s">
        <v>6516</v>
      </c>
      <c r="L2059" s="2408"/>
    </row>
    <row r="2060" spans="1:12" x14ac:dyDescent="0.3">
      <c r="A2060" s="81" t="s">
        <v>5517</v>
      </c>
      <c r="B2060" s="2445" t="s">
        <v>3996</v>
      </c>
      <c r="C2060" s="2406">
        <v>0</v>
      </c>
      <c r="D2060" s="2396"/>
      <c r="E2060" s="2406">
        <v>0</v>
      </c>
      <c r="F2060" s="2406">
        <v>0</v>
      </c>
      <c r="G2060" s="2450">
        <v>0</v>
      </c>
      <c r="H2060" s="2407">
        <v>0</v>
      </c>
      <c r="I2060" s="2413"/>
      <c r="J2060" s="2413"/>
      <c r="K2060" s="2672" t="s">
        <v>6527</v>
      </c>
      <c r="L2060" s="2408"/>
    </row>
    <row r="2061" spans="1:12" x14ac:dyDescent="0.3">
      <c r="A2061" s="81" t="s">
        <v>5518</v>
      </c>
      <c r="B2061" s="2445" t="s">
        <v>350</v>
      </c>
      <c r="C2061" s="2406">
        <v>0</v>
      </c>
      <c r="D2061" s="2396"/>
      <c r="E2061" s="2406">
        <v>0</v>
      </c>
      <c r="F2061" s="2406">
        <v>0</v>
      </c>
      <c r="G2061" s="2450">
        <v>0</v>
      </c>
      <c r="H2061" s="2407">
        <v>0</v>
      </c>
      <c r="I2061" s="2413"/>
      <c r="J2061" s="2413"/>
      <c r="K2061" s="2672" t="s">
        <v>6518</v>
      </c>
      <c r="L2061" s="2408"/>
    </row>
    <row r="2062" spans="1:12" x14ac:dyDescent="0.3">
      <c r="A2062" s="81" t="s">
        <v>5519</v>
      </c>
      <c r="B2062" s="2445" t="s">
        <v>4052</v>
      </c>
      <c r="C2062" s="2406">
        <v>0</v>
      </c>
      <c r="D2062" s="2396"/>
      <c r="E2062" s="2406">
        <v>0</v>
      </c>
      <c r="F2062" s="2406">
        <v>0</v>
      </c>
      <c r="G2062" s="2450">
        <v>0</v>
      </c>
      <c r="H2062" s="2407">
        <v>0</v>
      </c>
      <c r="I2062" s="2413"/>
      <c r="J2062" s="2413"/>
      <c r="K2062" s="2672"/>
      <c r="L2062" s="2408"/>
    </row>
    <row r="2063" spans="1:12" x14ac:dyDescent="0.3">
      <c r="A2063" s="81" t="s">
        <v>5520</v>
      </c>
      <c r="B2063" s="2445" t="s">
        <v>3720</v>
      </c>
      <c r="C2063" s="2406">
        <v>0</v>
      </c>
      <c r="D2063" s="2396"/>
      <c r="E2063" s="2406">
        <v>0</v>
      </c>
      <c r="F2063" s="2406">
        <v>0</v>
      </c>
      <c r="G2063" s="2450">
        <v>0</v>
      </c>
      <c r="H2063" s="2407">
        <v>0</v>
      </c>
      <c r="I2063" s="2413"/>
      <c r="J2063" s="2413"/>
      <c r="K2063" s="2672" t="s">
        <v>6515</v>
      </c>
      <c r="L2063" s="2408"/>
    </row>
    <row r="2064" spans="1:12" x14ac:dyDescent="0.3">
      <c r="A2064" s="81" t="s">
        <v>5521</v>
      </c>
      <c r="B2064" s="2445" t="s">
        <v>3993</v>
      </c>
      <c r="C2064" s="2406">
        <v>0</v>
      </c>
      <c r="D2064" s="2396"/>
      <c r="E2064" s="2406">
        <v>0</v>
      </c>
      <c r="F2064" s="2406">
        <v>0</v>
      </c>
      <c r="G2064" s="2450">
        <v>0</v>
      </c>
      <c r="H2064" s="2407">
        <v>0</v>
      </c>
      <c r="I2064" s="2413"/>
      <c r="J2064" s="2413"/>
      <c r="K2064" s="2672" t="s">
        <v>6518</v>
      </c>
      <c r="L2064" s="2408"/>
    </row>
    <row r="2065" spans="1:12" x14ac:dyDescent="0.3">
      <c r="A2065" s="81" t="s">
        <v>5522</v>
      </c>
      <c r="B2065" s="2445" t="s">
        <v>3998</v>
      </c>
      <c r="C2065" s="2406">
        <v>0</v>
      </c>
      <c r="D2065" s="2396"/>
      <c r="E2065" s="2406">
        <v>0</v>
      </c>
      <c r="F2065" s="2406">
        <v>0</v>
      </c>
      <c r="G2065" s="2450">
        <v>0</v>
      </c>
      <c r="H2065" s="2407">
        <v>0</v>
      </c>
      <c r="I2065" s="2413"/>
      <c r="J2065" s="2413"/>
      <c r="K2065" s="2672" t="s">
        <v>6515</v>
      </c>
      <c r="L2065" s="2408"/>
    </row>
    <row r="2066" spans="1:12" x14ac:dyDescent="0.3">
      <c r="A2066" s="81" t="s">
        <v>5523</v>
      </c>
      <c r="B2066" s="2445" t="s">
        <v>4048</v>
      </c>
      <c r="C2066" s="2406">
        <v>0</v>
      </c>
      <c r="D2066" s="2396"/>
      <c r="E2066" s="2406">
        <v>0</v>
      </c>
      <c r="F2066" s="2406">
        <v>0</v>
      </c>
      <c r="G2066" s="2450">
        <v>0</v>
      </c>
      <c r="H2066" s="2407">
        <v>0</v>
      </c>
      <c r="I2066" s="2413"/>
      <c r="J2066" s="2413"/>
      <c r="K2066" s="2672" t="s">
        <v>6515</v>
      </c>
      <c r="L2066" s="2408"/>
    </row>
    <row r="2067" spans="1:12" x14ac:dyDescent="0.3">
      <c r="A2067" s="81" t="s">
        <v>5524</v>
      </c>
      <c r="B2067" s="2445" t="s">
        <v>3935</v>
      </c>
      <c r="C2067" s="2406">
        <v>0</v>
      </c>
      <c r="D2067" s="2396"/>
      <c r="E2067" s="2406">
        <v>0</v>
      </c>
      <c r="F2067" s="2406">
        <v>0</v>
      </c>
      <c r="G2067" s="2450">
        <v>0</v>
      </c>
      <c r="H2067" s="2407">
        <v>0</v>
      </c>
      <c r="I2067" s="2413"/>
      <c r="J2067" s="2413"/>
      <c r="K2067" s="2672" t="s">
        <v>6522</v>
      </c>
      <c r="L2067" s="2408"/>
    </row>
    <row r="2068" spans="1:12" x14ac:dyDescent="0.3">
      <c r="A2068" s="81" t="s">
        <v>5525</v>
      </c>
      <c r="B2068" s="2445" t="s">
        <v>3968</v>
      </c>
      <c r="C2068" s="2406">
        <v>0</v>
      </c>
      <c r="D2068" s="2396"/>
      <c r="E2068" s="2406">
        <v>0</v>
      </c>
      <c r="F2068" s="2406">
        <v>0</v>
      </c>
      <c r="G2068" s="2450">
        <v>0</v>
      </c>
      <c r="H2068" s="2407">
        <v>0</v>
      </c>
      <c r="I2068" s="2413"/>
      <c r="J2068" s="2413"/>
      <c r="K2068" s="2672" t="s">
        <v>6538</v>
      </c>
      <c r="L2068" s="2408"/>
    </row>
    <row r="2069" spans="1:12" x14ac:dyDescent="0.3">
      <c r="A2069" s="81" t="s">
        <v>5526</v>
      </c>
      <c r="B2069" s="2445" t="s">
        <v>3648</v>
      </c>
      <c r="C2069" s="2406">
        <v>0</v>
      </c>
      <c r="D2069" s="2396"/>
      <c r="E2069" s="2406">
        <v>0</v>
      </c>
      <c r="F2069" s="2406">
        <v>0</v>
      </c>
      <c r="G2069" s="2450">
        <v>0</v>
      </c>
      <c r="H2069" s="2407">
        <v>0</v>
      </c>
      <c r="I2069" s="2413"/>
      <c r="J2069" s="2413"/>
      <c r="K2069" s="2672" t="s">
        <v>6516</v>
      </c>
      <c r="L2069" s="2408"/>
    </row>
    <row r="2070" spans="1:12" x14ac:dyDescent="0.3">
      <c r="A2070" s="81" t="s">
        <v>5527</v>
      </c>
      <c r="B2070" s="2445" t="s">
        <v>3996</v>
      </c>
      <c r="C2070" s="2406">
        <v>0</v>
      </c>
      <c r="D2070" s="2396"/>
      <c r="E2070" s="2406">
        <v>0</v>
      </c>
      <c r="F2070" s="2406">
        <v>0</v>
      </c>
      <c r="G2070" s="2450">
        <v>0</v>
      </c>
      <c r="H2070" s="2407">
        <v>0</v>
      </c>
      <c r="I2070" s="2413"/>
      <c r="J2070" s="2413"/>
      <c r="K2070" s="2672" t="s">
        <v>6527</v>
      </c>
      <c r="L2070" s="2408"/>
    </row>
    <row r="2071" spans="1:12" x14ac:dyDescent="0.3">
      <c r="A2071" s="81" t="s">
        <v>5528</v>
      </c>
      <c r="B2071" s="2445" t="s">
        <v>350</v>
      </c>
      <c r="C2071" s="2406">
        <v>0</v>
      </c>
      <c r="D2071" s="2396"/>
      <c r="E2071" s="2406">
        <v>0</v>
      </c>
      <c r="F2071" s="2406">
        <v>0</v>
      </c>
      <c r="G2071" s="2450">
        <v>0</v>
      </c>
      <c r="H2071" s="2407">
        <v>0</v>
      </c>
      <c r="I2071" s="2413"/>
      <c r="J2071" s="2413"/>
      <c r="K2071" s="2672" t="s">
        <v>6518</v>
      </c>
      <c r="L2071" s="2408"/>
    </row>
    <row r="2072" spans="1:12" x14ac:dyDescent="0.3">
      <c r="A2072" s="81" t="s">
        <v>5529</v>
      </c>
      <c r="B2072" s="2445" t="s">
        <v>4055</v>
      </c>
      <c r="C2072" s="2406">
        <v>0</v>
      </c>
      <c r="D2072" s="2396"/>
      <c r="E2072" s="2406">
        <v>0</v>
      </c>
      <c r="F2072" s="2406">
        <v>0</v>
      </c>
      <c r="G2072" s="2449">
        <v>0</v>
      </c>
      <c r="H2072" s="2407">
        <v>0</v>
      </c>
      <c r="I2072" s="2413"/>
      <c r="J2072" s="2413"/>
      <c r="K2072" s="2672"/>
      <c r="L2072" s="2408"/>
    </row>
    <row r="2073" spans="1:12" x14ac:dyDescent="0.3">
      <c r="A2073" s="81" t="s">
        <v>5530</v>
      </c>
      <c r="B2073" s="2445" t="s">
        <v>3720</v>
      </c>
      <c r="C2073" s="2406">
        <v>0</v>
      </c>
      <c r="D2073" s="2396"/>
      <c r="E2073" s="2406">
        <v>0</v>
      </c>
      <c r="F2073" s="2406">
        <v>0</v>
      </c>
      <c r="G2073" s="2449">
        <v>0</v>
      </c>
      <c r="H2073" s="2407">
        <v>0</v>
      </c>
      <c r="I2073" s="2413"/>
      <c r="J2073" s="2413"/>
      <c r="K2073" s="2672" t="s">
        <v>6515</v>
      </c>
      <c r="L2073" s="2408"/>
    </row>
    <row r="2074" spans="1:12" x14ac:dyDescent="0.3">
      <c r="A2074" s="81" t="s">
        <v>5531</v>
      </c>
      <c r="B2074" s="2445" t="s">
        <v>3932</v>
      </c>
      <c r="C2074" s="2406">
        <v>2722900</v>
      </c>
      <c r="D2074" s="2396"/>
      <c r="E2074" s="2406">
        <v>0</v>
      </c>
      <c r="F2074" s="2406">
        <v>0</v>
      </c>
      <c r="G2074" s="2449">
        <v>0</v>
      </c>
      <c r="H2074" s="2407">
        <v>2722900</v>
      </c>
      <c r="I2074" s="2413"/>
      <c r="J2074" s="2413"/>
      <c r="K2074" s="2672" t="s">
        <v>6517</v>
      </c>
      <c r="L2074" s="2408"/>
    </row>
    <row r="2075" spans="1:12" x14ac:dyDescent="0.3">
      <c r="A2075" s="81" t="s">
        <v>5532</v>
      </c>
      <c r="B2075" s="2445" t="s">
        <v>3723</v>
      </c>
      <c r="C2075" s="2406">
        <v>0</v>
      </c>
      <c r="D2075" s="2396"/>
      <c r="E2075" s="2406">
        <v>0</v>
      </c>
      <c r="F2075" s="2406">
        <v>0</v>
      </c>
      <c r="G2075" s="2449">
        <v>0</v>
      </c>
      <c r="H2075" s="2407">
        <v>0</v>
      </c>
      <c r="I2075" s="2413"/>
      <c r="J2075" s="2413"/>
      <c r="K2075" s="2672" t="s">
        <v>6521</v>
      </c>
      <c r="L2075" s="2408"/>
    </row>
    <row r="2076" spans="1:12" x14ac:dyDescent="0.3">
      <c r="A2076" s="81" t="s">
        <v>5533</v>
      </c>
      <c r="B2076" s="2445" t="s">
        <v>3648</v>
      </c>
      <c r="C2076" s="2406">
        <v>6423100</v>
      </c>
      <c r="D2076" s="2396"/>
      <c r="E2076" s="2406">
        <v>0</v>
      </c>
      <c r="F2076" s="2406">
        <v>0</v>
      </c>
      <c r="G2076" s="2449">
        <v>0</v>
      </c>
      <c r="H2076" s="2407">
        <v>6423100</v>
      </c>
      <c r="I2076" s="2413"/>
      <c r="J2076" s="2413"/>
      <c r="K2076" s="2672" t="s">
        <v>6516</v>
      </c>
      <c r="L2076" s="2408"/>
    </row>
    <row r="2077" spans="1:12" x14ac:dyDescent="0.3">
      <c r="A2077" s="81" t="s">
        <v>5534</v>
      </c>
      <c r="B2077" s="2445" t="s">
        <v>4056</v>
      </c>
      <c r="C2077" s="2406">
        <v>0</v>
      </c>
      <c r="D2077" s="2396"/>
      <c r="E2077" s="2406">
        <v>0</v>
      </c>
      <c r="F2077" s="2406">
        <v>0</v>
      </c>
      <c r="G2077" s="2449">
        <v>0</v>
      </c>
      <c r="H2077" s="2407">
        <v>0</v>
      </c>
      <c r="I2077" s="2413"/>
      <c r="J2077" s="2413"/>
      <c r="K2077" s="2672" t="s">
        <v>6519</v>
      </c>
      <c r="L2077" s="2408"/>
    </row>
    <row r="2078" spans="1:12" x14ac:dyDescent="0.3">
      <c r="A2078" s="81" t="s">
        <v>5535</v>
      </c>
      <c r="B2078" s="2445" t="s">
        <v>3934</v>
      </c>
      <c r="C2078" s="2406">
        <v>3394500</v>
      </c>
      <c r="D2078" s="2396"/>
      <c r="E2078" s="2406">
        <v>0</v>
      </c>
      <c r="F2078" s="2406">
        <v>0</v>
      </c>
      <c r="G2078" s="2449">
        <v>0</v>
      </c>
      <c r="H2078" s="2407">
        <v>3394500</v>
      </c>
      <c r="I2078" s="2413"/>
      <c r="J2078" s="2413"/>
      <c r="K2078" s="2672" t="s">
        <v>6518</v>
      </c>
      <c r="L2078" s="2408"/>
    </row>
    <row r="2079" spans="1:12" x14ac:dyDescent="0.3">
      <c r="A2079" s="81" t="s">
        <v>5536</v>
      </c>
      <c r="B2079" s="2445" t="s">
        <v>3968</v>
      </c>
      <c r="C2079" s="2406">
        <v>0</v>
      </c>
      <c r="D2079" s="2396"/>
      <c r="E2079" s="2406">
        <v>0</v>
      </c>
      <c r="F2079" s="2406">
        <v>0</v>
      </c>
      <c r="G2079" s="2449">
        <v>0</v>
      </c>
      <c r="H2079" s="2407">
        <v>0</v>
      </c>
      <c r="I2079" s="2413"/>
      <c r="J2079" s="2413"/>
      <c r="K2079" s="2672" t="s">
        <v>6538</v>
      </c>
      <c r="L2079" s="2408"/>
    </row>
    <row r="2080" spans="1:12" x14ac:dyDescent="0.3">
      <c r="A2080" s="81" t="s">
        <v>5537</v>
      </c>
      <c r="B2080" s="2445" t="s">
        <v>350</v>
      </c>
      <c r="C2080" s="2406">
        <v>4000000</v>
      </c>
      <c r="D2080" s="2396"/>
      <c r="E2080" s="2406">
        <v>0</v>
      </c>
      <c r="F2080" s="2406">
        <v>0</v>
      </c>
      <c r="G2080" s="2449">
        <v>0</v>
      </c>
      <c r="H2080" s="2407">
        <v>4000000</v>
      </c>
      <c r="I2080" s="2413"/>
      <c r="J2080" s="2413"/>
      <c r="K2080" s="2672" t="s">
        <v>6518</v>
      </c>
      <c r="L2080" s="2408"/>
    </row>
    <row r="2081" spans="1:12" x14ac:dyDescent="0.3">
      <c r="A2081" s="81" t="s">
        <v>5538</v>
      </c>
      <c r="B2081" s="2445" t="s">
        <v>4057</v>
      </c>
      <c r="C2081" s="2406">
        <v>0</v>
      </c>
      <c r="D2081" s="2396"/>
      <c r="E2081" s="2406">
        <v>0</v>
      </c>
      <c r="F2081" s="2406">
        <v>0</v>
      </c>
      <c r="G2081" s="2449">
        <v>0</v>
      </c>
      <c r="H2081" s="2407">
        <v>0</v>
      </c>
      <c r="I2081" s="2413"/>
      <c r="J2081" s="2413"/>
      <c r="K2081" s="2672"/>
      <c r="L2081" s="2408"/>
    </row>
    <row r="2082" spans="1:12" x14ac:dyDescent="0.3">
      <c r="A2082" s="81" t="s">
        <v>5539</v>
      </c>
      <c r="B2082" s="2445" t="s">
        <v>4058</v>
      </c>
      <c r="C2082" s="2406">
        <v>0</v>
      </c>
      <c r="D2082" s="2396"/>
      <c r="E2082" s="2406">
        <v>0</v>
      </c>
      <c r="F2082" s="2406">
        <v>0</v>
      </c>
      <c r="G2082" s="2449">
        <v>0</v>
      </c>
      <c r="H2082" s="2407">
        <v>0</v>
      </c>
      <c r="I2082" s="2413"/>
      <c r="J2082" s="2413"/>
      <c r="K2082" s="2672" t="s">
        <v>6517</v>
      </c>
      <c r="L2082" s="2408"/>
    </row>
    <row r="2083" spans="1:12" x14ac:dyDescent="0.3">
      <c r="A2083" s="81" t="s">
        <v>5540</v>
      </c>
      <c r="B2083" s="2445" t="s">
        <v>4059</v>
      </c>
      <c r="C2083" s="2406">
        <v>0</v>
      </c>
      <c r="D2083" s="2396"/>
      <c r="E2083" s="2406">
        <v>0</v>
      </c>
      <c r="F2083" s="2406">
        <v>0</v>
      </c>
      <c r="G2083" s="2449">
        <v>0</v>
      </c>
      <c r="H2083" s="2407">
        <v>0</v>
      </c>
      <c r="I2083" s="2413"/>
      <c r="J2083" s="2413"/>
      <c r="K2083" s="2672" t="s">
        <v>6541</v>
      </c>
      <c r="L2083" s="2408"/>
    </row>
    <row r="2084" spans="1:12" x14ac:dyDescent="0.3">
      <c r="A2084" s="81" t="s">
        <v>5541</v>
      </c>
      <c r="B2084" s="2445" t="s">
        <v>4060</v>
      </c>
      <c r="C2084" s="2406">
        <v>0</v>
      </c>
      <c r="D2084" s="2396"/>
      <c r="E2084" s="2406">
        <v>0</v>
      </c>
      <c r="F2084" s="2406">
        <v>0</v>
      </c>
      <c r="G2084" s="2449">
        <v>0</v>
      </c>
      <c r="H2084" s="2407">
        <v>0</v>
      </c>
      <c r="I2084" s="2413"/>
      <c r="J2084" s="2413"/>
      <c r="K2084" s="2672" t="s">
        <v>6517</v>
      </c>
      <c r="L2084" s="2408"/>
    </row>
    <row r="2085" spans="1:12" x14ac:dyDescent="0.3">
      <c r="A2085" s="81" t="s">
        <v>5542</v>
      </c>
      <c r="B2085" s="2445" t="s">
        <v>4061</v>
      </c>
      <c r="C2085" s="2406">
        <v>0</v>
      </c>
      <c r="D2085" s="2396"/>
      <c r="E2085" s="2406">
        <v>0</v>
      </c>
      <c r="F2085" s="2406">
        <v>0</v>
      </c>
      <c r="G2085" s="2449">
        <v>0</v>
      </c>
      <c r="H2085" s="2407">
        <v>0</v>
      </c>
      <c r="I2085" s="2413"/>
      <c r="J2085" s="2413"/>
      <c r="K2085" s="2672" t="s">
        <v>6541</v>
      </c>
      <c r="L2085" s="2408"/>
    </row>
    <row r="2086" spans="1:12" x14ac:dyDescent="0.3">
      <c r="A2086" s="81" t="s">
        <v>5543</v>
      </c>
      <c r="B2086" s="2445" t="s">
        <v>3723</v>
      </c>
      <c r="C2086" s="2406">
        <v>0</v>
      </c>
      <c r="D2086" s="2396"/>
      <c r="E2086" s="2406">
        <v>0</v>
      </c>
      <c r="F2086" s="2406">
        <v>0</v>
      </c>
      <c r="G2086" s="2449">
        <v>0</v>
      </c>
      <c r="H2086" s="2407">
        <v>0</v>
      </c>
      <c r="I2086" s="2413"/>
      <c r="J2086" s="2413"/>
      <c r="K2086" s="2672" t="s">
        <v>6521</v>
      </c>
      <c r="L2086" s="2408"/>
    </row>
    <row r="2087" spans="1:12" x14ac:dyDescent="0.3">
      <c r="A2087" s="81" t="s">
        <v>5544</v>
      </c>
      <c r="B2087" s="2445" t="s">
        <v>3648</v>
      </c>
      <c r="C2087" s="2406">
        <v>0</v>
      </c>
      <c r="D2087" s="2396"/>
      <c r="E2087" s="2406">
        <v>0</v>
      </c>
      <c r="F2087" s="2406">
        <v>0</v>
      </c>
      <c r="G2087" s="2449">
        <v>0</v>
      </c>
      <c r="H2087" s="2407">
        <v>0</v>
      </c>
      <c r="I2087" s="2413"/>
      <c r="J2087" s="2413"/>
      <c r="K2087" s="2672" t="s">
        <v>6516</v>
      </c>
      <c r="L2087" s="2408"/>
    </row>
    <row r="2088" spans="1:12" x14ac:dyDescent="0.3">
      <c r="A2088" s="81" t="s">
        <v>5545</v>
      </c>
      <c r="B2088" s="2445" t="s">
        <v>4056</v>
      </c>
      <c r="C2088" s="2406">
        <v>0</v>
      </c>
      <c r="D2088" s="2396"/>
      <c r="E2088" s="2406">
        <v>0</v>
      </c>
      <c r="F2088" s="2406">
        <v>0</v>
      </c>
      <c r="G2088" s="2449">
        <v>0</v>
      </c>
      <c r="H2088" s="2407">
        <v>0</v>
      </c>
      <c r="I2088" s="2413"/>
      <c r="J2088" s="2413"/>
      <c r="K2088" s="2672" t="s">
        <v>6519</v>
      </c>
      <c r="L2088" s="2408"/>
    </row>
    <row r="2089" spans="1:12" x14ac:dyDescent="0.3">
      <c r="A2089" s="81" t="s">
        <v>5546</v>
      </c>
      <c r="B2089" s="2445" t="s">
        <v>3934</v>
      </c>
      <c r="C2089" s="2406">
        <v>0</v>
      </c>
      <c r="D2089" s="2396"/>
      <c r="E2089" s="2406">
        <v>0</v>
      </c>
      <c r="F2089" s="2406">
        <v>0</v>
      </c>
      <c r="G2089" s="2449">
        <v>0</v>
      </c>
      <c r="H2089" s="2407">
        <v>0</v>
      </c>
      <c r="I2089" s="2413"/>
      <c r="J2089" s="2413"/>
      <c r="K2089" s="2672" t="s">
        <v>6518</v>
      </c>
      <c r="L2089" s="2408"/>
    </row>
    <row r="2090" spans="1:12" x14ac:dyDescent="0.3">
      <c r="A2090" s="81" t="s">
        <v>5547</v>
      </c>
      <c r="B2090" s="2445" t="s">
        <v>350</v>
      </c>
      <c r="C2090" s="2406">
        <v>0</v>
      </c>
      <c r="D2090" s="2396"/>
      <c r="E2090" s="2406">
        <v>0</v>
      </c>
      <c r="F2090" s="2406">
        <v>0</v>
      </c>
      <c r="G2090" s="2449">
        <v>0</v>
      </c>
      <c r="H2090" s="2407">
        <v>0</v>
      </c>
      <c r="I2090" s="2413"/>
      <c r="J2090" s="2413"/>
      <c r="K2090" s="2672" t="s">
        <v>6518</v>
      </c>
      <c r="L2090" s="2408"/>
    </row>
    <row r="2091" spans="1:12" x14ac:dyDescent="0.3">
      <c r="A2091" s="81" t="s">
        <v>5548</v>
      </c>
      <c r="B2091" s="2445" t="s">
        <v>3599</v>
      </c>
      <c r="C2091" s="2406">
        <v>0</v>
      </c>
      <c r="D2091" s="2396"/>
      <c r="E2091" s="2406">
        <v>0</v>
      </c>
      <c r="F2091" s="2406">
        <v>0</v>
      </c>
      <c r="G2091" s="2448">
        <v>0</v>
      </c>
      <c r="H2091" s="2407">
        <v>0</v>
      </c>
      <c r="I2091" s="2413"/>
      <c r="J2091" s="2413"/>
      <c r="K2091" s="2681"/>
      <c r="L2091" s="2408"/>
    </row>
    <row r="2092" spans="1:12" x14ac:dyDescent="0.3">
      <c r="A2092" s="81" t="s">
        <v>5549</v>
      </c>
      <c r="B2092" s="2445" t="s">
        <v>3601</v>
      </c>
      <c r="C2092" s="2406">
        <v>0</v>
      </c>
      <c r="D2092" s="2396"/>
      <c r="E2092" s="2406">
        <v>0</v>
      </c>
      <c r="F2092" s="2406">
        <v>0</v>
      </c>
      <c r="G2092" s="2448">
        <v>0</v>
      </c>
      <c r="H2092" s="2407">
        <v>0</v>
      </c>
      <c r="I2092" s="2413"/>
      <c r="J2092" s="2413"/>
      <c r="K2092" s="2680" t="s">
        <v>2586</v>
      </c>
      <c r="L2092" s="2408"/>
    </row>
    <row r="2093" spans="1:12" x14ac:dyDescent="0.3">
      <c r="A2093" s="81" t="s">
        <v>5550</v>
      </c>
      <c r="B2093" s="2445" t="s">
        <v>3603</v>
      </c>
      <c r="C2093" s="2406">
        <v>0</v>
      </c>
      <c r="D2093" s="2396"/>
      <c r="E2093" s="2406">
        <v>0</v>
      </c>
      <c r="F2093" s="2406">
        <v>0</v>
      </c>
      <c r="G2093" s="2448">
        <v>0</v>
      </c>
      <c r="H2093" s="2407">
        <v>0</v>
      </c>
      <c r="I2093" s="2413"/>
      <c r="J2093" s="2413"/>
      <c r="K2093" s="2680" t="s">
        <v>2586</v>
      </c>
      <c r="L2093" s="2408"/>
    </row>
    <row r="2094" spans="1:12" x14ac:dyDescent="0.3">
      <c r="A2094" s="81" t="s">
        <v>5551</v>
      </c>
      <c r="B2094" s="2445" t="s">
        <v>3605</v>
      </c>
      <c r="C2094" s="2406">
        <v>0</v>
      </c>
      <c r="D2094" s="2396"/>
      <c r="E2094" s="2406">
        <v>0</v>
      </c>
      <c r="F2094" s="2406">
        <v>0</v>
      </c>
      <c r="G2094" s="2448">
        <v>0</v>
      </c>
      <c r="H2094" s="2407">
        <v>0</v>
      </c>
      <c r="I2094" s="2413"/>
      <c r="J2094" s="2413"/>
      <c r="K2094" s="2680" t="s">
        <v>2586</v>
      </c>
      <c r="L2094" s="2408"/>
    </row>
    <row r="2095" spans="1:12" x14ac:dyDescent="0.3">
      <c r="A2095" s="81" t="s">
        <v>5552</v>
      </c>
      <c r="B2095" s="2445" t="s">
        <v>3607</v>
      </c>
      <c r="C2095" s="2406">
        <v>0</v>
      </c>
      <c r="D2095" s="2396"/>
      <c r="E2095" s="2406">
        <v>0</v>
      </c>
      <c r="F2095" s="2406">
        <v>0</v>
      </c>
      <c r="G2095" s="2448">
        <v>0</v>
      </c>
      <c r="H2095" s="2407">
        <v>0</v>
      </c>
      <c r="I2095" s="2413"/>
      <c r="J2095" s="2413"/>
      <c r="K2095" s="2680" t="s">
        <v>2586</v>
      </c>
      <c r="L2095" s="2408"/>
    </row>
    <row r="2096" spans="1:12" x14ac:dyDescent="0.3">
      <c r="A2096" s="81" t="s">
        <v>5553</v>
      </c>
      <c r="B2096" s="2445" t="s">
        <v>3609</v>
      </c>
      <c r="C2096" s="2406">
        <v>0</v>
      </c>
      <c r="D2096" s="2396"/>
      <c r="E2096" s="2406">
        <v>0</v>
      </c>
      <c r="F2096" s="2406">
        <v>0</v>
      </c>
      <c r="G2096" s="2448">
        <v>0</v>
      </c>
      <c r="H2096" s="2407">
        <v>0</v>
      </c>
      <c r="I2096" s="2413"/>
      <c r="J2096" s="2413"/>
      <c r="K2096" s="2680" t="s">
        <v>2585</v>
      </c>
      <c r="L2096" s="2408"/>
    </row>
    <row r="2097" spans="1:12" x14ac:dyDescent="0.3">
      <c r="A2097" s="81" t="s">
        <v>5554</v>
      </c>
      <c r="B2097" s="2445" t="s">
        <v>3611</v>
      </c>
      <c r="C2097" s="2406">
        <v>0</v>
      </c>
      <c r="D2097" s="2396"/>
      <c r="E2097" s="2406">
        <v>0</v>
      </c>
      <c r="F2097" s="2406">
        <v>0</v>
      </c>
      <c r="G2097" s="2448">
        <v>0</v>
      </c>
      <c r="H2097" s="2407">
        <v>0</v>
      </c>
      <c r="I2097" s="2413"/>
      <c r="J2097" s="2413"/>
      <c r="K2097" s="2680" t="s">
        <v>6505</v>
      </c>
      <c r="L2097" s="2408"/>
    </row>
    <row r="2098" spans="1:12" x14ac:dyDescent="0.3">
      <c r="A2098" s="81" t="s">
        <v>5555</v>
      </c>
      <c r="B2098" s="2445" t="s">
        <v>3613</v>
      </c>
      <c r="C2098" s="2406">
        <v>0</v>
      </c>
      <c r="D2098" s="2396"/>
      <c r="E2098" s="2406">
        <v>0</v>
      </c>
      <c r="F2098" s="2406">
        <v>0</v>
      </c>
      <c r="G2098" s="2448">
        <v>0</v>
      </c>
      <c r="H2098" s="2407">
        <v>0</v>
      </c>
      <c r="I2098" s="2413"/>
      <c r="J2098" s="2413"/>
      <c r="K2098" s="2680" t="s">
        <v>6505</v>
      </c>
      <c r="L2098" s="2408"/>
    </row>
    <row r="2099" spans="1:12" x14ac:dyDescent="0.3">
      <c r="A2099" s="81" t="s">
        <v>5556</v>
      </c>
      <c r="B2099" s="2445" t="s">
        <v>3615</v>
      </c>
      <c r="C2099" s="2406">
        <v>0</v>
      </c>
      <c r="D2099" s="2396"/>
      <c r="E2099" s="2406">
        <v>0</v>
      </c>
      <c r="F2099" s="2406">
        <v>0</v>
      </c>
      <c r="G2099" s="2448">
        <v>0</v>
      </c>
      <c r="H2099" s="2407">
        <v>0</v>
      </c>
      <c r="I2099" s="2413"/>
      <c r="J2099" s="2413"/>
      <c r="K2099" s="2680" t="s">
        <v>2586</v>
      </c>
      <c r="L2099" s="2408"/>
    </row>
    <row r="2100" spans="1:12" x14ac:dyDescent="0.3">
      <c r="A2100" s="81" t="s">
        <v>5557</v>
      </c>
      <c r="B2100" s="2445" t="s">
        <v>3617</v>
      </c>
      <c r="C2100" s="2406">
        <v>0</v>
      </c>
      <c r="D2100" s="2396"/>
      <c r="E2100" s="2406">
        <v>0</v>
      </c>
      <c r="F2100" s="2406">
        <v>0</v>
      </c>
      <c r="G2100" s="2448">
        <v>0</v>
      </c>
      <c r="H2100" s="2407">
        <v>0</v>
      </c>
      <c r="I2100" s="2413"/>
      <c r="J2100" s="2413"/>
      <c r="K2100" s="2680" t="s">
        <v>2586</v>
      </c>
      <c r="L2100" s="2408"/>
    </row>
    <row r="2101" spans="1:12" x14ac:dyDescent="0.3">
      <c r="A2101" s="81" t="s">
        <v>5558</v>
      </c>
      <c r="B2101" s="2445" t="s">
        <v>3619</v>
      </c>
      <c r="C2101" s="2406">
        <v>0</v>
      </c>
      <c r="D2101" s="2396"/>
      <c r="E2101" s="2406">
        <v>0</v>
      </c>
      <c r="F2101" s="2406">
        <v>0</v>
      </c>
      <c r="G2101" s="2448">
        <v>0</v>
      </c>
      <c r="H2101" s="2407">
        <v>0</v>
      </c>
      <c r="I2101" s="2413"/>
      <c r="J2101" s="2413"/>
      <c r="K2101" s="2680"/>
      <c r="L2101" s="2408"/>
    </row>
    <row r="2102" spans="1:12" x14ac:dyDescent="0.3">
      <c r="A2102" s="81" t="s">
        <v>5559</v>
      </c>
      <c r="B2102" s="2445" t="s">
        <v>3621</v>
      </c>
      <c r="C2102" s="2406">
        <v>0</v>
      </c>
      <c r="D2102" s="2396"/>
      <c r="E2102" s="2406">
        <v>0</v>
      </c>
      <c r="F2102" s="2406">
        <v>0</v>
      </c>
      <c r="G2102" s="2448">
        <v>0</v>
      </c>
      <c r="H2102" s="2407">
        <v>0</v>
      </c>
      <c r="I2102" s="2413"/>
      <c r="J2102" s="2413"/>
      <c r="K2102" s="2680" t="s">
        <v>6506</v>
      </c>
      <c r="L2102" s="2408"/>
    </row>
    <row r="2103" spans="1:12" x14ac:dyDescent="0.3">
      <c r="A2103" s="81" t="s">
        <v>5560</v>
      </c>
      <c r="B2103" s="2445" t="s">
        <v>3623</v>
      </c>
      <c r="C2103" s="2406">
        <v>0</v>
      </c>
      <c r="D2103" s="2396"/>
      <c r="E2103" s="2406">
        <v>0</v>
      </c>
      <c r="F2103" s="2406">
        <v>0</v>
      </c>
      <c r="G2103" s="2448">
        <v>0</v>
      </c>
      <c r="H2103" s="2407">
        <v>0</v>
      </c>
      <c r="I2103" s="2413"/>
      <c r="J2103" s="2413"/>
      <c r="K2103" s="2680" t="s">
        <v>6507</v>
      </c>
      <c r="L2103" s="2408"/>
    </row>
    <row r="2104" spans="1:12" x14ac:dyDescent="0.3">
      <c r="A2104" s="81" t="s">
        <v>5561</v>
      </c>
      <c r="B2104" s="2445" t="s">
        <v>3625</v>
      </c>
      <c r="C2104" s="2406">
        <v>0</v>
      </c>
      <c r="D2104" s="2396"/>
      <c r="E2104" s="2406">
        <v>0</v>
      </c>
      <c r="F2104" s="2406">
        <v>0</v>
      </c>
      <c r="G2104" s="2448">
        <v>0</v>
      </c>
      <c r="H2104" s="2407">
        <v>0</v>
      </c>
      <c r="I2104" s="2413"/>
      <c r="J2104" s="2413"/>
      <c r="K2104" s="2680" t="s">
        <v>6508</v>
      </c>
      <c r="L2104" s="2408"/>
    </row>
    <row r="2105" spans="1:12" x14ac:dyDescent="0.3">
      <c r="A2105" s="81" t="s">
        <v>5562</v>
      </c>
      <c r="B2105" s="2445" t="s">
        <v>3627</v>
      </c>
      <c r="C2105" s="2406">
        <v>0</v>
      </c>
      <c r="D2105" s="2396"/>
      <c r="E2105" s="2406">
        <v>0</v>
      </c>
      <c r="F2105" s="2406">
        <v>0</v>
      </c>
      <c r="G2105" s="2448">
        <v>0</v>
      </c>
      <c r="H2105" s="2407">
        <v>0</v>
      </c>
      <c r="I2105" s="2413"/>
      <c r="J2105" s="2413"/>
      <c r="K2105" s="2680" t="s">
        <v>6509</v>
      </c>
      <c r="L2105" s="2408"/>
    </row>
    <row r="2106" spans="1:12" x14ac:dyDescent="0.3">
      <c r="A2106" s="81" t="s">
        <v>5563</v>
      </c>
      <c r="B2106" s="2445" t="s">
        <v>3629</v>
      </c>
      <c r="C2106" s="2406">
        <v>0</v>
      </c>
      <c r="D2106" s="2396"/>
      <c r="E2106" s="2406">
        <v>0</v>
      </c>
      <c r="F2106" s="2406">
        <v>0</v>
      </c>
      <c r="G2106" s="2448">
        <v>0</v>
      </c>
      <c r="H2106" s="2407">
        <v>0</v>
      </c>
      <c r="I2106" s="2413"/>
      <c r="J2106" s="2413"/>
      <c r="K2106" s="2680" t="s">
        <v>6510</v>
      </c>
      <c r="L2106" s="2408"/>
    </row>
    <row r="2107" spans="1:12" x14ac:dyDescent="0.3">
      <c r="A2107" s="81" t="s">
        <v>5564</v>
      </c>
      <c r="B2107" s="2445" t="s">
        <v>3631</v>
      </c>
      <c r="C2107" s="2406">
        <v>0</v>
      </c>
      <c r="D2107" s="2396"/>
      <c r="E2107" s="2406">
        <v>0</v>
      </c>
      <c r="F2107" s="2406">
        <v>0</v>
      </c>
      <c r="G2107" s="2448">
        <v>0</v>
      </c>
      <c r="H2107" s="2407">
        <v>0</v>
      </c>
      <c r="I2107" s="2413"/>
      <c r="J2107" s="2413"/>
      <c r="K2107" s="2680" t="s">
        <v>6511</v>
      </c>
      <c r="L2107" s="2408"/>
    </row>
    <row r="2108" spans="1:12" x14ac:dyDescent="0.3">
      <c r="A2108" s="81" t="s">
        <v>5565</v>
      </c>
      <c r="B2108" s="2445" t="s">
        <v>3633</v>
      </c>
      <c r="C2108" s="2406">
        <v>0</v>
      </c>
      <c r="D2108" s="2396"/>
      <c r="E2108" s="2406">
        <v>0</v>
      </c>
      <c r="F2108" s="2406">
        <v>0</v>
      </c>
      <c r="G2108" s="2448">
        <v>0</v>
      </c>
      <c r="H2108" s="2407">
        <v>0</v>
      </c>
      <c r="I2108" s="2413"/>
      <c r="J2108" s="2413"/>
      <c r="K2108" s="2680" t="s">
        <v>6512</v>
      </c>
      <c r="L2108" s="2408"/>
    </row>
    <row r="2109" spans="1:12" x14ac:dyDescent="0.3">
      <c r="A2109" s="81" t="s">
        <v>5566</v>
      </c>
      <c r="B2109" s="2445" t="s">
        <v>3635</v>
      </c>
      <c r="C2109" s="2406">
        <v>0</v>
      </c>
      <c r="D2109" s="2396"/>
      <c r="E2109" s="2406">
        <v>0</v>
      </c>
      <c r="F2109" s="2406">
        <v>0</v>
      </c>
      <c r="G2109" s="2448">
        <v>0</v>
      </c>
      <c r="H2109" s="2407">
        <v>0</v>
      </c>
      <c r="I2109" s="2413"/>
      <c r="J2109" s="2413"/>
      <c r="K2109" s="2680" t="s">
        <v>6513</v>
      </c>
      <c r="L2109" s="2408"/>
    </row>
    <row r="2110" spans="1:12" x14ac:dyDescent="0.3">
      <c r="A2110" s="81" t="s">
        <v>5567</v>
      </c>
      <c r="B2110" s="2445" t="s">
        <v>3637</v>
      </c>
      <c r="C2110" s="2406">
        <v>0</v>
      </c>
      <c r="D2110" s="2396"/>
      <c r="E2110" s="2406">
        <v>0</v>
      </c>
      <c r="F2110" s="2406">
        <v>0</v>
      </c>
      <c r="G2110" s="2448">
        <v>0</v>
      </c>
      <c r="H2110" s="2407">
        <v>0</v>
      </c>
      <c r="I2110" s="2413"/>
      <c r="J2110" s="2413"/>
      <c r="K2110" s="2680" t="s">
        <v>6514</v>
      </c>
      <c r="L2110" s="2408"/>
    </row>
    <row r="2111" spans="1:12" x14ac:dyDescent="0.3">
      <c r="A2111" s="81" t="s">
        <v>5568</v>
      </c>
      <c r="B2111" s="2445" t="s">
        <v>334</v>
      </c>
      <c r="C2111" s="2406">
        <v>0</v>
      </c>
      <c r="D2111" s="2396"/>
      <c r="E2111" s="2406">
        <v>0</v>
      </c>
      <c r="F2111" s="2406">
        <v>0</v>
      </c>
      <c r="G2111" s="2448">
        <v>0</v>
      </c>
      <c r="H2111" s="2407">
        <v>0</v>
      </c>
      <c r="I2111" s="2413"/>
      <c r="J2111" s="2413"/>
      <c r="K2111" s="2680"/>
      <c r="L2111" s="2408"/>
    </row>
    <row r="2112" spans="1:12" x14ac:dyDescent="0.3">
      <c r="A2112" s="81" t="s">
        <v>5569</v>
      </c>
      <c r="B2112" s="2445" t="s">
        <v>3640</v>
      </c>
      <c r="C2112" s="2406">
        <v>0</v>
      </c>
      <c r="D2112" s="2396"/>
      <c r="E2112" s="2406">
        <v>0</v>
      </c>
      <c r="F2112" s="2406">
        <v>0</v>
      </c>
      <c r="G2112" s="2448">
        <v>0</v>
      </c>
      <c r="H2112" s="2407">
        <v>0</v>
      </c>
      <c r="I2112" s="2413"/>
      <c r="J2112" s="2413"/>
      <c r="K2112" s="2680" t="s">
        <v>6515</v>
      </c>
      <c r="L2112" s="2408"/>
    </row>
    <row r="2113" spans="1:12" x14ac:dyDescent="0.3">
      <c r="A2113" s="81" t="s">
        <v>5570</v>
      </c>
      <c r="B2113" s="2445" t="s">
        <v>3642</v>
      </c>
      <c r="C2113" s="2406">
        <v>0</v>
      </c>
      <c r="D2113" s="2396"/>
      <c r="E2113" s="2406">
        <v>0</v>
      </c>
      <c r="F2113" s="2406">
        <v>0</v>
      </c>
      <c r="G2113" s="2448">
        <v>0</v>
      </c>
      <c r="H2113" s="2407">
        <v>0</v>
      </c>
      <c r="I2113" s="2413"/>
      <c r="J2113" s="2413"/>
      <c r="K2113" s="2680" t="s">
        <v>6515</v>
      </c>
      <c r="L2113" s="2408"/>
    </row>
    <row r="2114" spans="1:12" x14ac:dyDescent="0.3">
      <c r="A2114" s="81" t="s">
        <v>5571</v>
      </c>
      <c r="B2114" s="2445" t="s">
        <v>3644</v>
      </c>
      <c r="C2114" s="2406">
        <v>0</v>
      </c>
      <c r="D2114" s="2396"/>
      <c r="E2114" s="2406">
        <v>0</v>
      </c>
      <c r="F2114" s="2406">
        <v>0</v>
      </c>
      <c r="G2114" s="2448">
        <v>0</v>
      </c>
      <c r="H2114" s="2407">
        <v>0</v>
      </c>
      <c r="I2114" s="2413"/>
      <c r="J2114" s="2413"/>
      <c r="K2114" s="2680" t="s">
        <v>6515</v>
      </c>
      <c r="L2114" s="2408"/>
    </row>
    <row r="2115" spans="1:12" x14ac:dyDescent="0.3">
      <c r="A2115" s="81" t="s">
        <v>5572</v>
      </c>
      <c r="B2115" s="2445" t="s">
        <v>3646</v>
      </c>
      <c r="C2115" s="2406">
        <v>0</v>
      </c>
      <c r="D2115" s="2396"/>
      <c r="E2115" s="2406">
        <v>0</v>
      </c>
      <c r="F2115" s="2406">
        <v>0</v>
      </c>
      <c r="G2115" s="2448">
        <v>0</v>
      </c>
      <c r="H2115" s="2407">
        <v>0</v>
      </c>
      <c r="I2115" s="2413"/>
      <c r="J2115" s="2413"/>
      <c r="K2115" s="2680" t="s">
        <v>6515</v>
      </c>
      <c r="L2115" s="2408"/>
    </row>
    <row r="2116" spans="1:12" x14ac:dyDescent="0.3">
      <c r="A2116" s="81" t="s">
        <v>5573</v>
      </c>
      <c r="B2116" s="2445" t="s">
        <v>3648</v>
      </c>
      <c r="C2116" s="2406">
        <v>0</v>
      </c>
      <c r="D2116" s="2396"/>
      <c r="E2116" s="2406">
        <v>0</v>
      </c>
      <c r="F2116" s="2406">
        <v>0</v>
      </c>
      <c r="G2116" s="2448">
        <v>0</v>
      </c>
      <c r="H2116" s="2407">
        <v>0</v>
      </c>
      <c r="I2116" s="2413"/>
      <c r="J2116" s="2413"/>
      <c r="K2116" s="2680" t="s">
        <v>6516</v>
      </c>
      <c r="L2116" s="2408"/>
    </row>
    <row r="2117" spans="1:12" x14ac:dyDescent="0.3">
      <c r="A2117" s="81" t="s">
        <v>5574</v>
      </c>
      <c r="B2117" s="2445" t="s">
        <v>3650</v>
      </c>
      <c r="C2117" s="2406">
        <v>0</v>
      </c>
      <c r="D2117" s="2396"/>
      <c r="E2117" s="2406">
        <v>0</v>
      </c>
      <c r="F2117" s="2406">
        <v>0</v>
      </c>
      <c r="G2117" s="2448">
        <v>0</v>
      </c>
      <c r="H2117" s="2407">
        <v>0</v>
      </c>
      <c r="I2117" s="2413"/>
      <c r="J2117" s="2413"/>
      <c r="K2117" s="2680" t="s">
        <v>6517</v>
      </c>
      <c r="L2117" s="2408"/>
    </row>
    <row r="2118" spans="1:12" x14ac:dyDescent="0.3">
      <c r="A2118" s="81" t="s">
        <v>5575</v>
      </c>
      <c r="B2118" s="2445" t="s">
        <v>3652</v>
      </c>
      <c r="C2118" s="2406">
        <v>0</v>
      </c>
      <c r="D2118" s="2396"/>
      <c r="E2118" s="2406">
        <v>0</v>
      </c>
      <c r="F2118" s="2406">
        <v>0</v>
      </c>
      <c r="G2118" s="2448">
        <v>0</v>
      </c>
      <c r="H2118" s="2407">
        <v>0</v>
      </c>
      <c r="I2118" s="2413"/>
      <c r="J2118" s="2413"/>
      <c r="K2118" s="2680" t="s">
        <v>6518</v>
      </c>
      <c r="L2118" s="2408"/>
    </row>
    <row r="2119" spans="1:12" x14ac:dyDescent="0.3">
      <c r="A2119" s="81" t="s">
        <v>5576</v>
      </c>
      <c r="B2119" s="2445" t="s">
        <v>3654</v>
      </c>
      <c r="C2119" s="2406">
        <v>0</v>
      </c>
      <c r="D2119" s="2396"/>
      <c r="E2119" s="2406">
        <v>0</v>
      </c>
      <c r="F2119" s="2406">
        <v>0</v>
      </c>
      <c r="G2119" s="2448">
        <v>0</v>
      </c>
      <c r="H2119" s="2407">
        <v>0</v>
      </c>
      <c r="I2119" s="2413"/>
      <c r="J2119" s="2413"/>
      <c r="K2119" s="2680" t="s">
        <v>6518</v>
      </c>
      <c r="L2119" s="2408"/>
    </row>
    <row r="2120" spans="1:12" x14ac:dyDescent="0.3">
      <c r="A2120" s="81" t="s">
        <v>5577</v>
      </c>
      <c r="B2120" s="2445" t="s">
        <v>3656</v>
      </c>
      <c r="C2120" s="2406">
        <v>0</v>
      </c>
      <c r="D2120" s="2396"/>
      <c r="E2120" s="2406">
        <v>0</v>
      </c>
      <c r="F2120" s="2406">
        <v>0</v>
      </c>
      <c r="G2120" s="2448">
        <v>0</v>
      </c>
      <c r="H2120" s="2407">
        <v>0</v>
      </c>
      <c r="I2120" s="2413"/>
      <c r="J2120" s="2413"/>
      <c r="K2120" s="2680"/>
      <c r="L2120" s="2408"/>
    </row>
    <row r="2121" spans="1:12" x14ac:dyDescent="0.3">
      <c r="A2121" s="81" t="s">
        <v>5578</v>
      </c>
      <c r="B2121" s="2445" t="s">
        <v>3658</v>
      </c>
      <c r="C2121" s="2406">
        <v>0</v>
      </c>
      <c r="D2121" s="2396"/>
      <c r="E2121" s="2406">
        <v>0</v>
      </c>
      <c r="F2121" s="2406">
        <v>0</v>
      </c>
      <c r="G2121" s="2448">
        <v>0</v>
      </c>
      <c r="H2121" s="2407">
        <v>0</v>
      </c>
      <c r="I2121" s="2413"/>
      <c r="J2121" s="2413"/>
      <c r="K2121" s="2680" t="s">
        <v>6519</v>
      </c>
      <c r="L2121" s="2408"/>
    </row>
    <row r="2122" spans="1:12" x14ac:dyDescent="0.3">
      <c r="A2122" s="81" t="s">
        <v>5579</v>
      </c>
      <c r="B2122" s="2445" t="s">
        <v>3660</v>
      </c>
      <c r="C2122" s="2406">
        <v>0</v>
      </c>
      <c r="D2122" s="2396"/>
      <c r="E2122" s="2406">
        <v>0</v>
      </c>
      <c r="F2122" s="2406">
        <v>0</v>
      </c>
      <c r="G2122" s="2448">
        <v>0</v>
      </c>
      <c r="H2122" s="2407">
        <v>0</v>
      </c>
      <c r="I2122" s="2413"/>
      <c r="J2122" s="2413"/>
      <c r="K2122" s="2680" t="s">
        <v>6520</v>
      </c>
      <c r="L2122" s="2408"/>
    </row>
    <row r="2123" spans="1:12" x14ac:dyDescent="0.3">
      <c r="A2123" s="81" t="s">
        <v>5580</v>
      </c>
      <c r="B2123" s="2445" t="s">
        <v>3662</v>
      </c>
      <c r="C2123" s="2406">
        <v>0</v>
      </c>
      <c r="D2123" s="2396"/>
      <c r="E2123" s="2406">
        <v>0</v>
      </c>
      <c r="F2123" s="2406">
        <v>0</v>
      </c>
      <c r="G2123" s="2448">
        <v>0</v>
      </c>
      <c r="H2123" s="2407">
        <v>0</v>
      </c>
      <c r="I2123" s="2413"/>
      <c r="J2123" s="2413"/>
      <c r="K2123" s="2680" t="s">
        <v>6521</v>
      </c>
      <c r="L2123" s="2408"/>
    </row>
    <row r="2124" spans="1:12" x14ac:dyDescent="0.3">
      <c r="A2124" s="81" t="s">
        <v>5581</v>
      </c>
      <c r="B2124" s="2445" t="s">
        <v>3664</v>
      </c>
      <c r="C2124" s="2406">
        <v>0</v>
      </c>
      <c r="D2124" s="2396"/>
      <c r="E2124" s="2406">
        <v>0</v>
      </c>
      <c r="F2124" s="2406">
        <v>0</v>
      </c>
      <c r="G2124" s="2448">
        <v>0</v>
      </c>
      <c r="H2124" s="2407">
        <v>0</v>
      </c>
      <c r="I2124" s="2413"/>
      <c r="J2124" s="2413"/>
      <c r="K2124" s="2680" t="s">
        <v>6522</v>
      </c>
      <c r="L2124" s="2408"/>
    </row>
    <row r="2125" spans="1:12" x14ac:dyDescent="0.3">
      <c r="A2125" s="81" t="s">
        <v>5582</v>
      </c>
      <c r="B2125" s="2445" t="s">
        <v>3666</v>
      </c>
      <c r="C2125" s="2406">
        <v>0</v>
      </c>
      <c r="D2125" s="2396"/>
      <c r="E2125" s="2406">
        <v>0</v>
      </c>
      <c r="F2125" s="2406">
        <v>0</v>
      </c>
      <c r="G2125" s="2448">
        <v>0</v>
      </c>
      <c r="H2125" s="2407">
        <v>0</v>
      </c>
      <c r="I2125" s="2413"/>
      <c r="J2125" s="2413"/>
      <c r="K2125" s="2680" t="s">
        <v>6523</v>
      </c>
      <c r="L2125" s="2408"/>
    </row>
    <row r="2126" spans="1:12" x14ac:dyDescent="0.3">
      <c r="A2126" s="81" t="s">
        <v>5583</v>
      </c>
      <c r="B2126" s="2445" t="s">
        <v>3668</v>
      </c>
      <c r="C2126" s="2406">
        <v>0</v>
      </c>
      <c r="D2126" s="2396"/>
      <c r="E2126" s="2406">
        <v>0</v>
      </c>
      <c r="F2126" s="2406">
        <v>0</v>
      </c>
      <c r="G2126" s="2448">
        <v>0</v>
      </c>
      <c r="H2126" s="2407">
        <v>0</v>
      </c>
      <c r="I2126" s="2413"/>
      <c r="J2126" s="2413"/>
      <c r="K2126" s="2680" t="s">
        <v>6524</v>
      </c>
      <c r="L2126" s="2408"/>
    </row>
    <row r="2127" spans="1:12" x14ac:dyDescent="0.3">
      <c r="A2127" s="81" t="s">
        <v>5584</v>
      </c>
      <c r="B2127" s="2445" t="s">
        <v>350</v>
      </c>
      <c r="C2127" s="2406">
        <v>0</v>
      </c>
      <c r="D2127" s="2396"/>
      <c r="E2127" s="2406">
        <v>0</v>
      </c>
      <c r="F2127" s="2406">
        <v>0</v>
      </c>
      <c r="G2127" s="2448">
        <v>0</v>
      </c>
      <c r="H2127" s="2407">
        <v>0</v>
      </c>
      <c r="I2127" s="2413"/>
      <c r="J2127" s="2413"/>
      <c r="K2127" s="2680" t="s">
        <v>6524</v>
      </c>
      <c r="L2127" s="2408"/>
    </row>
    <row r="2128" spans="1:12" x14ac:dyDescent="0.3">
      <c r="A2128" s="81" t="s">
        <v>5585</v>
      </c>
      <c r="B2128" s="2445" t="s">
        <v>3671</v>
      </c>
      <c r="C2128" s="2406">
        <v>0</v>
      </c>
      <c r="D2128" s="2396"/>
      <c r="E2128" s="2406">
        <v>0</v>
      </c>
      <c r="F2128" s="2406">
        <v>0</v>
      </c>
      <c r="G2128" s="2448">
        <v>0</v>
      </c>
      <c r="H2128" s="2407">
        <v>0</v>
      </c>
      <c r="I2128" s="2413"/>
      <c r="J2128" s="2413"/>
      <c r="K2128" s="2680"/>
      <c r="L2128" s="2408"/>
    </row>
    <row r="2129" spans="1:12" x14ac:dyDescent="0.3">
      <c r="A2129" s="81" t="s">
        <v>5586</v>
      </c>
      <c r="B2129" s="2445" t="s">
        <v>3673</v>
      </c>
      <c r="C2129" s="2406">
        <v>0</v>
      </c>
      <c r="D2129" s="2396"/>
      <c r="E2129" s="2406">
        <v>0</v>
      </c>
      <c r="F2129" s="2406">
        <v>0</v>
      </c>
      <c r="G2129" s="2448">
        <v>0</v>
      </c>
      <c r="H2129" s="2407">
        <v>0</v>
      </c>
      <c r="I2129" s="2413"/>
      <c r="J2129" s="2413"/>
      <c r="K2129" s="2680" t="s">
        <v>6525</v>
      </c>
      <c r="L2129" s="2408"/>
    </row>
    <row r="2130" spans="1:12" x14ac:dyDescent="0.3">
      <c r="A2130" s="81" t="s">
        <v>5587</v>
      </c>
      <c r="B2130" s="2445" t="s">
        <v>3675</v>
      </c>
      <c r="C2130" s="2406">
        <v>0</v>
      </c>
      <c r="D2130" s="2396"/>
      <c r="E2130" s="2406">
        <v>0</v>
      </c>
      <c r="F2130" s="2406">
        <v>0</v>
      </c>
      <c r="G2130" s="2448">
        <v>0</v>
      </c>
      <c r="H2130" s="2407">
        <v>0</v>
      </c>
      <c r="I2130" s="2413"/>
      <c r="J2130" s="2413"/>
      <c r="K2130" s="2680" t="s">
        <v>6526</v>
      </c>
      <c r="L2130" s="2408"/>
    </row>
    <row r="2131" spans="1:12" x14ac:dyDescent="0.3">
      <c r="A2131" s="81" t="s">
        <v>5588</v>
      </c>
      <c r="B2131" s="2445" t="s">
        <v>3677</v>
      </c>
      <c r="C2131" s="2406">
        <v>0</v>
      </c>
      <c r="D2131" s="2396"/>
      <c r="E2131" s="2406">
        <v>0</v>
      </c>
      <c r="F2131" s="2406">
        <v>0</v>
      </c>
      <c r="G2131" s="2448">
        <v>0</v>
      </c>
      <c r="H2131" s="2407">
        <v>0</v>
      </c>
      <c r="I2131" s="2413"/>
      <c r="J2131" s="2413"/>
      <c r="K2131" s="2680" t="s">
        <v>6526</v>
      </c>
      <c r="L2131" s="2408"/>
    </row>
    <row r="2132" spans="1:12" x14ac:dyDescent="0.3">
      <c r="A2132" s="81" t="s">
        <v>5589</v>
      </c>
      <c r="B2132" s="2445" t="s">
        <v>3679</v>
      </c>
      <c r="C2132" s="2406">
        <v>0</v>
      </c>
      <c r="D2132" s="2396"/>
      <c r="E2132" s="2406">
        <v>0</v>
      </c>
      <c r="F2132" s="2406">
        <v>0</v>
      </c>
      <c r="G2132" s="2448">
        <v>0</v>
      </c>
      <c r="H2132" s="2407">
        <v>0</v>
      </c>
      <c r="I2132" s="2413"/>
      <c r="J2132" s="2413"/>
      <c r="K2132" s="2680" t="s">
        <v>6526</v>
      </c>
      <c r="L2132" s="2408"/>
    </row>
    <row r="2133" spans="1:12" x14ac:dyDescent="0.3">
      <c r="A2133" s="81" t="s">
        <v>5590</v>
      </c>
      <c r="B2133" s="2445" t="s">
        <v>3681</v>
      </c>
      <c r="C2133" s="2406">
        <v>0</v>
      </c>
      <c r="D2133" s="2396"/>
      <c r="E2133" s="2406">
        <v>0</v>
      </c>
      <c r="F2133" s="2406">
        <v>0</v>
      </c>
      <c r="G2133" s="2448">
        <v>0</v>
      </c>
      <c r="H2133" s="2407">
        <v>0</v>
      </c>
      <c r="I2133" s="2413"/>
      <c r="J2133" s="2413"/>
      <c r="K2133" s="2680" t="s">
        <v>6526</v>
      </c>
      <c r="L2133" s="2408"/>
    </row>
    <row r="2134" spans="1:12" x14ac:dyDescent="0.3">
      <c r="A2134" s="81" t="s">
        <v>5591</v>
      </c>
      <c r="B2134" s="2445" t="s">
        <v>3683</v>
      </c>
      <c r="C2134" s="2406">
        <v>0</v>
      </c>
      <c r="D2134" s="2396"/>
      <c r="E2134" s="2406">
        <v>0</v>
      </c>
      <c r="F2134" s="2406">
        <v>0</v>
      </c>
      <c r="G2134" s="2448">
        <v>0</v>
      </c>
      <c r="H2134" s="2407">
        <v>0</v>
      </c>
      <c r="I2134" s="2413"/>
      <c r="J2134" s="2413"/>
      <c r="K2134" s="2680" t="s">
        <v>6527</v>
      </c>
      <c r="L2134" s="2408"/>
    </row>
    <row r="2135" spans="1:12" x14ac:dyDescent="0.3">
      <c r="A2135" s="81" t="s">
        <v>5592</v>
      </c>
      <c r="B2135" s="2445" t="s">
        <v>3685</v>
      </c>
      <c r="C2135" s="2406">
        <v>0</v>
      </c>
      <c r="D2135" s="2396"/>
      <c r="E2135" s="2406">
        <v>0</v>
      </c>
      <c r="F2135" s="2406">
        <v>0</v>
      </c>
      <c r="G2135" s="2448">
        <v>0</v>
      </c>
      <c r="H2135" s="2407">
        <v>0</v>
      </c>
      <c r="I2135" s="2413"/>
      <c r="J2135" s="2413"/>
      <c r="K2135" s="2680" t="s">
        <v>6528</v>
      </c>
      <c r="L2135" s="2408"/>
    </row>
    <row r="2136" spans="1:12" x14ac:dyDescent="0.3">
      <c r="A2136" s="81" t="s">
        <v>5593</v>
      </c>
      <c r="B2136" s="2445" t="s">
        <v>3687</v>
      </c>
      <c r="C2136" s="2406">
        <v>0</v>
      </c>
      <c r="D2136" s="2396"/>
      <c r="E2136" s="2406">
        <v>0</v>
      </c>
      <c r="F2136" s="2406">
        <v>0</v>
      </c>
      <c r="G2136" s="2448">
        <v>0</v>
      </c>
      <c r="H2136" s="2407">
        <v>0</v>
      </c>
      <c r="I2136" s="2413"/>
      <c r="J2136" s="2413"/>
      <c r="K2136" s="2680" t="s">
        <v>6528</v>
      </c>
      <c r="L2136" s="2408"/>
    </row>
    <row r="2137" spans="1:12" x14ac:dyDescent="0.3">
      <c r="A2137" s="81" t="s">
        <v>5594</v>
      </c>
      <c r="B2137" s="2445" t="s">
        <v>3689</v>
      </c>
      <c r="C2137" s="2406">
        <v>0</v>
      </c>
      <c r="D2137" s="2396"/>
      <c r="E2137" s="2406">
        <v>0</v>
      </c>
      <c r="F2137" s="2406">
        <v>0</v>
      </c>
      <c r="G2137" s="2448">
        <v>0</v>
      </c>
      <c r="H2137" s="2407">
        <v>0</v>
      </c>
      <c r="I2137" s="2413"/>
      <c r="J2137" s="2413"/>
      <c r="K2137" s="2680" t="s">
        <v>6528</v>
      </c>
      <c r="L2137" s="2408"/>
    </row>
    <row r="2138" spans="1:12" x14ac:dyDescent="0.3">
      <c r="A2138" s="81" t="s">
        <v>5595</v>
      </c>
      <c r="B2138" s="2445" t="s">
        <v>4066</v>
      </c>
      <c r="C2138" s="2406">
        <v>0</v>
      </c>
      <c r="D2138" s="2396"/>
      <c r="E2138" s="2406">
        <v>0</v>
      </c>
      <c r="F2138" s="2406">
        <v>0</v>
      </c>
      <c r="G2138" s="2448">
        <v>0</v>
      </c>
      <c r="H2138" s="2407">
        <v>0</v>
      </c>
      <c r="I2138" s="2413"/>
      <c r="J2138" s="2413"/>
      <c r="K2138" s="2680"/>
      <c r="L2138" s="2408"/>
    </row>
    <row r="2139" spans="1:12" x14ac:dyDescent="0.3">
      <c r="A2139" s="81" t="s">
        <v>5596</v>
      </c>
      <c r="B2139" s="2445" t="s">
        <v>4067</v>
      </c>
      <c r="C2139" s="2406">
        <v>10357700</v>
      </c>
      <c r="D2139" s="2396"/>
      <c r="E2139" s="2406">
        <v>0</v>
      </c>
      <c r="F2139" s="2406">
        <v>0</v>
      </c>
      <c r="G2139" s="2448">
        <v>0</v>
      </c>
      <c r="H2139" s="2407">
        <v>10357700</v>
      </c>
      <c r="I2139" s="2413"/>
      <c r="J2139" s="2413"/>
      <c r="K2139" s="2680" t="s">
        <v>6516</v>
      </c>
      <c r="L2139" s="2408"/>
    </row>
    <row r="2140" spans="1:12" x14ac:dyDescent="0.3">
      <c r="A2140" s="81" t="s">
        <v>5597</v>
      </c>
      <c r="B2140" s="2445" t="s">
        <v>4068</v>
      </c>
      <c r="C2140" s="2406">
        <v>0</v>
      </c>
      <c r="D2140" s="2396"/>
      <c r="E2140" s="2406">
        <v>0</v>
      </c>
      <c r="F2140" s="2406">
        <v>0</v>
      </c>
      <c r="G2140" s="2448">
        <v>0</v>
      </c>
      <c r="H2140" s="2407">
        <v>0</v>
      </c>
      <c r="I2140" s="2413"/>
      <c r="J2140" s="2413"/>
      <c r="K2140" s="2680" t="s">
        <v>6516</v>
      </c>
      <c r="L2140" s="2408"/>
    </row>
    <row r="2141" spans="1:12" x14ac:dyDescent="0.3">
      <c r="A2141" s="81" t="s">
        <v>5598</v>
      </c>
      <c r="B2141" s="2445" t="s">
        <v>4069</v>
      </c>
      <c r="C2141" s="2406">
        <v>7831800</v>
      </c>
      <c r="D2141" s="2396"/>
      <c r="E2141" s="2406">
        <v>0</v>
      </c>
      <c r="F2141" s="2406">
        <v>0</v>
      </c>
      <c r="G2141" s="2448">
        <v>0</v>
      </c>
      <c r="H2141" s="2407">
        <v>7831800</v>
      </c>
      <c r="I2141" s="2413"/>
      <c r="J2141" s="2413"/>
      <c r="K2141" s="2680" t="s">
        <v>6516</v>
      </c>
      <c r="L2141" s="2408"/>
    </row>
    <row r="2142" spans="1:12" x14ac:dyDescent="0.3">
      <c r="A2142" s="81" t="s">
        <v>5599</v>
      </c>
      <c r="B2142" s="2445" t="s">
        <v>4070</v>
      </c>
      <c r="C2142" s="2406">
        <v>0</v>
      </c>
      <c r="D2142" s="2396"/>
      <c r="E2142" s="2406">
        <v>0</v>
      </c>
      <c r="F2142" s="2406">
        <v>0</v>
      </c>
      <c r="G2142" s="2448">
        <v>0</v>
      </c>
      <c r="H2142" s="2407">
        <v>0</v>
      </c>
      <c r="I2142" s="2413"/>
      <c r="J2142" s="2413"/>
      <c r="K2142" s="2680" t="s">
        <v>6516</v>
      </c>
      <c r="L2142" s="2408"/>
    </row>
    <row r="2143" spans="1:12" x14ac:dyDescent="0.3">
      <c r="A2143" s="81" t="s">
        <v>5600</v>
      </c>
      <c r="B2143" s="2445" t="s">
        <v>4071</v>
      </c>
      <c r="C2143" s="2406">
        <v>0</v>
      </c>
      <c r="D2143" s="2396"/>
      <c r="E2143" s="2406">
        <v>0</v>
      </c>
      <c r="F2143" s="2406">
        <v>0</v>
      </c>
      <c r="G2143" s="2448">
        <v>0</v>
      </c>
      <c r="H2143" s="2407">
        <v>0</v>
      </c>
      <c r="I2143" s="2413"/>
      <c r="J2143" s="2413"/>
      <c r="K2143" s="2680"/>
      <c r="L2143" s="2408"/>
    </row>
    <row r="2144" spans="1:12" x14ac:dyDescent="0.3">
      <c r="A2144" s="81" t="s">
        <v>5601</v>
      </c>
      <c r="B2144" s="2445" t="s">
        <v>4072</v>
      </c>
      <c r="C2144" s="2406">
        <v>0</v>
      </c>
      <c r="D2144" s="2396"/>
      <c r="E2144" s="2406">
        <v>0</v>
      </c>
      <c r="F2144" s="2406">
        <v>0</v>
      </c>
      <c r="G2144" s="2448">
        <v>0</v>
      </c>
      <c r="H2144" s="2407">
        <v>0</v>
      </c>
      <c r="I2144" s="2413"/>
      <c r="J2144" s="2413"/>
      <c r="K2144" s="2680" t="s">
        <v>6539</v>
      </c>
      <c r="L2144" s="2408"/>
    </row>
    <row r="2145" spans="1:12" x14ac:dyDescent="0.3">
      <c r="A2145" s="81" t="s">
        <v>5602</v>
      </c>
      <c r="B2145" s="2445" t="s">
        <v>4073</v>
      </c>
      <c r="C2145" s="2406">
        <v>0</v>
      </c>
      <c r="D2145" s="2396"/>
      <c r="E2145" s="2406">
        <v>0</v>
      </c>
      <c r="F2145" s="2406">
        <v>0</v>
      </c>
      <c r="G2145" s="2448">
        <v>0</v>
      </c>
      <c r="H2145" s="2407">
        <v>0</v>
      </c>
      <c r="I2145" s="2413"/>
      <c r="J2145" s="2413"/>
      <c r="K2145" s="2680" t="s">
        <v>6537</v>
      </c>
      <c r="L2145" s="2408"/>
    </row>
    <row r="2146" spans="1:12" x14ac:dyDescent="0.3">
      <c r="A2146" s="81" t="s">
        <v>5603</v>
      </c>
      <c r="B2146" s="2445" t="s">
        <v>4074</v>
      </c>
      <c r="C2146" s="2406">
        <v>0</v>
      </c>
      <c r="D2146" s="2396"/>
      <c r="E2146" s="2406">
        <v>0</v>
      </c>
      <c r="F2146" s="2406">
        <v>0</v>
      </c>
      <c r="G2146" s="2448">
        <v>0</v>
      </c>
      <c r="H2146" s="2407">
        <v>0</v>
      </c>
      <c r="I2146" s="2413"/>
      <c r="J2146" s="2413"/>
      <c r="K2146" s="2680" t="s">
        <v>6541</v>
      </c>
      <c r="L2146" s="2408"/>
    </row>
    <row r="2147" spans="1:12" x14ac:dyDescent="0.3">
      <c r="A2147" s="81" t="s">
        <v>5604</v>
      </c>
      <c r="B2147" s="2445" t="s">
        <v>4075</v>
      </c>
      <c r="C2147" s="2406">
        <v>0</v>
      </c>
      <c r="D2147" s="2396"/>
      <c r="E2147" s="2406">
        <v>0</v>
      </c>
      <c r="F2147" s="2406">
        <v>0</v>
      </c>
      <c r="G2147" s="2448">
        <v>0</v>
      </c>
      <c r="H2147" s="2407">
        <v>0</v>
      </c>
      <c r="I2147" s="2413"/>
      <c r="J2147" s="2413"/>
      <c r="K2147" s="2680" t="s">
        <v>6545</v>
      </c>
      <c r="L2147" s="2408"/>
    </row>
    <row r="2148" spans="1:12" x14ac:dyDescent="0.3">
      <c r="A2148" s="81" t="s">
        <v>5605</v>
      </c>
      <c r="B2148" s="2445" t="s">
        <v>3963</v>
      </c>
      <c r="C2148" s="2406">
        <v>0</v>
      </c>
      <c r="D2148" s="2396"/>
      <c r="E2148" s="2406">
        <v>0</v>
      </c>
      <c r="F2148" s="2406">
        <v>0</v>
      </c>
      <c r="G2148" s="2448">
        <v>0</v>
      </c>
      <c r="H2148" s="2407">
        <v>0</v>
      </c>
      <c r="I2148" s="2413"/>
      <c r="J2148" s="2413"/>
      <c r="K2148" s="2680" t="s">
        <v>6541</v>
      </c>
      <c r="L2148" s="2408"/>
    </row>
    <row r="2149" spans="1:12" x14ac:dyDescent="0.3">
      <c r="A2149" s="81" t="s">
        <v>5606</v>
      </c>
      <c r="B2149" s="2445" t="s">
        <v>3599</v>
      </c>
      <c r="C2149" s="2406">
        <v>0</v>
      </c>
      <c r="D2149" s="2396"/>
      <c r="E2149" s="2406">
        <v>0</v>
      </c>
      <c r="F2149" s="2406">
        <v>0</v>
      </c>
      <c r="G2149" s="2458">
        <v>0</v>
      </c>
      <c r="H2149" s="2407">
        <v>0</v>
      </c>
      <c r="I2149" s="2413"/>
      <c r="J2149" s="2413"/>
      <c r="K2149" s="2680"/>
      <c r="L2149" s="2408"/>
    </row>
    <row r="2150" spans="1:12" x14ac:dyDescent="0.3">
      <c r="A2150" s="81" t="s">
        <v>5607</v>
      </c>
      <c r="B2150" s="2445" t="s">
        <v>3601</v>
      </c>
      <c r="C2150" s="2406">
        <v>0</v>
      </c>
      <c r="D2150" s="2396"/>
      <c r="E2150" s="2406">
        <v>0</v>
      </c>
      <c r="F2150" s="2406">
        <v>0</v>
      </c>
      <c r="G2150" s="2458">
        <v>0</v>
      </c>
      <c r="H2150" s="2407">
        <v>0</v>
      </c>
      <c r="I2150" s="2413"/>
      <c r="J2150" s="2413"/>
      <c r="K2150" s="2680" t="s">
        <v>2586</v>
      </c>
      <c r="L2150" s="2408"/>
    </row>
    <row r="2151" spans="1:12" x14ac:dyDescent="0.3">
      <c r="A2151" s="81" t="s">
        <v>5608</v>
      </c>
      <c r="B2151" s="2445" t="s">
        <v>3603</v>
      </c>
      <c r="C2151" s="2406">
        <v>0</v>
      </c>
      <c r="D2151" s="2396"/>
      <c r="E2151" s="2406">
        <v>0</v>
      </c>
      <c r="F2151" s="2406">
        <v>0</v>
      </c>
      <c r="G2151" s="2458">
        <v>0</v>
      </c>
      <c r="H2151" s="2407">
        <v>0</v>
      </c>
      <c r="I2151" s="2413"/>
      <c r="J2151" s="2413"/>
      <c r="K2151" s="2680" t="s">
        <v>2586</v>
      </c>
      <c r="L2151" s="2408"/>
    </row>
    <row r="2152" spans="1:12" x14ac:dyDescent="0.3">
      <c r="A2152" s="81" t="s">
        <v>5609</v>
      </c>
      <c r="B2152" s="2445" t="s">
        <v>3605</v>
      </c>
      <c r="C2152" s="2406">
        <v>0</v>
      </c>
      <c r="D2152" s="2396"/>
      <c r="E2152" s="2406">
        <v>0</v>
      </c>
      <c r="F2152" s="2406">
        <v>0</v>
      </c>
      <c r="G2152" s="2458">
        <v>0</v>
      </c>
      <c r="H2152" s="2407">
        <v>0</v>
      </c>
      <c r="I2152" s="2413"/>
      <c r="J2152" s="2413"/>
      <c r="K2152" s="2680" t="s">
        <v>2586</v>
      </c>
      <c r="L2152" s="2408"/>
    </row>
    <row r="2153" spans="1:12" x14ac:dyDescent="0.3">
      <c r="A2153" s="81" t="s">
        <v>5610</v>
      </c>
      <c r="B2153" s="2445" t="s">
        <v>3607</v>
      </c>
      <c r="C2153" s="2406">
        <v>0</v>
      </c>
      <c r="D2153" s="2396"/>
      <c r="E2153" s="2406">
        <v>0</v>
      </c>
      <c r="F2153" s="2406">
        <v>0</v>
      </c>
      <c r="G2153" s="2458">
        <v>0</v>
      </c>
      <c r="H2153" s="2407">
        <v>0</v>
      </c>
      <c r="I2153" s="2413"/>
      <c r="J2153" s="2413"/>
      <c r="K2153" s="2680" t="s">
        <v>2586</v>
      </c>
      <c r="L2153" s="2408"/>
    </row>
    <row r="2154" spans="1:12" x14ac:dyDescent="0.3">
      <c r="A2154" s="81" t="s">
        <v>5611</v>
      </c>
      <c r="B2154" s="2445" t="s">
        <v>3609</v>
      </c>
      <c r="C2154" s="2406">
        <v>0</v>
      </c>
      <c r="D2154" s="2396"/>
      <c r="E2154" s="2406">
        <v>0</v>
      </c>
      <c r="F2154" s="2406">
        <v>0</v>
      </c>
      <c r="G2154" s="2458">
        <v>0</v>
      </c>
      <c r="H2154" s="2407">
        <v>0</v>
      </c>
      <c r="I2154" s="2413"/>
      <c r="J2154" s="2413"/>
      <c r="K2154" s="2680" t="s">
        <v>2585</v>
      </c>
      <c r="L2154" s="2408"/>
    </row>
    <row r="2155" spans="1:12" x14ac:dyDescent="0.3">
      <c r="A2155" s="81" t="s">
        <v>5612</v>
      </c>
      <c r="B2155" s="2445" t="s">
        <v>3611</v>
      </c>
      <c r="C2155" s="2406">
        <v>0</v>
      </c>
      <c r="D2155" s="2396"/>
      <c r="E2155" s="2406">
        <v>0</v>
      </c>
      <c r="F2155" s="2406">
        <v>0</v>
      </c>
      <c r="G2155" s="2458">
        <v>0</v>
      </c>
      <c r="H2155" s="2407">
        <v>0</v>
      </c>
      <c r="I2155" s="2413"/>
      <c r="J2155" s="2413"/>
      <c r="K2155" s="2680" t="s">
        <v>6505</v>
      </c>
      <c r="L2155" s="2408"/>
    </row>
    <row r="2156" spans="1:12" x14ac:dyDescent="0.3">
      <c r="A2156" s="81" t="s">
        <v>5613</v>
      </c>
      <c r="B2156" s="2445" t="s">
        <v>3613</v>
      </c>
      <c r="C2156" s="2406">
        <v>0</v>
      </c>
      <c r="D2156" s="2396"/>
      <c r="E2156" s="2406">
        <v>0</v>
      </c>
      <c r="F2156" s="2406">
        <v>0</v>
      </c>
      <c r="G2156" s="2458">
        <v>0</v>
      </c>
      <c r="H2156" s="2407">
        <v>0</v>
      </c>
      <c r="I2156" s="2413"/>
      <c r="J2156" s="2413"/>
      <c r="K2156" s="2680" t="s">
        <v>6505</v>
      </c>
      <c r="L2156" s="2408"/>
    </row>
    <row r="2157" spans="1:12" x14ac:dyDescent="0.3">
      <c r="A2157" s="81" t="s">
        <v>5614</v>
      </c>
      <c r="B2157" s="2445" t="s">
        <v>3615</v>
      </c>
      <c r="C2157" s="2406">
        <v>0</v>
      </c>
      <c r="D2157" s="2396"/>
      <c r="E2157" s="2406">
        <v>0</v>
      </c>
      <c r="F2157" s="2406">
        <v>0</v>
      </c>
      <c r="G2157" s="2458">
        <v>0</v>
      </c>
      <c r="H2157" s="2407">
        <v>0</v>
      </c>
      <c r="I2157" s="2413"/>
      <c r="J2157" s="2413"/>
      <c r="K2157" s="2680" t="s">
        <v>2586</v>
      </c>
      <c r="L2157" s="2408"/>
    </row>
    <row r="2158" spans="1:12" x14ac:dyDescent="0.3">
      <c r="A2158" s="81" t="s">
        <v>5615</v>
      </c>
      <c r="B2158" s="2445" t="s">
        <v>3617</v>
      </c>
      <c r="C2158" s="2406">
        <v>0</v>
      </c>
      <c r="D2158" s="2396"/>
      <c r="E2158" s="2406">
        <v>0</v>
      </c>
      <c r="F2158" s="2406">
        <v>0</v>
      </c>
      <c r="G2158" s="2458">
        <v>0</v>
      </c>
      <c r="H2158" s="2407">
        <v>0</v>
      </c>
      <c r="I2158" s="2413"/>
      <c r="J2158" s="2413"/>
      <c r="K2158" s="2680" t="s">
        <v>6505</v>
      </c>
      <c r="L2158" s="2408"/>
    </row>
    <row r="2159" spans="1:12" x14ac:dyDescent="0.3">
      <c r="A2159" s="81" t="s">
        <v>5616</v>
      </c>
      <c r="B2159" s="2445" t="s">
        <v>3619</v>
      </c>
      <c r="C2159" s="2406">
        <v>0</v>
      </c>
      <c r="D2159" s="2396"/>
      <c r="E2159" s="2406">
        <v>0</v>
      </c>
      <c r="F2159" s="2406">
        <v>0</v>
      </c>
      <c r="G2159" s="2458">
        <v>0</v>
      </c>
      <c r="H2159" s="2407">
        <v>0</v>
      </c>
      <c r="I2159" s="2413"/>
      <c r="J2159" s="2413"/>
      <c r="K2159" s="2680"/>
      <c r="L2159" s="2408"/>
    </row>
    <row r="2160" spans="1:12" x14ac:dyDescent="0.3">
      <c r="A2160" s="81" t="s">
        <v>5617</v>
      </c>
      <c r="B2160" s="2445" t="s">
        <v>3621</v>
      </c>
      <c r="C2160" s="2406">
        <v>0</v>
      </c>
      <c r="D2160" s="2396"/>
      <c r="E2160" s="2406">
        <v>0</v>
      </c>
      <c r="F2160" s="2406">
        <v>0</v>
      </c>
      <c r="G2160" s="2458">
        <v>0</v>
      </c>
      <c r="H2160" s="2407">
        <v>0</v>
      </c>
      <c r="I2160" s="2413"/>
      <c r="J2160" s="2413"/>
      <c r="K2160" s="2680" t="s">
        <v>6506</v>
      </c>
      <c r="L2160" s="2408"/>
    </row>
    <row r="2161" spans="1:12" x14ac:dyDescent="0.3">
      <c r="A2161" s="81" t="s">
        <v>5618</v>
      </c>
      <c r="B2161" s="2445" t="s">
        <v>3623</v>
      </c>
      <c r="C2161" s="2406">
        <v>0</v>
      </c>
      <c r="D2161" s="2396"/>
      <c r="E2161" s="2406">
        <v>0</v>
      </c>
      <c r="F2161" s="2406">
        <v>0</v>
      </c>
      <c r="G2161" s="2458">
        <v>0</v>
      </c>
      <c r="H2161" s="2407">
        <v>0</v>
      </c>
      <c r="I2161" s="2413"/>
      <c r="J2161" s="2413"/>
      <c r="K2161" s="2680" t="s">
        <v>6507</v>
      </c>
      <c r="L2161" s="2408"/>
    </row>
    <row r="2162" spans="1:12" x14ac:dyDescent="0.3">
      <c r="A2162" s="81" t="s">
        <v>5619</v>
      </c>
      <c r="B2162" s="2445" t="s">
        <v>3625</v>
      </c>
      <c r="C2162" s="2406">
        <v>0</v>
      </c>
      <c r="D2162" s="2396"/>
      <c r="E2162" s="2406">
        <v>0</v>
      </c>
      <c r="F2162" s="2406">
        <v>0</v>
      </c>
      <c r="G2162" s="2458">
        <v>0</v>
      </c>
      <c r="H2162" s="2407">
        <v>0</v>
      </c>
      <c r="I2162" s="2413"/>
      <c r="J2162" s="2413"/>
      <c r="K2162" s="2680" t="s">
        <v>6508</v>
      </c>
      <c r="L2162" s="2408"/>
    </row>
    <row r="2163" spans="1:12" x14ac:dyDescent="0.3">
      <c r="A2163" s="81" t="s">
        <v>5620</v>
      </c>
      <c r="B2163" s="2445" t="s">
        <v>3627</v>
      </c>
      <c r="C2163" s="2406">
        <v>0</v>
      </c>
      <c r="D2163" s="2396"/>
      <c r="E2163" s="2406">
        <v>0</v>
      </c>
      <c r="F2163" s="2406">
        <v>0</v>
      </c>
      <c r="G2163" s="2458">
        <v>0</v>
      </c>
      <c r="H2163" s="2407">
        <v>0</v>
      </c>
      <c r="I2163" s="2413"/>
      <c r="J2163" s="2413"/>
      <c r="K2163" s="2680" t="s">
        <v>6509</v>
      </c>
      <c r="L2163" s="2408"/>
    </row>
    <row r="2164" spans="1:12" x14ac:dyDescent="0.3">
      <c r="A2164" s="81" t="s">
        <v>5621</v>
      </c>
      <c r="B2164" s="2445" t="s">
        <v>3629</v>
      </c>
      <c r="C2164" s="2406">
        <v>0</v>
      </c>
      <c r="D2164" s="2396"/>
      <c r="E2164" s="2406">
        <v>0</v>
      </c>
      <c r="F2164" s="2406">
        <v>0</v>
      </c>
      <c r="G2164" s="2458">
        <v>0</v>
      </c>
      <c r="H2164" s="2407">
        <v>0</v>
      </c>
      <c r="I2164" s="2413"/>
      <c r="J2164" s="2413"/>
      <c r="K2164" s="2680" t="s">
        <v>6510</v>
      </c>
      <c r="L2164" s="2408"/>
    </row>
    <row r="2165" spans="1:12" x14ac:dyDescent="0.3">
      <c r="A2165" s="81" t="s">
        <v>5622</v>
      </c>
      <c r="B2165" s="2445" t="s">
        <v>3631</v>
      </c>
      <c r="C2165" s="2406">
        <v>0</v>
      </c>
      <c r="D2165" s="2396"/>
      <c r="E2165" s="2406">
        <v>0</v>
      </c>
      <c r="F2165" s="2406">
        <v>0</v>
      </c>
      <c r="G2165" s="2458">
        <v>0</v>
      </c>
      <c r="H2165" s="2407">
        <v>0</v>
      </c>
      <c r="I2165" s="2413"/>
      <c r="J2165" s="2413"/>
      <c r="K2165" s="2680" t="s">
        <v>6511</v>
      </c>
      <c r="L2165" s="2408"/>
    </row>
    <row r="2166" spans="1:12" x14ac:dyDescent="0.3">
      <c r="A2166" s="81" t="s">
        <v>5623</v>
      </c>
      <c r="B2166" s="2445" t="s">
        <v>3633</v>
      </c>
      <c r="C2166" s="2406">
        <v>0</v>
      </c>
      <c r="D2166" s="2396"/>
      <c r="E2166" s="2406">
        <v>0</v>
      </c>
      <c r="F2166" s="2406">
        <v>0</v>
      </c>
      <c r="G2166" s="2458">
        <v>0</v>
      </c>
      <c r="H2166" s="2407">
        <v>0</v>
      </c>
      <c r="I2166" s="2413"/>
      <c r="J2166" s="2413"/>
      <c r="K2166" s="2680" t="s">
        <v>6512</v>
      </c>
      <c r="L2166" s="2408"/>
    </row>
    <row r="2167" spans="1:12" x14ac:dyDescent="0.3">
      <c r="A2167" s="81" t="s">
        <v>5624</v>
      </c>
      <c r="B2167" s="2445" t="s">
        <v>3635</v>
      </c>
      <c r="C2167" s="2406">
        <v>0</v>
      </c>
      <c r="D2167" s="2396"/>
      <c r="E2167" s="2406">
        <v>0</v>
      </c>
      <c r="F2167" s="2406">
        <v>0</v>
      </c>
      <c r="G2167" s="2458">
        <v>0</v>
      </c>
      <c r="H2167" s="2407">
        <v>0</v>
      </c>
      <c r="I2167" s="2413"/>
      <c r="J2167" s="2413"/>
      <c r="K2167" s="2680" t="s">
        <v>6513</v>
      </c>
      <c r="L2167" s="2408"/>
    </row>
    <row r="2168" spans="1:12" x14ac:dyDescent="0.3">
      <c r="A2168" s="81" t="s">
        <v>5625</v>
      </c>
      <c r="B2168" s="2445" t="s">
        <v>3637</v>
      </c>
      <c r="C2168" s="2406">
        <v>0</v>
      </c>
      <c r="D2168" s="2396"/>
      <c r="E2168" s="2406">
        <v>0</v>
      </c>
      <c r="F2168" s="2406">
        <v>0</v>
      </c>
      <c r="G2168" s="2458">
        <v>0</v>
      </c>
      <c r="H2168" s="2407">
        <v>0</v>
      </c>
      <c r="I2168" s="2413"/>
      <c r="J2168" s="2413"/>
      <c r="K2168" s="2680" t="s">
        <v>6514</v>
      </c>
      <c r="L2168" s="2408"/>
    </row>
    <row r="2169" spans="1:12" x14ac:dyDescent="0.3">
      <c r="A2169" s="81" t="s">
        <v>5626</v>
      </c>
      <c r="B2169" s="2445" t="s">
        <v>334</v>
      </c>
      <c r="C2169" s="2406">
        <v>0</v>
      </c>
      <c r="D2169" s="2396"/>
      <c r="E2169" s="2406">
        <v>0</v>
      </c>
      <c r="F2169" s="2406">
        <v>0</v>
      </c>
      <c r="G2169" s="2458">
        <v>0</v>
      </c>
      <c r="H2169" s="2407">
        <v>0</v>
      </c>
      <c r="I2169" s="2413"/>
      <c r="J2169" s="2413"/>
      <c r="K2169" s="2680"/>
      <c r="L2169" s="2408"/>
    </row>
    <row r="2170" spans="1:12" x14ac:dyDescent="0.3">
      <c r="A2170" s="81" t="s">
        <v>5627</v>
      </c>
      <c r="B2170" s="2445" t="s">
        <v>3640</v>
      </c>
      <c r="C2170" s="2406">
        <v>0</v>
      </c>
      <c r="D2170" s="2396"/>
      <c r="E2170" s="2406">
        <v>0</v>
      </c>
      <c r="F2170" s="2406">
        <v>0</v>
      </c>
      <c r="G2170" s="2458">
        <v>0</v>
      </c>
      <c r="H2170" s="2407">
        <v>0</v>
      </c>
      <c r="I2170" s="2413"/>
      <c r="J2170" s="2413"/>
      <c r="K2170" s="2680" t="s">
        <v>6515</v>
      </c>
      <c r="L2170" s="2408"/>
    </row>
    <row r="2171" spans="1:12" x14ac:dyDescent="0.3">
      <c r="A2171" s="81" t="s">
        <v>5628</v>
      </c>
      <c r="B2171" s="2445" t="s">
        <v>3642</v>
      </c>
      <c r="C2171" s="2406">
        <v>0</v>
      </c>
      <c r="D2171" s="2396"/>
      <c r="E2171" s="2406">
        <v>0</v>
      </c>
      <c r="F2171" s="2406">
        <v>0</v>
      </c>
      <c r="G2171" s="2458">
        <v>0</v>
      </c>
      <c r="H2171" s="2407">
        <v>0</v>
      </c>
      <c r="I2171" s="2413"/>
      <c r="J2171" s="2413"/>
      <c r="K2171" s="2680" t="s">
        <v>6515</v>
      </c>
      <c r="L2171" s="2408"/>
    </row>
    <row r="2172" spans="1:12" x14ac:dyDescent="0.3">
      <c r="A2172" s="81" t="s">
        <v>5629</v>
      </c>
      <c r="B2172" s="2445" t="s">
        <v>3644</v>
      </c>
      <c r="C2172" s="2406">
        <v>0</v>
      </c>
      <c r="D2172" s="2396"/>
      <c r="E2172" s="2406">
        <v>0</v>
      </c>
      <c r="F2172" s="2406">
        <v>0</v>
      </c>
      <c r="G2172" s="2458">
        <v>0</v>
      </c>
      <c r="H2172" s="2407">
        <v>0</v>
      </c>
      <c r="I2172" s="2413"/>
      <c r="J2172" s="2413"/>
      <c r="K2172" s="2680" t="s">
        <v>6515</v>
      </c>
      <c r="L2172" s="2408"/>
    </row>
    <row r="2173" spans="1:12" x14ac:dyDescent="0.3">
      <c r="A2173" s="81" t="s">
        <v>5630</v>
      </c>
      <c r="B2173" s="2445" t="s">
        <v>3646</v>
      </c>
      <c r="C2173" s="2406">
        <v>0</v>
      </c>
      <c r="D2173" s="2396"/>
      <c r="E2173" s="2406">
        <v>0</v>
      </c>
      <c r="F2173" s="2406">
        <v>0</v>
      </c>
      <c r="G2173" s="2458">
        <v>0</v>
      </c>
      <c r="H2173" s="2407">
        <v>0</v>
      </c>
      <c r="I2173" s="2413"/>
      <c r="J2173" s="2413"/>
      <c r="K2173" s="2680" t="s">
        <v>6515</v>
      </c>
      <c r="L2173" s="2408"/>
    </row>
    <row r="2174" spans="1:12" x14ac:dyDescent="0.3">
      <c r="A2174" s="81" t="s">
        <v>5631</v>
      </c>
      <c r="B2174" s="2445" t="s">
        <v>3648</v>
      </c>
      <c r="C2174" s="2406">
        <v>0</v>
      </c>
      <c r="D2174" s="2396"/>
      <c r="E2174" s="2406">
        <v>0</v>
      </c>
      <c r="F2174" s="2406">
        <v>0</v>
      </c>
      <c r="G2174" s="2458">
        <v>0</v>
      </c>
      <c r="H2174" s="2407">
        <v>0</v>
      </c>
      <c r="I2174" s="2413"/>
      <c r="J2174" s="2413"/>
      <c r="K2174" s="2680" t="s">
        <v>6516</v>
      </c>
      <c r="L2174" s="2408"/>
    </row>
    <row r="2175" spans="1:12" x14ac:dyDescent="0.3">
      <c r="A2175" s="81" t="s">
        <v>5632</v>
      </c>
      <c r="B2175" s="2445" t="s">
        <v>3650</v>
      </c>
      <c r="C2175" s="2406">
        <v>0</v>
      </c>
      <c r="D2175" s="2396"/>
      <c r="E2175" s="2406">
        <v>0</v>
      </c>
      <c r="F2175" s="2406">
        <v>0</v>
      </c>
      <c r="G2175" s="2458">
        <v>0</v>
      </c>
      <c r="H2175" s="2407">
        <v>0</v>
      </c>
      <c r="I2175" s="2413"/>
      <c r="J2175" s="2413"/>
      <c r="K2175" s="2680" t="s">
        <v>6517</v>
      </c>
      <c r="L2175" s="2408"/>
    </row>
    <row r="2176" spans="1:12" x14ac:dyDescent="0.3">
      <c r="A2176" s="81" t="s">
        <v>5633</v>
      </c>
      <c r="B2176" s="2445" t="s">
        <v>3652</v>
      </c>
      <c r="C2176" s="2406">
        <v>0</v>
      </c>
      <c r="D2176" s="2396"/>
      <c r="E2176" s="2406">
        <v>0</v>
      </c>
      <c r="F2176" s="2406">
        <v>0</v>
      </c>
      <c r="G2176" s="2458">
        <v>0</v>
      </c>
      <c r="H2176" s="2407">
        <v>0</v>
      </c>
      <c r="I2176" s="2413"/>
      <c r="J2176" s="2413"/>
      <c r="K2176" s="2680" t="s">
        <v>6518</v>
      </c>
      <c r="L2176" s="2408"/>
    </row>
    <row r="2177" spans="1:12" x14ac:dyDescent="0.3">
      <c r="A2177" s="81" t="s">
        <v>5634</v>
      </c>
      <c r="B2177" s="2445" t="s">
        <v>3654</v>
      </c>
      <c r="C2177" s="2406">
        <v>0</v>
      </c>
      <c r="D2177" s="2396"/>
      <c r="E2177" s="2406">
        <v>0</v>
      </c>
      <c r="F2177" s="2406">
        <v>0</v>
      </c>
      <c r="G2177" s="2458">
        <v>0</v>
      </c>
      <c r="H2177" s="2407">
        <v>0</v>
      </c>
      <c r="I2177" s="2413"/>
      <c r="J2177" s="2413"/>
      <c r="K2177" s="2680" t="s">
        <v>6518</v>
      </c>
      <c r="L2177" s="2408"/>
    </row>
    <row r="2178" spans="1:12" x14ac:dyDescent="0.3">
      <c r="A2178" s="81" t="s">
        <v>5635</v>
      </c>
      <c r="B2178" s="2445" t="s">
        <v>3656</v>
      </c>
      <c r="C2178" s="2406">
        <v>0</v>
      </c>
      <c r="D2178" s="2396"/>
      <c r="E2178" s="2406">
        <v>0</v>
      </c>
      <c r="F2178" s="2406">
        <v>0</v>
      </c>
      <c r="G2178" s="2458">
        <v>0</v>
      </c>
      <c r="H2178" s="2407">
        <v>0</v>
      </c>
      <c r="I2178" s="2413"/>
      <c r="J2178" s="2413"/>
      <c r="K2178" s="2680"/>
      <c r="L2178" s="2408"/>
    </row>
    <row r="2179" spans="1:12" x14ac:dyDescent="0.3">
      <c r="A2179" s="81" t="s">
        <v>5636</v>
      </c>
      <c r="B2179" s="2445" t="s">
        <v>3658</v>
      </c>
      <c r="C2179" s="2406">
        <v>0</v>
      </c>
      <c r="D2179" s="2396"/>
      <c r="E2179" s="2406">
        <v>0</v>
      </c>
      <c r="F2179" s="2406">
        <v>0</v>
      </c>
      <c r="G2179" s="2458">
        <v>0</v>
      </c>
      <c r="H2179" s="2407">
        <v>0</v>
      </c>
      <c r="I2179" s="2413"/>
      <c r="J2179" s="2413"/>
      <c r="K2179" s="2680" t="s">
        <v>6519</v>
      </c>
      <c r="L2179" s="2408"/>
    </row>
    <row r="2180" spans="1:12" x14ac:dyDescent="0.3">
      <c r="A2180" s="81" t="s">
        <v>5637</v>
      </c>
      <c r="B2180" s="2445" t="s">
        <v>3660</v>
      </c>
      <c r="C2180" s="2406">
        <v>0</v>
      </c>
      <c r="D2180" s="2396"/>
      <c r="E2180" s="2406">
        <v>0</v>
      </c>
      <c r="F2180" s="2406">
        <v>0</v>
      </c>
      <c r="G2180" s="2458">
        <v>0</v>
      </c>
      <c r="H2180" s="2407">
        <v>0</v>
      </c>
      <c r="I2180" s="2413"/>
      <c r="J2180" s="2413"/>
      <c r="K2180" s="2680" t="s">
        <v>6520</v>
      </c>
      <c r="L2180" s="2408"/>
    </row>
    <row r="2181" spans="1:12" x14ac:dyDescent="0.3">
      <c r="A2181" s="81" t="s">
        <v>5638</v>
      </c>
      <c r="B2181" s="2445" t="s">
        <v>3662</v>
      </c>
      <c r="C2181" s="2406">
        <v>0</v>
      </c>
      <c r="D2181" s="2396"/>
      <c r="E2181" s="2406">
        <v>0</v>
      </c>
      <c r="F2181" s="2406">
        <v>0</v>
      </c>
      <c r="G2181" s="2458">
        <v>0</v>
      </c>
      <c r="H2181" s="2407">
        <v>0</v>
      </c>
      <c r="I2181" s="2413"/>
      <c r="J2181" s="2413"/>
      <c r="K2181" s="2680" t="s">
        <v>6521</v>
      </c>
      <c r="L2181" s="2408"/>
    </row>
    <row r="2182" spans="1:12" x14ac:dyDescent="0.3">
      <c r="A2182" s="81" t="s">
        <v>5639</v>
      </c>
      <c r="B2182" s="2445" t="s">
        <v>3664</v>
      </c>
      <c r="C2182" s="2406">
        <v>0</v>
      </c>
      <c r="D2182" s="2396"/>
      <c r="E2182" s="2406">
        <v>0</v>
      </c>
      <c r="F2182" s="2406">
        <v>0</v>
      </c>
      <c r="G2182" s="2458">
        <v>0</v>
      </c>
      <c r="H2182" s="2407">
        <v>0</v>
      </c>
      <c r="I2182" s="2413"/>
      <c r="J2182" s="2413"/>
      <c r="K2182" s="2680" t="s">
        <v>6522</v>
      </c>
      <c r="L2182" s="2408"/>
    </row>
    <row r="2183" spans="1:12" x14ac:dyDescent="0.3">
      <c r="A2183" s="81" t="s">
        <v>5640</v>
      </c>
      <c r="B2183" s="2445" t="s">
        <v>3666</v>
      </c>
      <c r="C2183" s="2406">
        <v>0</v>
      </c>
      <c r="D2183" s="2396"/>
      <c r="E2183" s="2406">
        <v>0</v>
      </c>
      <c r="F2183" s="2406">
        <v>0</v>
      </c>
      <c r="G2183" s="2458">
        <v>0</v>
      </c>
      <c r="H2183" s="2407">
        <v>0</v>
      </c>
      <c r="I2183" s="2413"/>
      <c r="J2183" s="2413"/>
      <c r="K2183" s="2680" t="s">
        <v>6523</v>
      </c>
      <c r="L2183" s="2408"/>
    </row>
    <row r="2184" spans="1:12" x14ac:dyDescent="0.3">
      <c r="A2184" s="81" t="s">
        <v>5641</v>
      </c>
      <c r="B2184" s="2445" t="s">
        <v>3668</v>
      </c>
      <c r="C2184" s="2406">
        <v>0</v>
      </c>
      <c r="D2184" s="2396"/>
      <c r="E2184" s="2406">
        <v>0</v>
      </c>
      <c r="F2184" s="2406">
        <v>0</v>
      </c>
      <c r="G2184" s="2458">
        <v>0</v>
      </c>
      <c r="H2184" s="2407">
        <v>0</v>
      </c>
      <c r="I2184" s="2413"/>
      <c r="J2184" s="2413"/>
      <c r="K2184" s="2680" t="s">
        <v>6524</v>
      </c>
      <c r="L2184" s="2408"/>
    </row>
    <row r="2185" spans="1:12" x14ac:dyDescent="0.3">
      <c r="A2185" s="81" t="s">
        <v>5642</v>
      </c>
      <c r="B2185" s="2445" t="s">
        <v>350</v>
      </c>
      <c r="C2185" s="2406">
        <v>0</v>
      </c>
      <c r="D2185" s="2396"/>
      <c r="E2185" s="2406">
        <v>0</v>
      </c>
      <c r="F2185" s="2406">
        <v>0</v>
      </c>
      <c r="G2185" s="2458">
        <v>0</v>
      </c>
      <c r="H2185" s="2407">
        <v>0</v>
      </c>
      <c r="I2185" s="2413"/>
      <c r="J2185" s="2413"/>
      <c r="K2185" s="2680" t="s">
        <v>6524</v>
      </c>
      <c r="L2185" s="2408"/>
    </row>
    <row r="2186" spans="1:12" x14ac:dyDescent="0.3">
      <c r="A2186" s="81" t="s">
        <v>5643</v>
      </c>
      <c r="B2186" s="2445" t="s">
        <v>3671</v>
      </c>
      <c r="C2186" s="2406">
        <v>0</v>
      </c>
      <c r="D2186" s="2396"/>
      <c r="E2186" s="2438">
        <v>0</v>
      </c>
      <c r="F2186" s="2438">
        <v>0</v>
      </c>
      <c r="G2186" s="2466">
        <v>0</v>
      </c>
      <c r="H2186" s="2438">
        <v>0</v>
      </c>
      <c r="I2186" s="2413"/>
      <c r="J2186" s="2413"/>
      <c r="K2186" s="2680"/>
      <c r="L2186" s="2408"/>
    </row>
    <row r="2187" spans="1:12" x14ac:dyDescent="0.3">
      <c r="A2187" s="81" t="s">
        <v>5644</v>
      </c>
      <c r="B2187" s="2445" t="s">
        <v>3673</v>
      </c>
      <c r="C2187" s="2406">
        <v>0</v>
      </c>
      <c r="D2187" s="2396"/>
      <c r="E2187" s="2406">
        <v>0</v>
      </c>
      <c r="F2187" s="2406">
        <v>0</v>
      </c>
      <c r="G2187" s="2458">
        <v>0</v>
      </c>
      <c r="H2187" s="2407">
        <v>0</v>
      </c>
      <c r="I2187" s="2413"/>
      <c r="J2187" s="2413"/>
      <c r="K2187" s="2680" t="s">
        <v>6525</v>
      </c>
      <c r="L2187" s="2408"/>
    </row>
    <row r="2188" spans="1:12" x14ac:dyDescent="0.3">
      <c r="A2188" s="81" t="s">
        <v>5645</v>
      </c>
      <c r="B2188" s="2445" t="s">
        <v>3675</v>
      </c>
      <c r="C2188" s="2406">
        <v>0</v>
      </c>
      <c r="D2188" s="2396"/>
      <c r="E2188" s="2406">
        <v>0</v>
      </c>
      <c r="F2188" s="2406">
        <v>0</v>
      </c>
      <c r="G2188" s="2458">
        <v>0</v>
      </c>
      <c r="H2188" s="2407">
        <v>0</v>
      </c>
      <c r="I2188" s="2413"/>
      <c r="J2188" s="2413"/>
      <c r="K2188" s="2680" t="s">
        <v>6526</v>
      </c>
      <c r="L2188" s="2408"/>
    </row>
    <row r="2189" spans="1:12" x14ac:dyDescent="0.3">
      <c r="A2189" s="81" t="s">
        <v>5646</v>
      </c>
      <c r="B2189" s="2445" t="s">
        <v>3677</v>
      </c>
      <c r="C2189" s="2406">
        <v>0</v>
      </c>
      <c r="D2189" s="2396"/>
      <c r="E2189" s="2406">
        <v>0</v>
      </c>
      <c r="F2189" s="2406">
        <v>0</v>
      </c>
      <c r="G2189" s="2458">
        <v>0</v>
      </c>
      <c r="H2189" s="2407">
        <v>0</v>
      </c>
      <c r="I2189" s="2413"/>
      <c r="J2189" s="2413"/>
      <c r="K2189" s="2680" t="s">
        <v>6526</v>
      </c>
      <c r="L2189" s="2408"/>
    </row>
    <row r="2190" spans="1:12" x14ac:dyDescent="0.3">
      <c r="A2190" s="81" t="s">
        <v>5647</v>
      </c>
      <c r="B2190" s="2445" t="s">
        <v>3679</v>
      </c>
      <c r="C2190" s="2406">
        <v>0</v>
      </c>
      <c r="D2190" s="2396"/>
      <c r="E2190" s="2406">
        <v>0</v>
      </c>
      <c r="F2190" s="2406">
        <v>0</v>
      </c>
      <c r="G2190" s="2458">
        <v>0</v>
      </c>
      <c r="H2190" s="2407">
        <v>0</v>
      </c>
      <c r="I2190" s="2413"/>
      <c r="J2190" s="2413"/>
      <c r="K2190" s="2680" t="s">
        <v>6526</v>
      </c>
      <c r="L2190" s="2408"/>
    </row>
    <row r="2191" spans="1:12" x14ac:dyDescent="0.3">
      <c r="A2191" s="81" t="s">
        <v>5648</v>
      </c>
      <c r="B2191" s="2445" t="s">
        <v>3681</v>
      </c>
      <c r="C2191" s="2406">
        <v>0</v>
      </c>
      <c r="D2191" s="2396"/>
      <c r="E2191" s="2406">
        <v>0</v>
      </c>
      <c r="F2191" s="2406">
        <v>0</v>
      </c>
      <c r="G2191" s="2458">
        <v>0</v>
      </c>
      <c r="H2191" s="2407">
        <v>0</v>
      </c>
      <c r="I2191" s="2413"/>
      <c r="J2191" s="2413"/>
      <c r="K2191" s="2680" t="s">
        <v>6526</v>
      </c>
      <c r="L2191" s="2408"/>
    </row>
    <row r="2192" spans="1:12" x14ac:dyDescent="0.3">
      <c r="A2192" s="81" t="s">
        <v>5649</v>
      </c>
      <c r="B2192" s="2445" t="s">
        <v>3683</v>
      </c>
      <c r="C2192" s="2406">
        <v>0</v>
      </c>
      <c r="D2192" s="2396"/>
      <c r="E2192" s="2406">
        <v>0</v>
      </c>
      <c r="F2192" s="2406">
        <v>0</v>
      </c>
      <c r="G2192" s="2458">
        <v>0</v>
      </c>
      <c r="H2192" s="2407">
        <v>0</v>
      </c>
      <c r="I2192" s="2413"/>
      <c r="J2192" s="2413"/>
      <c r="K2192" s="2680" t="s">
        <v>6527</v>
      </c>
      <c r="L2192" s="2408"/>
    </row>
    <row r="2193" spans="1:12" x14ac:dyDescent="0.3">
      <c r="A2193" s="81" t="s">
        <v>5650</v>
      </c>
      <c r="B2193" s="2445" t="s">
        <v>3685</v>
      </c>
      <c r="C2193" s="2406">
        <v>0</v>
      </c>
      <c r="D2193" s="2396"/>
      <c r="E2193" s="2406">
        <v>0</v>
      </c>
      <c r="F2193" s="2406">
        <v>0</v>
      </c>
      <c r="G2193" s="2458">
        <v>0</v>
      </c>
      <c r="H2193" s="2407">
        <v>0</v>
      </c>
      <c r="I2193" s="2413"/>
      <c r="J2193" s="2413"/>
      <c r="K2193" s="2680" t="s">
        <v>6528</v>
      </c>
      <c r="L2193" s="2408"/>
    </row>
    <row r="2194" spans="1:12" x14ac:dyDescent="0.3">
      <c r="A2194" s="81" t="s">
        <v>5651</v>
      </c>
      <c r="B2194" s="2445" t="s">
        <v>3687</v>
      </c>
      <c r="C2194" s="2406">
        <v>0</v>
      </c>
      <c r="D2194" s="2396"/>
      <c r="E2194" s="2406">
        <v>0</v>
      </c>
      <c r="F2194" s="2406">
        <v>0</v>
      </c>
      <c r="G2194" s="2458">
        <v>0</v>
      </c>
      <c r="H2194" s="2407">
        <v>0</v>
      </c>
      <c r="I2194" s="2413"/>
      <c r="J2194" s="2413"/>
      <c r="K2194" s="2680" t="s">
        <v>6528</v>
      </c>
      <c r="L2194" s="2408"/>
    </row>
    <row r="2195" spans="1:12" x14ac:dyDescent="0.3">
      <c r="A2195" s="81" t="s">
        <v>5652</v>
      </c>
      <c r="B2195" s="2445" t="s">
        <v>3689</v>
      </c>
      <c r="C2195" s="2406">
        <v>0</v>
      </c>
      <c r="D2195" s="2396"/>
      <c r="E2195" s="2406">
        <v>0</v>
      </c>
      <c r="F2195" s="2406">
        <v>0</v>
      </c>
      <c r="G2195" s="2458">
        <v>0</v>
      </c>
      <c r="H2195" s="2407">
        <v>0</v>
      </c>
      <c r="I2195" s="2413"/>
      <c r="J2195" s="2413"/>
      <c r="K2195" s="2680" t="s">
        <v>6528</v>
      </c>
      <c r="L2195" s="2408"/>
    </row>
    <row r="2196" spans="1:12" x14ac:dyDescent="0.3">
      <c r="A2196" s="81" t="s">
        <v>5653</v>
      </c>
      <c r="B2196" s="2445" t="s">
        <v>4078</v>
      </c>
      <c r="C2196" s="2406">
        <v>0</v>
      </c>
      <c r="D2196" s="2396"/>
      <c r="E2196" s="2406">
        <v>0</v>
      </c>
      <c r="F2196" s="2406">
        <v>0</v>
      </c>
      <c r="G2196" s="2458">
        <v>0</v>
      </c>
      <c r="H2196" s="2407">
        <v>0</v>
      </c>
      <c r="I2196" s="2413"/>
      <c r="J2196" s="2413"/>
      <c r="K2196" s="2682" t="s">
        <v>6522</v>
      </c>
      <c r="L2196" s="2408"/>
    </row>
    <row r="2197" spans="1:12" x14ac:dyDescent="0.3">
      <c r="A2197" s="81" t="s">
        <v>5654</v>
      </c>
      <c r="B2197" s="2445" t="s">
        <v>4079</v>
      </c>
      <c r="C2197" s="2406">
        <v>25398700</v>
      </c>
      <c r="D2197" s="2396"/>
      <c r="E2197" s="2406">
        <v>0</v>
      </c>
      <c r="F2197" s="2406">
        <v>0</v>
      </c>
      <c r="G2197" s="2458">
        <v>0</v>
      </c>
      <c r="H2197" s="2407">
        <v>25398700</v>
      </c>
      <c r="I2197" s="2413"/>
      <c r="J2197" s="2413"/>
      <c r="K2197" s="2682" t="s">
        <v>6522</v>
      </c>
      <c r="L2197" s="2408"/>
    </row>
    <row r="2198" spans="1:12" x14ac:dyDescent="0.3">
      <c r="A2198" s="81" t="s">
        <v>5655</v>
      </c>
      <c r="B2198" s="2445" t="s">
        <v>4080</v>
      </c>
      <c r="C2198" s="2406">
        <v>0</v>
      </c>
      <c r="D2198" s="2396"/>
      <c r="E2198" s="2406">
        <v>0</v>
      </c>
      <c r="F2198" s="2406">
        <v>0</v>
      </c>
      <c r="G2198" s="2458">
        <v>0</v>
      </c>
      <c r="H2198" s="2407">
        <v>0</v>
      </c>
      <c r="I2198" s="2413"/>
      <c r="J2198" s="2413"/>
      <c r="K2198" s="2682" t="s">
        <v>6522</v>
      </c>
      <c r="L2198" s="2408"/>
    </row>
    <row r="2199" spans="1:12" x14ac:dyDescent="0.3">
      <c r="A2199" s="81" t="s">
        <v>5656</v>
      </c>
      <c r="B2199" s="2445" t="s">
        <v>4081</v>
      </c>
      <c r="C2199" s="2406">
        <v>6085100</v>
      </c>
      <c r="D2199" s="2396"/>
      <c r="E2199" s="2406">
        <v>0</v>
      </c>
      <c r="F2199" s="2406">
        <v>0</v>
      </c>
      <c r="G2199" s="2458">
        <v>0</v>
      </c>
      <c r="H2199" s="2407">
        <v>6085100</v>
      </c>
      <c r="I2199" s="2413"/>
      <c r="J2199" s="2413"/>
      <c r="K2199" s="2682" t="s">
        <v>6522</v>
      </c>
      <c r="L2199" s="2408"/>
    </row>
    <row r="2200" spans="1:12" x14ac:dyDescent="0.3">
      <c r="A2200" s="81" t="s">
        <v>5657</v>
      </c>
      <c r="B2200" s="2445" t="s">
        <v>3113</v>
      </c>
      <c r="C2200" s="2406">
        <v>0</v>
      </c>
      <c r="D2200" s="2396"/>
      <c r="E2200" s="2406">
        <v>0</v>
      </c>
      <c r="F2200" s="2406">
        <v>0</v>
      </c>
      <c r="G2200" s="2458">
        <v>0</v>
      </c>
      <c r="H2200" s="2407">
        <v>0</v>
      </c>
      <c r="I2200" s="2413"/>
      <c r="J2200" s="2413"/>
      <c r="K2200" s="2682" t="s">
        <v>6522</v>
      </c>
      <c r="L2200" s="2408"/>
    </row>
    <row r="2201" spans="1:12" x14ac:dyDescent="0.3">
      <c r="A2201" s="81" t="s">
        <v>5658</v>
      </c>
      <c r="B2201" s="2445" t="s">
        <v>4082</v>
      </c>
      <c r="C2201" s="2406">
        <v>5327700</v>
      </c>
      <c r="D2201" s="2396"/>
      <c r="E2201" s="2406">
        <v>0</v>
      </c>
      <c r="F2201" s="2406">
        <v>0</v>
      </c>
      <c r="G2201" s="2458">
        <v>0</v>
      </c>
      <c r="H2201" s="2407">
        <v>5327700</v>
      </c>
      <c r="I2201" s="2413"/>
      <c r="J2201" s="2413"/>
      <c r="K2201" s="2682" t="s">
        <v>6522</v>
      </c>
      <c r="L2201" s="2408"/>
    </row>
    <row r="2202" spans="1:12" x14ac:dyDescent="0.3">
      <c r="A2202" s="81" t="s">
        <v>5659</v>
      </c>
      <c r="B2202" s="2445" t="s">
        <v>4083</v>
      </c>
      <c r="C2202" s="2406">
        <v>0</v>
      </c>
      <c r="D2202" s="2396"/>
      <c r="E2202" s="2406">
        <v>0</v>
      </c>
      <c r="F2202" s="2406">
        <v>0</v>
      </c>
      <c r="G2202" s="2458">
        <v>0</v>
      </c>
      <c r="H2202" s="2407">
        <v>0</v>
      </c>
      <c r="I2202" s="2413"/>
      <c r="J2202" s="2413"/>
      <c r="K2202" s="2682" t="s">
        <v>6522</v>
      </c>
      <c r="L2202" s="2408"/>
    </row>
    <row r="2203" spans="1:12" x14ac:dyDescent="0.3">
      <c r="A2203" s="81" t="s">
        <v>5660</v>
      </c>
      <c r="B2203" s="2445" t="s">
        <v>4084</v>
      </c>
      <c r="C2203" s="2406">
        <v>0</v>
      </c>
      <c r="D2203" s="2396"/>
      <c r="E2203" s="2406">
        <v>0</v>
      </c>
      <c r="F2203" s="2406">
        <v>0</v>
      </c>
      <c r="G2203" s="2458">
        <v>0</v>
      </c>
      <c r="H2203" s="2407">
        <v>0</v>
      </c>
      <c r="I2203" s="2413"/>
      <c r="J2203" s="2413"/>
      <c r="K2203" s="2682" t="s">
        <v>6522</v>
      </c>
      <c r="L2203" s="2408"/>
    </row>
    <row r="2204" spans="1:12" x14ac:dyDescent="0.3">
      <c r="A2204" s="81" t="s">
        <v>5661</v>
      </c>
      <c r="B2204" s="2445" t="s">
        <v>4085</v>
      </c>
      <c r="C2204" s="2406">
        <v>0</v>
      </c>
      <c r="D2204" s="2396"/>
      <c r="E2204" s="2406">
        <v>0</v>
      </c>
      <c r="F2204" s="2406">
        <v>0</v>
      </c>
      <c r="G2204" s="2458">
        <v>0</v>
      </c>
      <c r="H2204" s="2407">
        <v>0</v>
      </c>
      <c r="I2204" s="2413"/>
      <c r="J2204" s="2413"/>
      <c r="K2204" s="2682" t="s">
        <v>6522</v>
      </c>
      <c r="L2204" s="2408"/>
    </row>
    <row r="2205" spans="1:12" x14ac:dyDescent="0.3">
      <c r="A2205" s="81" t="s">
        <v>5662</v>
      </c>
      <c r="B2205" s="2445" t="s">
        <v>4086</v>
      </c>
      <c r="C2205" s="2406">
        <v>0</v>
      </c>
      <c r="D2205" s="2396"/>
      <c r="E2205" s="2406">
        <v>0</v>
      </c>
      <c r="F2205" s="2406">
        <v>0</v>
      </c>
      <c r="G2205" s="2458">
        <v>0</v>
      </c>
      <c r="H2205" s="2407">
        <v>0</v>
      </c>
      <c r="I2205" s="2413"/>
      <c r="J2205" s="2413"/>
      <c r="K2205" s="2682" t="s">
        <v>6522</v>
      </c>
      <c r="L2205" s="2408"/>
    </row>
    <row r="2206" spans="1:12" x14ac:dyDescent="0.3">
      <c r="A2206" s="81" t="s">
        <v>5663</v>
      </c>
      <c r="B2206" s="2445" t="s">
        <v>4087</v>
      </c>
      <c r="C2206" s="2406">
        <v>0</v>
      </c>
      <c r="D2206" s="2396"/>
      <c r="E2206" s="2406">
        <v>0</v>
      </c>
      <c r="F2206" s="2406">
        <v>0</v>
      </c>
      <c r="G2206" s="2458">
        <v>0</v>
      </c>
      <c r="H2206" s="2407">
        <v>0</v>
      </c>
      <c r="I2206" s="2413"/>
      <c r="J2206" s="2413"/>
      <c r="K2206" s="2680"/>
      <c r="L2206" s="2408"/>
    </row>
    <row r="2207" spans="1:12" x14ac:dyDescent="0.3">
      <c r="A2207" s="81" t="s">
        <v>5664</v>
      </c>
      <c r="B2207" s="2445" t="s">
        <v>4088</v>
      </c>
      <c r="C2207" s="2406">
        <v>0</v>
      </c>
      <c r="D2207" s="2396"/>
      <c r="E2207" s="2406">
        <v>0</v>
      </c>
      <c r="F2207" s="2406">
        <v>0</v>
      </c>
      <c r="G2207" s="2458">
        <v>0</v>
      </c>
      <c r="H2207" s="2407">
        <v>0</v>
      </c>
      <c r="I2207" s="2413"/>
      <c r="J2207" s="2413"/>
      <c r="K2207" s="2682" t="s">
        <v>6753</v>
      </c>
      <c r="L2207" s="2408"/>
    </row>
    <row r="2208" spans="1:12" x14ac:dyDescent="0.3">
      <c r="A2208" s="81" t="s">
        <v>5665</v>
      </c>
      <c r="B2208" s="2445" t="s">
        <v>4072</v>
      </c>
      <c r="C2208" s="2406">
        <v>0</v>
      </c>
      <c r="D2208" s="2396"/>
      <c r="E2208" s="2406">
        <v>0</v>
      </c>
      <c r="F2208" s="2406">
        <v>0</v>
      </c>
      <c r="G2208" s="2458">
        <v>0</v>
      </c>
      <c r="H2208" s="2407">
        <v>0</v>
      </c>
      <c r="I2208" s="2413"/>
      <c r="J2208" s="2413"/>
      <c r="K2208" s="2682" t="s">
        <v>6540</v>
      </c>
      <c r="L2208" s="2408"/>
    </row>
    <row r="2209" spans="1:12" x14ac:dyDescent="0.3">
      <c r="A2209" s="81" t="s">
        <v>5666</v>
      </c>
      <c r="B2209" s="2445" t="s">
        <v>4009</v>
      </c>
      <c r="C2209" s="2406">
        <v>0</v>
      </c>
      <c r="D2209" s="2396"/>
      <c r="E2209" s="2406">
        <v>0</v>
      </c>
      <c r="F2209" s="2406">
        <v>0</v>
      </c>
      <c r="G2209" s="2458">
        <v>0</v>
      </c>
      <c r="H2209" s="2407">
        <v>0</v>
      </c>
      <c r="I2209" s="2413"/>
      <c r="J2209" s="2413"/>
      <c r="K2209" s="2682" t="s">
        <v>6753</v>
      </c>
      <c r="L2209" s="2408"/>
    </row>
    <row r="2210" spans="1:12" x14ac:dyDescent="0.3">
      <c r="A2210" s="81" t="s">
        <v>5667</v>
      </c>
      <c r="B2210" s="2445" t="s">
        <v>4089</v>
      </c>
      <c r="C2210" s="2406">
        <v>0</v>
      </c>
      <c r="D2210" s="2396"/>
      <c r="E2210" s="2406">
        <v>0</v>
      </c>
      <c r="F2210" s="2406">
        <v>0</v>
      </c>
      <c r="G2210" s="2458">
        <v>0</v>
      </c>
      <c r="H2210" s="2407">
        <v>0</v>
      </c>
      <c r="I2210" s="2413"/>
      <c r="J2210" s="2413"/>
      <c r="K2210" s="2682" t="s">
        <v>6540</v>
      </c>
      <c r="L2210" s="2408"/>
    </row>
    <row r="2211" spans="1:12" x14ac:dyDescent="0.3">
      <c r="A2211" s="81" t="s">
        <v>5668</v>
      </c>
      <c r="B2211" s="2445" t="s">
        <v>4090</v>
      </c>
      <c r="C2211" s="2406">
        <v>0</v>
      </c>
      <c r="D2211" s="2396"/>
      <c r="E2211" s="2406">
        <v>0</v>
      </c>
      <c r="F2211" s="2406">
        <v>0</v>
      </c>
      <c r="G2211" s="2458">
        <v>0</v>
      </c>
      <c r="H2211" s="2407">
        <v>0</v>
      </c>
      <c r="I2211" s="2413"/>
      <c r="J2211" s="2413"/>
      <c r="K2211" s="2682" t="s">
        <v>6542</v>
      </c>
      <c r="L2211" s="2408"/>
    </row>
    <row r="2212" spans="1:12" x14ac:dyDescent="0.3">
      <c r="A2212" s="81" t="s">
        <v>5669</v>
      </c>
      <c r="B2212" s="2445" t="s">
        <v>4091</v>
      </c>
      <c r="C2212" s="2406">
        <v>0</v>
      </c>
      <c r="D2212" s="2396"/>
      <c r="E2212" s="2406">
        <v>0</v>
      </c>
      <c r="F2212" s="2406">
        <v>0</v>
      </c>
      <c r="G2212" s="2458">
        <v>0</v>
      </c>
      <c r="H2212" s="2407">
        <v>0</v>
      </c>
      <c r="I2212" s="2413"/>
      <c r="J2212" s="2413"/>
      <c r="K2212" s="2682" t="s">
        <v>6542</v>
      </c>
      <c r="L2212" s="2408"/>
    </row>
    <row r="2213" spans="1:12" x14ac:dyDescent="0.3">
      <c r="A2213" s="81" t="s">
        <v>5670</v>
      </c>
      <c r="B2213" s="2445" t="s">
        <v>4092</v>
      </c>
      <c r="C2213" s="2406">
        <v>0</v>
      </c>
      <c r="D2213" s="2396"/>
      <c r="E2213" s="2406">
        <v>0</v>
      </c>
      <c r="F2213" s="2406">
        <v>0</v>
      </c>
      <c r="G2213" s="2458">
        <v>0</v>
      </c>
      <c r="H2213" s="2407">
        <v>0</v>
      </c>
      <c r="I2213" s="2413"/>
      <c r="J2213" s="2413"/>
      <c r="K2213" s="2682" t="s">
        <v>6542</v>
      </c>
      <c r="L2213" s="2408"/>
    </row>
    <row r="2214" spans="1:12" x14ac:dyDescent="0.3">
      <c r="A2214" s="81" t="s">
        <v>5671</v>
      </c>
      <c r="B2214" s="2445" t="s">
        <v>3599</v>
      </c>
      <c r="C2214" s="2406">
        <v>0</v>
      </c>
      <c r="D2214" s="2396"/>
      <c r="E2214" s="2406">
        <v>0</v>
      </c>
      <c r="F2214" s="2406">
        <v>0</v>
      </c>
      <c r="G2214" s="2448">
        <v>0</v>
      </c>
      <c r="H2214" s="2407">
        <v>0</v>
      </c>
      <c r="I2214" s="2413"/>
      <c r="J2214" s="2413"/>
      <c r="K2214" s="2680"/>
      <c r="L2214" s="2408"/>
    </row>
    <row r="2215" spans="1:12" x14ac:dyDescent="0.3">
      <c r="A2215" s="81" t="s">
        <v>5672</v>
      </c>
      <c r="B2215" s="2445" t="s">
        <v>3605</v>
      </c>
      <c r="C2215" s="2406">
        <v>0</v>
      </c>
      <c r="D2215" s="2396"/>
      <c r="E2215" s="2406">
        <v>0</v>
      </c>
      <c r="F2215" s="2406">
        <v>0</v>
      </c>
      <c r="G2215" s="2448">
        <v>0</v>
      </c>
      <c r="H2215" s="2407">
        <v>0</v>
      </c>
      <c r="I2215" s="2413"/>
      <c r="J2215" s="2413"/>
      <c r="K2215" s="2680" t="s">
        <v>2586</v>
      </c>
      <c r="L2215" s="2408"/>
    </row>
    <row r="2216" spans="1:12" x14ac:dyDescent="0.3">
      <c r="A2216" s="81" t="s">
        <v>5673</v>
      </c>
      <c r="B2216" s="2445" t="s">
        <v>3607</v>
      </c>
      <c r="C2216" s="2406">
        <v>0</v>
      </c>
      <c r="D2216" s="2396"/>
      <c r="E2216" s="2406">
        <v>0</v>
      </c>
      <c r="F2216" s="2406">
        <v>0</v>
      </c>
      <c r="G2216" s="2448">
        <v>0</v>
      </c>
      <c r="H2216" s="2407">
        <v>0</v>
      </c>
      <c r="I2216" s="2413"/>
      <c r="J2216" s="2413"/>
      <c r="K2216" s="2680" t="s">
        <v>2586</v>
      </c>
      <c r="L2216" s="2408"/>
    </row>
    <row r="2217" spans="1:12" x14ac:dyDescent="0.3">
      <c r="A2217" s="81" t="s">
        <v>5674</v>
      </c>
      <c r="B2217" s="2445" t="s">
        <v>3609</v>
      </c>
      <c r="C2217" s="2406">
        <v>0</v>
      </c>
      <c r="D2217" s="2396"/>
      <c r="E2217" s="2406">
        <v>0</v>
      </c>
      <c r="F2217" s="2406">
        <v>0</v>
      </c>
      <c r="G2217" s="2448">
        <v>0</v>
      </c>
      <c r="H2217" s="2407">
        <v>0</v>
      </c>
      <c r="I2217" s="2413"/>
      <c r="J2217" s="2413"/>
      <c r="K2217" s="2680" t="s">
        <v>2585</v>
      </c>
      <c r="L2217" s="2408"/>
    </row>
    <row r="2218" spans="1:12" x14ac:dyDescent="0.3">
      <c r="A2218" s="81" t="s">
        <v>5675</v>
      </c>
      <c r="B2218" s="2445" t="s">
        <v>3611</v>
      </c>
      <c r="C2218" s="2406">
        <v>0</v>
      </c>
      <c r="D2218" s="2396"/>
      <c r="E2218" s="2406">
        <v>0</v>
      </c>
      <c r="F2218" s="2406">
        <v>0</v>
      </c>
      <c r="G2218" s="2448">
        <v>0</v>
      </c>
      <c r="H2218" s="2407">
        <v>0</v>
      </c>
      <c r="I2218" s="2413"/>
      <c r="J2218" s="2413"/>
      <c r="K2218" s="2680" t="s">
        <v>6505</v>
      </c>
      <c r="L2218" s="2408"/>
    </row>
    <row r="2219" spans="1:12" x14ac:dyDescent="0.3">
      <c r="A2219" s="81" t="s">
        <v>5676</v>
      </c>
      <c r="B2219" s="2445" t="s">
        <v>3613</v>
      </c>
      <c r="C2219" s="2406">
        <v>0</v>
      </c>
      <c r="D2219" s="2396"/>
      <c r="E2219" s="2406">
        <v>0</v>
      </c>
      <c r="F2219" s="2406">
        <v>0</v>
      </c>
      <c r="G2219" s="2448">
        <v>0</v>
      </c>
      <c r="H2219" s="2407">
        <v>0</v>
      </c>
      <c r="I2219" s="2413"/>
      <c r="J2219" s="2413"/>
      <c r="K2219" s="2680" t="s">
        <v>6505</v>
      </c>
      <c r="L2219" s="2408"/>
    </row>
    <row r="2220" spans="1:12" x14ac:dyDescent="0.3">
      <c r="A2220" s="81" t="s">
        <v>5677</v>
      </c>
      <c r="B2220" s="2445" t="s">
        <v>3615</v>
      </c>
      <c r="C2220" s="2406">
        <v>0</v>
      </c>
      <c r="D2220" s="2396"/>
      <c r="E2220" s="2406">
        <v>0</v>
      </c>
      <c r="F2220" s="2406">
        <v>0</v>
      </c>
      <c r="G2220" s="2448">
        <v>0</v>
      </c>
      <c r="H2220" s="2407">
        <v>0</v>
      </c>
      <c r="I2220" s="2413"/>
      <c r="J2220" s="2413"/>
      <c r="K2220" s="2680" t="s">
        <v>2586</v>
      </c>
      <c r="L2220" s="2408"/>
    </row>
    <row r="2221" spans="1:12" x14ac:dyDescent="0.3">
      <c r="A2221" s="81" t="s">
        <v>5678</v>
      </c>
      <c r="B2221" s="2445" t="s">
        <v>3617</v>
      </c>
      <c r="C2221" s="2406">
        <v>0</v>
      </c>
      <c r="D2221" s="2396"/>
      <c r="E2221" s="2406">
        <v>0</v>
      </c>
      <c r="F2221" s="2406">
        <v>0</v>
      </c>
      <c r="G2221" s="2448">
        <v>0</v>
      </c>
      <c r="H2221" s="2407">
        <v>0</v>
      </c>
      <c r="I2221" s="2413"/>
      <c r="J2221" s="2413"/>
      <c r="K2221" s="2680" t="s">
        <v>2586</v>
      </c>
      <c r="L2221" s="2408"/>
    </row>
    <row r="2222" spans="1:12" x14ac:dyDescent="0.3">
      <c r="A2222" s="81" t="s">
        <v>5679</v>
      </c>
      <c r="B2222" s="2445" t="s">
        <v>3619</v>
      </c>
      <c r="C2222" s="2406">
        <v>0</v>
      </c>
      <c r="D2222" s="2396"/>
      <c r="E2222" s="2406">
        <v>0</v>
      </c>
      <c r="F2222" s="2406">
        <v>0</v>
      </c>
      <c r="G2222" s="2448">
        <v>0</v>
      </c>
      <c r="H2222" s="2407">
        <v>0</v>
      </c>
      <c r="I2222" s="2413"/>
      <c r="J2222" s="2413"/>
      <c r="K2222" s="2680"/>
      <c r="L2222" s="2408"/>
    </row>
    <row r="2223" spans="1:12" x14ac:dyDescent="0.3">
      <c r="A2223" s="81" t="s">
        <v>5680</v>
      </c>
      <c r="B2223" s="2445" t="s">
        <v>3621</v>
      </c>
      <c r="C2223" s="2406">
        <v>0</v>
      </c>
      <c r="D2223" s="2396"/>
      <c r="E2223" s="2406">
        <v>0</v>
      </c>
      <c r="F2223" s="2406">
        <v>0</v>
      </c>
      <c r="G2223" s="2448">
        <v>0</v>
      </c>
      <c r="H2223" s="2407">
        <v>0</v>
      </c>
      <c r="I2223" s="2413"/>
      <c r="J2223" s="2413"/>
      <c r="K2223" s="2680" t="s">
        <v>6506</v>
      </c>
      <c r="L2223" s="2408"/>
    </row>
    <row r="2224" spans="1:12" x14ac:dyDescent="0.3">
      <c r="A2224" s="81" t="s">
        <v>5681</v>
      </c>
      <c r="B2224" s="2445" t="s">
        <v>3623</v>
      </c>
      <c r="C2224" s="2406">
        <v>0</v>
      </c>
      <c r="D2224" s="2396"/>
      <c r="E2224" s="2406">
        <v>0</v>
      </c>
      <c r="F2224" s="2406">
        <v>0</v>
      </c>
      <c r="G2224" s="2448">
        <v>0</v>
      </c>
      <c r="H2224" s="2407">
        <v>0</v>
      </c>
      <c r="I2224" s="2413"/>
      <c r="J2224" s="2413"/>
      <c r="K2224" s="2680" t="s">
        <v>6507</v>
      </c>
      <c r="L2224" s="2408"/>
    </row>
    <row r="2225" spans="1:12" x14ac:dyDescent="0.3">
      <c r="A2225" s="81" t="s">
        <v>5682</v>
      </c>
      <c r="B2225" s="2445" t="s">
        <v>3625</v>
      </c>
      <c r="C2225" s="2406">
        <v>0</v>
      </c>
      <c r="D2225" s="2396"/>
      <c r="E2225" s="2406">
        <v>0</v>
      </c>
      <c r="F2225" s="2406">
        <v>0</v>
      </c>
      <c r="G2225" s="2448">
        <v>0</v>
      </c>
      <c r="H2225" s="2407">
        <v>0</v>
      </c>
      <c r="I2225" s="2413"/>
      <c r="J2225" s="2413"/>
      <c r="K2225" s="2680" t="s">
        <v>6508</v>
      </c>
      <c r="L2225" s="2408"/>
    </row>
    <row r="2226" spans="1:12" x14ac:dyDescent="0.3">
      <c r="A2226" s="81" t="s">
        <v>5683</v>
      </c>
      <c r="B2226" s="2445" t="s">
        <v>3627</v>
      </c>
      <c r="C2226" s="2406">
        <v>0</v>
      </c>
      <c r="D2226" s="2396"/>
      <c r="E2226" s="2406">
        <v>0</v>
      </c>
      <c r="F2226" s="2406">
        <v>0</v>
      </c>
      <c r="G2226" s="2448">
        <v>0</v>
      </c>
      <c r="H2226" s="2407">
        <v>0</v>
      </c>
      <c r="I2226" s="2413"/>
      <c r="J2226" s="2413"/>
      <c r="K2226" s="2680" t="s">
        <v>6509</v>
      </c>
      <c r="L2226" s="2408"/>
    </row>
    <row r="2227" spans="1:12" x14ac:dyDescent="0.3">
      <c r="A2227" s="81" t="s">
        <v>5684</v>
      </c>
      <c r="B2227" s="2445" t="s">
        <v>3629</v>
      </c>
      <c r="C2227" s="2406">
        <v>0</v>
      </c>
      <c r="D2227" s="2396"/>
      <c r="E2227" s="2406">
        <v>0</v>
      </c>
      <c r="F2227" s="2406">
        <v>0</v>
      </c>
      <c r="G2227" s="2448">
        <v>0</v>
      </c>
      <c r="H2227" s="2407">
        <v>0</v>
      </c>
      <c r="I2227" s="2413"/>
      <c r="J2227" s="2413"/>
      <c r="K2227" s="2680" t="s">
        <v>6510</v>
      </c>
      <c r="L2227" s="2408"/>
    </row>
    <row r="2228" spans="1:12" x14ac:dyDescent="0.3">
      <c r="A2228" s="81" t="s">
        <v>5685</v>
      </c>
      <c r="B2228" s="2445" t="s">
        <v>3631</v>
      </c>
      <c r="C2228" s="2406">
        <v>0</v>
      </c>
      <c r="D2228" s="2396"/>
      <c r="E2228" s="2406">
        <v>0</v>
      </c>
      <c r="F2228" s="2406">
        <v>0</v>
      </c>
      <c r="G2228" s="2448">
        <v>0</v>
      </c>
      <c r="H2228" s="2407">
        <v>0</v>
      </c>
      <c r="I2228" s="2413"/>
      <c r="J2228" s="2413"/>
      <c r="K2228" s="2680" t="s">
        <v>6511</v>
      </c>
      <c r="L2228" s="2408"/>
    </row>
    <row r="2229" spans="1:12" x14ac:dyDescent="0.3">
      <c r="A2229" s="81" t="s">
        <v>5686</v>
      </c>
      <c r="B2229" s="2445" t="s">
        <v>3633</v>
      </c>
      <c r="C2229" s="2406">
        <v>0</v>
      </c>
      <c r="D2229" s="2396"/>
      <c r="E2229" s="2406">
        <v>0</v>
      </c>
      <c r="F2229" s="2406">
        <v>0</v>
      </c>
      <c r="G2229" s="2448">
        <v>0</v>
      </c>
      <c r="H2229" s="2407">
        <v>0</v>
      </c>
      <c r="I2229" s="2413"/>
      <c r="J2229" s="2413"/>
      <c r="K2229" s="2680" t="s">
        <v>6512</v>
      </c>
      <c r="L2229" s="2408"/>
    </row>
    <row r="2230" spans="1:12" x14ac:dyDescent="0.3">
      <c r="A2230" s="81" t="s">
        <v>5687</v>
      </c>
      <c r="B2230" s="2445" t="s">
        <v>3635</v>
      </c>
      <c r="C2230" s="2406">
        <v>0</v>
      </c>
      <c r="D2230" s="2396"/>
      <c r="E2230" s="2406">
        <v>0</v>
      </c>
      <c r="F2230" s="2406">
        <v>0</v>
      </c>
      <c r="G2230" s="2448">
        <v>0</v>
      </c>
      <c r="H2230" s="2407">
        <v>0</v>
      </c>
      <c r="I2230" s="2413"/>
      <c r="J2230" s="2413"/>
      <c r="K2230" s="2680" t="s">
        <v>6513</v>
      </c>
      <c r="L2230" s="2408"/>
    </row>
    <row r="2231" spans="1:12" x14ac:dyDescent="0.3">
      <c r="A2231" s="81" t="s">
        <v>5688</v>
      </c>
      <c r="B2231" s="2445" t="s">
        <v>3637</v>
      </c>
      <c r="C2231" s="2406">
        <v>0</v>
      </c>
      <c r="D2231" s="2396"/>
      <c r="E2231" s="2406">
        <v>0</v>
      </c>
      <c r="F2231" s="2406">
        <v>0</v>
      </c>
      <c r="G2231" s="2448">
        <v>0</v>
      </c>
      <c r="H2231" s="2407">
        <v>0</v>
      </c>
      <c r="I2231" s="2413"/>
      <c r="J2231" s="2413"/>
      <c r="K2231" s="2680" t="s">
        <v>6514</v>
      </c>
      <c r="L2231" s="2408"/>
    </row>
    <row r="2232" spans="1:12" x14ac:dyDescent="0.3">
      <c r="A2232" s="81" t="s">
        <v>5689</v>
      </c>
      <c r="B2232" s="2445" t="s">
        <v>334</v>
      </c>
      <c r="C2232" s="2406">
        <v>0</v>
      </c>
      <c r="D2232" s="2396"/>
      <c r="E2232" s="2406">
        <v>0</v>
      </c>
      <c r="F2232" s="2406">
        <v>0</v>
      </c>
      <c r="G2232" s="2448">
        <v>0</v>
      </c>
      <c r="H2232" s="2407">
        <v>0</v>
      </c>
      <c r="I2232" s="2413"/>
      <c r="J2232" s="2413"/>
      <c r="K2232" s="2680"/>
      <c r="L2232" s="2408"/>
    </row>
    <row r="2233" spans="1:12" x14ac:dyDescent="0.3">
      <c r="A2233" s="81" t="s">
        <v>5690</v>
      </c>
      <c r="B2233" s="2445" t="s">
        <v>3640</v>
      </c>
      <c r="C2233" s="2406">
        <v>694310</v>
      </c>
      <c r="D2233" s="2396"/>
      <c r="E2233" s="2406">
        <v>34500</v>
      </c>
      <c r="F2233" s="2406">
        <v>0</v>
      </c>
      <c r="G2233" s="2448">
        <v>34500</v>
      </c>
      <c r="H2233" s="2407">
        <v>728810</v>
      </c>
      <c r="I2233" s="2413"/>
      <c r="J2233" s="2413"/>
      <c r="K2233" s="2680" t="s">
        <v>6515</v>
      </c>
      <c r="L2233" s="2408"/>
    </row>
    <row r="2234" spans="1:12" x14ac:dyDescent="0.3">
      <c r="A2234" s="81" t="s">
        <v>5691</v>
      </c>
      <c r="B2234" s="2445" t="s">
        <v>3642</v>
      </c>
      <c r="C2234" s="2406">
        <v>0</v>
      </c>
      <c r="D2234" s="2396"/>
      <c r="E2234" s="2406">
        <v>0</v>
      </c>
      <c r="F2234" s="2406">
        <v>0</v>
      </c>
      <c r="G2234" s="2448">
        <v>0</v>
      </c>
      <c r="H2234" s="2407">
        <v>0</v>
      </c>
      <c r="I2234" s="2413"/>
      <c r="J2234" s="2413"/>
      <c r="K2234" s="2680" t="s">
        <v>6515</v>
      </c>
      <c r="L2234" s="2408"/>
    </row>
    <row r="2235" spans="1:12" x14ac:dyDescent="0.3">
      <c r="A2235" s="81" t="s">
        <v>5692</v>
      </c>
      <c r="B2235" s="2445" t="s">
        <v>3644</v>
      </c>
      <c r="C2235" s="2406">
        <v>0</v>
      </c>
      <c r="D2235" s="2396"/>
      <c r="E2235" s="2406">
        <v>0</v>
      </c>
      <c r="F2235" s="2406">
        <v>0</v>
      </c>
      <c r="G2235" s="2448">
        <v>0</v>
      </c>
      <c r="H2235" s="2407">
        <v>0</v>
      </c>
      <c r="I2235" s="2413"/>
      <c r="J2235" s="2413"/>
      <c r="K2235" s="2680" t="s">
        <v>6515</v>
      </c>
      <c r="L2235" s="2408"/>
    </row>
    <row r="2236" spans="1:12" x14ac:dyDescent="0.3">
      <c r="A2236" s="81" t="s">
        <v>5693</v>
      </c>
      <c r="B2236" s="2445" t="s">
        <v>3646</v>
      </c>
      <c r="C2236" s="2406">
        <v>492500</v>
      </c>
      <c r="D2236" s="2396"/>
      <c r="E2236" s="2406">
        <v>0</v>
      </c>
      <c r="F2236" s="2406">
        <v>0</v>
      </c>
      <c r="G2236" s="2448">
        <v>0</v>
      </c>
      <c r="H2236" s="2407">
        <v>492500</v>
      </c>
      <c r="I2236" s="2413"/>
      <c r="J2236" s="2413"/>
      <c r="K2236" s="2680" t="s">
        <v>6515</v>
      </c>
      <c r="L2236" s="2408"/>
    </row>
    <row r="2237" spans="1:12" x14ac:dyDescent="0.3">
      <c r="A2237" s="81" t="s">
        <v>5694</v>
      </c>
      <c r="B2237" s="2445" t="s">
        <v>3648</v>
      </c>
      <c r="C2237" s="2406">
        <v>616000</v>
      </c>
      <c r="D2237" s="2396"/>
      <c r="E2237" s="2406">
        <v>0</v>
      </c>
      <c r="F2237" s="2406">
        <v>0</v>
      </c>
      <c r="G2237" s="2448">
        <v>0</v>
      </c>
      <c r="H2237" s="2407">
        <v>616000</v>
      </c>
      <c r="I2237" s="2413"/>
      <c r="J2237" s="2413"/>
      <c r="K2237" s="2680" t="s">
        <v>6516</v>
      </c>
      <c r="L2237" s="2408"/>
    </row>
    <row r="2238" spans="1:12" x14ac:dyDescent="0.3">
      <c r="A2238" s="81" t="s">
        <v>5695</v>
      </c>
      <c r="B2238" s="2445" t="s">
        <v>3650</v>
      </c>
      <c r="C2238" s="2406">
        <v>0</v>
      </c>
      <c r="D2238" s="2396"/>
      <c r="E2238" s="2406">
        <v>0</v>
      </c>
      <c r="F2238" s="2406">
        <v>0</v>
      </c>
      <c r="G2238" s="2448">
        <v>0</v>
      </c>
      <c r="H2238" s="2407">
        <v>0</v>
      </c>
      <c r="I2238" s="2413"/>
      <c r="J2238" s="2413"/>
      <c r="K2238" s="2680" t="s">
        <v>6517</v>
      </c>
      <c r="L2238" s="2408"/>
    </row>
    <row r="2239" spans="1:12" x14ac:dyDescent="0.3">
      <c r="A2239" s="81" t="s">
        <v>5696</v>
      </c>
      <c r="B2239" s="2445" t="s">
        <v>3652</v>
      </c>
      <c r="C2239" s="2406">
        <v>561500</v>
      </c>
      <c r="D2239" s="2396"/>
      <c r="E2239" s="2406">
        <v>0</v>
      </c>
      <c r="F2239" s="2406">
        <v>0</v>
      </c>
      <c r="G2239" s="2448">
        <v>0</v>
      </c>
      <c r="H2239" s="2407">
        <v>561500</v>
      </c>
      <c r="I2239" s="2413"/>
      <c r="J2239" s="2413"/>
      <c r="K2239" s="2680" t="s">
        <v>6518</v>
      </c>
      <c r="L2239" s="2408"/>
    </row>
    <row r="2240" spans="1:12" x14ac:dyDescent="0.3">
      <c r="A2240" s="81" t="s">
        <v>5697</v>
      </c>
      <c r="B2240" s="2445" t="s">
        <v>4095</v>
      </c>
      <c r="C2240" s="2406">
        <v>12344000</v>
      </c>
      <c r="D2240" s="2396"/>
      <c r="E2240" s="2406">
        <v>760000</v>
      </c>
      <c r="F2240" s="2406">
        <v>0</v>
      </c>
      <c r="G2240" s="2448">
        <v>760000</v>
      </c>
      <c r="H2240" s="2407">
        <v>13104000</v>
      </c>
      <c r="I2240" s="2413"/>
      <c r="J2240" s="2413"/>
      <c r="K2240" s="2680" t="s">
        <v>6518</v>
      </c>
      <c r="L2240" s="2408"/>
    </row>
    <row r="2241" spans="1:12" x14ac:dyDescent="0.3">
      <c r="A2241" s="81" t="s">
        <v>5698</v>
      </c>
      <c r="B2241" s="2445" t="s">
        <v>3654</v>
      </c>
      <c r="C2241" s="2406">
        <v>0</v>
      </c>
      <c r="D2241" s="2396"/>
      <c r="E2241" s="2406">
        <v>0</v>
      </c>
      <c r="F2241" s="2406">
        <v>0</v>
      </c>
      <c r="G2241" s="2448">
        <v>0</v>
      </c>
      <c r="H2241" s="2407">
        <v>0</v>
      </c>
      <c r="I2241" s="2413"/>
      <c r="J2241" s="2413"/>
      <c r="K2241" s="2680" t="s">
        <v>6518</v>
      </c>
      <c r="L2241" s="2408"/>
    </row>
    <row r="2242" spans="1:12" x14ac:dyDescent="0.3">
      <c r="A2242" s="81" t="s">
        <v>5699</v>
      </c>
      <c r="B2242" s="2445" t="s">
        <v>3656</v>
      </c>
      <c r="C2242" s="2406">
        <v>0</v>
      </c>
      <c r="D2242" s="2396"/>
      <c r="E2242" s="2406">
        <v>0</v>
      </c>
      <c r="F2242" s="2406">
        <v>0</v>
      </c>
      <c r="G2242" s="2448">
        <v>0</v>
      </c>
      <c r="H2242" s="2407">
        <v>0</v>
      </c>
      <c r="I2242" s="2413"/>
      <c r="J2242" s="2413"/>
      <c r="K2242" s="2680"/>
      <c r="L2242" s="2408"/>
    </row>
    <row r="2243" spans="1:12" x14ac:dyDescent="0.3">
      <c r="A2243" s="81" t="s">
        <v>5700</v>
      </c>
      <c r="B2243" s="2445" t="s">
        <v>3658</v>
      </c>
      <c r="C2243" s="2406">
        <v>0</v>
      </c>
      <c r="D2243" s="2396"/>
      <c r="E2243" s="2406">
        <v>0</v>
      </c>
      <c r="F2243" s="2406">
        <v>0</v>
      </c>
      <c r="G2243" s="2448">
        <v>0</v>
      </c>
      <c r="H2243" s="2407">
        <v>0</v>
      </c>
      <c r="I2243" s="2413"/>
      <c r="J2243" s="2413"/>
      <c r="K2243" s="2680" t="s">
        <v>6519</v>
      </c>
      <c r="L2243" s="2408"/>
    </row>
    <row r="2244" spans="1:12" x14ac:dyDescent="0.3">
      <c r="A2244" s="81" t="s">
        <v>5701</v>
      </c>
      <c r="B2244" s="2445" t="s">
        <v>3660</v>
      </c>
      <c r="C2244" s="2406">
        <v>2774550</v>
      </c>
      <c r="D2244" s="2396"/>
      <c r="E2244" s="2406">
        <v>300000</v>
      </c>
      <c r="F2244" s="2406">
        <v>0</v>
      </c>
      <c r="G2244" s="2448">
        <v>300000</v>
      </c>
      <c r="H2244" s="2407">
        <v>3074550</v>
      </c>
      <c r="I2244" s="2413"/>
      <c r="J2244" s="2413"/>
      <c r="K2244" s="2680" t="s">
        <v>6520</v>
      </c>
      <c r="L2244" s="2408"/>
    </row>
    <row r="2245" spans="1:12" x14ac:dyDescent="0.3">
      <c r="A2245" s="81" t="s">
        <v>5702</v>
      </c>
      <c r="B2245" s="2445" t="s">
        <v>3662</v>
      </c>
      <c r="C2245" s="2406">
        <v>0</v>
      </c>
      <c r="D2245" s="2396"/>
      <c r="E2245" s="2406">
        <v>0</v>
      </c>
      <c r="F2245" s="2406">
        <v>0</v>
      </c>
      <c r="G2245" s="2448">
        <v>0</v>
      </c>
      <c r="H2245" s="2407">
        <v>0</v>
      </c>
      <c r="I2245" s="2413"/>
      <c r="J2245" s="2413"/>
      <c r="K2245" s="2680" t="s">
        <v>6521</v>
      </c>
      <c r="L2245" s="2408"/>
    </row>
    <row r="2246" spans="1:12" x14ac:dyDescent="0.3">
      <c r="A2246" s="81" t="s">
        <v>5703</v>
      </c>
      <c r="B2246" s="2445" t="s">
        <v>3664</v>
      </c>
      <c r="C2246" s="2406">
        <v>0</v>
      </c>
      <c r="D2246" s="2396"/>
      <c r="E2246" s="2406">
        <v>0</v>
      </c>
      <c r="F2246" s="2406">
        <v>0</v>
      </c>
      <c r="G2246" s="2448">
        <v>0</v>
      </c>
      <c r="H2246" s="2407">
        <v>0</v>
      </c>
      <c r="I2246" s="2413"/>
      <c r="J2246" s="2413"/>
      <c r="K2246" s="2680" t="s">
        <v>6522</v>
      </c>
      <c r="L2246" s="2408"/>
    </row>
    <row r="2247" spans="1:12" x14ac:dyDescent="0.3">
      <c r="A2247" s="81" t="s">
        <v>5704</v>
      </c>
      <c r="B2247" s="2445" t="s">
        <v>3666</v>
      </c>
      <c r="C2247" s="2406">
        <v>0</v>
      </c>
      <c r="D2247" s="2396"/>
      <c r="E2247" s="2406">
        <v>0</v>
      </c>
      <c r="F2247" s="2406">
        <v>0</v>
      </c>
      <c r="G2247" s="2448">
        <v>0</v>
      </c>
      <c r="H2247" s="2407">
        <v>0</v>
      </c>
      <c r="I2247" s="2413"/>
      <c r="J2247" s="2413"/>
      <c r="K2247" s="2680" t="s">
        <v>6523</v>
      </c>
      <c r="L2247" s="2408"/>
    </row>
    <row r="2248" spans="1:12" x14ac:dyDescent="0.3">
      <c r="A2248" s="81" t="s">
        <v>5705</v>
      </c>
      <c r="B2248" s="2445" t="s">
        <v>3668</v>
      </c>
      <c r="C2248" s="2406">
        <v>0</v>
      </c>
      <c r="D2248" s="2396"/>
      <c r="E2248" s="2406">
        <v>0</v>
      </c>
      <c r="F2248" s="2406">
        <v>0</v>
      </c>
      <c r="G2248" s="2448">
        <v>0</v>
      </c>
      <c r="H2248" s="2407">
        <v>0</v>
      </c>
      <c r="I2248" s="2413"/>
      <c r="J2248" s="2413"/>
      <c r="K2248" s="2680" t="s">
        <v>6524</v>
      </c>
      <c r="L2248" s="2408"/>
    </row>
    <row r="2249" spans="1:12" x14ac:dyDescent="0.3">
      <c r="A2249" s="81" t="s">
        <v>5706</v>
      </c>
      <c r="B2249" s="2445" t="s">
        <v>350</v>
      </c>
      <c r="C2249" s="2406">
        <v>0</v>
      </c>
      <c r="D2249" s="2396"/>
      <c r="E2249" s="2406">
        <v>0</v>
      </c>
      <c r="F2249" s="2406">
        <v>0</v>
      </c>
      <c r="G2249" s="2448">
        <v>0</v>
      </c>
      <c r="H2249" s="2407">
        <v>0</v>
      </c>
      <c r="I2249" s="2413"/>
      <c r="J2249" s="2413"/>
      <c r="K2249" s="2680" t="s">
        <v>6524</v>
      </c>
      <c r="L2249" s="2408"/>
    </row>
    <row r="2250" spans="1:12" x14ac:dyDescent="0.3">
      <c r="A2250" s="81" t="s">
        <v>5707</v>
      </c>
      <c r="B2250" s="2445" t="s">
        <v>3671</v>
      </c>
      <c r="C2250" s="2406">
        <v>0</v>
      </c>
      <c r="D2250" s="2396"/>
      <c r="E2250" s="2406">
        <v>0</v>
      </c>
      <c r="F2250" s="2406">
        <v>0</v>
      </c>
      <c r="G2250" s="2448">
        <v>0</v>
      </c>
      <c r="H2250" s="2407">
        <v>0</v>
      </c>
      <c r="I2250" s="2413"/>
      <c r="J2250" s="2413"/>
      <c r="K2250" s="2680"/>
      <c r="L2250" s="2408"/>
    </row>
    <row r="2251" spans="1:12" x14ac:dyDescent="0.3">
      <c r="A2251" s="81" t="s">
        <v>5708</v>
      </c>
      <c r="B2251" s="2445" t="s">
        <v>3673</v>
      </c>
      <c r="C2251" s="2406">
        <v>0</v>
      </c>
      <c r="D2251" s="2396"/>
      <c r="E2251" s="2406">
        <v>0</v>
      </c>
      <c r="F2251" s="2406">
        <v>0</v>
      </c>
      <c r="G2251" s="2448">
        <v>0</v>
      </c>
      <c r="H2251" s="2407">
        <v>0</v>
      </c>
      <c r="I2251" s="2413"/>
      <c r="J2251" s="2413"/>
      <c r="K2251" s="2680" t="s">
        <v>6525</v>
      </c>
      <c r="L2251" s="2408"/>
    </row>
    <row r="2252" spans="1:12" x14ac:dyDescent="0.3">
      <c r="A2252" s="81" t="s">
        <v>5709</v>
      </c>
      <c r="B2252" s="2445" t="s">
        <v>3675</v>
      </c>
      <c r="C2252" s="2406">
        <v>113300</v>
      </c>
      <c r="D2252" s="2396"/>
      <c r="E2252" s="2406">
        <v>0</v>
      </c>
      <c r="F2252" s="2406">
        <v>0</v>
      </c>
      <c r="G2252" s="2448">
        <v>0</v>
      </c>
      <c r="H2252" s="2407">
        <v>113300</v>
      </c>
      <c r="I2252" s="2413"/>
      <c r="J2252" s="2413"/>
      <c r="K2252" s="2680" t="s">
        <v>6526</v>
      </c>
      <c r="L2252" s="2408"/>
    </row>
    <row r="2253" spans="1:12" x14ac:dyDescent="0.3">
      <c r="A2253" s="81" t="s">
        <v>5710</v>
      </c>
      <c r="B2253" s="2445" t="s">
        <v>3677</v>
      </c>
      <c r="C2253" s="2406">
        <v>0</v>
      </c>
      <c r="D2253" s="2396"/>
      <c r="E2253" s="2406">
        <v>0</v>
      </c>
      <c r="F2253" s="2406">
        <v>0</v>
      </c>
      <c r="G2253" s="2448">
        <v>0</v>
      </c>
      <c r="H2253" s="2407">
        <v>0</v>
      </c>
      <c r="I2253" s="2413"/>
      <c r="J2253" s="2413"/>
      <c r="K2253" s="2680" t="s">
        <v>6526</v>
      </c>
      <c r="L2253" s="2408"/>
    </row>
    <row r="2254" spans="1:12" x14ac:dyDescent="0.3">
      <c r="A2254" s="81" t="s">
        <v>5711</v>
      </c>
      <c r="B2254" s="2445" t="s">
        <v>3679</v>
      </c>
      <c r="C2254" s="2406">
        <v>0</v>
      </c>
      <c r="D2254" s="2396"/>
      <c r="E2254" s="2406">
        <v>0</v>
      </c>
      <c r="F2254" s="2406">
        <v>0</v>
      </c>
      <c r="G2254" s="2448">
        <v>0</v>
      </c>
      <c r="H2254" s="2407">
        <v>0</v>
      </c>
      <c r="I2254" s="2413"/>
      <c r="J2254" s="2413"/>
      <c r="K2254" s="2680" t="s">
        <v>6526</v>
      </c>
      <c r="L2254" s="2408"/>
    </row>
    <row r="2255" spans="1:12" x14ac:dyDescent="0.3">
      <c r="A2255" s="81" t="s">
        <v>5712</v>
      </c>
      <c r="B2255" s="2445" t="s">
        <v>3681</v>
      </c>
      <c r="C2255" s="2406">
        <v>0</v>
      </c>
      <c r="D2255" s="2396"/>
      <c r="E2255" s="2406">
        <v>0</v>
      </c>
      <c r="F2255" s="2406">
        <v>0</v>
      </c>
      <c r="G2255" s="2448">
        <v>0</v>
      </c>
      <c r="H2255" s="2407">
        <v>0</v>
      </c>
      <c r="I2255" s="2413"/>
      <c r="J2255" s="2413"/>
      <c r="K2255" s="2680" t="s">
        <v>6526</v>
      </c>
      <c r="L2255" s="2408"/>
    </row>
    <row r="2256" spans="1:12" x14ac:dyDescent="0.3">
      <c r="A2256" s="81" t="s">
        <v>5713</v>
      </c>
      <c r="B2256" s="2445" t="s">
        <v>3683</v>
      </c>
      <c r="C2256" s="2406">
        <v>0</v>
      </c>
      <c r="D2256" s="2396"/>
      <c r="E2256" s="2406">
        <v>0</v>
      </c>
      <c r="F2256" s="2406">
        <v>0</v>
      </c>
      <c r="G2256" s="2448">
        <v>0</v>
      </c>
      <c r="H2256" s="2407">
        <v>0</v>
      </c>
      <c r="I2256" s="2413"/>
      <c r="J2256" s="2413"/>
      <c r="K2256" s="2680" t="s">
        <v>6527</v>
      </c>
      <c r="L2256" s="2408"/>
    </row>
    <row r="2257" spans="1:12" x14ac:dyDescent="0.3">
      <c r="A2257" s="81" t="s">
        <v>5714</v>
      </c>
      <c r="B2257" s="2445" t="s">
        <v>3685</v>
      </c>
      <c r="C2257" s="2406">
        <v>0</v>
      </c>
      <c r="D2257" s="2396"/>
      <c r="E2257" s="2406">
        <v>0</v>
      </c>
      <c r="F2257" s="2406">
        <v>0</v>
      </c>
      <c r="G2257" s="2448">
        <v>0</v>
      </c>
      <c r="H2257" s="2407">
        <v>0</v>
      </c>
      <c r="I2257" s="2413"/>
      <c r="J2257" s="2413"/>
      <c r="K2257" s="2680" t="s">
        <v>6528</v>
      </c>
      <c r="L2257" s="2408"/>
    </row>
    <row r="2258" spans="1:12" x14ac:dyDescent="0.3">
      <c r="A2258" s="81" t="s">
        <v>5715</v>
      </c>
      <c r="B2258" s="2445" t="s">
        <v>3687</v>
      </c>
      <c r="C2258" s="2406">
        <v>0</v>
      </c>
      <c r="D2258" s="2396"/>
      <c r="E2258" s="2406">
        <v>0</v>
      </c>
      <c r="F2258" s="2406">
        <v>0</v>
      </c>
      <c r="G2258" s="2448">
        <v>0</v>
      </c>
      <c r="H2258" s="2407">
        <v>0</v>
      </c>
      <c r="I2258" s="2413"/>
      <c r="J2258" s="2413"/>
      <c r="K2258" s="2680" t="s">
        <v>6528</v>
      </c>
      <c r="L2258" s="2408"/>
    </row>
    <row r="2259" spans="1:12" x14ac:dyDescent="0.3">
      <c r="A2259" s="81" t="s">
        <v>5716</v>
      </c>
      <c r="B2259" s="2445" t="s">
        <v>3689</v>
      </c>
      <c r="C2259" s="2406">
        <v>0</v>
      </c>
      <c r="D2259" s="2396"/>
      <c r="E2259" s="2406">
        <v>0</v>
      </c>
      <c r="F2259" s="2406">
        <v>0</v>
      </c>
      <c r="G2259" s="2448">
        <v>0</v>
      </c>
      <c r="H2259" s="2407">
        <v>0</v>
      </c>
      <c r="I2259" s="2413"/>
      <c r="J2259" s="2413"/>
      <c r="K2259" s="2680" t="s">
        <v>6528</v>
      </c>
      <c r="L2259" s="2408"/>
    </row>
    <row r="2260" spans="1:12" x14ac:dyDescent="0.3">
      <c r="A2260" s="81" t="s">
        <v>5717</v>
      </c>
      <c r="B2260" s="2445" t="s">
        <v>350</v>
      </c>
      <c r="C2260" s="2406">
        <v>0</v>
      </c>
      <c r="D2260" s="2396"/>
      <c r="E2260" s="2406">
        <v>0</v>
      </c>
      <c r="F2260" s="2406">
        <v>0</v>
      </c>
      <c r="G2260" s="2448">
        <v>0</v>
      </c>
      <c r="H2260" s="2407">
        <v>0</v>
      </c>
      <c r="I2260" s="2413"/>
      <c r="J2260" s="2413"/>
      <c r="K2260" s="2680" t="s">
        <v>6528</v>
      </c>
      <c r="L2260" s="2408"/>
    </row>
    <row r="2261" spans="1:12" x14ac:dyDescent="0.3">
      <c r="A2261" s="81" t="s">
        <v>5718</v>
      </c>
      <c r="B2261" s="2445" t="s">
        <v>4009</v>
      </c>
      <c r="C2261" s="2406">
        <v>0</v>
      </c>
      <c r="D2261" s="2396"/>
      <c r="E2261" s="2406">
        <v>0</v>
      </c>
      <c r="F2261" s="2406">
        <v>0</v>
      </c>
      <c r="G2261" s="2448">
        <v>0</v>
      </c>
      <c r="H2261" s="2407">
        <v>0</v>
      </c>
      <c r="I2261" s="2413"/>
      <c r="J2261" s="2413"/>
      <c r="K2261" s="2680"/>
      <c r="L2261" s="2408"/>
    </row>
    <row r="2262" spans="1:12" x14ac:dyDescent="0.3">
      <c r="A2262" s="81" t="s">
        <v>5719</v>
      </c>
      <c r="B2262" s="2445" t="s">
        <v>4072</v>
      </c>
      <c r="C2262" s="2406">
        <v>0</v>
      </c>
      <c r="D2262" s="2396"/>
      <c r="E2262" s="2406">
        <v>0</v>
      </c>
      <c r="F2262" s="2406">
        <v>0</v>
      </c>
      <c r="G2262" s="2448">
        <v>0</v>
      </c>
      <c r="H2262" s="2407">
        <v>0</v>
      </c>
      <c r="I2262" s="2413"/>
      <c r="J2262" s="2413"/>
      <c r="K2262" s="2682" t="s">
        <v>6540</v>
      </c>
      <c r="L2262" s="2408"/>
    </row>
    <row r="2263" spans="1:12" x14ac:dyDescent="0.3">
      <c r="A2263" s="81" t="s">
        <v>5720</v>
      </c>
      <c r="B2263" s="2445" t="s">
        <v>4096</v>
      </c>
      <c r="C2263" s="2406">
        <v>0</v>
      </c>
      <c r="D2263" s="2396"/>
      <c r="E2263" s="2406">
        <v>0</v>
      </c>
      <c r="F2263" s="2406">
        <v>0</v>
      </c>
      <c r="G2263" s="2448">
        <v>0</v>
      </c>
      <c r="H2263" s="2407">
        <v>0</v>
      </c>
      <c r="I2263" s="2413"/>
      <c r="J2263" s="2413"/>
      <c r="K2263" s="2682" t="s">
        <v>6539</v>
      </c>
      <c r="L2263" s="2408"/>
    </row>
    <row r="2264" spans="1:12" x14ac:dyDescent="0.3">
      <c r="A2264" s="81" t="s">
        <v>5721</v>
      </c>
      <c r="B2264" s="2445" t="s">
        <v>4097</v>
      </c>
      <c r="C2264" s="2406">
        <v>0</v>
      </c>
      <c r="D2264" s="2396"/>
      <c r="E2264" s="2406">
        <v>0</v>
      </c>
      <c r="F2264" s="2406">
        <v>0</v>
      </c>
      <c r="G2264" s="2448">
        <v>0</v>
      </c>
      <c r="H2264" s="2407">
        <v>0</v>
      </c>
      <c r="I2264" s="2413"/>
      <c r="J2264" s="2413"/>
      <c r="K2264" s="2682" t="s">
        <v>6545</v>
      </c>
      <c r="L2264" s="2408"/>
    </row>
    <row r="2265" spans="1:12" x14ac:dyDescent="0.3">
      <c r="A2265" s="81" t="s">
        <v>5722</v>
      </c>
      <c r="B2265" s="2445" t="s">
        <v>4075</v>
      </c>
      <c r="C2265" s="2406">
        <v>0</v>
      </c>
      <c r="D2265" s="2396"/>
      <c r="E2265" s="2406">
        <v>0</v>
      </c>
      <c r="F2265" s="2406">
        <v>0</v>
      </c>
      <c r="G2265" s="2448">
        <v>0</v>
      </c>
      <c r="H2265" s="2407">
        <v>0</v>
      </c>
      <c r="I2265" s="2413"/>
      <c r="J2265" s="2413"/>
      <c r="K2265" s="2682" t="s">
        <v>6541</v>
      </c>
      <c r="L2265" s="2408"/>
    </row>
    <row r="2266" spans="1:12" x14ac:dyDescent="0.3">
      <c r="A2266" s="81" t="s">
        <v>5723</v>
      </c>
      <c r="B2266" s="2445" t="s">
        <v>4098</v>
      </c>
      <c r="C2266" s="2406">
        <v>17827451</v>
      </c>
      <c r="D2266" s="2396"/>
      <c r="E2266" s="2406">
        <v>2319880</v>
      </c>
      <c r="F2266" s="2406">
        <v>0</v>
      </c>
      <c r="G2266" s="2448">
        <v>2319880</v>
      </c>
      <c r="H2266" s="2407">
        <v>20147331</v>
      </c>
      <c r="I2266" s="2413"/>
      <c r="J2266" s="2413"/>
      <c r="K2266" s="2682" t="s">
        <v>6549</v>
      </c>
      <c r="L2266" s="2408"/>
    </row>
    <row r="2267" spans="1:12" x14ac:dyDescent="0.3">
      <c r="A2267" s="81" t="s">
        <v>7947</v>
      </c>
      <c r="B2267" s="2445" t="s">
        <v>7978</v>
      </c>
      <c r="C2267" s="2406">
        <v>370022227</v>
      </c>
      <c r="D2267" s="2396"/>
      <c r="E2267" s="2406">
        <v>0</v>
      </c>
      <c r="F2267" s="2406">
        <v>0</v>
      </c>
      <c r="G2267" s="2448">
        <v>0</v>
      </c>
      <c r="H2267" s="2407">
        <v>370022227</v>
      </c>
      <c r="I2267" s="2413"/>
      <c r="J2267" s="2413"/>
      <c r="K2267" s="2680" t="s">
        <v>6702</v>
      </c>
      <c r="L2267" s="2408"/>
    </row>
    <row r="2268" spans="1:12" x14ac:dyDescent="0.3">
      <c r="A2268" s="81" t="s">
        <v>5724</v>
      </c>
      <c r="B2268" s="2445" t="s">
        <v>3599</v>
      </c>
      <c r="C2268" s="2406">
        <v>0</v>
      </c>
      <c r="D2268" s="2396"/>
      <c r="E2268" s="2406">
        <v>0</v>
      </c>
      <c r="F2268" s="2406">
        <v>0</v>
      </c>
      <c r="G2268" s="2457">
        <v>0</v>
      </c>
      <c r="H2268" s="2407">
        <v>0</v>
      </c>
      <c r="I2268" s="2413"/>
      <c r="J2268" s="2413"/>
      <c r="K2268" s="2680"/>
      <c r="L2268" s="2408"/>
    </row>
    <row r="2269" spans="1:12" x14ac:dyDescent="0.3">
      <c r="A2269" s="81" t="s">
        <v>5725</v>
      </c>
      <c r="B2269" s="2445" t="s">
        <v>3605</v>
      </c>
      <c r="C2269" s="2406">
        <v>2619999384.1599998</v>
      </c>
      <c r="D2269" s="2396"/>
      <c r="E2269" s="2406">
        <v>246688430</v>
      </c>
      <c r="F2269" s="2406">
        <v>200000</v>
      </c>
      <c r="G2269" s="2457">
        <v>246488430</v>
      </c>
      <c r="H2269" s="2407">
        <v>2866487814.1599998</v>
      </c>
      <c r="I2269" s="2413"/>
      <c r="J2269" s="2413"/>
      <c r="K2269" s="2680" t="s">
        <v>2586</v>
      </c>
      <c r="L2269" s="2408"/>
    </row>
    <row r="2270" spans="1:12" x14ac:dyDescent="0.3">
      <c r="A2270" s="81" t="s">
        <v>5726</v>
      </c>
      <c r="B2270" s="2445" t="s">
        <v>3607</v>
      </c>
      <c r="C2270" s="2406">
        <v>0</v>
      </c>
      <c r="D2270" s="2396"/>
      <c r="E2270" s="2406">
        <v>0</v>
      </c>
      <c r="F2270" s="2406">
        <v>0</v>
      </c>
      <c r="G2270" s="2461">
        <v>0</v>
      </c>
      <c r="H2270" s="2407">
        <v>0</v>
      </c>
      <c r="I2270" s="2413"/>
      <c r="J2270" s="2413"/>
      <c r="K2270" s="2680" t="s">
        <v>2586</v>
      </c>
      <c r="L2270" s="2408"/>
    </row>
    <row r="2271" spans="1:12" x14ac:dyDescent="0.3">
      <c r="A2271" s="81" t="s">
        <v>5727</v>
      </c>
      <c r="B2271" s="2445" t="s">
        <v>3609</v>
      </c>
      <c r="C2271" s="2406">
        <v>0</v>
      </c>
      <c r="D2271" s="2396"/>
      <c r="E2271" s="2406">
        <v>0</v>
      </c>
      <c r="F2271" s="2406">
        <v>0</v>
      </c>
      <c r="G2271" s="2457">
        <v>0</v>
      </c>
      <c r="H2271" s="2407">
        <v>0</v>
      </c>
      <c r="I2271" s="2413"/>
      <c r="J2271" s="2413"/>
      <c r="K2271" s="2680" t="s">
        <v>2585</v>
      </c>
      <c r="L2271" s="2408"/>
    </row>
    <row r="2272" spans="1:12" x14ac:dyDescent="0.3">
      <c r="A2272" s="81" t="s">
        <v>5728</v>
      </c>
      <c r="B2272" s="2445" t="s">
        <v>3611</v>
      </c>
      <c r="C2272" s="2406">
        <v>96113</v>
      </c>
      <c r="D2272" s="2396"/>
      <c r="E2272" s="2406">
        <v>0</v>
      </c>
      <c r="F2272" s="2406">
        <v>0</v>
      </c>
      <c r="G2272" s="2457">
        <v>0</v>
      </c>
      <c r="H2272" s="2407">
        <v>96113</v>
      </c>
      <c r="I2272" s="2413"/>
      <c r="J2272" s="2413"/>
      <c r="K2272" s="2680" t="s">
        <v>6505</v>
      </c>
      <c r="L2272" s="2408"/>
    </row>
    <row r="2273" spans="1:12" x14ac:dyDescent="0.3">
      <c r="A2273" s="81" t="s">
        <v>5729</v>
      </c>
      <c r="B2273" s="2445" t="s">
        <v>3613</v>
      </c>
      <c r="C2273" s="2406">
        <v>6768717</v>
      </c>
      <c r="D2273" s="2396"/>
      <c r="E2273" s="2406">
        <v>0</v>
      </c>
      <c r="F2273" s="2406">
        <v>0</v>
      </c>
      <c r="G2273" s="2457">
        <v>0</v>
      </c>
      <c r="H2273" s="2407">
        <v>6768717</v>
      </c>
      <c r="I2273" s="2413"/>
      <c r="J2273" s="2413"/>
      <c r="K2273" s="2680" t="s">
        <v>6505</v>
      </c>
      <c r="L2273" s="2408"/>
    </row>
    <row r="2274" spans="1:12" x14ac:dyDescent="0.3">
      <c r="A2274" s="81" t="s">
        <v>5730</v>
      </c>
      <c r="B2274" s="2445" t="s">
        <v>3615</v>
      </c>
      <c r="C2274" s="2406">
        <v>0</v>
      </c>
      <c r="D2274" s="2396"/>
      <c r="E2274" s="2406">
        <v>0</v>
      </c>
      <c r="F2274" s="2406">
        <v>0</v>
      </c>
      <c r="G2274" s="2457">
        <v>0</v>
      </c>
      <c r="H2274" s="2407">
        <v>0</v>
      </c>
      <c r="I2274" s="2413"/>
      <c r="J2274" s="2413"/>
      <c r="K2274" s="2680" t="s">
        <v>2586</v>
      </c>
      <c r="L2274" s="2408"/>
    </row>
    <row r="2275" spans="1:12" x14ac:dyDescent="0.3">
      <c r="A2275" s="81" t="s">
        <v>7892</v>
      </c>
      <c r="B2275" s="2445" t="s">
        <v>3617</v>
      </c>
      <c r="C2275" s="2406">
        <v>0</v>
      </c>
      <c r="D2275" s="2396"/>
      <c r="E2275" s="2406">
        <v>0</v>
      </c>
      <c r="F2275" s="2406">
        <v>0</v>
      </c>
      <c r="G2275" s="2457">
        <v>0</v>
      </c>
      <c r="H2275" s="2407">
        <v>0</v>
      </c>
      <c r="I2275" s="2413"/>
      <c r="J2275" s="2413"/>
      <c r="K2275" s="2680" t="s">
        <v>2586</v>
      </c>
      <c r="L2275" s="2408"/>
    </row>
    <row r="2276" spans="1:12" x14ac:dyDescent="0.3">
      <c r="A2276" s="81" t="s">
        <v>5731</v>
      </c>
      <c r="B2276" s="2445" t="s">
        <v>3617</v>
      </c>
      <c r="C2276" s="2406">
        <v>500000</v>
      </c>
      <c r="D2276" s="2396"/>
      <c r="E2276" s="2406">
        <v>0</v>
      </c>
      <c r="F2276" s="2406">
        <v>0</v>
      </c>
      <c r="G2276" s="2457">
        <v>0</v>
      </c>
      <c r="H2276" s="2407">
        <v>500000</v>
      </c>
      <c r="I2276" s="2413"/>
      <c r="J2276" s="2413"/>
      <c r="K2276" s="2680" t="s">
        <v>2586</v>
      </c>
      <c r="L2276" s="2408"/>
    </row>
    <row r="2277" spans="1:12" x14ac:dyDescent="0.3">
      <c r="A2277" s="81" t="s">
        <v>5732</v>
      </c>
      <c r="B2277" s="2445" t="s">
        <v>3619</v>
      </c>
      <c r="C2277" s="2406">
        <v>0</v>
      </c>
      <c r="D2277" s="2396"/>
      <c r="E2277" s="2406">
        <v>0</v>
      </c>
      <c r="F2277" s="2406">
        <v>0</v>
      </c>
      <c r="G2277" s="2457">
        <v>0</v>
      </c>
      <c r="H2277" s="2407">
        <v>0</v>
      </c>
      <c r="I2277" s="2413"/>
      <c r="J2277" s="2413"/>
      <c r="K2277" s="2680"/>
      <c r="L2277" s="2408"/>
    </row>
    <row r="2278" spans="1:12" x14ac:dyDescent="0.3">
      <c r="A2278" s="81" t="s">
        <v>5733</v>
      </c>
      <c r="B2278" s="2445" t="s">
        <v>7993</v>
      </c>
      <c r="C2278" s="2406">
        <v>10450000</v>
      </c>
      <c r="D2278" s="2396"/>
      <c r="E2278" s="2406">
        <v>1720000</v>
      </c>
      <c r="F2278" s="2406">
        <v>0</v>
      </c>
      <c r="G2278" s="2457">
        <v>1720000</v>
      </c>
      <c r="H2278" s="2407">
        <v>12170000</v>
      </c>
      <c r="I2278" s="2413"/>
      <c r="J2278" s="2413"/>
      <c r="K2278" s="2680" t="s">
        <v>6506</v>
      </c>
      <c r="L2278" s="2408"/>
    </row>
    <row r="2279" spans="1:12" x14ac:dyDescent="0.3">
      <c r="A2279" s="81" t="s">
        <v>5734</v>
      </c>
      <c r="B2279" s="2445" t="s">
        <v>7994</v>
      </c>
      <c r="C2279" s="2406">
        <v>82470489</v>
      </c>
      <c r="D2279" s="2396"/>
      <c r="E2279" s="2406">
        <v>8203104</v>
      </c>
      <c r="F2279" s="2406">
        <v>0</v>
      </c>
      <c r="G2279" s="2457">
        <v>8203104</v>
      </c>
      <c r="H2279" s="2407">
        <v>90673593</v>
      </c>
      <c r="I2279" s="2413"/>
      <c r="J2279" s="2413"/>
      <c r="K2279" s="2680" t="s">
        <v>6507</v>
      </c>
      <c r="L2279" s="2408"/>
    </row>
    <row r="2280" spans="1:12" x14ac:dyDescent="0.3">
      <c r="A2280" s="81" t="s">
        <v>5735</v>
      </c>
      <c r="B2280" s="2445" t="s">
        <v>7995</v>
      </c>
      <c r="C2280" s="2406">
        <v>8633798</v>
      </c>
      <c r="D2280" s="2396"/>
      <c r="E2280" s="2406">
        <v>0</v>
      </c>
      <c r="F2280" s="2406">
        <v>0</v>
      </c>
      <c r="G2280" s="2457">
        <v>0</v>
      </c>
      <c r="H2280" s="2407">
        <v>8633798</v>
      </c>
      <c r="I2280" s="2413"/>
      <c r="J2280" s="2413"/>
      <c r="K2280" s="2680" t="s">
        <v>6508</v>
      </c>
      <c r="L2280" s="2408"/>
    </row>
    <row r="2281" spans="1:12" x14ac:dyDescent="0.3">
      <c r="A2281" s="81" t="s">
        <v>5736</v>
      </c>
      <c r="B2281" s="2445" t="s">
        <v>7996</v>
      </c>
      <c r="C2281" s="2406">
        <v>137360766</v>
      </c>
      <c r="D2281" s="2396"/>
      <c r="E2281" s="2406">
        <v>12318000</v>
      </c>
      <c r="F2281" s="2406">
        <v>0</v>
      </c>
      <c r="G2281" s="2457">
        <v>12318000</v>
      </c>
      <c r="H2281" s="2407">
        <v>149678766</v>
      </c>
      <c r="I2281" s="2413"/>
      <c r="J2281" s="2413"/>
      <c r="K2281" s="2680" t="s">
        <v>6509</v>
      </c>
      <c r="L2281" s="2408"/>
    </row>
    <row r="2282" spans="1:12" x14ac:dyDescent="0.3">
      <c r="A2282" s="81" t="s">
        <v>5737</v>
      </c>
      <c r="B2282" s="2445" t="s">
        <v>3629</v>
      </c>
      <c r="C2282" s="2406">
        <v>534000</v>
      </c>
      <c r="D2282" s="2396"/>
      <c r="E2282" s="2406">
        <v>0</v>
      </c>
      <c r="F2282" s="2406">
        <v>0</v>
      </c>
      <c r="G2282" s="2457">
        <v>0</v>
      </c>
      <c r="H2282" s="2407">
        <v>534000</v>
      </c>
      <c r="I2282" s="2413"/>
      <c r="J2282" s="2413"/>
      <c r="K2282" s="2680" t="s">
        <v>6510</v>
      </c>
      <c r="L2282" s="2408"/>
    </row>
    <row r="2283" spans="1:12" x14ac:dyDescent="0.3">
      <c r="A2283" s="81" t="s">
        <v>5738</v>
      </c>
      <c r="B2283" s="2445" t="s">
        <v>3631</v>
      </c>
      <c r="C2283" s="2406">
        <v>221329918</v>
      </c>
      <c r="D2283" s="2396"/>
      <c r="E2283" s="2406">
        <v>0</v>
      </c>
      <c r="F2283" s="2406">
        <v>0</v>
      </c>
      <c r="G2283" s="2457">
        <v>0</v>
      </c>
      <c r="H2283" s="2407">
        <v>221329918</v>
      </c>
      <c r="I2283" s="2413"/>
      <c r="J2283" s="2413"/>
      <c r="K2283" s="2680" t="s">
        <v>6511</v>
      </c>
      <c r="L2283" s="2408"/>
    </row>
    <row r="2284" spans="1:12" x14ac:dyDescent="0.3">
      <c r="A2284" s="81" t="s">
        <v>5739</v>
      </c>
      <c r="B2284" s="2445" t="s">
        <v>3633</v>
      </c>
      <c r="C2284" s="2406">
        <v>4500000</v>
      </c>
      <c r="D2284" s="2396"/>
      <c r="E2284" s="2406">
        <v>0</v>
      </c>
      <c r="F2284" s="2406">
        <v>0</v>
      </c>
      <c r="G2284" s="2457">
        <v>0</v>
      </c>
      <c r="H2284" s="2407">
        <v>4500000</v>
      </c>
      <c r="I2284" s="2413"/>
      <c r="J2284" s="2413"/>
      <c r="K2284" s="2680" t="s">
        <v>6512</v>
      </c>
      <c r="L2284" s="2408"/>
    </row>
    <row r="2285" spans="1:12" x14ac:dyDescent="0.3">
      <c r="A2285" s="81" t="s">
        <v>5740</v>
      </c>
      <c r="B2285" s="2445" t="s">
        <v>3635</v>
      </c>
      <c r="C2285" s="2406">
        <v>5880800</v>
      </c>
      <c r="D2285" s="2396"/>
      <c r="E2285" s="2406">
        <v>500000</v>
      </c>
      <c r="F2285" s="2406">
        <v>0</v>
      </c>
      <c r="G2285" s="2457">
        <v>500000</v>
      </c>
      <c r="H2285" s="2407">
        <v>6380800</v>
      </c>
      <c r="I2285" s="2413"/>
      <c r="J2285" s="2413"/>
      <c r="K2285" s="2680" t="s">
        <v>6513</v>
      </c>
      <c r="L2285" s="2408"/>
    </row>
    <row r="2286" spans="1:12" x14ac:dyDescent="0.3">
      <c r="A2286" s="81" t="s">
        <v>5741</v>
      </c>
      <c r="B2286" s="2445" t="s">
        <v>3637</v>
      </c>
      <c r="C2286" s="2406">
        <v>29989834.670000002</v>
      </c>
      <c r="D2286" s="2396"/>
      <c r="E2286" s="2406">
        <v>2493666.67</v>
      </c>
      <c r="F2286" s="2406">
        <v>0</v>
      </c>
      <c r="G2286" s="2457">
        <v>2493666.67</v>
      </c>
      <c r="H2286" s="2407">
        <v>32483501.34</v>
      </c>
      <c r="I2286" s="2413"/>
      <c r="J2286" s="2413"/>
      <c r="K2286" s="2680" t="s">
        <v>6514</v>
      </c>
      <c r="L2286" s="2408"/>
    </row>
    <row r="2287" spans="1:12" x14ac:dyDescent="0.3">
      <c r="A2287" s="81" t="s">
        <v>5742</v>
      </c>
      <c r="B2287" s="2445" t="s">
        <v>334</v>
      </c>
      <c r="C2287" s="2406">
        <v>0</v>
      </c>
      <c r="D2287" s="2396"/>
      <c r="E2287" s="2406">
        <v>0</v>
      </c>
      <c r="F2287" s="2406">
        <v>0</v>
      </c>
      <c r="G2287" s="2457">
        <v>0</v>
      </c>
      <c r="H2287" s="2407">
        <v>0</v>
      </c>
      <c r="I2287" s="2413"/>
      <c r="J2287" s="2413"/>
      <c r="K2287" s="2680"/>
      <c r="L2287" s="2408"/>
    </row>
    <row r="2288" spans="1:12" x14ac:dyDescent="0.3">
      <c r="A2288" s="81" t="s">
        <v>5743</v>
      </c>
      <c r="B2288" s="2445" t="s">
        <v>3640</v>
      </c>
      <c r="C2288" s="2406">
        <v>0</v>
      </c>
      <c r="D2288" s="2396"/>
      <c r="E2288" s="2406">
        <v>0</v>
      </c>
      <c r="F2288" s="2406">
        <v>0</v>
      </c>
      <c r="G2288" s="2457">
        <v>0</v>
      </c>
      <c r="H2288" s="2407">
        <v>0</v>
      </c>
      <c r="I2288" s="2413"/>
      <c r="J2288" s="2413"/>
      <c r="K2288" s="2680" t="s">
        <v>6515</v>
      </c>
      <c r="L2288" s="2408"/>
    </row>
    <row r="2289" spans="1:12" x14ac:dyDescent="0.3">
      <c r="A2289" s="81" t="s">
        <v>5744</v>
      </c>
      <c r="B2289" s="2445" t="s">
        <v>3642</v>
      </c>
      <c r="C2289" s="2406">
        <v>0</v>
      </c>
      <c r="D2289" s="2396"/>
      <c r="E2289" s="2406">
        <v>0</v>
      </c>
      <c r="F2289" s="2406">
        <v>0</v>
      </c>
      <c r="G2289" s="2457">
        <v>0</v>
      </c>
      <c r="H2289" s="2407">
        <v>0</v>
      </c>
      <c r="I2289" s="2413"/>
      <c r="J2289" s="2413"/>
      <c r="K2289" s="2680" t="s">
        <v>6515</v>
      </c>
      <c r="L2289" s="2408"/>
    </row>
    <row r="2290" spans="1:12" x14ac:dyDescent="0.3">
      <c r="A2290" s="81" t="s">
        <v>5745</v>
      </c>
      <c r="B2290" s="2445" t="s">
        <v>3644</v>
      </c>
      <c r="C2290" s="2406">
        <v>0</v>
      </c>
      <c r="D2290" s="2396"/>
      <c r="E2290" s="2406">
        <v>0</v>
      </c>
      <c r="F2290" s="2406">
        <v>0</v>
      </c>
      <c r="G2290" s="2457">
        <v>0</v>
      </c>
      <c r="H2290" s="2407">
        <v>0</v>
      </c>
      <c r="I2290" s="2413"/>
      <c r="J2290" s="2413"/>
      <c r="K2290" s="2680" t="s">
        <v>6515</v>
      </c>
      <c r="L2290" s="2408"/>
    </row>
    <row r="2291" spans="1:12" x14ac:dyDescent="0.3">
      <c r="A2291" s="81" t="s">
        <v>5746</v>
      </c>
      <c r="B2291" s="2445" t="s">
        <v>3646</v>
      </c>
      <c r="C2291" s="2406">
        <v>0</v>
      </c>
      <c r="D2291" s="2396"/>
      <c r="E2291" s="2406">
        <v>0</v>
      </c>
      <c r="F2291" s="2406">
        <v>0</v>
      </c>
      <c r="G2291" s="2457">
        <v>0</v>
      </c>
      <c r="H2291" s="2407">
        <v>0</v>
      </c>
      <c r="I2291" s="2413"/>
      <c r="J2291" s="2413"/>
      <c r="K2291" s="2680" t="s">
        <v>6515</v>
      </c>
      <c r="L2291" s="2408"/>
    </row>
    <row r="2292" spans="1:12" x14ac:dyDescent="0.3">
      <c r="A2292" s="81" t="s">
        <v>5747</v>
      </c>
      <c r="B2292" s="2445" t="s">
        <v>3648</v>
      </c>
      <c r="C2292" s="2406">
        <v>5522100</v>
      </c>
      <c r="D2292" s="2396"/>
      <c r="E2292" s="2406">
        <v>390000</v>
      </c>
      <c r="F2292" s="2406">
        <v>0</v>
      </c>
      <c r="G2292" s="2457">
        <v>390000</v>
      </c>
      <c r="H2292" s="2407">
        <v>5912100</v>
      </c>
      <c r="I2292" s="2413"/>
      <c r="J2292" s="2413"/>
      <c r="K2292" s="2680" t="s">
        <v>6516</v>
      </c>
      <c r="L2292" s="2408"/>
    </row>
    <row r="2293" spans="1:12" x14ac:dyDescent="0.3">
      <c r="A2293" s="81" t="s">
        <v>5748</v>
      </c>
      <c r="B2293" s="2445" t="s">
        <v>3650</v>
      </c>
      <c r="C2293" s="2406">
        <v>647500</v>
      </c>
      <c r="D2293" s="2396"/>
      <c r="E2293" s="2406">
        <v>0</v>
      </c>
      <c r="F2293" s="2406">
        <v>0</v>
      </c>
      <c r="G2293" s="2457">
        <v>0</v>
      </c>
      <c r="H2293" s="2407">
        <v>647500</v>
      </c>
      <c r="I2293" s="2413"/>
      <c r="J2293" s="2413"/>
      <c r="K2293" s="2680" t="s">
        <v>6517</v>
      </c>
      <c r="L2293" s="2408"/>
    </row>
    <row r="2294" spans="1:12" x14ac:dyDescent="0.3">
      <c r="A2294" s="81" t="s">
        <v>5749</v>
      </c>
      <c r="B2294" s="2445" t="s">
        <v>3652</v>
      </c>
      <c r="C2294" s="2406">
        <v>385000</v>
      </c>
      <c r="D2294" s="2396"/>
      <c r="E2294" s="2406">
        <v>0</v>
      </c>
      <c r="F2294" s="2406">
        <v>0</v>
      </c>
      <c r="G2294" s="2457">
        <v>0</v>
      </c>
      <c r="H2294" s="2407">
        <v>385000</v>
      </c>
      <c r="I2294" s="2413"/>
      <c r="J2294" s="2413"/>
      <c r="K2294" s="2680" t="s">
        <v>6518</v>
      </c>
      <c r="L2294" s="2408"/>
    </row>
    <row r="2295" spans="1:12" x14ac:dyDescent="0.3">
      <c r="A2295" s="81" t="s">
        <v>5750</v>
      </c>
      <c r="B2295" s="2445" t="s">
        <v>1575</v>
      </c>
      <c r="C2295" s="2406">
        <v>0</v>
      </c>
      <c r="D2295" s="2396"/>
      <c r="E2295" s="2406">
        <v>0</v>
      </c>
      <c r="F2295" s="2406">
        <v>0</v>
      </c>
      <c r="G2295" s="2457">
        <v>0</v>
      </c>
      <c r="H2295" s="2407">
        <v>0</v>
      </c>
      <c r="I2295" s="2413"/>
      <c r="J2295" s="2413"/>
      <c r="K2295" s="2680" t="s">
        <v>6518</v>
      </c>
      <c r="L2295" s="2408"/>
    </row>
    <row r="2296" spans="1:12" x14ac:dyDescent="0.3">
      <c r="A2296" s="81" t="s">
        <v>5751</v>
      </c>
      <c r="B2296" s="2445" t="s">
        <v>3654</v>
      </c>
      <c r="C2296" s="2406">
        <v>0</v>
      </c>
      <c r="D2296" s="2396"/>
      <c r="E2296" s="2406">
        <v>0</v>
      </c>
      <c r="F2296" s="2406">
        <v>0</v>
      </c>
      <c r="G2296" s="2457">
        <v>0</v>
      </c>
      <c r="H2296" s="2407">
        <v>0</v>
      </c>
      <c r="I2296" s="2413"/>
      <c r="J2296" s="2413"/>
      <c r="K2296" s="2680" t="s">
        <v>6518</v>
      </c>
      <c r="L2296" s="2408"/>
    </row>
    <row r="2297" spans="1:12" x14ac:dyDescent="0.3">
      <c r="A2297" s="81" t="s">
        <v>5752</v>
      </c>
      <c r="B2297" s="2445" t="s">
        <v>3656</v>
      </c>
      <c r="C2297" s="2406">
        <v>0</v>
      </c>
      <c r="D2297" s="2396"/>
      <c r="E2297" s="2406">
        <v>0</v>
      </c>
      <c r="F2297" s="2406">
        <v>0</v>
      </c>
      <c r="G2297" s="2457">
        <v>0</v>
      </c>
      <c r="H2297" s="2407">
        <v>0</v>
      </c>
      <c r="I2297" s="2413"/>
      <c r="J2297" s="2413"/>
      <c r="K2297" s="2680"/>
      <c r="L2297" s="2408"/>
    </row>
    <row r="2298" spans="1:12" x14ac:dyDescent="0.3">
      <c r="A2298" s="81" t="s">
        <v>5753</v>
      </c>
      <c r="B2298" s="2445" t="s">
        <v>3658</v>
      </c>
      <c r="C2298" s="2406">
        <v>0</v>
      </c>
      <c r="D2298" s="2396"/>
      <c r="E2298" s="2406">
        <v>0</v>
      </c>
      <c r="F2298" s="2406">
        <v>0</v>
      </c>
      <c r="G2298" s="2457">
        <v>0</v>
      </c>
      <c r="H2298" s="2407">
        <v>0</v>
      </c>
      <c r="I2298" s="2413"/>
      <c r="J2298" s="2413"/>
      <c r="K2298" s="2680" t="s">
        <v>6519</v>
      </c>
      <c r="L2298" s="2408"/>
    </row>
    <row r="2299" spans="1:12" x14ac:dyDescent="0.3">
      <c r="A2299" s="81" t="s">
        <v>5754</v>
      </c>
      <c r="B2299" s="2445" t="s">
        <v>3660</v>
      </c>
      <c r="C2299" s="2406">
        <v>0</v>
      </c>
      <c r="D2299" s="2396"/>
      <c r="E2299" s="2406">
        <v>12000</v>
      </c>
      <c r="F2299" s="2406">
        <v>0</v>
      </c>
      <c r="G2299" s="2457">
        <v>12000</v>
      </c>
      <c r="H2299" s="2407">
        <v>12000</v>
      </c>
      <c r="I2299" s="2413"/>
      <c r="J2299" s="2413"/>
      <c r="K2299" s="2680" t="s">
        <v>6520</v>
      </c>
      <c r="L2299" s="2408"/>
    </row>
    <row r="2300" spans="1:12" x14ac:dyDescent="0.3">
      <c r="A2300" s="81" t="s">
        <v>5755</v>
      </c>
      <c r="B2300" s="2445" t="s">
        <v>3662</v>
      </c>
      <c r="C2300" s="2406">
        <v>0</v>
      </c>
      <c r="D2300" s="2396"/>
      <c r="E2300" s="2406">
        <v>0</v>
      </c>
      <c r="F2300" s="2406">
        <v>0</v>
      </c>
      <c r="G2300" s="2457">
        <v>0</v>
      </c>
      <c r="H2300" s="2407">
        <v>0</v>
      </c>
      <c r="I2300" s="2413"/>
      <c r="J2300" s="2413"/>
      <c r="K2300" s="2680" t="s">
        <v>6521</v>
      </c>
      <c r="L2300" s="2408"/>
    </row>
    <row r="2301" spans="1:12" x14ac:dyDescent="0.3">
      <c r="A2301" s="81" t="s">
        <v>5756</v>
      </c>
      <c r="B2301" s="2445" t="s">
        <v>3664</v>
      </c>
      <c r="C2301" s="2406">
        <v>68969730</v>
      </c>
      <c r="D2301" s="2396"/>
      <c r="E2301" s="2406">
        <v>8746600</v>
      </c>
      <c r="F2301" s="2406">
        <v>0</v>
      </c>
      <c r="G2301" s="2457">
        <v>8746600</v>
      </c>
      <c r="H2301" s="2407">
        <v>77716330</v>
      </c>
      <c r="I2301" s="2413"/>
      <c r="J2301" s="2413"/>
      <c r="K2301" s="2680" t="s">
        <v>6522</v>
      </c>
      <c r="L2301" s="2408"/>
    </row>
    <row r="2302" spans="1:12" x14ac:dyDescent="0.3">
      <c r="A2302" s="81" t="s">
        <v>5757</v>
      </c>
      <c r="B2302" s="2445" t="s">
        <v>3666</v>
      </c>
      <c r="C2302" s="2406">
        <v>0</v>
      </c>
      <c r="D2302" s="2396"/>
      <c r="E2302" s="2406">
        <v>0</v>
      </c>
      <c r="F2302" s="2406">
        <v>0</v>
      </c>
      <c r="G2302" s="2457">
        <v>0</v>
      </c>
      <c r="H2302" s="2407">
        <v>0</v>
      </c>
      <c r="I2302" s="2413"/>
      <c r="J2302" s="2413"/>
      <c r="K2302" s="2680" t="s">
        <v>6523</v>
      </c>
      <c r="L2302" s="2408"/>
    </row>
    <row r="2303" spans="1:12" x14ac:dyDescent="0.3">
      <c r="A2303" s="81" t="s">
        <v>5758</v>
      </c>
      <c r="B2303" s="2445" t="s">
        <v>3668</v>
      </c>
      <c r="C2303" s="2406">
        <v>0</v>
      </c>
      <c r="D2303" s="2396"/>
      <c r="E2303" s="2406">
        <v>0</v>
      </c>
      <c r="F2303" s="2406">
        <v>0</v>
      </c>
      <c r="G2303" s="2457">
        <v>0</v>
      </c>
      <c r="H2303" s="2407">
        <v>0</v>
      </c>
      <c r="I2303" s="2413"/>
      <c r="J2303" s="2413"/>
      <c r="K2303" s="2680" t="s">
        <v>6524</v>
      </c>
      <c r="L2303" s="2408"/>
    </row>
    <row r="2304" spans="1:12" x14ac:dyDescent="0.3">
      <c r="A2304" s="81" t="s">
        <v>5759</v>
      </c>
      <c r="B2304" s="2445" t="s">
        <v>350</v>
      </c>
      <c r="C2304" s="2406">
        <v>0</v>
      </c>
      <c r="D2304" s="2396"/>
      <c r="E2304" s="2406">
        <v>0</v>
      </c>
      <c r="F2304" s="2406">
        <v>0</v>
      </c>
      <c r="G2304" s="2457">
        <v>0</v>
      </c>
      <c r="H2304" s="2407">
        <v>0</v>
      </c>
      <c r="I2304" s="2413"/>
      <c r="J2304" s="2413"/>
      <c r="K2304" s="2680" t="s">
        <v>6524</v>
      </c>
      <c r="L2304" s="2408"/>
    </row>
    <row r="2305" spans="1:12" x14ac:dyDescent="0.3">
      <c r="A2305" s="81" t="s">
        <v>5760</v>
      </c>
      <c r="B2305" s="2445" t="s">
        <v>3671</v>
      </c>
      <c r="C2305" s="2406">
        <v>0</v>
      </c>
      <c r="D2305" s="2396"/>
      <c r="E2305" s="2406">
        <v>0</v>
      </c>
      <c r="F2305" s="2406">
        <v>0</v>
      </c>
      <c r="G2305" s="2457">
        <v>0</v>
      </c>
      <c r="H2305" s="2407">
        <v>0</v>
      </c>
      <c r="I2305" s="2413"/>
      <c r="J2305" s="2413"/>
      <c r="K2305" s="2680"/>
      <c r="L2305" s="2408"/>
    </row>
    <row r="2306" spans="1:12" x14ac:dyDescent="0.3">
      <c r="A2306" s="81" t="s">
        <v>5761</v>
      </c>
      <c r="B2306" s="2445" t="s">
        <v>3673</v>
      </c>
      <c r="C2306" s="2406">
        <v>0</v>
      </c>
      <c r="D2306" s="2396"/>
      <c r="E2306" s="2406">
        <v>0</v>
      </c>
      <c r="F2306" s="2406">
        <v>0</v>
      </c>
      <c r="G2306" s="2457">
        <v>0</v>
      </c>
      <c r="H2306" s="2407">
        <v>0</v>
      </c>
      <c r="I2306" s="2413"/>
      <c r="J2306" s="2413"/>
      <c r="K2306" s="2680" t="s">
        <v>6525</v>
      </c>
      <c r="L2306" s="2408"/>
    </row>
    <row r="2307" spans="1:12" x14ac:dyDescent="0.3">
      <c r="A2307" s="81" t="s">
        <v>5762</v>
      </c>
      <c r="B2307" s="2445" t="s">
        <v>3675</v>
      </c>
      <c r="C2307" s="2406">
        <v>0</v>
      </c>
      <c r="D2307" s="2396"/>
      <c r="E2307" s="2406">
        <v>0</v>
      </c>
      <c r="F2307" s="2406">
        <v>0</v>
      </c>
      <c r="G2307" s="2457">
        <v>0</v>
      </c>
      <c r="H2307" s="2407">
        <v>0</v>
      </c>
      <c r="I2307" s="2413"/>
      <c r="J2307" s="2413"/>
      <c r="K2307" s="2680" t="s">
        <v>6526</v>
      </c>
      <c r="L2307" s="2408"/>
    </row>
    <row r="2308" spans="1:12" x14ac:dyDescent="0.3">
      <c r="A2308" s="81" t="s">
        <v>5763</v>
      </c>
      <c r="B2308" s="2445" t="s">
        <v>3677</v>
      </c>
      <c r="C2308" s="2406">
        <v>0</v>
      </c>
      <c r="D2308" s="2396"/>
      <c r="E2308" s="2406">
        <v>0</v>
      </c>
      <c r="F2308" s="2406">
        <v>0</v>
      </c>
      <c r="G2308" s="2457">
        <v>0</v>
      </c>
      <c r="H2308" s="2407">
        <v>0</v>
      </c>
      <c r="I2308" s="2413"/>
      <c r="J2308" s="2413"/>
      <c r="K2308" s="2680" t="s">
        <v>6526</v>
      </c>
      <c r="L2308" s="2408"/>
    </row>
    <row r="2309" spans="1:12" x14ac:dyDescent="0.3">
      <c r="A2309" s="81" t="s">
        <v>5764</v>
      </c>
      <c r="B2309" s="2445" t="s">
        <v>3679</v>
      </c>
      <c r="C2309" s="2406">
        <v>0</v>
      </c>
      <c r="D2309" s="2396"/>
      <c r="E2309" s="2406">
        <v>0</v>
      </c>
      <c r="F2309" s="2406">
        <v>0</v>
      </c>
      <c r="G2309" s="2457">
        <v>0</v>
      </c>
      <c r="H2309" s="2407">
        <v>0</v>
      </c>
      <c r="I2309" s="2413"/>
      <c r="J2309" s="2413"/>
      <c r="K2309" s="2680" t="s">
        <v>6526</v>
      </c>
      <c r="L2309" s="2408"/>
    </row>
    <row r="2310" spans="1:12" x14ac:dyDescent="0.3">
      <c r="A2310" s="81" t="s">
        <v>5765</v>
      </c>
      <c r="B2310" s="2445" t="s">
        <v>3681</v>
      </c>
      <c r="C2310" s="2406">
        <v>0</v>
      </c>
      <c r="D2310" s="2396"/>
      <c r="E2310" s="2406">
        <v>0</v>
      </c>
      <c r="F2310" s="2406">
        <v>0</v>
      </c>
      <c r="G2310" s="2457">
        <v>0</v>
      </c>
      <c r="H2310" s="2407">
        <v>0</v>
      </c>
      <c r="I2310" s="2413"/>
      <c r="J2310" s="2413"/>
      <c r="K2310" s="2680" t="s">
        <v>6526</v>
      </c>
      <c r="L2310" s="2408"/>
    </row>
    <row r="2311" spans="1:12" x14ac:dyDescent="0.3">
      <c r="A2311" s="81" t="s">
        <v>5766</v>
      </c>
      <c r="B2311" s="2445" t="s">
        <v>3683</v>
      </c>
      <c r="C2311" s="2406">
        <v>0</v>
      </c>
      <c r="D2311" s="2396"/>
      <c r="E2311" s="2406">
        <v>0</v>
      </c>
      <c r="F2311" s="2406">
        <v>0</v>
      </c>
      <c r="G2311" s="2457">
        <v>0</v>
      </c>
      <c r="H2311" s="2407">
        <v>0</v>
      </c>
      <c r="I2311" s="2413"/>
      <c r="J2311" s="2413"/>
      <c r="K2311" s="2680" t="s">
        <v>6527</v>
      </c>
      <c r="L2311" s="2408"/>
    </row>
    <row r="2312" spans="1:12" x14ac:dyDescent="0.3">
      <c r="A2312" s="81" t="s">
        <v>5767</v>
      </c>
      <c r="B2312" s="2445" t="s">
        <v>3685</v>
      </c>
      <c r="C2312" s="2406">
        <v>0</v>
      </c>
      <c r="D2312" s="2396"/>
      <c r="E2312" s="2406">
        <v>0</v>
      </c>
      <c r="F2312" s="2406">
        <v>0</v>
      </c>
      <c r="G2312" s="2457">
        <v>0</v>
      </c>
      <c r="H2312" s="2407">
        <v>0</v>
      </c>
      <c r="I2312" s="2413"/>
      <c r="J2312" s="2413"/>
      <c r="K2312" s="2680" t="s">
        <v>6528</v>
      </c>
      <c r="L2312" s="2408"/>
    </row>
    <row r="2313" spans="1:12" x14ac:dyDescent="0.3">
      <c r="A2313" s="81" t="s">
        <v>5768</v>
      </c>
      <c r="B2313" s="2445" t="s">
        <v>3687</v>
      </c>
      <c r="C2313" s="2406">
        <v>0</v>
      </c>
      <c r="D2313" s="2396"/>
      <c r="E2313" s="2406">
        <v>0</v>
      </c>
      <c r="F2313" s="2406">
        <v>0</v>
      </c>
      <c r="G2313" s="2457">
        <v>0</v>
      </c>
      <c r="H2313" s="2407">
        <v>0</v>
      </c>
      <c r="I2313" s="2413"/>
      <c r="J2313" s="2413"/>
      <c r="K2313" s="2680" t="s">
        <v>6528</v>
      </c>
      <c r="L2313" s="2408"/>
    </row>
    <row r="2314" spans="1:12" x14ac:dyDescent="0.3">
      <c r="A2314" s="81" t="s">
        <v>5769</v>
      </c>
      <c r="B2314" s="2445" t="s">
        <v>3689</v>
      </c>
      <c r="C2314" s="2406">
        <v>0</v>
      </c>
      <c r="D2314" s="2396"/>
      <c r="E2314" s="2406">
        <v>0</v>
      </c>
      <c r="F2314" s="2406">
        <v>0</v>
      </c>
      <c r="G2314" s="2457">
        <v>0</v>
      </c>
      <c r="H2314" s="2407">
        <v>0</v>
      </c>
      <c r="I2314" s="2413"/>
      <c r="J2314" s="2413"/>
      <c r="K2314" s="2680" t="s">
        <v>6528</v>
      </c>
      <c r="L2314" s="2408"/>
    </row>
    <row r="2315" spans="1:12" x14ac:dyDescent="0.3">
      <c r="A2315" s="81" t="s">
        <v>5770</v>
      </c>
      <c r="B2315" s="2445" t="s">
        <v>4101</v>
      </c>
      <c r="C2315" s="2406">
        <v>0</v>
      </c>
      <c r="D2315" s="2396"/>
      <c r="E2315" s="2406">
        <v>0</v>
      </c>
      <c r="F2315" s="2406">
        <v>0</v>
      </c>
      <c r="G2315" s="2457">
        <v>0</v>
      </c>
      <c r="H2315" s="2407">
        <v>0</v>
      </c>
      <c r="I2315" s="2413"/>
      <c r="J2315" s="2413"/>
      <c r="K2315" s="2680"/>
      <c r="L2315" s="2408"/>
    </row>
    <row r="2316" spans="1:12" x14ac:dyDescent="0.3">
      <c r="A2316" s="81" t="s">
        <v>5771</v>
      </c>
      <c r="B2316" s="2445" t="s">
        <v>4102</v>
      </c>
      <c r="C2316" s="2406">
        <v>0</v>
      </c>
      <c r="D2316" s="2396"/>
      <c r="E2316" s="2406">
        <v>0</v>
      </c>
      <c r="F2316" s="2406">
        <v>0</v>
      </c>
      <c r="G2316" s="2457">
        <v>0</v>
      </c>
      <c r="H2316" s="2407">
        <v>0</v>
      </c>
      <c r="I2316" s="2413"/>
      <c r="J2316" s="2413"/>
      <c r="K2316" s="2680" t="s">
        <v>6518</v>
      </c>
      <c r="L2316" s="2408"/>
    </row>
    <row r="2317" spans="1:12" x14ac:dyDescent="0.3">
      <c r="A2317" s="81" t="s">
        <v>5772</v>
      </c>
      <c r="B2317" s="2445" t="s">
        <v>4103</v>
      </c>
      <c r="C2317" s="2406">
        <v>0</v>
      </c>
      <c r="D2317" s="2396"/>
      <c r="E2317" s="2406">
        <v>0</v>
      </c>
      <c r="F2317" s="2406">
        <v>0</v>
      </c>
      <c r="G2317" s="2457">
        <v>0</v>
      </c>
      <c r="H2317" s="2407">
        <v>0</v>
      </c>
      <c r="I2317" s="2413"/>
      <c r="J2317" s="2413"/>
      <c r="K2317" s="2682" t="s">
        <v>6875</v>
      </c>
      <c r="L2317" s="2408"/>
    </row>
    <row r="2318" spans="1:12" x14ac:dyDescent="0.3">
      <c r="A2318" s="81" t="s">
        <v>5773</v>
      </c>
      <c r="B2318" s="2445" t="s">
        <v>350</v>
      </c>
      <c r="C2318" s="2406">
        <v>0</v>
      </c>
      <c r="D2318" s="2396"/>
      <c r="E2318" s="2406">
        <v>0</v>
      </c>
      <c r="F2318" s="2406">
        <v>0</v>
      </c>
      <c r="G2318" s="2457">
        <v>0</v>
      </c>
      <c r="H2318" s="2407">
        <v>0</v>
      </c>
      <c r="I2318" s="2413"/>
      <c r="J2318" s="2413"/>
      <c r="K2318" s="2682"/>
      <c r="L2318" s="2408"/>
    </row>
    <row r="2319" spans="1:12" x14ac:dyDescent="0.3">
      <c r="A2319" s="81" t="s">
        <v>5774</v>
      </c>
      <c r="B2319" s="2445" t="s">
        <v>3963</v>
      </c>
      <c r="C2319" s="2406">
        <v>30989457</v>
      </c>
      <c r="D2319" s="2396"/>
      <c r="E2319" s="2406">
        <v>3344500</v>
      </c>
      <c r="F2319" s="2406">
        <v>0</v>
      </c>
      <c r="G2319" s="2457">
        <v>3344500</v>
      </c>
      <c r="H2319" s="2407">
        <v>34333957</v>
      </c>
      <c r="I2319" s="2413"/>
      <c r="J2319" s="2413"/>
      <c r="K2319" s="2680" t="s">
        <v>6541</v>
      </c>
      <c r="L2319" s="2408"/>
    </row>
    <row r="2320" spans="1:12" x14ac:dyDescent="0.3">
      <c r="A2320" s="81" t="s">
        <v>5775</v>
      </c>
      <c r="B2320" s="2445" t="s">
        <v>4072</v>
      </c>
      <c r="C2320" s="2406">
        <v>100000</v>
      </c>
      <c r="D2320" s="2396"/>
      <c r="E2320" s="2406">
        <v>0</v>
      </c>
      <c r="F2320" s="2406">
        <v>0</v>
      </c>
      <c r="G2320" s="2457">
        <v>0</v>
      </c>
      <c r="H2320" s="2407">
        <v>100000</v>
      </c>
      <c r="I2320" s="2413"/>
      <c r="J2320" s="2413"/>
      <c r="K2320" s="2680" t="s">
        <v>6539</v>
      </c>
      <c r="L2320" s="2408"/>
    </row>
    <row r="2321" spans="1:12" x14ac:dyDescent="0.3">
      <c r="A2321" s="81" t="s">
        <v>5776</v>
      </c>
      <c r="B2321" s="2445" t="s">
        <v>4104</v>
      </c>
      <c r="C2321" s="2406">
        <v>13324000</v>
      </c>
      <c r="D2321" s="2396"/>
      <c r="E2321" s="2406">
        <v>0</v>
      </c>
      <c r="F2321" s="2406">
        <v>0</v>
      </c>
      <c r="G2321" s="2457">
        <v>0</v>
      </c>
      <c r="H2321" s="2407">
        <v>13324000</v>
      </c>
      <c r="I2321" s="2413"/>
      <c r="J2321" s="2413"/>
      <c r="K2321" s="2680" t="s">
        <v>6550</v>
      </c>
      <c r="L2321" s="2408"/>
    </row>
    <row r="2322" spans="1:12" x14ac:dyDescent="0.3">
      <c r="A2322" s="81" t="s">
        <v>5777</v>
      </c>
      <c r="B2322" s="2445" t="s">
        <v>4073</v>
      </c>
      <c r="C2322" s="2406">
        <v>4790000</v>
      </c>
      <c r="D2322" s="2396"/>
      <c r="E2322" s="2406">
        <v>540000</v>
      </c>
      <c r="F2322" s="2406">
        <v>0</v>
      </c>
      <c r="G2322" s="2457">
        <v>540000</v>
      </c>
      <c r="H2322" s="2407">
        <v>5330000</v>
      </c>
      <c r="I2322" s="2413"/>
      <c r="J2322" s="2413"/>
      <c r="K2322" s="2680" t="s">
        <v>6537</v>
      </c>
      <c r="L2322" s="2408"/>
    </row>
    <row r="2323" spans="1:12" x14ac:dyDescent="0.3">
      <c r="A2323" s="81" t="s">
        <v>5778</v>
      </c>
      <c r="B2323" s="2445" t="s">
        <v>7923</v>
      </c>
      <c r="C2323" s="2406">
        <v>19600000</v>
      </c>
      <c r="D2323" s="2396"/>
      <c r="E2323" s="2406">
        <v>0</v>
      </c>
      <c r="F2323" s="2406">
        <v>0</v>
      </c>
      <c r="G2323" s="2457">
        <v>0</v>
      </c>
      <c r="H2323" s="2407">
        <v>19600000</v>
      </c>
      <c r="I2323" s="2413"/>
      <c r="J2323" s="2413"/>
      <c r="K2323" s="2680" t="s">
        <v>6545</v>
      </c>
      <c r="L2323" s="2408"/>
    </row>
    <row r="2324" spans="1:12" x14ac:dyDescent="0.3">
      <c r="A2324" s="81" t="s">
        <v>5779</v>
      </c>
      <c r="B2324" s="2445" t="s">
        <v>4105</v>
      </c>
      <c r="C2324" s="2406">
        <v>0</v>
      </c>
      <c r="D2324" s="2396"/>
      <c r="E2324" s="2406">
        <v>0</v>
      </c>
      <c r="F2324" s="2406">
        <v>0</v>
      </c>
      <c r="G2324" s="2457">
        <v>0</v>
      </c>
      <c r="H2324" s="2407">
        <v>0</v>
      </c>
      <c r="I2324" s="2413"/>
      <c r="J2324" s="2413"/>
      <c r="K2324" s="2680" t="s">
        <v>6541</v>
      </c>
      <c r="L2324" s="2408"/>
    </row>
    <row r="2325" spans="1:12" x14ac:dyDescent="0.3">
      <c r="A2325" s="81" t="s">
        <v>5780</v>
      </c>
      <c r="B2325" s="2445" t="s">
        <v>3599</v>
      </c>
      <c r="C2325" s="2406">
        <v>0</v>
      </c>
      <c r="D2325" s="2396"/>
      <c r="E2325" s="2406">
        <v>0</v>
      </c>
      <c r="F2325" s="2406">
        <v>0</v>
      </c>
      <c r="G2325" s="2456">
        <v>0</v>
      </c>
      <c r="H2325" s="2407">
        <v>0</v>
      </c>
      <c r="I2325" s="2413"/>
      <c r="J2325" s="2413"/>
      <c r="K2325" s="2680"/>
      <c r="L2325" s="2408"/>
    </row>
    <row r="2326" spans="1:12" x14ac:dyDescent="0.3">
      <c r="A2326" s="81" t="s">
        <v>5781</v>
      </c>
      <c r="B2326" s="2445" t="s">
        <v>3605</v>
      </c>
      <c r="C2326" s="2406">
        <v>0</v>
      </c>
      <c r="D2326" s="2396"/>
      <c r="E2326" s="2406">
        <v>0</v>
      </c>
      <c r="F2326" s="2406">
        <v>0</v>
      </c>
      <c r="G2326" s="2456">
        <v>0</v>
      </c>
      <c r="H2326" s="2407">
        <v>0</v>
      </c>
      <c r="I2326" s="2413"/>
      <c r="J2326" s="2413"/>
      <c r="K2326" s="2680" t="s">
        <v>2586</v>
      </c>
      <c r="L2326" s="2408"/>
    </row>
    <row r="2327" spans="1:12" x14ac:dyDescent="0.3">
      <c r="A2327" s="81" t="s">
        <v>5782</v>
      </c>
      <c r="B2327" s="2445" t="s">
        <v>3607</v>
      </c>
      <c r="C2327" s="2406">
        <v>0</v>
      </c>
      <c r="D2327" s="2396"/>
      <c r="E2327" s="2406">
        <v>0</v>
      </c>
      <c r="F2327" s="2406">
        <v>0</v>
      </c>
      <c r="G2327" s="2456">
        <v>0</v>
      </c>
      <c r="H2327" s="2407">
        <v>0</v>
      </c>
      <c r="I2327" s="2413"/>
      <c r="J2327" s="2413"/>
      <c r="K2327" s="2680" t="s">
        <v>2586</v>
      </c>
      <c r="L2327" s="2408"/>
    </row>
    <row r="2328" spans="1:12" x14ac:dyDescent="0.3">
      <c r="A2328" s="81" t="s">
        <v>5783</v>
      </c>
      <c r="B2328" s="2445" t="s">
        <v>3609</v>
      </c>
      <c r="C2328" s="2406">
        <v>0</v>
      </c>
      <c r="D2328" s="2396"/>
      <c r="E2328" s="2406">
        <v>0</v>
      </c>
      <c r="F2328" s="2406">
        <v>0</v>
      </c>
      <c r="G2328" s="2456">
        <v>0</v>
      </c>
      <c r="H2328" s="2407">
        <v>0</v>
      </c>
      <c r="I2328" s="2413"/>
      <c r="J2328" s="2413"/>
      <c r="K2328" s="2680" t="s">
        <v>2585</v>
      </c>
      <c r="L2328" s="2408"/>
    </row>
    <row r="2329" spans="1:12" x14ac:dyDescent="0.3">
      <c r="A2329" s="81" t="s">
        <v>5784</v>
      </c>
      <c r="B2329" s="2445" t="s">
        <v>3611</v>
      </c>
      <c r="C2329" s="2406">
        <v>0</v>
      </c>
      <c r="D2329" s="2396"/>
      <c r="E2329" s="2406">
        <v>0</v>
      </c>
      <c r="F2329" s="2406">
        <v>0</v>
      </c>
      <c r="G2329" s="2456">
        <v>0</v>
      </c>
      <c r="H2329" s="2407">
        <v>0</v>
      </c>
      <c r="I2329" s="2413"/>
      <c r="J2329" s="2413"/>
      <c r="K2329" s="2680" t="s">
        <v>6505</v>
      </c>
      <c r="L2329" s="2408"/>
    </row>
    <row r="2330" spans="1:12" x14ac:dyDescent="0.3">
      <c r="A2330" s="81" t="s">
        <v>5785</v>
      </c>
      <c r="B2330" s="2445" t="s">
        <v>3613</v>
      </c>
      <c r="C2330" s="2406">
        <v>0</v>
      </c>
      <c r="D2330" s="2396"/>
      <c r="E2330" s="2406">
        <v>0</v>
      </c>
      <c r="F2330" s="2406">
        <v>0</v>
      </c>
      <c r="G2330" s="2456">
        <v>0</v>
      </c>
      <c r="H2330" s="2407">
        <v>0</v>
      </c>
      <c r="I2330" s="2413"/>
      <c r="J2330" s="2413"/>
      <c r="K2330" s="2680" t="s">
        <v>6505</v>
      </c>
      <c r="L2330" s="2408"/>
    </row>
    <row r="2331" spans="1:12" x14ac:dyDescent="0.3">
      <c r="A2331" s="81" t="s">
        <v>5786</v>
      </c>
      <c r="B2331" s="2445" t="s">
        <v>3615</v>
      </c>
      <c r="C2331" s="2406">
        <v>0</v>
      </c>
      <c r="D2331" s="2396"/>
      <c r="E2331" s="2406">
        <v>0</v>
      </c>
      <c r="F2331" s="2406">
        <v>0</v>
      </c>
      <c r="G2331" s="2456">
        <v>0</v>
      </c>
      <c r="H2331" s="2407">
        <v>0</v>
      </c>
      <c r="I2331" s="2413"/>
      <c r="J2331" s="2413"/>
      <c r="K2331" s="2680" t="s">
        <v>2586</v>
      </c>
      <c r="L2331" s="2408"/>
    </row>
    <row r="2332" spans="1:12" x14ac:dyDescent="0.3">
      <c r="A2332" s="81" t="s">
        <v>5787</v>
      </c>
      <c r="B2332" s="2445" t="s">
        <v>3617</v>
      </c>
      <c r="C2332" s="2406">
        <v>0</v>
      </c>
      <c r="D2332" s="2396"/>
      <c r="E2332" s="2406">
        <v>0</v>
      </c>
      <c r="F2332" s="2406">
        <v>0</v>
      </c>
      <c r="G2332" s="2456">
        <v>0</v>
      </c>
      <c r="H2332" s="2407">
        <v>0</v>
      </c>
      <c r="I2332" s="2413"/>
      <c r="J2332" s="2413"/>
      <c r="K2332" s="2680" t="s">
        <v>2586</v>
      </c>
      <c r="L2332" s="2408"/>
    </row>
    <row r="2333" spans="1:12" x14ac:dyDescent="0.3">
      <c r="A2333" s="81" t="s">
        <v>5788</v>
      </c>
      <c r="B2333" s="2445" t="s">
        <v>3619</v>
      </c>
      <c r="C2333" s="2406">
        <v>0</v>
      </c>
      <c r="D2333" s="2396"/>
      <c r="E2333" s="2406">
        <v>0</v>
      </c>
      <c r="F2333" s="2406">
        <v>0</v>
      </c>
      <c r="G2333" s="2456">
        <v>0</v>
      </c>
      <c r="H2333" s="2407">
        <v>0</v>
      </c>
      <c r="I2333" s="2413"/>
      <c r="J2333" s="2413"/>
      <c r="K2333" s="2680"/>
      <c r="L2333" s="2408"/>
    </row>
    <row r="2334" spans="1:12" x14ac:dyDescent="0.3">
      <c r="A2334" s="81" t="s">
        <v>5789</v>
      </c>
      <c r="B2334" s="2445" t="s">
        <v>3621</v>
      </c>
      <c r="C2334" s="2406">
        <v>0</v>
      </c>
      <c r="D2334" s="2396"/>
      <c r="E2334" s="2406">
        <v>0</v>
      </c>
      <c r="F2334" s="2406">
        <v>0</v>
      </c>
      <c r="G2334" s="2456">
        <v>0</v>
      </c>
      <c r="H2334" s="2407">
        <v>0</v>
      </c>
      <c r="I2334" s="2413"/>
      <c r="J2334" s="2413"/>
      <c r="K2334" s="2680" t="s">
        <v>6506</v>
      </c>
      <c r="L2334" s="2408"/>
    </row>
    <row r="2335" spans="1:12" x14ac:dyDescent="0.3">
      <c r="A2335" s="81" t="s">
        <v>5790</v>
      </c>
      <c r="B2335" s="2445" t="s">
        <v>3623</v>
      </c>
      <c r="C2335" s="2406">
        <v>0</v>
      </c>
      <c r="D2335" s="2396"/>
      <c r="E2335" s="2406">
        <v>0</v>
      </c>
      <c r="F2335" s="2406">
        <v>0</v>
      </c>
      <c r="G2335" s="2456">
        <v>0</v>
      </c>
      <c r="H2335" s="2407">
        <v>0</v>
      </c>
      <c r="I2335" s="2413"/>
      <c r="J2335" s="2413"/>
      <c r="K2335" s="2680" t="s">
        <v>6507</v>
      </c>
      <c r="L2335" s="2408"/>
    </row>
    <row r="2336" spans="1:12" x14ac:dyDescent="0.3">
      <c r="A2336" s="81" t="s">
        <v>5791</v>
      </c>
      <c r="B2336" s="2445" t="s">
        <v>3625</v>
      </c>
      <c r="C2336" s="2406">
        <v>0</v>
      </c>
      <c r="D2336" s="2396"/>
      <c r="E2336" s="2406">
        <v>0</v>
      </c>
      <c r="F2336" s="2406">
        <v>0</v>
      </c>
      <c r="G2336" s="2456">
        <v>0</v>
      </c>
      <c r="H2336" s="2407">
        <v>0</v>
      </c>
      <c r="I2336" s="2413"/>
      <c r="J2336" s="2413"/>
      <c r="K2336" s="2680" t="s">
        <v>6508</v>
      </c>
      <c r="L2336" s="2408"/>
    </row>
    <row r="2337" spans="1:12" x14ac:dyDescent="0.3">
      <c r="A2337" s="81" t="s">
        <v>5792</v>
      </c>
      <c r="B2337" s="2445" t="s">
        <v>3627</v>
      </c>
      <c r="C2337" s="2406">
        <v>0</v>
      </c>
      <c r="D2337" s="2396"/>
      <c r="E2337" s="2406">
        <v>0</v>
      </c>
      <c r="F2337" s="2406">
        <v>0</v>
      </c>
      <c r="G2337" s="2456">
        <v>0</v>
      </c>
      <c r="H2337" s="2407">
        <v>0</v>
      </c>
      <c r="I2337" s="2413"/>
      <c r="J2337" s="2413"/>
      <c r="K2337" s="2680" t="s">
        <v>6509</v>
      </c>
      <c r="L2337" s="2408"/>
    </row>
    <row r="2338" spans="1:12" x14ac:dyDescent="0.3">
      <c r="A2338" s="81" t="s">
        <v>5793</v>
      </c>
      <c r="B2338" s="2445" t="s">
        <v>3629</v>
      </c>
      <c r="C2338" s="2406">
        <v>0</v>
      </c>
      <c r="D2338" s="2396"/>
      <c r="E2338" s="2406">
        <v>0</v>
      </c>
      <c r="F2338" s="2406">
        <v>0</v>
      </c>
      <c r="G2338" s="2456">
        <v>0</v>
      </c>
      <c r="H2338" s="2407">
        <v>0</v>
      </c>
      <c r="I2338" s="2413"/>
      <c r="J2338" s="2413"/>
      <c r="K2338" s="2680" t="s">
        <v>6510</v>
      </c>
      <c r="L2338" s="2408"/>
    </row>
    <row r="2339" spans="1:12" x14ac:dyDescent="0.3">
      <c r="A2339" s="81" t="s">
        <v>5794</v>
      </c>
      <c r="B2339" s="2445" t="s">
        <v>3631</v>
      </c>
      <c r="C2339" s="2406">
        <v>0</v>
      </c>
      <c r="D2339" s="2396"/>
      <c r="E2339" s="2406">
        <v>0</v>
      </c>
      <c r="F2339" s="2406">
        <v>0</v>
      </c>
      <c r="G2339" s="2456">
        <v>0</v>
      </c>
      <c r="H2339" s="2407">
        <v>0</v>
      </c>
      <c r="I2339" s="2413"/>
      <c r="J2339" s="2413"/>
      <c r="K2339" s="2680" t="s">
        <v>6511</v>
      </c>
      <c r="L2339" s="2408"/>
    </row>
    <row r="2340" spans="1:12" x14ac:dyDescent="0.3">
      <c r="A2340" s="81" t="s">
        <v>5795</v>
      </c>
      <c r="B2340" s="2445" t="s">
        <v>3633</v>
      </c>
      <c r="C2340" s="2406">
        <v>0</v>
      </c>
      <c r="D2340" s="2396"/>
      <c r="E2340" s="2406">
        <v>0</v>
      </c>
      <c r="F2340" s="2406">
        <v>0</v>
      </c>
      <c r="G2340" s="2456">
        <v>0</v>
      </c>
      <c r="H2340" s="2407">
        <v>0</v>
      </c>
      <c r="I2340" s="2413"/>
      <c r="J2340" s="2413"/>
      <c r="K2340" s="2680" t="s">
        <v>6512</v>
      </c>
      <c r="L2340" s="2408"/>
    </row>
    <row r="2341" spans="1:12" x14ac:dyDescent="0.3">
      <c r="A2341" s="81" t="s">
        <v>5796</v>
      </c>
      <c r="B2341" s="2445" t="s">
        <v>3635</v>
      </c>
      <c r="C2341" s="2406">
        <v>0</v>
      </c>
      <c r="D2341" s="2396"/>
      <c r="E2341" s="2406">
        <v>0</v>
      </c>
      <c r="F2341" s="2406">
        <v>0</v>
      </c>
      <c r="G2341" s="2456">
        <v>0</v>
      </c>
      <c r="H2341" s="2407">
        <v>0</v>
      </c>
      <c r="I2341" s="2413"/>
      <c r="J2341" s="2413"/>
      <c r="K2341" s="2680" t="s">
        <v>6513</v>
      </c>
      <c r="L2341" s="2408"/>
    </row>
    <row r="2342" spans="1:12" x14ac:dyDescent="0.3">
      <c r="A2342" s="81" t="s">
        <v>5797</v>
      </c>
      <c r="B2342" s="2445" t="s">
        <v>3637</v>
      </c>
      <c r="C2342" s="2406">
        <v>0</v>
      </c>
      <c r="D2342" s="2396"/>
      <c r="E2342" s="2406">
        <v>0</v>
      </c>
      <c r="F2342" s="2406">
        <v>0</v>
      </c>
      <c r="G2342" s="2456">
        <v>0</v>
      </c>
      <c r="H2342" s="2407">
        <v>0</v>
      </c>
      <c r="I2342" s="2413"/>
      <c r="J2342" s="2413"/>
      <c r="K2342" s="2680" t="s">
        <v>6514</v>
      </c>
      <c r="L2342" s="2408"/>
    </row>
    <row r="2343" spans="1:12" x14ac:dyDescent="0.3">
      <c r="A2343" s="81" t="s">
        <v>5798</v>
      </c>
      <c r="B2343" s="2445" t="s">
        <v>334</v>
      </c>
      <c r="C2343" s="2406">
        <v>0</v>
      </c>
      <c r="D2343" s="2396"/>
      <c r="E2343" s="2406">
        <v>0</v>
      </c>
      <c r="F2343" s="2406">
        <v>0</v>
      </c>
      <c r="G2343" s="2456">
        <v>0</v>
      </c>
      <c r="H2343" s="2407">
        <v>0</v>
      </c>
      <c r="I2343" s="2413"/>
      <c r="J2343" s="2413"/>
      <c r="K2343" s="2680"/>
      <c r="L2343" s="2408"/>
    </row>
    <row r="2344" spans="1:12" x14ac:dyDescent="0.3">
      <c r="A2344" s="81" t="s">
        <v>5799</v>
      </c>
      <c r="B2344" s="2445" t="s">
        <v>3640</v>
      </c>
      <c r="C2344" s="2406">
        <v>679900</v>
      </c>
      <c r="D2344" s="2396"/>
      <c r="E2344" s="2406">
        <v>90000</v>
      </c>
      <c r="F2344" s="2406">
        <v>0</v>
      </c>
      <c r="G2344" s="2456">
        <v>90000</v>
      </c>
      <c r="H2344" s="2407">
        <v>769900</v>
      </c>
      <c r="I2344" s="2413"/>
      <c r="J2344" s="2413"/>
      <c r="K2344" s="2680" t="s">
        <v>6515</v>
      </c>
      <c r="L2344" s="2408"/>
    </row>
    <row r="2345" spans="1:12" x14ac:dyDescent="0.3">
      <c r="A2345" s="81" t="s">
        <v>5800</v>
      </c>
      <c r="B2345" s="2445" t="s">
        <v>3642</v>
      </c>
      <c r="C2345" s="2406">
        <v>142000</v>
      </c>
      <c r="D2345" s="2396"/>
      <c r="E2345" s="2406">
        <v>0</v>
      </c>
      <c r="F2345" s="2406">
        <v>0</v>
      </c>
      <c r="G2345" s="2456">
        <v>0</v>
      </c>
      <c r="H2345" s="2407">
        <v>142000</v>
      </c>
      <c r="I2345" s="2413"/>
      <c r="J2345" s="2413"/>
      <c r="K2345" s="2680" t="s">
        <v>6515</v>
      </c>
      <c r="L2345" s="2408"/>
    </row>
    <row r="2346" spans="1:12" x14ac:dyDescent="0.3">
      <c r="A2346" s="81" t="s">
        <v>5801</v>
      </c>
      <c r="B2346" s="2445" t="s">
        <v>3644</v>
      </c>
      <c r="C2346" s="2406">
        <v>202000</v>
      </c>
      <c r="D2346" s="2396"/>
      <c r="E2346" s="2406">
        <v>0</v>
      </c>
      <c r="F2346" s="2406">
        <v>0</v>
      </c>
      <c r="G2346" s="2456">
        <v>0</v>
      </c>
      <c r="H2346" s="2407">
        <v>202000</v>
      </c>
      <c r="I2346" s="2413"/>
      <c r="J2346" s="2413"/>
      <c r="K2346" s="2680" t="s">
        <v>6515</v>
      </c>
      <c r="L2346" s="2408"/>
    </row>
    <row r="2347" spans="1:12" x14ac:dyDescent="0.3">
      <c r="A2347" s="81" t="s">
        <v>5802</v>
      </c>
      <c r="B2347" s="2445" t="s">
        <v>3646</v>
      </c>
      <c r="C2347" s="2406">
        <v>2238800</v>
      </c>
      <c r="D2347" s="2396"/>
      <c r="E2347" s="2406">
        <v>190000</v>
      </c>
      <c r="F2347" s="2406">
        <v>0</v>
      </c>
      <c r="G2347" s="2456">
        <v>190000</v>
      </c>
      <c r="H2347" s="2407">
        <v>2428800</v>
      </c>
      <c r="I2347" s="2413"/>
      <c r="J2347" s="2413"/>
      <c r="K2347" s="2680" t="s">
        <v>6515</v>
      </c>
      <c r="L2347" s="2408"/>
    </row>
    <row r="2348" spans="1:12" x14ac:dyDescent="0.3">
      <c r="A2348" s="81" t="s">
        <v>5803</v>
      </c>
      <c r="B2348" s="2445" t="s">
        <v>3648</v>
      </c>
      <c r="C2348" s="2406">
        <v>45673500</v>
      </c>
      <c r="D2348" s="2396"/>
      <c r="E2348" s="2406">
        <v>4615000</v>
      </c>
      <c r="F2348" s="2406">
        <v>0</v>
      </c>
      <c r="G2348" s="2456">
        <v>4615000</v>
      </c>
      <c r="H2348" s="2407">
        <v>50288500</v>
      </c>
      <c r="I2348" s="2413"/>
      <c r="J2348" s="2413"/>
      <c r="K2348" s="2680" t="s">
        <v>6516</v>
      </c>
      <c r="L2348" s="2408"/>
    </row>
    <row r="2349" spans="1:12" x14ac:dyDescent="0.3">
      <c r="A2349" s="81" t="s">
        <v>5804</v>
      </c>
      <c r="B2349" s="2445" t="s">
        <v>3650</v>
      </c>
      <c r="C2349" s="2406">
        <v>1705300</v>
      </c>
      <c r="D2349" s="2396"/>
      <c r="E2349" s="2406">
        <v>1463500</v>
      </c>
      <c r="F2349" s="2406">
        <v>0</v>
      </c>
      <c r="G2349" s="2456">
        <v>1463500</v>
      </c>
      <c r="H2349" s="2407">
        <v>3168800</v>
      </c>
      <c r="I2349" s="2413"/>
      <c r="J2349" s="2413"/>
      <c r="K2349" s="2680" t="s">
        <v>6517</v>
      </c>
      <c r="L2349" s="2408"/>
    </row>
    <row r="2350" spans="1:12" ht="14.5" x14ac:dyDescent="0.35">
      <c r="A2350" s="81" t="s">
        <v>5805</v>
      </c>
      <c r="B2350" t="s">
        <v>7830</v>
      </c>
      <c r="C2350" s="2406">
        <v>98200</v>
      </c>
      <c r="D2350" s="2396"/>
      <c r="E2350" s="2406">
        <v>0</v>
      </c>
      <c r="F2350" s="2406">
        <v>0</v>
      </c>
      <c r="G2350" s="2456">
        <v>0</v>
      </c>
      <c r="H2350" s="2407">
        <v>98200</v>
      </c>
      <c r="I2350" s="2413"/>
      <c r="J2350" s="2413"/>
      <c r="K2350" s="2680" t="s">
        <v>6518</v>
      </c>
      <c r="L2350" s="2408"/>
    </row>
    <row r="2351" spans="1:12" ht="14.5" x14ac:dyDescent="0.35">
      <c r="A2351" s="81" t="s">
        <v>7894</v>
      </c>
      <c r="B2351" t="s">
        <v>7831</v>
      </c>
      <c r="C2351" s="2406">
        <v>291960</v>
      </c>
      <c r="D2351" s="2396"/>
      <c r="E2351" s="2406">
        <v>150500</v>
      </c>
      <c r="F2351" s="2406">
        <v>0</v>
      </c>
      <c r="G2351" s="2456">
        <v>150500</v>
      </c>
      <c r="H2351" s="2407">
        <v>442460</v>
      </c>
      <c r="I2351" s="2413"/>
      <c r="J2351" s="2413"/>
      <c r="K2351" s="2680" t="s">
        <v>6518</v>
      </c>
      <c r="L2351" s="2408"/>
    </row>
    <row r="2352" spans="1:12" x14ac:dyDescent="0.3">
      <c r="A2352" s="81" t="s">
        <v>5806</v>
      </c>
      <c r="B2352" s="2445" t="s">
        <v>3654</v>
      </c>
      <c r="C2352" s="2406">
        <v>8090420</v>
      </c>
      <c r="D2352" s="2396"/>
      <c r="E2352" s="2406">
        <v>1101800</v>
      </c>
      <c r="F2352" s="2406">
        <v>0</v>
      </c>
      <c r="G2352" s="2456">
        <v>1101800</v>
      </c>
      <c r="H2352" s="2407">
        <v>9192220</v>
      </c>
      <c r="I2352" s="2413"/>
      <c r="J2352" s="2413"/>
      <c r="K2352" s="2680" t="s">
        <v>6518</v>
      </c>
      <c r="L2352" s="2408"/>
    </row>
    <row r="2353" spans="1:12" x14ac:dyDescent="0.3">
      <c r="A2353" s="81" t="s">
        <v>5807</v>
      </c>
      <c r="B2353" s="2445" t="s">
        <v>4108</v>
      </c>
      <c r="C2353" s="2406">
        <v>0</v>
      </c>
      <c r="D2353" s="2396"/>
      <c r="E2353" s="2438">
        <v>0</v>
      </c>
      <c r="F2353" s="2438">
        <v>0</v>
      </c>
      <c r="G2353" s="2466">
        <v>0</v>
      </c>
      <c r="H2353" s="2438">
        <v>0</v>
      </c>
      <c r="I2353" s="2413"/>
      <c r="J2353" s="2413"/>
      <c r="K2353" s="2680"/>
      <c r="L2353" s="2408"/>
    </row>
    <row r="2354" spans="1:12" x14ac:dyDescent="0.3">
      <c r="A2354" s="81" t="s">
        <v>5808</v>
      </c>
      <c r="B2354" s="2445" t="s">
        <v>3117</v>
      </c>
      <c r="C2354" s="2406">
        <v>0</v>
      </c>
      <c r="D2354" s="2396"/>
      <c r="E2354" s="2406">
        <v>0</v>
      </c>
      <c r="F2354" s="2406">
        <v>0</v>
      </c>
      <c r="G2354" s="2456">
        <v>0</v>
      </c>
      <c r="H2354" s="2407">
        <v>0</v>
      </c>
      <c r="I2354" s="2413"/>
      <c r="J2354" s="2413"/>
      <c r="K2354" s="2680" t="s">
        <v>6520</v>
      </c>
      <c r="L2354" s="2408"/>
    </row>
    <row r="2355" spans="1:12" x14ac:dyDescent="0.3">
      <c r="A2355" s="81" t="s">
        <v>5809</v>
      </c>
      <c r="B2355" s="2445" t="s">
        <v>4109</v>
      </c>
      <c r="C2355" s="2406">
        <v>9564240</v>
      </c>
      <c r="D2355" s="2396"/>
      <c r="E2355" s="2406">
        <v>674550</v>
      </c>
      <c r="F2355" s="2406">
        <v>0</v>
      </c>
      <c r="G2355" s="2456">
        <v>674550</v>
      </c>
      <c r="H2355" s="2407">
        <v>10238790</v>
      </c>
      <c r="I2355" s="2413"/>
      <c r="J2355" s="2413"/>
      <c r="K2355" s="2680" t="s">
        <v>6551</v>
      </c>
      <c r="L2355" s="2408"/>
    </row>
    <row r="2356" spans="1:12" x14ac:dyDescent="0.3">
      <c r="A2356" s="81" t="s">
        <v>5810</v>
      </c>
      <c r="B2356" s="2445" t="s">
        <v>4110</v>
      </c>
      <c r="C2356" s="2406">
        <v>0</v>
      </c>
      <c r="D2356" s="2396"/>
      <c r="E2356" s="2406">
        <v>0</v>
      </c>
      <c r="F2356" s="2406">
        <v>0</v>
      </c>
      <c r="G2356" s="2456">
        <v>0</v>
      </c>
      <c r="H2356" s="2407">
        <v>0</v>
      </c>
      <c r="I2356" s="2413"/>
      <c r="J2356" s="2413"/>
      <c r="K2356" s="2680" t="s">
        <v>6520</v>
      </c>
      <c r="L2356" s="2408"/>
    </row>
    <row r="2357" spans="1:12" x14ac:dyDescent="0.3">
      <c r="A2357" s="81" t="s">
        <v>5811</v>
      </c>
      <c r="B2357" s="2445" t="s">
        <v>4111</v>
      </c>
      <c r="C2357" s="2406">
        <v>0</v>
      </c>
      <c r="D2357" s="2396"/>
      <c r="E2357" s="2406">
        <v>0</v>
      </c>
      <c r="F2357" s="2406">
        <v>0</v>
      </c>
      <c r="G2357" s="2456">
        <v>0</v>
      </c>
      <c r="H2357" s="2407">
        <v>0</v>
      </c>
      <c r="I2357" s="2413"/>
      <c r="J2357" s="2413"/>
      <c r="K2357" s="2680" t="s">
        <v>6520</v>
      </c>
      <c r="L2357" s="2408"/>
    </row>
    <row r="2358" spans="1:12" x14ac:dyDescent="0.3">
      <c r="A2358" s="81" t="s">
        <v>5812</v>
      </c>
      <c r="B2358" s="2445" t="s">
        <v>4112</v>
      </c>
      <c r="C2358" s="2406">
        <v>0</v>
      </c>
      <c r="D2358" s="2396"/>
      <c r="E2358" s="2406">
        <v>0</v>
      </c>
      <c r="F2358" s="2406">
        <v>0</v>
      </c>
      <c r="G2358" s="2456">
        <v>0</v>
      </c>
      <c r="H2358" s="2407">
        <v>0</v>
      </c>
      <c r="I2358" s="2413"/>
      <c r="J2358" s="2413"/>
      <c r="K2358" s="2680" t="s">
        <v>6519</v>
      </c>
      <c r="L2358" s="2408"/>
    </row>
    <row r="2359" spans="1:12" x14ac:dyDescent="0.3">
      <c r="A2359" s="81" t="s">
        <v>5813</v>
      </c>
      <c r="B2359" s="2445" t="s">
        <v>4113</v>
      </c>
      <c r="C2359" s="2406">
        <v>0</v>
      </c>
      <c r="D2359" s="2396"/>
      <c r="E2359" s="2406">
        <v>0</v>
      </c>
      <c r="F2359" s="2406">
        <v>0</v>
      </c>
      <c r="G2359" s="2456">
        <v>0</v>
      </c>
      <c r="H2359" s="2407">
        <v>0</v>
      </c>
      <c r="I2359" s="2413"/>
      <c r="J2359" s="2413"/>
      <c r="K2359" s="2680" t="s">
        <v>6552</v>
      </c>
      <c r="L2359" s="2408"/>
    </row>
    <row r="2360" spans="1:12" x14ac:dyDescent="0.3">
      <c r="A2360" s="81" t="s">
        <v>5814</v>
      </c>
      <c r="B2360" s="2445" t="s">
        <v>350</v>
      </c>
      <c r="C2360" s="2406">
        <v>0</v>
      </c>
      <c r="D2360" s="2396"/>
      <c r="E2360" s="2406">
        <v>0</v>
      </c>
      <c r="F2360" s="2406">
        <v>0</v>
      </c>
      <c r="G2360" s="2456">
        <v>0</v>
      </c>
      <c r="H2360" s="2407">
        <v>0</v>
      </c>
      <c r="I2360" s="2413"/>
      <c r="J2360" s="2413"/>
      <c r="K2360" s="2680" t="s">
        <v>6518</v>
      </c>
      <c r="L2360" s="2408"/>
    </row>
    <row r="2361" spans="1:12" x14ac:dyDescent="0.3">
      <c r="A2361" s="81" t="s">
        <v>5815</v>
      </c>
      <c r="B2361" s="2445" t="s">
        <v>3723</v>
      </c>
      <c r="C2361" s="2406">
        <v>0</v>
      </c>
      <c r="D2361" s="2396"/>
      <c r="E2361" s="2406">
        <v>0</v>
      </c>
      <c r="F2361" s="2406">
        <v>0</v>
      </c>
      <c r="G2361" s="2456">
        <v>0</v>
      </c>
      <c r="H2361" s="2407">
        <v>0</v>
      </c>
      <c r="I2361" s="2413"/>
      <c r="J2361" s="2413"/>
      <c r="K2361" s="2680"/>
      <c r="L2361" s="2408"/>
    </row>
    <row r="2362" spans="1:12" x14ac:dyDescent="0.3">
      <c r="A2362" s="81" t="s">
        <v>5816</v>
      </c>
      <c r="B2362" s="2445" t="s">
        <v>3662</v>
      </c>
      <c r="C2362" s="2406">
        <v>12206300</v>
      </c>
      <c r="D2362" s="2396"/>
      <c r="E2362" s="2406">
        <v>1530000</v>
      </c>
      <c r="F2362" s="2406">
        <v>0</v>
      </c>
      <c r="G2362" s="2456">
        <v>1530000</v>
      </c>
      <c r="H2362" s="2407">
        <v>13736300</v>
      </c>
      <c r="I2362" s="2413"/>
      <c r="J2362" s="2413"/>
      <c r="K2362" s="2680" t="s">
        <v>6521</v>
      </c>
      <c r="L2362" s="2408"/>
    </row>
    <row r="2363" spans="1:12" x14ac:dyDescent="0.3">
      <c r="A2363" s="81" t="s">
        <v>5817</v>
      </c>
      <c r="B2363" s="2445" t="s">
        <v>4114</v>
      </c>
      <c r="C2363" s="2406">
        <v>106000</v>
      </c>
      <c r="D2363" s="2396"/>
      <c r="E2363" s="2406">
        <v>24000</v>
      </c>
      <c r="F2363" s="2406">
        <v>0</v>
      </c>
      <c r="G2363" s="2456">
        <v>24000</v>
      </c>
      <c r="H2363" s="2407">
        <v>130000</v>
      </c>
      <c r="I2363" s="2413"/>
      <c r="J2363" s="2413"/>
      <c r="K2363" s="2680" t="s">
        <v>6553</v>
      </c>
      <c r="L2363" s="2408"/>
    </row>
    <row r="2364" spans="1:12" x14ac:dyDescent="0.3">
      <c r="A2364" s="81" t="s">
        <v>5818</v>
      </c>
      <c r="B2364" s="2445" t="s">
        <v>4115</v>
      </c>
      <c r="C2364" s="2406">
        <v>8936200</v>
      </c>
      <c r="D2364" s="2396"/>
      <c r="E2364" s="2406">
        <v>130000</v>
      </c>
      <c r="F2364" s="2406">
        <v>0</v>
      </c>
      <c r="G2364" s="2456">
        <v>130000</v>
      </c>
      <c r="H2364" s="2407">
        <v>9066200</v>
      </c>
      <c r="I2364" s="2413"/>
      <c r="J2364" s="2413"/>
      <c r="K2364" s="2680" t="s">
        <v>6522</v>
      </c>
      <c r="L2364" s="2408"/>
    </row>
    <row r="2365" spans="1:12" x14ac:dyDescent="0.3">
      <c r="A2365" s="81" t="s">
        <v>5819</v>
      </c>
      <c r="B2365" s="2445" t="s">
        <v>3666</v>
      </c>
      <c r="C2365" s="2406">
        <v>0</v>
      </c>
      <c r="D2365" s="2396"/>
      <c r="E2365" s="2406">
        <v>0</v>
      </c>
      <c r="F2365" s="2406">
        <v>0</v>
      </c>
      <c r="G2365" s="2456">
        <v>0</v>
      </c>
      <c r="H2365" s="2407">
        <v>0</v>
      </c>
      <c r="I2365" s="2413"/>
      <c r="J2365" s="2413"/>
      <c r="K2365" s="2680" t="s">
        <v>6523</v>
      </c>
      <c r="L2365" s="2408"/>
    </row>
    <row r="2366" spans="1:12" x14ac:dyDescent="0.3">
      <c r="A2366" s="81" t="s">
        <v>5820</v>
      </c>
      <c r="B2366" s="2445" t="s">
        <v>4116</v>
      </c>
      <c r="C2366" s="2406">
        <v>0</v>
      </c>
      <c r="D2366" s="2396"/>
      <c r="E2366" s="2406">
        <v>0</v>
      </c>
      <c r="F2366" s="2406">
        <v>0</v>
      </c>
      <c r="G2366" s="2456">
        <v>0</v>
      </c>
      <c r="H2366" s="2407">
        <v>0</v>
      </c>
      <c r="I2366" s="2413"/>
      <c r="J2366" s="2413"/>
      <c r="K2366" s="2680" t="s">
        <v>6554</v>
      </c>
      <c r="L2366" s="2408"/>
    </row>
    <row r="2367" spans="1:12" x14ac:dyDescent="0.3">
      <c r="A2367" s="81" t="s">
        <v>5821</v>
      </c>
      <c r="B2367" s="2445" t="s">
        <v>3671</v>
      </c>
      <c r="C2367" s="2406">
        <v>0</v>
      </c>
      <c r="D2367" s="2396"/>
      <c r="E2367" s="2406">
        <v>0</v>
      </c>
      <c r="F2367" s="2406">
        <v>0</v>
      </c>
      <c r="G2367" s="2456">
        <v>0</v>
      </c>
      <c r="H2367" s="2407">
        <v>0</v>
      </c>
      <c r="I2367" s="2413"/>
      <c r="J2367" s="2413"/>
      <c r="K2367" s="2680"/>
      <c r="L2367" s="2408"/>
    </row>
    <row r="2368" spans="1:12" x14ac:dyDescent="0.3">
      <c r="A2368" s="81" t="s">
        <v>5822</v>
      </c>
      <c r="B2368" s="2445" t="s">
        <v>3673</v>
      </c>
      <c r="C2368" s="2406">
        <v>0</v>
      </c>
      <c r="D2368" s="2396"/>
      <c r="E2368" s="2406">
        <v>0</v>
      </c>
      <c r="F2368" s="2406">
        <v>0</v>
      </c>
      <c r="G2368" s="2456">
        <v>0</v>
      </c>
      <c r="H2368" s="2407">
        <v>0</v>
      </c>
      <c r="I2368" s="2413"/>
      <c r="J2368" s="2413"/>
      <c r="K2368" s="2680" t="s">
        <v>6525</v>
      </c>
      <c r="L2368" s="2408"/>
    </row>
    <row r="2369" spans="1:12" x14ac:dyDescent="0.3">
      <c r="A2369" s="81" t="s">
        <v>5823</v>
      </c>
      <c r="B2369" s="2445" t="s">
        <v>3675</v>
      </c>
      <c r="C2369" s="2406">
        <v>80000</v>
      </c>
      <c r="D2369" s="2396"/>
      <c r="E2369" s="2406">
        <v>0</v>
      </c>
      <c r="F2369" s="2406">
        <v>0</v>
      </c>
      <c r="G2369" s="2456">
        <v>0</v>
      </c>
      <c r="H2369" s="2407">
        <v>80000</v>
      </c>
      <c r="I2369" s="2413"/>
      <c r="J2369" s="2413"/>
      <c r="K2369" s="2680" t="s">
        <v>6526</v>
      </c>
      <c r="L2369" s="2408"/>
    </row>
    <row r="2370" spans="1:12" x14ac:dyDescent="0.3">
      <c r="A2370" s="81" t="s">
        <v>5824</v>
      </c>
      <c r="B2370" s="2445" t="s">
        <v>3677</v>
      </c>
      <c r="C2370" s="2406">
        <v>0</v>
      </c>
      <c r="D2370" s="2396"/>
      <c r="E2370" s="2406">
        <v>0</v>
      </c>
      <c r="F2370" s="2406">
        <v>0</v>
      </c>
      <c r="G2370" s="2456">
        <v>0</v>
      </c>
      <c r="H2370" s="2407">
        <v>0</v>
      </c>
      <c r="I2370" s="2413"/>
      <c r="J2370" s="2413"/>
      <c r="K2370" s="2680" t="s">
        <v>6526</v>
      </c>
      <c r="L2370" s="2408"/>
    </row>
    <row r="2371" spans="1:12" x14ac:dyDescent="0.3">
      <c r="A2371" s="81" t="s">
        <v>5825</v>
      </c>
      <c r="B2371" s="2445" t="s">
        <v>3679</v>
      </c>
      <c r="C2371" s="2406">
        <v>1931200</v>
      </c>
      <c r="D2371" s="2396"/>
      <c r="E2371" s="2406">
        <v>0</v>
      </c>
      <c r="F2371" s="2406">
        <v>0</v>
      </c>
      <c r="G2371" s="2456">
        <v>0</v>
      </c>
      <c r="H2371" s="2407">
        <v>1931200</v>
      </c>
      <c r="I2371" s="2413"/>
      <c r="J2371" s="2413"/>
      <c r="K2371" s="2680" t="s">
        <v>6526</v>
      </c>
      <c r="L2371" s="2408"/>
    </row>
    <row r="2372" spans="1:12" x14ac:dyDescent="0.3">
      <c r="A2372" s="81" t="s">
        <v>5826</v>
      </c>
      <c r="B2372" s="2445" t="s">
        <v>3681</v>
      </c>
      <c r="C2372" s="2406">
        <v>0</v>
      </c>
      <c r="D2372" s="2396"/>
      <c r="E2372" s="2406">
        <v>0</v>
      </c>
      <c r="F2372" s="2406">
        <v>0</v>
      </c>
      <c r="G2372" s="2456">
        <v>0</v>
      </c>
      <c r="H2372" s="2407">
        <v>0</v>
      </c>
      <c r="I2372" s="2413"/>
      <c r="J2372" s="2413"/>
      <c r="K2372" s="2680" t="s">
        <v>6526</v>
      </c>
      <c r="L2372" s="2408"/>
    </row>
    <row r="2373" spans="1:12" x14ac:dyDescent="0.3">
      <c r="A2373" s="81" t="s">
        <v>5827</v>
      </c>
      <c r="B2373" s="2445" t="s">
        <v>3683</v>
      </c>
      <c r="C2373" s="2406">
        <v>0</v>
      </c>
      <c r="D2373" s="2396"/>
      <c r="E2373" s="2406">
        <v>0</v>
      </c>
      <c r="F2373" s="2406">
        <v>0</v>
      </c>
      <c r="G2373" s="2456">
        <v>0</v>
      </c>
      <c r="H2373" s="2407">
        <v>0</v>
      </c>
      <c r="I2373" s="2413"/>
      <c r="J2373" s="2413"/>
      <c r="K2373" s="2680" t="s">
        <v>6527</v>
      </c>
      <c r="L2373" s="2408"/>
    </row>
    <row r="2374" spans="1:12" x14ac:dyDescent="0.3">
      <c r="A2374" s="81" t="s">
        <v>5828</v>
      </c>
      <c r="B2374" s="2445" t="s">
        <v>3685</v>
      </c>
      <c r="C2374" s="2406">
        <v>0</v>
      </c>
      <c r="D2374" s="2396"/>
      <c r="E2374" s="2406">
        <v>0</v>
      </c>
      <c r="F2374" s="2406">
        <v>0</v>
      </c>
      <c r="G2374" s="2456">
        <v>0</v>
      </c>
      <c r="H2374" s="2407">
        <v>0</v>
      </c>
      <c r="I2374" s="2413"/>
      <c r="J2374" s="2413"/>
      <c r="K2374" s="2680" t="s">
        <v>6528</v>
      </c>
      <c r="L2374" s="2408"/>
    </row>
    <row r="2375" spans="1:12" x14ac:dyDescent="0.3">
      <c r="A2375" s="81" t="s">
        <v>5829</v>
      </c>
      <c r="B2375" s="2445" t="s">
        <v>3687</v>
      </c>
      <c r="C2375" s="2406">
        <v>0</v>
      </c>
      <c r="D2375" s="2396"/>
      <c r="E2375" s="2406">
        <v>0</v>
      </c>
      <c r="F2375" s="2406">
        <v>0</v>
      </c>
      <c r="G2375" s="2456">
        <v>0</v>
      </c>
      <c r="H2375" s="2407">
        <v>0</v>
      </c>
      <c r="I2375" s="2413"/>
      <c r="J2375" s="2413"/>
      <c r="K2375" s="2680" t="s">
        <v>6528</v>
      </c>
      <c r="L2375" s="2408"/>
    </row>
    <row r="2376" spans="1:12" x14ac:dyDescent="0.3">
      <c r="A2376" s="81" t="s">
        <v>5830</v>
      </c>
      <c r="B2376" s="2445" t="s">
        <v>3689</v>
      </c>
      <c r="C2376" s="2406">
        <v>0</v>
      </c>
      <c r="D2376" s="2396"/>
      <c r="E2376" s="2406">
        <v>0</v>
      </c>
      <c r="F2376" s="2406">
        <v>0</v>
      </c>
      <c r="G2376" s="2456">
        <v>0</v>
      </c>
      <c r="H2376" s="2407">
        <v>0</v>
      </c>
      <c r="I2376" s="2413"/>
      <c r="J2376" s="2413"/>
      <c r="K2376" s="2680" t="s">
        <v>6528</v>
      </c>
      <c r="L2376" s="2408"/>
    </row>
    <row r="2377" spans="1:12" x14ac:dyDescent="0.3">
      <c r="A2377" s="81" t="s">
        <v>5831</v>
      </c>
      <c r="B2377" s="2445" t="s">
        <v>350</v>
      </c>
      <c r="C2377" s="2406">
        <v>0</v>
      </c>
      <c r="D2377" s="2396"/>
      <c r="E2377" s="2438">
        <v>0</v>
      </c>
      <c r="F2377" s="2438">
        <v>0</v>
      </c>
      <c r="G2377" s="2466">
        <v>0</v>
      </c>
      <c r="H2377" s="2438">
        <v>0</v>
      </c>
      <c r="I2377" s="2413"/>
      <c r="J2377" s="2413"/>
      <c r="K2377" s="2680"/>
      <c r="L2377" s="2408"/>
    </row>
    <row r="2378" spans="1:12" x14ac:dyDescent="0.3">
      <c r="A2378" s="81" t="s">
        <v>5832</v>
      </c>
      <c r="B2378" s="2445" t="s">
        <v>3963</v>
      </c>
      <c r="C2378" s="2406">
        <v>0</v>
      </c>
      <c r="D2378" s="2396"/>
      <c r="E2378" s="2406">
        <v>0</v>
      </c>
      <c r="F2378" s="2406">
        <v>0</v>
      </c>
      <c r="G2378" s="2456">
        <v>0</v>
      </c>
      <c r="H2378" s="2407">
        <v>0</v>
      </c>
      <c r="I2378" s="2413"/>
      <c r="J2378" s="2413"/>
      <c r="K2378" s="2680" t="s">
        <v>6541</v>
      </c>
      <c r="L2378" s="2408"/>
    </row>
    <row r="2379" spans="1:12" x14ac:dyDescent="0.3">
      <c r="A2379" s="81" t="s">
        <v>5833</v>
      </c>
      <c r="B2379" s="2445" t="s">
        <v>4072</v>
      </c>
      <c r="C2379" s="2406">
        <v>0</v>
      </c>
      <c r="D2379" s="2396"/>
      <c r="E2379" s="2406">
        <v>0</v>
      </c>
      <c r="F2379" s="2406">
        <v>0</v>
      </c>
      <c r="G2379" s="2456">
        <v>0</v>
      </c>
      <c r="H2379" s="2407">
        <v>0</v>
      </c>
      <c r="I2379" s="2413"/>
      <c r="J2379" s="2413"/>
      <c r="K2379" s="2680" t="s">
        <v>6539</v>
      </c>
      <c r="L2379" s="2408"/>
    </row>
    <row r="2380" spans="1:12" x14ac:dyDescent="0.3">
      <c r="A2380" s="81" t="s">
        <v>5834</v>
      </c>
      <c r="B2380" s="2445" t="s">
        <v>4104</v>
      </c>
      <c r="C2380" s="2406">
        <v>739900</v>
      </c>
      <c r="D2380" s="2396"/>
      <c r="E2380" s="2406">
        <v>0</v>
      </c>
      <c r="F2380" s="2406">
        <v>0</v>
      </c>
      <c r="G2380" s="2456">
        <v>0</v>
      </c>
      <c r="H2380" s="2407">
        <v>739900</v>
      </c>
      <c r="I2380" s="2413"/>
      <c r="J2380" s="2413"/>
      <c r="K2380" s="2680" t="s">
        <v>6550</v>
      </c>
      <c r="L2380" s="2408"/>
    </row>
    <row r="2381" spans="1:12" x14ac:dyDescent="0.3">
      <c r="A2381" s="81" t="s">
        <v>5835</v>
      </c>
      <c r="B2381" s="2445" t="s">
        <v>4117</v>
      </c>
      <c r="C2381" s="2406">
        <v>9130000</v>
      </c>
      <c r="D2381" s="2396"/>
      <c r="E2381" s="2406">
        <v>0</v>
      </c>
      <c r="F2381" s="2406">
        <v>0</v>
      </c>
      <c r="G2381" s="2456">
        <v>0</v>
      </c>
      <c r="H2381" s="2407">
        <v>9130000</v>
      </c>
      <c r="I2381" s="2413"/>
      <c r="J2381" s="2413"/>
      <c r="K2381" s="2680" t="s">
        <v>6555</v>
      </c>
      <c r="L2381" s="2408"/>
    </row>
    <row r="2382" spans="1:12" x14ac:dyDescent="0.3">
      <c r="A2382" s="81" t="s">
        <v>5836</v>
      </c>
      <c r="B2382" s="2445" t="s">
        <v>4118</v>
      </c>
      <c r="C2382" s="2406">
        <v>2073300</v>
      </c>
      <c r="D2382" s="2396"/>
      <c r="E2382" s="2406">
        <v>0</v>
      </c>
      <c r="F2382" s="2406">
        <v>0</v>
      </c>
      <c r="G2382" s="2456">
        <v>0</v>
      </c>
      <c r="H2382" s="2407">
        <v>2073300</v>
      </c>
      <c r="I2382" s="2413"/>
      <c r="J2382" s="2413"/>
      <c r="K2382" s="2680" t="s">
        <v>6555</v>
      </c>
      <c r="L2382" s="2408"/>
    </row>
    <row r="2383" spans="1:12" x14ac:dyDescent="0.3">
      <c r="A2383" s="81" t="s">
        <v>5837</v>
      </c>
      <c r="B2383" s="2445" t="s">
        <v>4119</v>
      </c>
      <c r="C2383" s="2406">
        <v>1500000</v>
      </c>
      <c r="D2383" s="2396"/>
      <c r="E2383" s="2406">
        <v>0</v>
      </c>
      <c r="F2383" s="2406">
        <v>0</v>
      </c>
      <c r="G2383" s="2456">
        <v>0</v>
      </c>
      <c r="H2383" s="2407">
        <v>1500000</v>
      </c>
      <c r="I2383" s="2413"/>
      <c r="J2383" s="2413"/>
      <c r="K2383" s="2680" t="s">
        <v>6556</v>
      </c>
      <c r="L2383" s="2408"/>
    </row>
    <row r="2384" spans="1:12" x14ac:dyDescent="0.3">
      <c r="A2384" s="81" t="s">
        <v>5838</v>
      </c>
      <c r="B2384" s="2445" t="s">
        <v>3599</v>
      </c>
      <c r="C2384" s="2406">
        <v>0</v>
      </c>
      <c r="D2384" s="2396"/>
      <c r="E2384" s="2406">
        <v>0</v>
      </c>
      <c r="F2384" s="2406">
        <v>0</v>
      </c>
      <c r="G2384" s="2459">
        <v>0</v>
      </c>
      <c r="H2384" s="2407">
        <v>0</v>
      </c>
      <c r="I2384" s="2413"/>
      <c r="J2384" s="2683"/>
      <c r="K2384" s="2680"/>
      <c r="L2384" s="2408"/>
    </row>
    <row r="2385" spans="1:12" x14ac:dyDescent="0.3">
      <c r="A2385" s="81" t="s">
        <v>5839</v>
      </c>
      <c r="B2385" s="2445" t="s">
        <v>3605</v>
      </c>
      <c r="C2385" s="2406">
        <v>0</v>
      </c>
      <c r="D2385" s="2396"/>
      <c r="E2385" s="2406">
        <v>0</v>
      </c>
      <c r="F2385" s="2406">
        <v>0</v>
      </c>
      <c r="G2385" s="2459">
        <v>0</v>
      </c>
      <c r="H2385" s="2407">
        <v>0</v>
      </c>
      <c r="I2385" s="2413"/>
      <c r="J2385" s="2413"/>
      <c r="K2385" s="2680" t="s">
        <v>2586</v>
      </c>
      <c r="L2385" s="2408"/>
    </row>
    <row r="2386" spans="1:12" x14ac:dyDescent="0.3">
      <c r="A2386" s="81" t="s">
        <v>5840</v>
      </c>
      <c r="B2386" s="2445" t="s">
        <v>3607</v>
      </c>
      <c r="C2386" s="2406">
        <v>0</v>
      </c>
      <c r="D2386" s="2396"/>
      <c r="E2386" s="2406">
        <v>0</v>
      </c>
      <c r="F2386" s="2406">
        <v>0</v>
      </c>
      <c r="G2386" s="2459">
        <v>0</v>
      </c>
      <c r="H2386" s="2407">
        <v>0</v>
      </c>
      <c r="I2386" s="2413"/>
      <c r="J2386" s="2413"/>
      <c r="K2386" s="2680" t="s">
        <v>2586</v>
      </c>
      <c r="L2386" s="2408"/>
    </row>
    <row r="2387" spans="1:12" x14ac:dyDescent="0.3">
      <c r="A2387" s="81" t="s">
        <v>5841</v>
      </c>
      <c r="B2387" s="2445" t="s">
        <v>3609</v>
      </c>
      <c r="C2387" s="2406">
        <v>0</v>
      </c>
      <c r="D2387" s="2396"/>
      <c r="E2387" s="2406">
        <v>0</v>
      </c>
      <c r="F2387" s="2406">
        <v>0</v>
      </c>
      <c r="G2387" s="2459">
        <v>0</v>
      </c>
      <c r="H2387" s="2407">
        <v>0</v>
      </c>
      <c r="I2387" s="2413"/>
      <c r="J2387" s="2413"/>
      <c r="K2387" s="2680" t="s">
        <v>2585</v>
      </c>
      <c r="L2387" s="2408"/>
    </row>
    <row r="2388" spans="1:12" x14ac:dyDescent="0.3">
      <c r="A2388" s="81" t="s">
        <v>5842</v>
      </c>
      <c r="B2388" s="2445" t="s">
        <v>3611</v>
      </c>
      <c r="C2388" s="2406">
        <v>0</v>
      </c>
      <c r="D2388" s="2396"/>
      <c r="E2388" s="2406">
        <v>0</v>
      </c>
      <c r="F2388" s="2406">
        <v>0</v>
      </c>
      <c r="G2388" s="2459">
        <v>0</v>
      </c>
      <c r="H2388" s="2407">
        <v>0</v>
      </c>
      <c r="I2388" s="2413"/>
      <c r="J2388" s="2413"/>
      <c r="K2388" s="2680" t="s">
        <v>6505</v>
      </c>
      <c r="L2388" s="2408"/>
    </row>
    <row r="2389" spans="1:12" x14ac:dyDescent="0.3">
      <c r="A2389" s="81" t="s">
        <v>5843</v>
      </c>
      <c r="B2389" s="2445" t="s">
        <v>3613</v>
      </c>
      <c r="C2389" s="2406">
        <v>0</v>
      </c>
      <c r="D2389" s="2396"/>
      <c r="E2389" s="2406">
        <v>0</v>
      </c>
      <c r="F2389" s="2406">
        <v>0</v>
      </c>
      <c r="G2389" s="2459">
        <v>0</v>
      </c>
      <c r="H2389" s="2407">
        <v>0</v>
      </c>
      <c r="I2389" s="2413"/>
      <c r="J2389" s="2413"/>
      <c r="K2389" s="2680" t="s">
        <v>6505</v>
      </c>
      <c r="L2389" s="2408"/>
    </row>
    <row r="2390" spans="1:12" x14ac:dyDescent="0.3">
      <c r="A2390" s="81" t="s">
        <v>5844</v>
      </c>
      <c r="B2390" s="2445" t="s">
        <v>3615</v>
      </c>
      <c r="C2390" s="2406">
        <v>0</v>
      </c>
      <c r="D2390" s="2396"/>
      <c r="E2390" s="2406">
        <v>0</v>
      </c>
      <c r="F2390" s="2406">
        <v>0</v>
      </c>
      <c r="G2390" s="2459">
        <v>0</v>
      </c>
      <c r="H2390" s="2407">
        <v>0</v>
      </c>
      <c r="I2390" s="2413"/>
      <c r="J2390" s="2413"/>
      <c r="K2390" s="2680" t="s">
        <v>2586</v>
      </c>
      <c r="L2390" s="2408"/>
    </row>
    <row r="2391" spans="1:12" x14ac:dyDescent="0.3">
      <c r="A2391" s="81" t="s">
        <v>5845</v>
      </c>
      <c r="B2391" s="2445" t="s">
        <v>3617</v>
      </c>
      <c r="C2391" s="2406">
        <v>0</v>
      </c>
      <c r="D2391" s="2396"/>
      <c r="E2391" s="2406">
        <v>0</v>
      </c>
      <c r="F2391" s="2406">
        <v>0</v>
      </c>
      <c r="G2391" s="2459">
        <v>0</v>
      </c>
      <c r="H2391" s="2407">
        <v>0</v>
      </c>
      <c r="I2391" s="2413"/>
      <c r="J2391" s="2413"/>
      <c r="K2391" s="2680" t="s">
        <v>2586</v>
      </c>
      <c r="L2391" s="2408"/>
    </row>
    <row r="2392" spans="1:12" x14ac:dyDescent="0.3">
      <c r="A2392" s="81" t="s">
        <v>5846</v>
      </c>
      <c r="B2392" s="2445" t="s">
        <v>3619</v>
      </c>
      <c r="C2392" s="2406">
        <v>0</v>
      </c>
      <c r="D2392" s="2396"/>
      <c r="E2392" s="2406">
        <v>0</v>
      </c>
      <c r="F2392" s="2406">
        <v>0</v>
      </c>
      <c r="G2392" s="2459">
        <v>0</v>
      </c>
      <c r="H2392" s="2407">
        <v>0</v>
      </c>
      <c r="I2392" s="2413"/>
      <c r="J2392" s="2413"/>
      <c r="K2392" s="2680"/>
      <c r="L2392" s="2408"/>
    </row>
    <row r="2393" spans="1:12" x14ac:dyDescent="0.3">
      <c r="A2393" s="81" t="s">
        <v>5847</v>
      </c>
      <c r="B2393" s="2445" t="s">
        <v>3621</v>
      </c>
      <c r="C2393" s="2406">
        <v>0</v>
      </c>
      <c r="D2393" s="2396"/>
      <c r="E2393" s="2406">
        <v>0</v>
      </c>
      <c r="F2393" s="2406">
        <v>0</v>
      </c>
      <c r="G2393" s="2459">
        <v>0</v>
      </c>
      <c r="H2393" s="2407">
        <v>0</v>
      </c>
      <c r="I2393" s="2413"/>
      <c r="J2393" s="2413"/>
      <c r="K2393" s="2680" t="s">
        <v>6506</v>
      </c>
      <c r="L2393" s="2408"/>
    </row>
    <row r="2394" spans="1:12" x14ac:dyDescent="0.3">
      <c r="A2394" s="81" t="s">
        <v>5848</v>
      </c>
      <c r="B2394" s="2445" t="s">
        <v>3623</v>
      </c>
      <c r="C2394" s="2406">
        <v>0</v>
      </c>
      <c r="D2394" s="2396"/>
      <c r="E2394" s="2406">
        <v>0</v>
      </c>
      <c r="F2394" s="2406">
        <v>0</v>
      </c>
      <c r="G2394" s="2459">
        <v>0</v>
      </c>
      <c r="H2394" s="2407">
        <v>0</v>
      </c>
      <c r="I2394" s="2413"/>
      <c r="J2394" s="2413"/>
      <c r="K2394" s="2680" t="s">
        <v>6507</v>
      </c>
      <c r="L2394" s="2408"/>
    </row>
    <row r="2395" spans="1:12" x14ac:dyDescent="0.3">
      <c r="A2395" s="81" t="s">
        <v>5849</v>
      </c>
      <c r="B2395" s="2445" t="s">
        <v>3625</v>
      </c>
      <c r="C2395" s="2406">
        <v>0</v>
      </c>
      <c r="D2395" s="2396"/>
      <c r="E2395" s="2406">
        <v>0</v>
      </c>
      <c r="F2395" s="2406">
        <v>0</v>
      </c>
      <c r="G2395" s="2459">
        <v>0</v>
      </c>
      <c r="H2395" s="2407">
        <v>0</v>
      </c>
      <c r="I2395" s="2413"/>
      <c r="J2395" s="2413"/>
      <c r="K2395" s="2680" t="s">
        <v>6508</v>
      </c>
      <c r="L2395" s="2408"/>
    </row>
    <row r="2396" spans="1:12" x14ac:dyDescent="0.3">
      <c r="A2396" s="81" t="s">
        <v>5850</v>
      </c>
      <c r="B2396" s="2445" t="s">
        <v>3627</v>
      </c>
      <c r="C2396" s="2406">
        <v>0</v>
      </c>
      <c r="D2396" s="2396"/>
      <c r="E2396" s="2406">
        <v>0</v>
      </c>
      <c r="F2396" s="2406">
        <v>0</v>
      </c>
      <c r="G2396" s="2459">
        <v>0</v>
      </c>
      <c r="H2396" s="2407">
        <v>0</v>
      </c>
      <c r="I2396" s="2413"/>
      <c r="J2396" s="2413"/>
      <c r="K2396" s="2680" t="s">
        <v>6509</v>
      </c>
      <c r="L2396" s="2408"/>
    </row>
    <row r="2397" spans="1:12" x14ac:dyDescent="0.3">
      <c r="A2397" s="81" t="s">
        <v>5851</v>
      </c>
      <c r="B2397" s="2445" t="s">
        <v>3629</v>
      </c>
      <c r="C2397" s="2406">
        <v>0</v>
      </c>
      <c r="D2397" s="2396"/>
      <c r="E2397" s="2406">
        <v>0</v>
      </c>
      <c r="F2397" s="2406">
        <v>0</v>
      </c>
      <c r="G2397" s="2459">
        <v>0</v>
      </c>
      <c r="H2397" s="2407">
        <v>0</v>
      </c>
      <c r="I2397" s="2413"/>
      <c r="J2397" s="2413"/>
      <c r="K2397" s="2680" t="s">
        <v>6510</v>
      </c>
      <c r="L2397" s="2408"/>
    </row>
    <row r="2398" spans="1:12" x14ac:dyDescent="0.3">
      <c r="A2398" s="81" t="s">
        <v>5852</v>
      </c>
      <c r="B2398" s="2445" t="s">
        <v>3631</v>
      </c>
      <c r="C2398" s="2406">
        <v>0</v>
      </c>
      <c r="D2398" s="2396"/>
      <c r="E2398" s="2406">
        <v>0</v>
      </c>
      <c r="F2398" s="2406">
        <v>0</v>
      </c>
      <c r="G2398" s="2459">
        <v>0</v>
      </c>
      <c r="H2398" s="2407">
        <v>0</v>
      </c>
      <c r="I2398" s="2413"/>
      <c r="J2398" s="2413"/>
      <c r="K2398" s="2680" t="s">
        <v>6511</v>
      </c>
      <c r="L2398" s="2408"/>
    </row>
    <row r="2399" spans="1:12" x14ac:dyDescent="0.3">
      <c r="A2399" s="81" t="s">
        <v>5853</v>
      </c>
      <c r="B2399" s="2445" t="s">
        <v>3633</v>
      </c>
      <c r="C2399" s="2406">
        <v>0</v>
      </c>
      <c r="D2399" s="2396"/>
      <c r="E2399" s="2406">
        <v>0</v>
      </c>
      <c r="F2399" s="2406">
        <v>0</v>
      </c>
      <c r="G2399" s="2459">
        <v>0</v>
      </c>
      <c r="H2399" s="2407">
        <v>0</v>
      </c>
      <c r="I2399" s="2413"/>
      <c r="J2399" s="2413"/>
      <c r="K2399" s="2680" t="s">
        <v>6512</v>
      </c>
      <c r="L2399" s="2408"/>
    </row>
    <row r="2400" spans="1:12" x14ac:dyDescent="0.3">
      <c r="A2400" s="81" t="s">
        <v>5854</v>
      </c>
      <c r="B2400" s="2445" t="s">
        <v>3635</v>
      </c>
      <c r="C2400" s="2406">
        <v>0</v>
      </c>
      <c r="D2400" s="2396"/>
      <c r="E2400" s="2406">
        <v>0</v>
      </c>
      <c r="F2400" s="2406">
        <v>0</v>
      </c>
      <c r="G2400" s="2459">
        <v>0</v>
      </c>
      <c r="H2400" s="2407">
        <v>0</v>
      </c>
      <c r="I2400" s="2413"/>
      <c r="J2400" s="2413"/>
      <c r="K2400" s="2680" t="s">
        <v>6513</v>
      </c>
      <c r="L2400" s="2408"/>
    </row>
    <row r="2401" spans="1:12" x14ac:dyDescent="0.3">
      <c r="A2401" s="81" t="s">
        <v>5855</v>
      </c>
      <c r="B2401" s="2445" t="s">
        <v>3637</v>
      </c>
      <c r="C2401" s="2406">
        <v>0</v>
      </c>
      <c r="D2401" s="2396"/>
      <c r="E2401" s="2406">
        <v>0</v>
      </c>
      <c r="F2401" s="2406">
        <v>0</v>
      </c>
      <c r="G2401" s="2459">
        <v>0</v>
      </c>
      <c r="H2401" s="2407">
        <v>0</v>
      </c>
      <c r="I2401" s="2413"/>
      <c r="J2401" s="2413"/>
      <c r="K2401" s="2680" t="s">
        <v>6514</v>
      </c>
      <c r="L2401" s="2408"/>
    </row>
    <row r="2402" spans="1:12" x14ac:dyDescent="0.3">
      <c r="A2402" s="81" t="s">
        <v>5856</v>
      </c>
      <c r="B2402" s="2445" t="s">
        <v>334</v>
      </c>
      <c r="C2402" s="2406">
        <v>0</v>
      </c>
      <c r="D2402" s="2396"/>
      <c r="E2402" s="2406">
        <v>0</v>
      </c>
      <c r="F2402" s="2406">
        <v>0</v>
      </c>
      <c r="G2402" s="2459">
        <v>0</v>
      </c>
      <c r="H2402" s="2407">
        <v>0</v>
      </c>
      <c r="I2402" s="2413"/>
      <c r="J2402" s="2413"/>
      <c r="K2402" s="2680"/>
      <c r="L2402" s="2408"/>
    </row>
    <row r="2403" spans="1:12" x14ac:dyDescent="0.3">
      <c r="A2403" s="81" t="s">
        <v>5857</v>
      </c>
      <c r="B2403" s="2445" t="s">
        <v>3640</v>
      </c>
      <c r="C2403" s="2406">
        <v>0</v>
      </c>
      <c r="D2403" s="2396"/>
      <c r="E2403" s="2406">
        <v>0</v>
      </c>
      <c r="F2403" s="2406">
        <v>0</v>
      </c>
      <c r="G2403" s="2459">
        <v>0</v>
      </c>
      <c r="H2403" s="2407">
        <v>0</v>
      </c>
      <c r="I2403" s="2413"/>
      <c r="J2403" s="2413"/>
      <c r="K2403" s="2680" t="s">
        <v>6515</v>
      </c>
      <c r="L2403" s="2408"/>
    </row>
    <row r="2404" spans="1:12" x14ac:dyDescent="0.3">
      <c r="A2404" s="81" t="s">
        <v>5858</v>
      </c>
      <c r="B2404" s="2445" t="s">
        <v>3642</v>
      </c>
      <c r="C2404" s="2406">
        <v>0</v>
      </c>
      <c r="D2404" s="2396"/>
      <c r="E2404" s="2406">
        <v>0</v>
      </c>
      <c r="F2404" s="2406">
        <v>0</v>
      </c>
      <c r="G2404" s="2459">
        <v>0</v>
      </c>
      <c r="H2404" s="2407">
        <v>0</v>
      </c>
      <c r="I2404" s="2413"/>
      <c r="J2404" s="2413"/>
      <c r="K2404" s="2680" t="s">
        <v>6515</v>
      </c>
      <c r="L2404" s="2408"/>
    </row>
    <row r="2405" spans="1:12" x14ac:dyDescent="0.3">
      <c r="A2405" s="81" t="s">
        <v>5859</v>
      </c>
      <c r="B2405" s="2445" t="s">
        <v>3644</v>
      </c>
      <c r="C2405" s="2406">
        <v>0</v>
      </c>
      <c r="D2405" s="2396"/>
      <c r="E2405" s="2406">
        <v>0</v>
      </c>
      <c r="F2405" s="2406">
        <v>0</v>
      </c>
      <c r="G2405" s="2459">
        <v>0</v>
      </c>
      <c r="H2405" s="2407">
        <v>0</v>
      </c>
      <c r="I2405" s="2413"/>
      <c r="J2405" s="2413"/>
      <c r="K2405" s="2680" t="s">
        <v>6515</v>
      </c>
      <c r="L2405" s="2408"/>
    </row>
    <row r="2406" spans="1:12" x14ac:dyDescent="0.3">
      <c r="A2406" s="81" t="s">
        <v>5860</v>
      </c>
      <c r="B2406" s="2445" t="s">
        <v>3646</v>
      </c>
      <c r="C2406" s="2406">
        <v>0</v>
      </c>
      <c r="D2406" s="2396"/>
      <c r="E2406" s="2406">
        <v>0</v>
      </c>
      <c r="F2406" s="2406">
        <v>0</v>
      </c>
      <c r="G2406" s="2459">
        <v>0</v>
      </c>
      <c r="H2406" s="2407">
        <v>0</v>
      </c>
      <c r="I2406" s="2413"/>
      <c r="J2406" s="2413"/>
      <c r="K2406" s="2680" t="s">
        <v>6515</v>
      </c>
      <c r="L2406" s="2408"/>
    </row>
    <row r="2407" spans="1:12" x14ac:dyDescent="0.3">
      <c r="A2407" s="81" t="s">
        <v>5861</v>
      </c>
      <c r="B2407" s="2445" t="s">
        <v>3648</v>
      </c>
      <c r="C2407" s="2406">
        <v>0</v>
      </c>
      <c r="D2407" s="2396"/>
      <c r="E2407" s="2406">
        <v>0</v>
      </c>
      <c r="F2407" s="2406">
        <v>0</v>
      </c>
      <c r="G2407" s="2459">
        <v>0</v>
      </c>
      <c r="H2407" s="2407">
        <v>0</v>
      </c>
      <c r="I2407" s="2413"/>
      <c r="J2407" s="2413"/>
      <c r="K2407" s="2680" t="s">
        <v>6516</v>
      </c>
      <c r="L2407" s="2408"/>
    </row>
    <row r="2408" spans="1:12" x14ac:dyDescent="0.3">
      <c r="A2408" s="81" t="s">
        <v>5862</v>
      </c>
      <c r="B2408" s="2445" t="s">
        <v>3650</v>
      </c>
      <c r="C2408" s="2406">
        <v>0</v>
      </c>
      <c r="D2408" s="2396"/>
      <c r="E2408" s="2406">
        <v>0</v>
      </c>
      <c r="F2408" s="2406">
        <v>0</v>
      </c>
      <c r="G2408" s="2459">
        <v>0</v>
      </c>
      <c r="H2408" s="2407">
        <v>0</v>
      </c>
      <c r="I2408" s="2413"/>
      <c r="J2408" s="2413"/>
      <c r="K2408" s="2680" t="s">
        <v>6517</v>
      </c>
      <c r="L2408" s="2408"/>
    </row>
    <row r="2409" spans="1:12" ht="14.5" x14ac:dyDescent="0.35">
      <c r="A2409" s="81" t="s">
        <v>5863</v>
      </c>
      <c r="B2409" t="s">
        <v>4024</v>
      </c>
      <c r="C2409" s="2406">
        <v>277225</v>
      </c>
      <c r="D2409" s="2396"/>
      <c r="E2409" s="2406">
        <v>0</v>
      </c>
      <c r="F2409" s="2406">
        <v>0</v>
      </c>
      <c r="G2409" s="2459">
        <v>0</v>
      </c>
      <c r="H2409" s="2407">
        <v>277225</v>
      </c>
      <c r="I2409" s="2413"/>
      <c r="J2409" s="2413"/>
      <c r="K2409" s="2680" t="s">
        <v>6518</v>
      </c>
      <c r="L2409" s="2408"/>
    </row>
    <row r="2410" spans="1:12" ht="14.5" x14ac:dyDescent="0.35">
      <c r="A2410" s="81" t="s">
        <v>7896</v>
      </c>
      <c r="B2410" t="s">
        <v>7830</v>
      </c>
      <c r="C2410" s="2406">
        <v>3350000</v>
      </c>
      <c r="D2410" s="2396"/>
      <c r="E2410" s="2406">
        <v>117400</v>
      </c>
      <c r="F2410" s="2406">
        <v>0</v>
      </c>
      <c r="G2410" s="2459">
        <v>117400</v>
      </c>
      <c r="H2410" s="2407">
        <v>3467400</v>
      </c>
      <c r="I2410" s="2413"/>
      <c r="J2410" s="2413"/>
      <c r="K2410" s="2680" t="s">
        <v>6518</v>
      </c>
      <c r="L2410" s="2408"/>
    </row>
    <row r="2411" spans="1:12" x14ac:dyDescent="0.3">
      <c r="A2411" s="81" t="s">
        <v>5864</v>
      </c>
      <c r="B2411" s="2445" t="s">
        <v>3654</v>
      </c>
      <c r="C2411" s="2406">
        <v>1437155</v>
      </c>
      <c r="D2411" s="2396"/>
      <c r="E2411" s="2406">
        <v>0</v>
      </c>
      <c r="F2411" s="2406">
        <v>0</v>
      </c>
      <c r="G2411" s="2459">
        <v>0</v>
      </c>
      <c r="H2411" s="2407">
        <v>1437155</v>
      </c>
      <c r="I2411" s="2413"/>
      <c r="J2411" s="2413"/>
      <c r="K2411" s="2680" t="s">
        <v>6518</v>
      </c>
      <c r="L2411" s="2408"/>
    </row>
    <row r="2412" spans="1:12" x14ac:dyDescent="0.3">
      <c r="A2412" s="81" t="s">
        <v>5865</v>
      </c>
      <c r="B2412" s="2445" t="s">
        <v>3656</v>
      </c>
      <c r="C2412" s="2406">
        <v>0</v>
      </c>
      <c r="D2412" s="2396"/>
      <c r="E2412" s="2406">
        <v>0</v>
      </c>
      <c r="F2412" s="2406">
        <v>0</v>
      </c>
      <c r="G2412" s="2459">
        <v>0</v>
      </c>
      <c r="H2412" s="2407">
        <v>0</v>
      </c>
      <c r="I2412" s="2413"/>
      <c r="J2412" s="2413"/>
      <c r="K2412" s="2680"/>
      <c r="L2412" s="2408"/>
    </row>
    <row r="2413" spans="1:12" x14ac:dyDescent="0.3">
      <c r="A2413" s="81" t="s">
        <v>5866</v>
      </c>
      <c r="B2413" s="2445" t="s">
        <v>3658</v>
      </c>
      <c r="C2413" s="2406">
        <v>0</v>
      </c>
      <c r="D2413" s="2396"/>
      <c r="E2413" s="2406">
        <v>0</v>
      </c>
      <c r="F2413" s="2406">
        <v>0</v>
      </c>
      <c r="G2413" s="2459">
        <v>0</v>
      </c>
      <c r="H2413" s="2407">
        <v>0</v>
      </c>
      <c r="I2413" s="2413"/>
      <c r="J2413" s="2413"/>
      <c r="K2413" s="2680" t="s">
        <v>6519</v>
      </c>
      <c r="L2413" s="2408"/>
    </row>
    <row r="2414" spans="1:12" x14ac:dyDescent="0.3">
      <c r="A2414" s="81" t="s">
        <v>5867</v>
      </c>
      <c r="B2414" s="2445" t="s">
        <v>3660</v>
      </c>
      <c r="C2414" s="2406">
        <v>3052590</v>
      </c>
      <c r="D2414" s="2396"/>
      <c r="E2414" s="2406">
        <v>60000</v>
      </c>
      <c r="F2414" s="2406">
        <v>0</v>
      </c>
      <c r="G2414" s="2459">
        <v>60000</v>
      </c>
      <c r="H2414" s="2407">
        <v>3112590</v>
      </c>
      <c r="I2414" s="2413"/>
      <c r="J2414" s="2413"/>
      <c r="K2414" s="2680" t="s">
        <v>6551</v>
      </c>
      <c r="L2414" s="2408"/>
    </row>
    <row r="2415" spans="1:12" x14ac:dyDescent="0.3">
      <c r="A2415" s="81" t="s">
        <v>5868</v>
      </c>
      <c r="B2415" s="2445" t="s">
        <v>3662</v>
      </c>
      <c r="C2415" s="2406">
        <v>0</v>
      </c>
      <c r="D2415" s="2396"/>
      <c r="E2415" s="2406">
        <v>0</v>
      </c>
      <c r="F2415" s="2406">
        <v>0</v>
      </c>
      <c r="G2415" s="2459">
        <v>0</v>
      </c>
      <c r="H2415" s="2407">
        <v>0</v>
      </c>
      <c r="I2415" s="2413"/>
      <c r="J2415" s="2413"/>
      <c r="K2415" s="2680" t="s">
        <v>6521</v>
      </c>
      <c r="L2415" s="2408"/>
    </row>
    <row r="2416" spans="1:12" x14ac:dyDescent="0.3">
      <c r="A2416" s="81" t="s">
        <v>5869</v>
      </c>
      <c r="B2416" s="2445" t="s">
        <v>3664</v>
      </c>
      <c r="C2416" s="2406">
        <v>0</v>
      </c>
      <c r="D2416" s="2396"/>
      <c r="E2416" s="2406">
        <v>0</v>
      </c>
      <c r="F2416" s="2406">
        <v>0</v>
      </c>
      <c r="G2416" s="2459">
        <v>0</v>
      </c>
      <c r="H2416" s="2407">
        <v>0</v>
      </c>
      <c r="I2416" s="2413"/>
      <c r="J2416" s="2413"/>
      <c r="K2416" s="2680" t="s">
        <v>6522</v>
      </c>
      <c r="L2416" s="2408"/>
    </row>
    <row r="2417" spans="1:12" x14ac:dyDescent="0.3">
      <c r="A2417" s="81" t="s">
        <v>5870</v>
      </c>
      <c r="B2417" s="2445" t="s">
        <v>3666</v>
      </c>
      <c r="C2417" s="2406">
        <v>0</v>
      </c>
      <c r="D2417" s="2396"/>
      <c r="E2417" s="2406">
        <v>0</v>
      </c>
      <c r="F2417" s="2406">
        <v>0</v>
      </c>
      <c r="G2417" s="2459">
        <v>0</v>
      </c>
      <c r="H2417" s="2407">
        <v>0</v>
      </c>
      <c r="I2417" s="2413"/>
      <c r="J2417" s="2413"/>
      <c r="K2417" s="2680" t="s">
        <v>6523</v>
      </c>
      <c r="L2417" s="2408"/>
    </row>
    <row r="2418" spans="1:12" x14ac:dyDescent="0.3">
      <c r="A2418" s="81" t="s">
        <v>5871</v>
      </c>
      <c r="B2418" s="2445" t="s">
        <v>3668</v>
      </c>
      <c r="C2418" s="2406">
        <v>0</v>
      </c>
      <c r="D2418" s="2396"/>
      <c r="E2418" s="2406">
        <v>0</v>
      </c>
      <c r="F2418" s="2406">
        <v>0</v>
      </c>
      <c r="G2418" s="2459">
        <v>0</v>
      </c>
      <c r="H2418" s="2407">
        <v>0</v>
      </c>
      <c r="I2418" s="2413"/>
      <c r="J2418" s="2413"/>
      <c r="K2418" s="2680" t="s">
        <v>6524</v>
      </c>
      <c r="L2418" s="2408"/>
    </row>
    <row r="2419" spans="1:12" x14ac:dyDescent="0.3">
      <c r="A2419" s="81" t="s">
        <v>5872</v>
      </c>
      <c r="B2419" s="2445" t="s">
        <v>350</v>
      </c>
      <c r="C2419" s="2406">
        <v>0</v>
      </c>
      <c r="D2419" s="2396"/>
      <c r="E2419" s="2406">
        <v>0</v>
      </c>
      <c r="F2419" s="2406">
        <v>0</v>
      </c>
      <c r="G2419" s="2459">
        <v>0</v>
      </c>
      <c r="H2419" s="2407">
        <v>0</v>
      </c>
      <c r="I2419" s="2413"/>
      <c r="J2419" s="2413"/>
      <c r="K2419" s="2680" t="s">
        <v>6524</v>
      </c>
      <c r="L2419" s="2408"/>
    </row>
    <row r="2420" spans="1:12" x14ac:dyDescent="0.3">
      <c r="A2420" s="81" t="s">
        <v>5873</v>
      </c>
      <c r="B2420" s="2445" t="s">
        <v>3671</v>
      </c>
      <c r="C2420" s="2406">
        <v>0</v>
      </c>
      <c r="D2420" s="2396"/>
      <c r="E2420" s="2406">
        <v>0</v>
      </c>
      <c r="F2420" s="2406">
        <v>0</v>
      </c>
      <c r="G2420" s="2459">
        <v>0</v>
      </c>
      <c r="H2420" s="2407">
        <v>0</v>
      </c>
      <c r="I2420" s="2413"/>
      <c r="J2420" s="2413"/>
      <c r="K2420" s="2680"/>
      <c r="L2420" s="2408"/>
    </row>
    <row r="2421" spans="1:12" x14ac:dyDescent="0.3">
      <c r="A2421" s="81" t="s">
        <v>5874</v>
      </c>
      <c r="B2421" s="2445" t="s">
        <v>3673</v>
      </c>
      <c r="C2421" s="2406">
        <v>0</v>
      </c>
      <c r="D2421" s="2396"/>
      <c r="E2421" s="2406">
        <v>0</v>
      </c>
      <c r="F2421" s="2406">
        <v>0</v>
      </c>
      <c r="G2421" s="2459">
        <v>0</v>
      </c>
      <c r="H2421" s="2407">
        <v>0</v>
      </c>
      <c r="I2421" s="2413"/>
      <c r="J2421" s="2413"/>
      <c r="K2421" s="2680" t="s">
        <v>6525</v>
      </c>
      <c r="L2421" s="2408"/>
    </row>
    <row r="2422" spans="1:12" x14ac:dyDescent="0.3">
      <c r="A2422" s="81" t="s">
        <v>5875</v>
      </c>
      <c r="B2422" s="2445" t="s">
        <v>3675</v>
      </c>
      <c r="C2422" s="2406">
        <v>0</v>
      </c>
      <c r="D2422" s="2396"/>
      <c r="E2422" s="2406">
        <v>0</v>
      </c>
      <c r="F2422" s="2406">
        <v>0</v>
      </c>
      <c r="G2422" s="2459">
        <v>0</v>
      </c>
      <c r="H2422" s="2407">
        <v>0</v>
      </c>
      <c r="I2422" s="2413"/>
      <c r="J2422" s="2413"/>
      <c r="K2422" s="2680" t="s">
        <v>6526</v>
      </c>
      <c r="L2422" s="2408"/>
    </row>
    <row r="2423" spans="1:12" x14ac:dyDescent="0.3">
      <c r="A2423" s="81" t="s">
        <v>5876</v>
      </c>
      <c r="B2423" s="2445" t="s">
        <v>3677</v>
      </c>
      <c r="C2423" s="2406">
        <v>0</v>
      </c>
      <c r="D2423" s="2396"/>
      <c r="E2423" s="2406">
        <v>0</v>
      </c>
      <c r="F2423" s="2406">
        <v>0</v>
      </c>
      <c r="G2423" s="2459">
        <v>0</v>
      </c>
      <c r="H2423" s="2407">
        <v>0</v>
      </c>
      <c r="I2423" s="2413"/>
      <c r="J2423" s="2413"/>
      <c r="K2423" s="2680" t="s">
        <v>6526</v>
      </c>
      <c r="L2423" s="2408"/>
    </row>
    <row r="2424" spans="1:12" x14ac:dyDescent="0.3">
      <c r="A2424" s="81" t="s">
        <v>5877</v>
      </c>
      <c r="B2424" s="2445" t="s">
        <v>3679</v>
      </c>
      <c r="C2424" s="2406">
        <v>0</v>
      </c>
      <c r="D2424" s="2396"/>
      <c r="E2424" s="2406">
        <v>0</v>
      </c>
      <c r="F2424" s="2406">
        <v>0</v>
      </c>
      <c r="G2424" s="2459">
        <v>0</v>
      </c>
      <c r="H2424" s="2407">
        <v>0</v>
      </c>
      <c r="I2424" s="2413"/>
      <c r="J2424" s="2413"/>
      <c r="K2424" s="2680" t="s">
        <v>6526</v>
      </c>
      <c r="L2424" s="2408"/>
    </row>
    <row r="2425" spans="1:12" x14ac:dyDescent="0.3">
      <c r="A2425" s="81" t="s">
        <v>5878</v>
      </c>
      <c r="B2425" s="2445" t="s">
        <v>3681</v>
      </c>
      <c r="C2425" s="2406">
        <v>0</v>
      </c>
      <c r="D2425" s="2396"/>
      <c r="E2425" s="2406">
        <v>0</v>
      </c>
      <c r="F2425" s="2406">
        <v>0</v>
      </c>
      <c r="G2425" s="2459">
        <v>0</v>
      </c>
      <c r="H2425" s="2407">
        <v>0</v>
      </c>
      <c r="I2425" s="2413"/>
      <c r="J2425" s="2413"/>
      <c r="K2425" s="2680" t="s">
        <v>6526</v>
      </c>
      <c r="L2425" s="2408"/>
    </row>
    <row r="2426" spans="1:12" x14ac:dyDescent="0.3">
      <c r="A2426" s="81" t="s">
        <v>5879</v>
      </c>
      <c r="B2426" s="2445" t="s">
        <v>3683</v>
      </c>
      <c r="C2426" s="2406">
        <v>0</v>
      </c>
      <c r="D2426" s="2396"/>
      <c r="E2426" s="2406">
        <v>0</v>
      </c>
      <c r="F2426" s="2406">
        <v>0</v>
      </c>
      <c r="G2426" s="2459">
        <v>0</v>
      </c>
      <c r="H2426" s="2407">
        <v>0</v>
      </c>
      <c r="I2426" s="2413"/>
      <c r="J2426" s="2413"/>
      <c r="K2426" s="2680" t="s">
        <v>6527</v>
      </c>
      <c r="L2426" s="2408"/>
    </row>
    <row r="2427" spans="1:12" x14ac:dyDescent="0.3">
      <c r="A2427" s="81" t="s">
        <v>5880</v>
      </c>
      <c r="B2427" s="2445" t="s">
        <v>3685</v>
      </c>
      <c r="C2427" s="2406">
        <v>0</v>
      </c>
      <c r="D2427" s="2396"/>
      <c r="E2427" s="2406">
        <v>0</v>
      </c>
      <c r="F2427" s="2406">
        <v>0</v>
      </c>
      <c r="G2427" s="2459">
        <v>0</v>
      </c>
      <c r="H2427" s="2407">
        <v>0</v>
      </c>
      <c r="I2427" s="2413"/>
      <c r="J2427" s="2413"/>
      <c r="K2427" s="2680" t="s">
        <v>6528</v>
      </c>
      <c r="L2427" s="2408"/>
    </row>
    <row r="2428" spans="1:12" x14ac:dyDescent="0.3">
      <c r="A2428" s="81" t="s">
        <v>5881</v>
      </c>
      <c r="B2428" s="2445" t="s">
        <v>3687</v>
      </c>
      <c r="C2428" s="2406">
        <v>0</v>
      </c>
      <c r="D2428" s="2396"/>
      <c r="E2428" s="2406">
        <v>0</v>
      </c>
      <c r="F2428" s="2406">
        <v>0</v>
      </c>
      <c r="G2428" s="2459">
        <v>0</v>
      </c>
      <c r="H2428" s="2407">
        <v>0</v>
      </c>
      <c r="I2428" s="2413"/>
      <c r="J2428" s="2413"/>
      <c r="K2428" s="2680" t="s">
        <v>6528</v>
      </c>
      <c r="L2428" s="2408"/>
    </row>
    <row r="2429" spans="1:12" x14ac:dyDescent="0.3">
      <c r="A2429" s="81" t="s">
        <v>5882</v>
      </c>
      <c r="B2429" s="2445" t="s">
        <v>3689</v>
      </c>
      <c r="C2429" s="2406">
        <v>0</v>
      </c>
      <c r="D2429" s="2396"/>
      <c r="E2429" s="2406">
        <v>0</v>
      </c>
      <c r="F2429" s="2406">
        <v>0</v>
      </c>
      <c r="G2429" s="2459">
        <v>0</v>
      </c>
      <c r="H2429" s="2407">
        <v>0</v>
      </c>
      <c r="I2429" s="2413"/>
      <c r="J2429" s="2413"/>
      <c r="K2429" s="2680" t="s">
        <v>6528</v>
      </c>
      <c r="L2429" s="2408"/>
    </row>
    <row r="2430" spans="1:12" x14ac:dyDescent="0.3">
      <c r="A2430" s="81" t="s">
        <v>5883</v>
      </c>
      <c r="B2430" s="2445" t="s">
        <v>350</v>
      </c>
      <c r="C2430" s="2406">
        <v>0</v>
      </c>
      <c r="D2430" s="2396"/>
      <c r="E2430" s="2406">
        <v>0</v>
      </c>
      <c r="F2430" s="2406">
        <v>0</v>
      </c>
      <c r="G2430" s="2459">
        <v>0</v>
      </c>
      <c r="H2430" s="2407">
        <v>0</v>
      </c>
      <c r="I2430" s="2413"/>
      <c r="J2430" s="2413"/>
      <c r="K2430" s="2680"/>
      <c r="L2430" s="2408"/>
    </row>
    <row r="2431" spans="1:12" x14ac:dyDescent="0.3">
      <c r="A2431" s="81" t="s">
        <v>5884</v>
      </c>
      <c r="B2431" s="2445" t="s">
        <v>3963</v>
      </c>
      <c r="C2431" s="2406">
        <v>0</v>
      </c>
      <c r="D2431" s="2396"/>
      <c r="E2431" s="2406">
        <v>0</v>
      </c>
      <c r="F2431" s="2406">
        <v>0</v>
      </c>
      <c r="G2431" s="2459">
        <v>0</v>
      </c>
      <c r="H2431" s="2407">
        <v>0</v>
      </c>
      <c r="I2431" s="2413"/>
      <c r="J2431" s="2413"/>
      <c r="K2431" s="2680" t="s">
        <v>6541</v>
      </c>
      <c r="L2431" s="2408"/>
    </row>
    <row r="2432" spans="1:12" x14ac:dyDescent="0.3">
      <c r="A2432" s="81" t="s">
        <v>5885</v>
      </c>
      <c r="B2432" s="2445" t="s">
        <v>4072</v>
      </c>
      <c r="C2432" s="2406">
        <v>0</v>
      </c>
      <c r="D2432" s="2396"/>
      <c r="E2432" s="2406">
        <v>0</v>
      </c>
      <c r="F2432" s="2406">
        <v>0</v>
      </c>
      <c r="G2432" s="2459">
        <v>0</v>
      </c>
      <c r="H2432" s="2407">
        <v>0</v>
      </c>
      <c r="I2432" s="2413"/>
      <c r="J2432" s="2413"/>
      <c r="K2432" s="2680" t="s">
        <v>6539</v>
      </c>
      <c r="L2432" s="2408"/>
    </row>
    <row r="2433" spans="1:12" x14ac:dyDescent="0.3">
      <c r="A2433" s="81" t="s">
        <v>5886</v>
      </c>
      <c r="B2433" s="2445" t="s">
        <v>4104</v>
      </c>
      <c r="C2433" s="2406">
        <v>0</v>
      </c>
      <c r="D2433" s="2396"/>
      <c r="E2433" s="2406">
        <v>0</v>
      </c>
      <c r="F2433" s="2406">
        <v>0</v>
      </c>
      <c r="G2433" s="2459">
        <v>0</v>
      </c>
      <c r="H2433" s="2407">
        <v>0</v>
      </c>
      <c r="I2433" s="2413"/>
      <c r="J2433" s="2413"/>
      <c r="K2433" s="2680" t="s">
        <v>6550</v>
      </c>
      <c r="L2433" s="2408"/>
    </row>
    <row r="2434" spans="1:12" x14ac:dyDescent="0.3">
      <c r="A2434" s="81" t="s">
        <v>5887</v>
      </c>
      <c r="B2434" s="2445" t="s">
        <v>4073</v>
      </c>
      <c r="C2434" s="2406">
        <v>0</v>
      </c>
      <c r="D2434" s="2396"/>
      <c r="E2434" s="2406">
        <v>0</v>
      </c>
      <c r="F2434" s="2406">
        <v>0</v>
      </c>
      <c r="G2434" s="2459">
        <v>0</v>
      </c>
      <c r="H2434" s="2407">
        <v>0</v>
      </c>
      <c r="I2434" s="2413"/>
      <c r="J2434" s="2413"/>
      <c r="K2434" s="2680" t="s">
        <v>6537</v>
      </c>
      <c r="L2434" s="2408"/>
    </row>
    <row r="2435" spans="1:12" x14ac:dyDescent="0.3">
      <c r="A2435" s="81" t="s">
        <v>5888</v>
      </c>
      <c r="B2435" s="2445" t="s">
        <v>4075</v>
      </c>
      <c r="C2435" s="2406">
        <v>0</v>
      </c>
      <c r="D2435" s="2396"/>
      <c r="E2435" s="2406">
        <v>0</v>
      </c>
      <c r="F2435" s="2406">
        <v>0</v>
      </c>
      <c r="G2435" s="2459">
        <v>0</v>
      </c>
      <c r="H2435" s="2407">
        <v>0</v>
      </c>
      <c r="I2435" s="2413"/>
      <c r="J2435" s="2413"/>
      <c r="K2435" s="2680" t="s">
        <v>6545</v>
      </c>
      <c r="L2435" s="2408"/>
    </row>
    <row r="2436" spans="1:12" x14ac:dyDescent="0.3">
      <c r="A2436" s="81" t="s">
        <v>5889</v>
      </c>
      <c r="B2436" s="2445" t="s">
        <v>3599</v>
      </c>
      <c r="C2436" s="2406">
        <v>0</v>
      </c>
      <c r="D2436" s="2396"/>
      <c r="E2436" s="2406">
        <v>0</v>
      </c>
      <c r="F2436" s="2406">
        <v>0</v>
      </c>
      <c r="G2436" s="2456">
        <v>0</v>
      </c>
      <c r="H2436" s="2407">
        <v>0</v>
      </c>
      <c r="I2436" s="2413"/>
      <c r="J2436" s="2413"/>
      <c r="K2436" s="2685"/>
      <c r="L2436" s="2408"/>
    </row>
    <row r="2437" spans="1:12" x14ac:dyDescent="0.3">
      <c r="A2437" s="81" t="s">
        <v>5890</v>
      </c>
      <c r="B2437" s="2445" t="s">
        <v>3605</v>
      </c>
      <c r="C2437" s="2406">
        <v>0</v>
      </c>
      <c r="D2437" s="2396"/>
      <c r="E2437" s="2406">
        <v>0</v>
      </c>
      <c r="F2437" s="2406">
        <v>0</v>
      </c>
      <c r="G2437" s="2456">
        <v>0</v>
      </c>
      <c r="H2437" s="2407">
        <v>0</v>
      </c>
      <c r="I2437" s="2413"/>
      <c r="J2437" s="2413"/>
      <c r="K2437" s="2686" t="s">
        <v>2586</v>
      </c>
      <c r="L2437" s="2408"/>
    </row>
    <row r="2438" spans="1:12" x14ac:dyDescent="0.3">
      <c r="A2438" s="81" t="s">
        <v>5891</v>
      </c>
      <c r="B2438" s="2445" t="s">
        <v>3607</v>
      </c>
      <c r="C2438" s="2406">
        <v>0</v>
      </c>
      <c r="D2438" s="2396"/>
      <c r="E2438" s="2406">
        <v>0</v>
      </c>
      <c r="F2438" s="2406">
        <v>0</v>
      </c>
      <c r="G2438" s="2456">
        <v>0</v>
      </c>
      <c r="H2438" s="2407">
        <v>0</v>
      </c>
      <c r="I2438" s="2413"/>
      <c r="J2438" s="2413"/>
      <c r="K2438" s="2686" t="s">
        <v>2586</v>
      </c>
      <c r="L2438" s="2408"/>
    </row>
    <row r="2439" spans="1:12" x14ac:dyDescent="0.3">
      <c r="A2439" s="81" t="s">
        <v>5892</v>
      </c>
      <c r="B2439" s="2445" t="s">
        <v>4126</v>
      </c>
      <c r="C2439" s="2406">
        <v>0</v>
      </c>
      <c r="D2439" s="2396"/>
      <c r="E2439" s="2406">
        <v>0</v>
      </c>
      <c r="F2439" s="2406">
        <v>0</v>
      </c>
      <c r="G2439" s="2456">
        <v>0</v>
      </c>
      <c r="H2439" s="2407">
        <v>0</v>
      </c>
      <c r="I2439" s="2413"/>
      <c r="J2439" s="2413"/>
      <c r="K2439" s="2686" t="s">
        <v>2585</v>
      </c>
      <c r="L2439" s="2408"/>
    </row>
    <row r="2440" spans="1:12" x14ac:dyDescent="0.3">
      <c r="A2440" s="81" t="s">
        <v>5893</v>
      </c>
      <c r="B2440" s="2445" t="s">
        <v>4127</v>
      </c>
      <c r="C2440" s="2406">
        <v>0</v>
      </c>
      <c r="D2440" s="2396"/>
      <c r="E2440" s="2406">
        <v>0</v>
      </c>
      <c r="F2440" s="2406">
        <v>0</v>
      </c>
      <c r="G2440" s="2456">
        <v>0</v>
      </c>
      <c r="H2440" s="2407">
        <v>0</v>
      </c>
      <c r="I2440" s="2413"/>
      <c r="J2440" s="2413"/>
      <c r="K2440" s="2686" t="s">
        <v>2586</v>
      </c>
      <c r="L2440" s="2408"/>
    </row>
    <row r="2441" spans="1:12" x14ac:dyDescent="0.3">
      <c r="A2441" s="81" t="s">
        <v>5894</v>
      </c>
      <c r="B2441" s="2445" t="s">
        <v>3609</v>
      </c>
      <c r="C2441" s="2406">
        <v>0</v>
      </c>
      <c r="D2441" s="2396"/>
      <c r="E2441" s="2406">
        <v>0</v>
      </c>
      <c r="F2441" s="2406">
        <v>0</v>
      </c>
      <c r="G2441" s="2456">
        <v>0</v>
      </c>
      <c r="H2441" s="2407">
        <v>0</v>
      </c>
      <c r="I2441" s="2413"/>
      <c r="J2441" s="2413"/>
      <c r="K2441" s="2686" t="s">
        <v>2585</v>
      </c>
      <c r="L2441" s="2408"/>
    </row>
    <row r="2442" spans="1:12" x14ac:dyDescent="0.3">
      <c r="A2442" s="81" t="s">
        <v>5895</v>
      </c>
      <c r="B2442" s="2445" t="s">
        <v>3611</v>
      </c>
      <c r="C2442" s="2406">
        <v>0</v>
      </c>
      <c r="D2442" s="2396"/>
      <c r="E2442" s="2406">
        <v>0</v>
      </c>
      <c r="F2442" s="2406">
        <v>0</v>
      </c>
      <c r="G2442" s="2456">
        <v>0</v>
      </c>
      <c r="H2442" s="2407">
        <v>0</v>
      </c>
      <c r="I2442" s="2413"/>
      <c r="J2442" s="2413"/>
      <c r="K2442" s="2686" t="s">
        <v>6505</v>
      </c>
      <c r="L2442" s="2408"/>
    </row>
    <row r="2443" spans="1:12" x14ac:dyDescent="0.3">
      <c r="A2443" s="81" t="s">
        <v>5896</v>
      </c>
      <c r="B2443" s="2445" t="s">
        <v>3613</v>
      </c>
      <c r="C2443" s="2406">
        <v>0</v>
      </c>
      <c r="D2443" s="2396"/>
      <c r="E2443" s="2406">
        <v>0</v>
      </c>
      <c r="F2443" s="2406">
        <v>0</v>
      </c>
      <c r="G2443" s="2456">
        <v>0</v>
      </c>
      <c r="H2443" s="2407">
        <v>0</v>
      </c>
      <c r="I2443" s="2413"/>
      <c r="J2443" s="2413"/>
      <c r="K2443" s="2686" t="s">
        <v>6505</v>
      </c>
      <c r="L2443" s="2408"/>
    </row>
    <row r="2444" spans="1:12" x14ac:dyDescent="0.3">
      <c r="A2444" s="81" t="s">
        <v>5897</v>
      </c>
      <c r="B2444" s="2445" t="s">
        <v>3615</v>
      </c>
      <c r="C2444" s="2406">
        <v>0</v>
      </c>
      <c r="D2444" s="2396"/>
      <c r="E2444" s="2406">
        <v>0</v>
      </c>
      <c r="F2444" s="2406">
        <v>0</v>
      </c>
      <c r="G2444" s="2456">
        <v>0</v>
      </c>
      <c r="H2444" s="2407">
        <v>0</v>
      </c>
      <c r="I2444" s="2413"/>
      <c r="J2444" s="2413"/>
      <c r="K2444" s="2686" t="s">
        <v>2586</v>
      </c>
      <c r="L2444" s="2408"/>
    </row>
    <row r="2445" spans="1:12" x14ac:dyDescent="0.3">
      <c r="A2445" s="81" t="s">
        <v>5898</v>
      </c>
      <c r="B2445" s="2445" t="s">
        <v>3617</v>
      </c>
      <c r="C2445" s="2406">
        <v>0</v>
      </c>
      <c r="D2445" s="2396"/>
      <c r="E2445" s="2406">
        <v>0</v>
      </c>
      <c r="F2445" s="2406">
        <v>0</v>
      </c>
      <c r="G2445" s="2456">
        <v>0</v>
      </c>
      <c r="H2445" s="2407">
        <v>0</v>
      </c>
      <c r="I2445" s="2413"/>
      <c r="J2445" s="2413"/>
      <c r="K2445" s="2686" t="s">
        <v>2586</v>
      </c>
      <c r="L2445" s="2408"/>
    </row>
    <row r="2446" spans="1:12" x14ac:dyDescent="0.3">
      <c r="A2446" s="81" t="s">
        <v>5899</v>
      </c>
      <c r="B2446" s="2445" t="s">
        <v>3619</v>
      </c>
      <c r="C2446" s="2406">
        <v>0</v>
      </c>
      <c r="D2446" s="2396"/>
      <c r="E2446" s="2406">
        <v>0</v>
      </c>
      <c r="F2446" s="2406">
        <v>0</v>
      </c>
      <c r="G2446" s="2456">
        <v>0</v>
      </c>
      <c r="H2446" s="2407">
        <v>0</v>
      </c>
      <c r="I2446" s="2413"/>
      <c r="J2446" s="2413"/>
      <c r="K2446" s="2686"/>
      <c r="L2446" s="2408"/>
    </row>
    <row r="2447" spans="1:12" x14ac:dyDescent="0.3">
      <c r="A2447" s="81" t="s">
        <v>5900</v>
      </c>
      <c r="B2447" s="2445" t="s">
        <v>3621</v>
      </c>
      <c r="C2447" s="2406">
        <v>0</v>
      </c>
      <c r="D2447" s="2396"/>
      <c r="E2447" s="2406">
        <v>0</v>
      </c>
      <c r="F2447" s="2406">
        <v>0</v>
      </c>
      <c r="G2447" s="2456">
        <v>0</v>
      </c>
      <c r="H2447" s="2407">
        <v>0</v>
      </c>
      <c r="I2447" s="2413"/>
      <c r="J2447" s="2413"/>
      <c r="K2447" s="2686" t="s">
        <v>6506</v>
      </c>
      <c r="L2447" s="2408"/>
    </row>
    <row r="2448" spans="1:12" x14ac:dyDescent="0.3">
      <c r="A2448" s="81" t="s">
        <v>5901</v>
      </c>
      <c r="B2448" s="2445" t="s">
        <v>3623</v>
      </c>
      <c r="C2448" s="2406">
        <v>0</v>
      </c>
      <c r="D2448" s="2396"/>
      <c r="E2448" s="2406">
        <v>0</v>
      </c>
      <c r="F2448" s="2406">
        <v>0</v>
      </c>
      <c r="G2448" s="2456">
        <v>0</v>
      </c>
      <c r="H2448" s="2407">
        <v>0</v>
      </c>
      <c r="I2448" s="2413"/>
      <c r="J2448" s="2413"/>
      <c r="K2448" s="2686" t="s">
        <v>6507</v>
      </c>
      <c r="L2448" s="2408"/>
    </row>
    <row r="2449" spans="1:12" x14ac:dyDescent="0.3">
      <c r="A2449" s="81" t="s">
        <v>5902</v>
      </c>
      <c r="B2449" s="2445" t="s">
        <v>3625</v>
      </c>
      <c r="C2449" s="2406">
        <v>0</v>
      </c>
      <c r="D2449" s="2396"/>
      <c r="E2449" s="2406">
        <v>0</v>
      </c>
      <c r="F2449" s="2406">
        <v>0</v>
      </c>
      <c r="G2449" s="2456">
        <v>0</v>
      </c>
      <c r="H2449" s="2407">
        <v>0</v>
      </c>
      <c r="I2449" s="2413"/>
      <c r="J2449" s="2413"/>
      <c r="K2449" s="2686" t="s">
        <v>6508</v>
      </c>
      <c r="L2449" s="2408"/>
    </row>
    <row r="2450" spans="1:12" x14ac:dyDescent="0.3">
      <c r="A2450" s="81" t="s">
        <v>5903</v>
      </c>
      <c r="B2450" s="2445" t="s">
        <v>3627</v>
      </c>
      <c r="C2450" s="2406">
        <v>0</v>
      </c>
      <c r="D2450" s="2396"/>
      <c r="E2450" s="2406">
        <v>0</v>
      </c>
      <c r="F2450" s="2406">
        <v>0</v>
      </c>
      <c r="G2450" s="2456">
        <v>0</v>
      </c>
      <c r="H2450" s="2407">
        <v>0</v>
      </c>
      <c r="I2450" s="2413"/>
      <c r="J2450" s="2413"/>
      <c r="K2450" s="2686" t="s">
        <v>6509</v>
      </c>
      <c r="L2450" s="2408"/>
    </row>
    <row r="2451" spans="1:12" x14ac:dyDescent="0.3">
      <c r="A2451" s="81" t="s">
        <v>5904</v>
      </c>
      <c r="B2451" s="2445" t="s">
        <v>3629</v>
      </c>
      <c r="C2451" s="2406">
        <v>0</v>
      </c>
      <c r="D2451" s="2396"/>
      <c r="E2451" s="2406">
        <v>0</v>
      </c>
      <c r="F2451" s="2406">
        <v>0</v>
      </c>
      <c r="G2451" s="2456">
        <v>0</v>
      </c>
      <c r="H2451" s="2407">
        <v>0</v>
      </c>
      <c r="I2451" s="2413"/>
      <c r="J2451" s="2413"/>
      <c r="K2451" s="2686" t="s">
        <v>6510</v>
      </c>
      <c r="L2451" s="2408"/>
    </row>
    <row r="2452" spans="1:12" x14ac:dyDescent="0.3">
      <c r="A2452" s="81" t="s">
        <v>5905</v>
      </c>
      <c r="B2452" s="2445" t="s">
        <v>3631</v>
      </c>
      <c r="C2452" s="2406">
        <v>0</v>
      </c>
      <c r="D2452" s="2396"/>
      <c r="E2452" s="2406">
        <v>0</v>
      </c>
      <c r="F2452" s="2406">
        <v>0</v>
      </c>
      <c r="G2452" s="2456">
        <v>0</v>
      </c>
      <c r="H2452" s="2407">
        <v>0</v>
      </c>
      <c r="I2452" s="2413"/>
      <c r="J2452" s="2413"/>
      <c r="K2452" s="2686" t="s">
        <v>6511</v>
      </c>
      <c r="L2452" s="2408"/>
    </row>
    <row r="2453" spans="1:12" x14ac:dyDescent="0.3">
      <c r="A2453" s="81" t="s">
        <v>5906</v>
      </c>
      <c r="B2453" s="2445" t="s">
        <v>3633</v>
      </c>
      <c r="C2453" s="2406">
        <v>0</v>
      </c>
      <c r="D2453" s="2396"/>
      <c r="E2453" s="2406">
        <v>0</v>
      </c>
      <c r="F2453" s="2406">
        <v>0</v>
      </c>
      <c r="G2453" s="2456">
        <v>0</v>
      </c>
      <c r="H2453" s="2407">
        <v>0</v>
      </c>
      <c r="I2453" s="2413"/>
      <c r="J2453" s="2413"/>
      <c r="K2453" s="2686" t="s">
        <v>6512</v>
      </c>
      <c r="L2453" s="2408"/>
    </row>
    <row r="2454" spans="1:12" x14ac:dyDescent="0.3">
      <c r="A2454" s="81" t="s">
        <v>5907</v>
      </c>
      <c r="B2454" s="2445" t="s">
        <v>3635</v>
      </c>
      <c r="C2454" s="2406">
        <v>0</v>
      </c>
      <c r="D2454" s="2396"/>
      <c r="E2454" s="2406">
        <v>0</v>
      </c>
      <c r="F2454" s="2406">
        <v>0</v>
      </c>
      <c r="G2454" s="2456">
        <v>0</v>
      </c>
      <c r="H2454" s="2407">
        <v>0</v>
      </c>
      <c r="I2454" s="2413"/>
      <c r="J2454" s="2413"/>
      <c r="K2454" s="2686" t="s">
        <v>6513</v>
      </c>
      <c r="L2454" s="2408"/>
    </row>
    <row r="2455" spans="1:12" x14ac:dyDescent="0.3">
      <c r="A2455" s="81" t="s">
        <v>5908</v>
      </c>
      <c r="B2455" s="2445" t="s">
        <v>3637</v>
      </c>
      <c r="C2455" s="2406">
        <v>0</v>
      </c>
      <c r="D2455" s="2396"/>
      <c r="E2455" s="2406">
        <v>0</v>
      </c>
      <c r="F2455" s="2406">
        <v>0</v>
      </c>
      <c r="G2455" s="2456">
        <v>0</v>
      </c>
      <c r="H2455" s="2407">
        <v>0</v>
      </c>
      <c r="I2455" s="2413"/>
      <c r="J2455" s="2413"/>
      <c r="K2455" s="2686" t="s">
        <v>6514</v>
      </c>
      <c r="L2455" s="2408"/>
    </row>
    <row r="2456" spans="1:12" x14ac:dyDescent="0.3">
      <c r="A2456" s="81" t="s">
        <v>5909</v>
      </c>
      <c r="B2456" s="2445" t="s">
        <v>334</v>
      </c>
      <c r="C2456" s="2406">
        <v>0</v>
      </c>
      <c r="D2456" s="2396"/>
      <c r="E2456" s="2406">
        <v>0</v>
      </c>
      <c r="F2456" s="2406">
        <v>0</v>
      </c>
      <c r="G2456" s="2456">
        <v>0</v>
      </c>
      <c r="H2456" s="2407">
        <v>0</v>
      </c>
      <c r="I2456" s="2413"/>
      <c r="J2456" s="2413"/>
      <c r="K2456" s="2686"/>
      <c r="L2456" s="2408"/>
    </row>
    <row r="2457" spans="1:12" x14ac:dyDescent="0.3">
      <c r="A2457" s="81" t="s">
        <v>5910</v>
      </c>
      <c r="B2457" s="2445" t="s">
        <v>3640</v>
      </c>
      <c r="C2457" s="2406">
        <v>0</v>
      </c>
      <c r="D2457" s="2396"/>
      <c r="E2457" s="2406">
        <v>0</v>
      </c>
      <c r="F2457" s="2406">
        <v>0</v>
      </c>
      <c r="G2457" s="2456">
        <v>0</v>
      </c>
      <c r="H2457" s="2407">
        <v>0</v>
      </c>
      <c r="I2457" s="2413"/>
      <c r="J2457" s="2413"/>
      <c r="K2457" s="2686" t="s">
        <v>6515</v>
      </c>
      <c r="L2457" s="2408"/>
    </row>
    <row r="2458" spans="1:12" x14ac:dyDescent="0.3">
      <c r="A2458" s="81" t="s">
        <v>5911</v>
      </c>
      <c r="B2458" s="2445" t="s">
        <v>3642</v>
      </c>
      <c r="C2458" s="2406">
        <v>0</v>
      </c>
      <c r="D2458" s="2396"/>
      <c r="E2458" s="2406">
        <v>0</v>
      </c>
      <c r="F2458" s="2406">
        <v>0</v>
      </c>
      <c r="G2458" s="2456">
        <v>0</v>
      </c>
      <c r="H2458" s="2407">
        <v>0</v>
      </c>
      <c r="I2458" s="2413"/>
      <c r="J2458" s="2413"/>
      <c r="K2458" s="2686" t="s">
        <v>6515</v>
      </c>
      <c r="L2458" s="2408"/>
    </row>
    <row r="2459" spans="1:12" x14ac:dyDescent="0.3">
      <c r="A2459" s="81" t="s">
        <v>5912</v>
      </c>
      <c r="B2459" s="2445" t="s">
        <v>3644</v>
      </c>
      <c r="C2459" s="2406">
        <v>0</v>
      </c>
      <c r="D2459" s="2396"/>
      <c r="E2459" s="2406">
        <v>0</v>
      </c>
      <c r="F2459" s="2406">
        <v>0</v>
      </c>
      <c r="G2459" s="2456">
        <v>0</v>
      </c>
      <c r="H2459" s="2407">
        <v>0</v>
      </c>
      <c r="I2459" s="2413"/>
      <c r="J2459" s="2413"/>
      <c r="K2459" s="2686" t="s">
        <v>6515</v>
      </c>
      <c r="L2459" s="2408"/>
    </row>
    <row r="2460" spans="1:12" x14ac:dyDescent="0.3">
      <c r="A2460" s="81" t="s">
        <v>5913</v>
      </c>
      <c r="B2460" s="2445" t="s">
        <v>3646</v>
      </c>
      <c r="C2460" s="2406">
        <v>0</v>
      </c>
      <c r="D2460" s="2396"/>
      <c r="E2460" s="2406">
        <v>0</v>
      </c>
      <c r="F2460" s="2406">
        <v>0</v>
      </c>
      <c r="G2460" s="2456">
        <v>0</v>
      </c>
      <c r="H2460" s="2407">
        <v>0</v>
      </c>
      <c r="I2460" s="2413"/>
      <c r="J2460" s="2413"/>
      <c r="K2460" s="2686" t="s">
        <v>6515</v>
      </c>
      <c r="L2460" s="2408"/>
    </row>
    <row r="2461" spans="1:12" x14ac:dyDescent="0.3">
      <c r="A2461" s="81" t="s">
        <v>5914</v>
      </c>
      <c r="B2461" s="2445" t="s">
        <v>3648</v>
      </c>
      <c r="C2461" s="2406">
        <v>0</v>
      </c>
      <c r="D2461" s="2396"/>
      <c r="E2461" s="2406">
        <v>0</v>
      </c>
      <c r="F2461" s="2406">
        <v>0</v>
      </c>
      <c r="G2461" s="2456">
        <v>0</v>
      </c>
      <c r="H2461" s="2407">
        <v>0</v>
      </c>
      <c r="I2461" s="2413"/>
      <c r="J2461" s="2413"/>
      <c r="K2461" s="2686" t="s">
        <v>6516</v>
      </c>
      <c r="L2461" s="2408"/>
    </row>
    <row r="2462" spans="1:12" x14ac:dyDescent="0.3">
      <c r="A2462" s="81" t="s">
        <v>5915</v>
      </c>
      <c r="B2462" s="2445" t="s">
        <v>3650</v>
      </c>
      <c r="C2462" s="2406">
        <v>0</v>
      </c>
      <c r="D2462" s="2396"/>
      <c r="E2462" s="2406">
        <v>0</v>
      </c>
      <c r="F2462" s="2406">
        <v>0</v>
      </c>
      <c r="G2462" s="2456">
        <v>0</v>
      </c>
      <c r="H2462" s="2407">
        <v>0</v>
      </c>
      <c r="I2462" s="2413"/>
      <c r="J2462" s="2413"/>
      <c r="K2462" s="2686" t="s">
        <v>6517</v>
      </c>
      <c r="L2462" s="2408"/>
    </row>
    <row r="2463" spans="1:12" x14ac:dyDescent="0.3">
      <c r="A2463" s="81" t="s">
        <v>5916</v>
      </c>
      <c r="B2463" s="2445" t="s">
        <v>3652</v>
      </c>
      <c r="C2463" s="2406">
        <v>0</v>
      </c>
      <c r="D2463" s="2396"/>
      <c r="E2463" s="2406">
        <v>0</v>
      </c>
      <c r="F2463" s="2406">
        <v>0</v>
      </c>
      <c r="G2463" s="2456">
        <v>0</v>
      </c>
      <c r="H2463" s="2407">
        <v>0</v>
      </c>
      <c r="I2463" s="2413"/>
      <c r="J2463" s="2413"/>
      <c r="K2463" s="2686" t="s">
        <v>6518</v>
      </c>
      <c r="L2463" s="2408"/>
    </row>
    <row r="2464" spans="1:12" x14ac:dyDescent="0.3">
      <c r="A2464" s="81" t="s">
        <v>5917</v>
      </c>
      <c r="B2464" s="2445" t="s">
        <v>3654</v>
      </c>
      <c r="C2464" s="2406">
        <v>0</v>
      </c>
      <c r="D2464" s="2396"/>
      <c r="E2464" s="2406">
        <v>0</v>
      </c>
      <c r="F2464" s="2406">
        <v>0</v>
      </c>
      <c r="G2464" s="2456">
        <v>0</v>
      </c>
      <c r="H2464" s="2407">
        <v>0</v>
      </c>
      <c r="I2464" s="2413"/>
      <c r="J2464" s="2413"/>
      <c r="K2464" s="2686" t="s">
        <v>6518</v>
      </c>
      <c r="L2464" s="2408"/>
    </row>
    <row r="2465" spans="1:12" x14ac:dyDescent="0.3">
      <c r="A2465" s="81" t="s">
        <v>5918</v>
      </c>
      <c r="B2465" s="2445" t="s">
        <v>3656</v>
      </c>
      <c r="C2465" s="2406">
        <v>0</v>
      </c>
      <c r="D2465" s="2396"/>
      <c r="E2465" s="2406">
        <v>0</v>
      </c>
      <c r="F2465" s="2406">
        <v>0</v>
      </c>
      <c r="G2465" s="2456">
        <v>0</v>
      </c>
      <c r="H2465" s="2407">
        <v>0</v>
      </c>
      <c r="I2465" s="2413"/>
      <c r="J2465" s="2413"/>
      <c r="K2465" s="2686"/>
      <c r="L2465" s="2408"/>
    </row>
    <row r="2466" spans="1:12" x14ac:dyDescent="0.3">
      <c r="A2466" s="81" t="s">
        <v>5919</v>
      </c>
      <c r="B2466" s="2445" t="s">
        <v>3658</v>
      </c>
      <c r="C2466" s="2406">
        <v>0</v>
      </c>
      <c r="D2466" s="2396"/>
      <c r="E2466" s="2406">
        <v>0</v>
      </c>
      <c r="F2466" s="2406">
        <v>0</v>
      </c>
      <c r="G2466" s="2456">
        <v>0</v>
      </c>
      <c r="H2466" s="2407">
        <v>0</v>
      </c>
      <c r="I2466" s="2413"/>
      <c r="J2466" s="2413"/>
      <c r="K2466" s="2686" t="s">
        <v>6519</v>
      </c>
      <c r="L2466" s="2408"/>
    </row>
    <row r="2467" spans="1:12" x14ac:dyDescent="0.3">
      <c r="A2467" s="81" t="s">
        <v>5920</v>
      </c>
      <c r="B2467" s="2445" t="s">
        <v>3660</v>
      </c>
      <c r="C2467" s="2406">
        <v>0</v>
      </c>
      <c r="D2467" s="2396"/>
      <c r="E2467" s="2406">
        <v>0</v>
      </c>
      <c r="F2467" s="2406">
        <v>0</v>
      </c>
      <c r="G2467" s="2456">
        <v>0</v>
      </c>
      <c r="H2467" s="2407">
        <v>0</v>
      </c>
      <c r="I2467" s="2413"/>
      <c r="J2467" s="2413"/>
      <c r="K2467" s="2686" t="s">
        <v>6520</v>
      </c>
      <c r="L2467" s="2408"/>
    </row>
    <row r="2468" spans="1:12" x14ac:dyDescent="0.3">
      <c r="A2468" s="81" t="s">
        <v>5921</v>
      </c>
      <c r="B2468" s="2445" t="s">
        <v>3662</v>
      </c>
      <c r="C2468" s="2406">
        <v>0</v>
      </c>
      <c r="D2468" s="2396"/>
      <c r="E2468" s="2406">
        <v>0</v>
      </c>
      <c r="F2468" s="2406">
        <v>0</v>
      </c>
      <c r="G2468" s="2456">
        <v>0</v>
      </c>
      <c r="H2468" s="2407">
        <v>0</v>
      </c>
      <c r="I2468" s="2413"/>
      <c r="J2468" s="2413"/>
      <c r="K2468" s="2686" t="s">
        <v>6521</v>
      </c>
      <c r="L2468" s="2408"/>
    </row>
    <row r="2469" spans="1:12" x14ac:dyDescent="0.3">
      <c r="A2469" s="81" t="s">
        <v>5922</v>
      </c>
      <c r="B2469" s="2445" t="s">
        <v>3664</v>
      </c>
      <c r="C2469" s="2406">
        <v>0</v>
      </c>
      <c r="D2469" s="2396"/>
      <c r="E2469" s="2406">
        <v>0</v>
      </c>
      <c r="F2469" s="2406">
        <v>0</v>
      </c>
      <c r="G2469" s="2456">
        <v>0</v>
      </c>
      <c r="H2469" s="2407">
        <v>0</v>
      </c>
      <c r="I2469" s="2413"/>
      <c r="J2469" s="2413"/>
      <c r="K2469" s="2686" t="s">
        <v>6522</v>
      </c>
      <c r="L2469" s="2408"/>
    </row>
    <row r="2470" spans="1:12" x14ac:dyDescent="0.3">
      <c r="A2470" s="81" t="s">
        <v>5923</v>
      </c>
      <c r="B2470" s="2445" t="s">
        <v>3666</v>
      </c>
      <c r="C2470" s="2406">
        <v>0</v>
      </c>
      <c r="D2470" s="2396"/>
      <c r="E2470" s="2406">
        <v>0</v>
      </c>
      <c r="F2470" s="2406">
        <v>0</v>
      </c>
      <c r="G2470" s="2456">
        <v>0</v>
      </c>
      <c r="H2470" s="2407">
        <v>0</v>
      </c>
      <c r="I2470" s="2413"/>
      <c r="J2470" s="2413"/>
      <c r="K2470" s="2686" t="s">
        <v>6523</v>
      </c>
      <c r="L2470" s="2408"/>
    </row>
    <row r="2471" spans="1:12" x14ac:dyDescent="0.3">
      <c r="A2471" s="81" t="s">
        <v>5924</v>
      </c>
      <c r="B2471" s="2445" t="s">
        <v>3668</v>
      </c>
      <c r="C2471" s="2406">
        <v>0</v>
      </c>
      <c r="D2471" s="2396"/>
      <c r="E2471" s="2406">
        <v>0</v>
      </c>
      <c r="F2471" s="2406">
        <v>0</v>
      </c>
      <c r="G2471" s="2456">
        <v>0</v>
      </c>
      <c r="H2471" s="2407">
        <v>0</v>
      </c>
      <c r="I2471" s="2413"/>
      <c r="J2471" s="2413"/>
      <c r="K2471" s="2686" t="s">
        <v>6524</v>
      </c>
      <c r="L2471" s="2408"/>
    </row>
    <row r="2472" spans="1:12" x14ac:dyDescent="0.3">
      <c r="A2472" s="81" t="s">
        <v>5925</v>
      </c>
      <c r="B2472" s="2445" t="s">
        <v>350</v>
      </c>
      <c r="C2472" s="2406">
        <v>0</v>
      </c>
      <c r="D2472" s="2396"/>
      <c r="E2472" s="2406">
        <v>0</v>
      </c>
      <c r="F2472" s="2406">
        <v>0</v>
      </c>
      <c r="G2472" s="2456">
        <v>0</v>
      </c>
      <c r="H2472" s="2407">
        <v>0</v>
      </c>
      <c r="I2472" s="2413"/>
      <c r="J2472" s="2413"/>
      <c r="K2472" s="2686" t="s">
        <v>6524</v>
      </c>
      <c r="L2472" s="2408"/>
    </row>
    <row r="2473" spans="1:12" x14ac:dyDescent="0.3">
      <c r="A2473" s="81" t="s">
        <v>5926</v>
      </c>
      <c r="B2473" s="2445" t="s">
        <v>3671</v>
      </c>
      <c r="C2473" s="2406">
        <v>0</v>
      </c>
      <c r="D2473" s="2396"/>
      <c r="E2473" s="2406">
        <v>0</v>
      </c>
      <c r="F2473" s="2406">
        <v>0</v>
      </c>
      <c r="G2473" s="2456">
        <v>0</v>
      </c>
      <c r="H2473" s="2407">
        <v>0</v>
      </c>
      <c r="I2473" s="2413"/>
      <c r="J2473" s="2413"/>
      <c r="K2473" s="2686"/>
      <c r="L2473" s="2408"/>
    </row>
    <row r="2474" spans="1:12" x14ac:dyDescent="0.3">
      <c r="A2474" s="81" t="s">
        <v>5927</v>
      </c>
      <c r="B2474" s="2445" t="s">
        <v>3930</v>
      </c>
      <c r="C2474" s="2406">
        <v>0</v>
      </c>
      <c r="D2474" s="2396"/>
      <c r="E2474" s="2406">
        <v>0</v>
      </c>
      <c r="F2474" s="2406">
        <v>0</v>
      </c>
      <c r="G2474" s="2456">
        <v>0</v>
      </c>
      <c r="H2474" s="2407">
        <v>0</v>
      </c>
      <c r="I2474" s="2413"/>
      <c r="J2474" s="2413"/>
      <c r="K2474" s="2686" t="s">
        <v>6525</v>
      </c>
      <c r="L2474" s="2408"/>
    </row>
    <row r="2475" spans="1:12" x14ac:dyDescent="0.3">
      <c r="A2475" s="81" t="s">
        <v>5928</v>
      </c>
      <c r="B2475" s="2445" t="s">
        <v>3675</v>
      </c>
      <c r="C2475" s="2406">
        <v>0</v>
      </c>
      <c r="D2475" s="2396"/>
      <c r="E2475" s="2406">
        <v>0</v>
      </c>
      <c r="F2475" s="2406">
        <v>0</v>
      </c>
      <c r="G2475" s="2456">
        <v>0</v>
      </c>
      <c r="H2475" s="2407">
        <v>0</v>
      </c>
      <c r="I2475" s="2413"/>
      <c r="J2475" s="2413"/>
      <c r="K2475" s="2686" t="s">
        <v>6526</v>
      </c>
      <c r="L2475" s="2408"/>
    </row>
    <row r="2476" spans="1:12" x14ac:dyDescent="0.3">
      <c r="A2476" s="81" t="s">
        <v>5929</v>
      </c>
      <c r="B2476" s="2445" t="s">
        <v>3677</v>
      </c>
      <c r="C2476" s="2406">
        <v>0</v>
      </c>
      <c r="D2476" s="2396"/>
      <c r="E2476" s="2406">
        <v>0</v>
      </c>
      <c r="F2476" s="2406">
        <v>0</v>
      </c>
      <c r="G2476" s="2456">
        <v>0</v>
      </c>
      <c r="H2476" s="2407">
        <v>0</v>
      </c>
      <c r="I2476" s="2413"/>
      <c r="J2476" s="2413"/>
      <c r="K2476" s="2686" t="s">
        <v>6526</v>
      </c>
      <c r="L2476" s="2408"/>
    </row>
    <row r="2477" spans="1:12" x14ac:dyDescent="0.3">
      <c r="A2477" s="81" t="s">
        <v>5930</v>
      </c>
      <c r="B2477" s="2445" t="s">
        <v>3679</v>
      </c>
      <c r="C2477" s="2406">
        <v>0</v>
      </c>
      <c r="D2477" s="2396"/>
      <c r="E2477" s="2406">
        <v>0</v>
      </c>
      <c r="F2477" s="2406">
        <v>0</v>
      </c>
      <c r="G2477" s="2456">
        <v>0</v>
      </c>
      <c r="H2477" s="2407">
        <v>0</v>
      </c>
      <c r="I2477" s="2413"/>
      <c r="J2477" s="2413"/>
      <c r="K2477" s="2686" t="s">
        <v>6526</v>
      </c>
      <c r="L2477" s="2408"/>
    </row>
    <row r="2478" spans="1:12" x14ac:dyDescent="0.3">
      <c r="A2478" s="81" t="s">
        <v>5931</v>
      </c>
      <c r="B2478" s="2445" t="s">
        <v>3681</v>
      </c>
      <c r="C2478" s="2406">
        <v>0</v>
      </c>
      <c r="D2478" s="2396"/>
      <c r="E2478" s="2406">
        <v>0</v>
      </c>
      <c r="F2478" s="2406">
        <v>0</v>
      </c>
      <c r="G2478" s="2456">
        <v>0</v>
      </c>
      <c r="H2478" s="2407">
        <v>0</v>
      </c>
      <c r="I2478" s="2413"/>
      <c r="J2478" s="2413"/>
      <c r="K2478" s="2686" t="s">
        <v>6526</v>
      </c>
      <c r="L2478" s="2408"/>
    </row>
    <row r="2479" spans="1:12" x14ac:dyDescent="0.3">
      <c r="A2479" s="81" t="s">
        <v>5932</v>
      </c>
      <c r="B2479" s="2445" t="s">
        <v>3683</v>
      </c>
      <c r="C2479" s="2406">
        <v>0</v>
      </c>
      <c r="D2479" s="2396"/>
      <c r="E2479" s="2406">
        <v>0</v>
      </c>
      <c r="F2479" s="2406">
        <v>0</v>
      </c>
      <c r="G2479" s="2456">
        <v>0</v>
      </c>
      <c r="H2479" s="2407">
        <v>0</v>
      </c>
      <c r="I2479" s="2413"/>
      <c r="J2479" s="2413"/>
      <c r="K2479" s="2686" t="s">
        <v>6527</v>
      </c>
      <c r="L2479" s="2408"/>
    </row>
    <row r="2480" spans="1:12" x14ac:dyDescent="0.3">
      <c r="A2480" s="81" t="s">
        <v>5933</v>
      </c>
      <c r="B2480" s="2445" t="s">
        <v>3685</v>
      </c>
      <c r="C2480" s="2406">
        <v>0</v>
      </c>
      <c r="D2480" s="2396"/>
      <c r="E2480" s="2406">
        <v>0</v>
      </c>
      <c r="F2480" s="2406">
        <v>0</v>
      </c>
      <c r="G2480" s="2456">
        <v>0</v>
      </c>
      <c r="H2480" s="2407">
        <v>0</v>
      </c>
      <c r="I2480" s="2413"/>
      <c r="J2480" s="2413"/>
      <c r="K2480" s="2686" t="s">
        <v>6528</v>
      </c>
      <c r="L2480" s="2408"/>
    </row>
    <row r="2481" spans="1:12" x14ac:dyDescent="0.3">
      <c r="A2481" s="81" t="s">
        <v>5934</v>
      </c>
      <c r="B2481" s="2445" t="s">
        <v>3687</v>
      </c>
      <c r="C2481" s="2406">
        <v>0</v>
      </c>
      <c r="D2481" s="2396"/>
      <c r="E2481" s="2406">
        <v>0</v>
      </c>
      <c r="F2481" s="2406">
        <v>0</v>
      </c>
      <c r="G2481" s="2456">
        <v>0</v>
      </c>
      <c r="H2481" s="2407">
        <v>0</v>
      </c>
      <c r="I2481" s="2413"/>
      <c r="J2481" s="2413"/>
      <c r="K2481" s="2686" t="s">
        <v>6528</v>
      </c>
      <c r="L2481" s="2408"/>
    </row>
    <row r="2482" spans="1:12" x14ac:dyDescent="0.3">
      <c r="A2482" s="81" t="s">
        <v>5935</v>
      </c>
      <c r="B2482" s="2445" t="s">
        <v>3689</v>
      </c>
      <c r="C2482" s="2406">
        <v>0</v>
      </c>
      <c r="D2482" s="2396"/>
      <c r="E2482" s="2406">
        <v>0</v>
      </c>
      <c r="F2482" s="2406">
        <v>0</v>
      </c>
      <c r="G2482" s="2456">
        <v>0</v>
      </c>
      <c r="H2482" s="2407">
        <v>0</v>
      </c>
      <c r="I2482" s="2413"/>
      <c r="J2482" s="2413"/>
      <c r="K2482" s="2686" t="s">
        <v>6528</v>
      </c>
      <c r="L2482" s="2408"/>
    </row>
    <row r="2483" spans="1:12" x14ac:dyDescent="0.3">
      <c r="A2483" s="81" t="s">
        <v>5936</v>
      </c>
      <c r="B2483" s="2445" t="s">
        <v>350</v>
      </c>
      <c r="C2483" s="2406">
        <v>0</v>
      </c>
      <c r="D2483" s="2396"/>
      <c r="E2483" s="2406">
        <v>0</v>
      </c>
      <c r="F2483" s="2406">
        <v>0</v>
      </c>
      <c r="G2483" s="2456">
        <v>0</v>
      </c>
      <c r="H2483" s="2407">
        <v>0</v>
      </c>
      <c r="I2483" s="2413"/>
      <c r="J2483" s="2413"/>
      <c r="K2483" s="2686"/>
      <c r="L2483" s="2408"/>
    </row>
    <row r="2484" spans="1:12" x14ac:dyDescent="0.3">
      <c r="A2484" s="81" t="s">
        <v>5937</v>
      </c>
      <c r="B2484" s="2445" t="s">
        <v>4009</v>
      </c>
      <c r="C2484" s="2406">
        <v>0</v>
      </c>
      <c r="D2484" s="2396"/>
      <c r="E2484" s="2406">
        <v>0</v>
      </c>
      <c r="F2484" s="2406">
        <v>0</v>
      </c>
      <c r="G2484" s="2456">
        <v>0</v>
      </c>
      <c r="H2484" s="2407">
        <v>0</v>
      </c>
      <c r="I2484" s="2413"/>
      <c r="J2484" s="2413"/>
      <c r="K2484" s="2686" t="s">
        <v>6541</v>
      </c>
      <c r="L2484" s="2408"/>
    </row>
    <row r="2485" spans="1:12" x14ac:dyDescent="0.3">
      <c r="A2485" s="81" t="s">
        <v>5938</v>
      </c>
      <c r="B2485" s="2445" t="s">
        <v>4072</v>
      </c>
      <c r="C2485" s="2406">
        <v>0</v>
      </c>
      <c r="D2485" s="2396"/>
      <c r="E2485" s="2406">
        <v>0</v>
      </c>
      <c r="F2485" s="2406">
        <v>0</v>
      </c>
      <c r="G2485" s="2456">
        <v>0</v>
      </c>
      <c r="H2485" s="2407">
        <v>0</v>
      </c>
      <c r="I2485" s="2413"/>
      <c r="J2485" s="2413"/>
      <c r="K2485" s="2686" t="s">
        <v>6539</v>
      </c>
      <c r="L2485" s="2408"/>
    </row>
    <row r="2486" spans="1:12" x14ac:dyDescent="0.3">
      <c r="A2486" s="81" t="s">
        <v>5939</v>
      </c>
      <c r="B2486" s="2445" t="s">
        <v>3599</v>
      </c>
      <c r="C2486" s="2406">
        <v>0</v>
      </c>
      <c r="D2486" s="2396"/>
      <c r="E2486" s="2406">
        <v>0</v>
      </c>
      <c r="F2486" s="2406">
        <v>0</v>
      </c>
      <c r="G2486" s="2450">
        <v>0</v>
      </c>
      <c r="H2486" s="2407">
        <v>0</v>
      </c>
      <c r="I2486" s="2413"/>
      <c r="J2486" s="2413"/>
      <c r="K2486" s="2686"/>
      <c r="L2486" s="2408"/>
    </row>
    <row r="2487" spans="1:12" x14ac:dyDescent="0.3">
      <c r="A2487" s="81" t="s">
        <v>5940</v>
      </c>
      <c r="B2487" s="2445" t="s">
        <v>3605</v>
      </c>
      <c r="C2487" s="2406">
        <v>0</v>
      </c>
      <c r="D2487" s="2396"/>
      <c r="E2487" s="2406">
        <v>0</v>
      </c>
      <c r="F2487" s="2406">
        <v>0</v>
      </c>
      <c r="G2487" s="2450">
        <v>0</v>
      </c>
      <c r="H2487" s="2407">
        <v>0</v>
      </c>
      <c r="I2487" s="2413"/>
      <c r="J2487" s="2413"/>
      <c r="K2487" s="2686" t="s">
        <v>2586</v>
      </c>
      <c r="L2487" s="2408"/>
    </row>
    <row r="2488" spans="1:12" x14ac:dyDescent="0.3">
      <c r="A2488" s="81" t="s">
        <v>5941</v>
      </c>
      <c r="B2488" s="2445" t="s">
        <v>3607</v>
      </c>
      <c r="C2488" s="2406">
        <v>0</v>
      </c>
      <c r="D2488" s="2396"/>
      <c r="E2488" s="2406">
        <v>0</v>
      </c>
      <c r="F2488" s="2406">
        <v>0</v>
      </c>
      <c r="G2488" s="2450">
        <v>0</v>
      </c>
      <c r="H2488" s="2407">
        <v>0</v>
      </c>
      <c r="I2488" s="2413"/>
      <c r="J2488" s="2413"/>
      <c r="K2488" s="2686" t="s">
        <v>2586</v>
      </c>
      <c r="L2488" s="2408"/>
    </row>
    <row r="2489" spans="1:12" x14ac:dyDescent="0.3">
      <c r="A2489" s="81" t="s">
        <v>5942</v>
      </c>
      <c r="B2489" s="2445" t="s">
        <v>4126</v>
      </c>
      <c r="C2489" s="2406">
        <v>0</v>
      </c>
      <c r="D2489" s="2396"/>
      <c r="E2489" s="2406">
        <v>0</v>
      </c>
      <c r="F2489" s="2406">
        <v>0</v>
      </c>
      <c r="G2489" s="2450">
        <v>0</v>
      </c>
      <c r="H2489" s="2407">
        <v>0</v>
      </c>
      <c r="I2489" s="2413"/>
      <c r="J2489" s="2413"/>
      <c r="K2489" s="2686" t="s">
        <v>2585</v>
      </c>
      <c r="L2489" s="2408"/>
    </row>
    <row r="2490" spans="1:12" x14ac:dyDescent="0.3">
      <c r="A2490" s="81" t="s">
        <v>5943</v>
      </c>
      <c r="B2490" s="2445" t="s">
        <v>4127</v>
      </c>
      <c r="C2490" s="2406">
        <v>0</v>
      </c>
      <c r="D2490" s="2396"/>
      <c r="E2490" s="2406">
        <v>0</v>
      </c>
      <c r="F2490" s="2406">
        <v>0</v>
      </c>
      <c r="G2490" s="2450">
        <v>0</v>
      </c>
      <c r="H2490" s="2407">
        <v>0</v>
      </c>
      <c r="I2490" s="2413"/>
      <c r="J2490" s="2413"/>
      <c r="K2490" s="2686" t="s">
        <v>2586</v>
      </c>
      <c r="L2490" s="2408"/>
    </row>
    <row r="2491" spans="1:12" x14ac:dyDescent="0.3">
      <c r="A2491" s="81" t="s">
        <v>5944</v>
      </c>
      <c r="B2491" s="2445" t="s">
        <v>3609</v>
      </c>
      <c r="C2491" s="2406">
        <v>0</v>
      </c>
      <c r="D2491" s="2396"/>
      <c r="E2491" s="2406">
        <v>0</v>
      </c>
      <c r="F2491" s="2406">
        <v>0</v>
      </c>
      <c r="G2491" s="2450">
        <v>0</v>
      </c>
      <c r="H2491" s="2407">
        <v>0</v>
      </c>
      <c r="I2491" s="2413"/>
      <c r="J2491" s="2413"/>
      <c r="K2491" s="2686" t="s">
        <v>2585</v>
      </c>
      <c r="L2491" s="2408"/>
    </row>
    <row r="2492" spans="1:12" x14ac:dyDescent="0.3">
      <c r="A2492" s="81" t="s">
        <v>5945</v>
      </c>
      <c r="B2492" s="2445" t="s">
        <v>3611</v>
      </c>
      <c r="C2492" s="2406">
        <v>0</v>
      </c>
      <c r="D2492" s="2396"/>
      <c r="E2492" s="2406">
        <v>0</v>
      </c>
      <c r="F2492" s="2406">
        <v>0</v>
      </c>
      <c r="G2492" s="2450">
        <v>0</v>
      </c>
      <c r="H2492" s="2407">
        <v>0</v>
      </c>
      <c r="I2492" s="2413"/>
      <c r="J2492" s="2413"/>
      <c r="K2492" s="2686" t="s">
        <v>6505</v>
      </c>
      <c r="L2492" s="2408"/>
    </row>
    <row r="2493" spans="1:12" x14ac:dyDescent="0.3">
      <c r="A2493" s="81" t="s">
        <v>5946</v>
      </c>
      <c r="B2493" s="2445" t="s">
        <v>3613</v>
      </c>
      <c r="C2493" s="2406">
        <v>0</v>
      </c>
      <c r="D2493" s="2396"/>
      <c r="E2493" s="2406">
        <v>0</v>
      </c>
      <c r="F2493" s="2406">
        <v>0</v>
      </c>
      <c r="G2493" s="2450">
        <v>0</v>
      </c>
      <c r="H2493" s="2407">
        <v>0</v>
      </c>
      <c r="I2493" s="2413"/>
      <c r="J2493" s="2413"/>
      <c r="K2493" s="2686" t="s">
        <v>6505</v>
      </c>
      <c r="L2493" s="2408"/>
    </row>
    <row r="2494" spans="1:12" x14ac:dyDescent="0.3">
      <c r="A2494" s="81" t="s">
        <v>5947</v>
      </c>
      <c r="B2494" s="2445" t="s">
        <v>3615</v>
      </c>
      <c r="C2494" s="2406">
        <v>0</v>
      </c>
      <c r="D2494" s="2396"/>
      <c r="E2494" s="2406">
        <v>0</v>
      </c>
      <c r="F2494" s="2406">
        <v>0</v>
      </c>
      <c r="G2494" s="2450">
        <v>0</v>
      </c>
      <c r="H2494" s="2407">
        <v>0</v>
      </c>
      <c r="I2494" s="2413"/>
      <c r="J2494" s="2413"/>
      <c r="K2494" s="2686" t="s">
        <v>2586</v>
      </c>
      <c r="L2494" s="2408"/>
    </row>
    <row r="2495" spans="1:12" x14ac:dyDescent="0.3">
      <c r="A2495" s="81" t="s">
        <v>5948</v>
      </c>
      <c r="B2495" s="2445" t="s">
        <v>3617</v>
      </c>
      <c r="C2495" s="2406">
        <v>500000</v>
      </c>
      <c r="D2495" s="2396"/>
      <c r="E2495" s="2406">
        <v>0</v>
      </c>
      <c r="F2495" s="2406">
        <v>0</v>
      </c>
      <c r="G2495" s="2450">
        <v>0</v>
      </c>
      <c r="H2495" s="2407">
        <v>500000</v>
      </c>
      <c r="I2495" s="2413"/>
      <c r="J2495" s="2413"/>
      <c r="K2495" s="2686" t="s">
        <v>2586</v>
      </c>
      <c r="L2495" s="2408"/>
    </row>
    <row r="2496" spans="1:12" x14ac:dyDescent="0.3">
      <c r="A2496" s="81" t="s">
        <v>5949</v>
      </c>
      <c r="B2496" s="2445" t="s">
        <v>3619</v>
      </c>
      <c r="C2496" s="2406">
        <v>0</v>
      </c>
      <c r="D2496" s="2396"/>
      <c r="E2496" s="2406">
        <v>0</v>
      </c>
      <c r="F2496" s="2406">
        <v>0</v>
      </c>
      <c r="G2496" s="2450">
        <v>0</v>
      </c>
      <c r="H2496" s="2407">
        <v>0</v>
      </c>
      <c r="I2496" s="2413"/>
      <c r="J2496" s="2413"/>
      <c r="K2496" s="2686"/>
      <c r="L2496" s="2408"/>
    </row>
    <row r="2497" spans="1:12" x14ac:dyDescent="0.3">
      <c r="A2497" s="81" t="s">
        <v>5950</v>
      </c>
      <c r="B2497" s="2445" t="s">
        <v>3621</v>
      </c>
      <c r="C2497" s="2406">
        <v>0</v>
      </c>
      <c r="D2497" s="2396"/>
      <c r="E2497" s="2406">
        <v>0</v>
      </c>
      <c r="F2497" s="2406">
        <v>0</v>
      </c>
      <c r="G2497" s="2450">
        <v>0</v>
      </c>
      <c r="H2497" s="2407">
        <v>0</v>
      </c>
      <c r="I2497" s="2413"/>
      <c r="J2497" s="2413"/>
      <c r="K2497" s="2686" t="s">
        <v>6506</v>
      </c>
      <c r="L2497" s="2408"/>
    </row>
    <row r="2498" spans="1:12" x14ac:dyDescent="0.3">
      <c r="A2498" s="81" t="s">
        <v>5951</v>
      </c>
      <c r="B2498" s="2445" t="s">
        <v>3623</v>
      </c>
      <c r="C2498" s="2406">
        <v>0</v>
      </c>
      <c r="D2498" s="2396"/>
      <c r="E2498" s="2406">
        <v>0</v>
      </c>
      <c r="F2498" s="2406">
        <v>0</v>
      </c>
      <c r="G2498" s="2450">
        <v>0</v>
      </c>
      <c r="H2498" s="2407">
        <v>0</v>
      </c>
      <c r="I2498" s="2413"/>
      <c r="J2498" s="2413"/>
      <c r="K2498" s="2686" t="s">
        <v>6507</v>
      </c>
      <c r="L2498" s="2408"/>
    </row>
    <row r="2499" spans="1:12" x14ac:dyDescent="0.3">
      <c r="A2499" s="81" t="s">
        <v>5952</v>
      </c>
      <c r="B2499" s="2445" t="s">
        <v>3625</v>
      </c>
      <c r="C2499" s="2406">
        <v>0</v>
      </c>
      <c r="D2499" s="2396"/>
      <c r="E2499" s="2406">
        <v>0</v>
      </c>
      <c r="F2499" s="2406">
        <v>0</v>
      </c>
      <c r="G2499" s="2450">
        <v>0</v>
      </c>
      <c r="H2499" s="2407">
        <v>0</v>
      </c>
      <c r="I2499" s="2413"/>
      <c r="J2499" s="2413"/>
      <c r="K2499" s="2686" t="s">
        <v>6508</v>
      </c>
      <c r="L2499" s="2408"/>
    </row>
    <row r="2500" spans="1:12" x14ac:dyDescent="0.3">
      <c r="A2500" s="81" t="s">
        <v>5953</v>
      </c>
      <c r="B2500" s="2445" t="s">
        <v>3627</v>
      </c>
      <c r="C2500" s="2406">
        <v>0</v>
      </c>
      <c r="D2500" s="2396"/>
      <c r="E2500" s="2406">
        <v>0</v>
      </c>
      <c r="F2500" s="2406">
        <v>0</v>
      </c>
      <c r="G2500" s="2450">
        <v>0</v>
      </c>
      <c r="H2500" s="2407">
        <v>0</v>
      </c>
      <c r="I2500" s="2413"/>
      <c r="J2500" s="2413"/>
      <c r="K2500" s="2686" t="s">
        <v>6509</v>
      </c>
      <c r="L2500" s="2408"/>
    </row>
    <row r="2501" spans="1:12" x14ac:dyDescent="0.3">
      <c r="A2501" s="81" t="s">
        <v>5954</v>
      </c>
      <c r="B2501" s="2445" t="s">
        <v>3629</v>
      </c>
      <c r="C2501" s="2406">
        <v>0</v>
      </c>
      <c r="D2501" s="2396"/>
      <c r="E2501" s="2406">
        <v>0</v>
      </c>
      <c r="F2501" s="2406">
        <v>0</v>
      </c>
      <c r="G2501" s="2450">
        <v>0</v>
      </c>
      <c r="H2501" s="2407">
        <v>0</v>
      </c>
      <c r="I2501" s="2413"/>
      <c r="J2501" s="2413"/>
      <c r="K2501" s="2686" t="s">
        <v>6510</v>
      </c>
      <c r="L2501" s="2408"/>
    </row>
    <row r="2502" spans="1:12" x14ac:dyDescent="0.3">
      <c r="A2502" s="81" t="s">
        <v>5955</v>
      </c>
      <c r="B2502" s="2445" t="s">
        <v>3631</v>
      </c>
      <c r="C2502" s="2406">
        <v>0</v>
      </c>
      <c r="D2502" s="2396"/>
      <c r="E2502" s="2406">
        <v>0</v>
      </c>
      <c r="F2502" s="2406">
        <v>0</v>
      </c>
      <c r="G2502" s="2450">
        <v>0</v>
      </c>
      <c r="H2502" s="2407">
        <v>0</v>
      </c>
      <c r="I2502" s="2413"/>
      <c r="J2502" s="2413"/>
      <c r="K2502" s="2686" t="s">
        <v>6511</v>
      </c>
      <c r="L2502" s="2408"/>
    </row>
    <row r="2503" spans="1:12" x14ac:dyDescent="0.3">
      <c r="A2503" s="81" t="s">
        <v>5956</v>
      </c>
      <c r="B2503" s="2445" t="s">
        <v>3633</v>
      </c>
      <c r="C2503" s="2406">
        <v>0</v>
      </c>
      <c r="D2503" s="2396"/>
      <c r="E2503" s="2406">
        <v>0</v>
      </c>
      <c r="F2503" s="2406">
        <v>0</v>
      </c>
      <c r="G2503" s="2450">
        <v>0</v>
      </c>
      <c r="H2503" s="2407">
        <v>0</v>
      </c>
      <c r="I2503" s="2413"/>
      <c r="J2503" s="2413"/>
      <c r="K2503" s="2686" t="s">
        <v>6512</v>
      </c>
      <c r="L2503" s="2408"/>
    </row>
    <row r="2504" spans="1:12" x14ac:dyDescent="0.3">
      <c r="A2504" s="81" t="s">
        <v>5957</v>
      </c>
      <c r="B2504" s="2445" t="s">
        <v>3635</v>
      </c>
      <c r="C2504" s="2406">
        <v>0</v>
      </c>
      <c r="D2504" s="2396"/>
      <c r="E2504" s="2406">
        <v>0</v>
      </c>
      <c r="F2504" s="2406">
        <v>0</v>
      </c>
      <c r="G2504" s="2450">
        <v>0</v>
      </c>
      <c r="H2504" s="2407">
        <v>0</v>
      </c>
      <c r="I2504" s="2413"/>
      <c r="J2504" s="2413"/>
      <c r="K2504" s="2686" t="s">
        <v>6513</v>
      </c>
      <c r="L2504" s="2408"/>
    </row>
    <row r="2505" spans="1:12" x14ac:dyDescent="0.3">
      <c r="A2505" s="81" t="s">
        <v>5958</v>
      </c>
      <c r="B2505" s="2445" t="s">
        <v>3637</v>
      </c>
      <c r="C2505" s="2406">
        <v>0</v>
      </c>
      <c r="D2505" s="2396"/>
      <c r="E2505" s="2406">
        <v>0</v>
      </c>
      <c r="F2505" s="2406">
        <v>0</v>
      </c>
      <c r="G2505" s="2450">
        <v>0</v>
      </c>
      <c r="H2505" s="2407">
        <v>0</v>
      </c>
      <c r="I2505" s="2413"/>
      <c r="J2505" s="2413"/>
      <c r="K2505" s="2686" t="s">
        <v>6514</v>
      </c>
      <c r="L2505" s="2408"/>
    </row>
    <row r="2506" spans="1:12" x14ac:dyDescent="0.3">
      <c r="A2506" s="81" t="s">
        <v>5959</v>
      </c>
      <c r="B2506" s="2445" t="s">
        <v>334</v>
      </c>
      <c r="C2506" s="2406">
        <v>0</v>
      </c>
      <c r="D2506" s="2396"/>
      <c r="E2506" s="2406">
        <v>0</v>
      </c>
      <c r="F2506" s="2406">
        <v>0</v>
      </c>
      <c r="G2506" s="2450">
        <v>0</v>
      </c>
      <c r="H2506" s="2407">
        <v>0</v>
      </c>
      <c r="I2506" s="2413"/>
      <c r="J2506" s="2413"/>
      <c r="K2506" s="2686"/>
      <c r="L2506" s="2408"/>
    </row>
    <row r="2507" spans="1:12" x14ac:dyDescent="0.3">
      <c r="A2507" s="81" t="s">
        <v>5960</v>
      </c>
      <c r="B2507" s="2445" t="s">
        <v>3640</v>
      </c>
      <c r="C2507" s="2406">
        <v>0</v>
      </c>
      <c r="D2507" s="2396"/>
      <c r="E2507" s="2406">
        <v>0</v>
      </c>
      <c r="F2507" s="2406">
        <v>0</v>
      </c>
      <c r="G2507" s="2450">
        <v>0</v>
      </c>
      <c r="H2507" s="2407">
        <v>0</v>
      </c>
      <c r="I2507" s="2413"/>
      <c r="J2507" s="2413"/>
      <c r="K2507" s="2686" t="s">
        <v>6515</v>
      </c>
      <c r="L2507" s="2408"/>
    </row>
    <row r="2508" spans="1:12" x14ac:dyDescent="0.3">
      <c r="A2508" s="81" t="s">
        <v>5961</v>
      </c>
      <c r="B2508" s="2445" t="s">
        <v>3642</v>
      </c>
      <c r="C2508" s="2406">
        <v>0</v>
      </c>
      <c r="D2508" s="2396"/>
      <c r="E2508" s="2406">
        <v>0</v>
      </c>
      <c r="F2508" s="2406">
        <v>0</v>
      </c>
      <c r="G2508" s="2450">
        <v>0</v>
      </c>
      <c r="H2508" s="2407">
        <v>0</v>
      </c>
      <c r="I2508" s="2413"/>
      <c r="J2508" s="2413"/>
      <c r="K2508" s="2686" t="s">
        <v>6515</v>
      </c>
      <c r="L2508" s="2408"/>
    </row>
    <row r="2509" spans="1:12" x14ac:dyDescent="0.3">
      <c r="A2509" s="81" t="s">
        <v>5962</v>
      </c>
      <c r="B2509" s="2445" t="s">
        <v>3644</v>
      </c>
      <c r="C2509" s="2406">
        <v>0</v>
      </c>
      <c r="D2509" s="2396"/>
      <c r="E2509" s="2406">
        <v>0</v>
      </c>
      <c r="F2509" s="2406">
        <v>0</v>
      </c>
      <c r="G2509" s="2450">
        <v>0</v>
      </c>
      <c r="H2509" s="2407">
        <v>0</v>
      </c>
      <c r="I2509" s="2413"/>
      <c r="J2509" s="2413"/>
      <c r="K2509" s="2686" t="s">
        <v>6515</v>
      </c>
      <c r="L2509" s="2408"/>
    </row>
    <row r="2510" spans="1:12" x14ac:dyDescent="0.3">
      <c r="A2510" s="81" t="s">
        <v>5963</v>
      </c>
      <c r="B2510" s="2445" t="s">
        <v>3646</v>
      </c>
      <c r="C2510" s="2406">
        <v>0</v>
      </c>
      <c r="D2510" s="2396"/>
      <c r="E2510" s="2406">
        <v>0</v>
      </c>
      <c r="F2510" s="2406">
        <v>0</v>
      </c>
      <c r="G2510" s="2450">
        <v>0</v>
      </c>
      <c r="H2510" s="2407">
        <v>0</v>
      </c>
      <c r="I2510" s="2413"/>
      <c r="J2510" s="2413"/>
      <c r="K2510" s="2686" t="s">
        <v>6515</v>
      </c>
      <c r="L2510" s="2408"/>
    </row>
    <row r="2511" spans="1:12" x14ac:dyDescent="0.3">
      <c r="A2511" s="81" t="s">
        <v>5964</v>
      </c>
      <c r="B2511" s="2445" t="s">
        <v>3648</v>
      </c>
      <c r="C2511" s="2406">
        <v>0</v>
      </c>
      <c r="D2511" s="2396"/>
      <c r="E2511" s="2406">
        <v>0</v>
      </c>
      <c r="F2511" s="2406">
        <v>0</v>
      </c>
      <c r="G2511" s="2450">
        <v>0</v>
      </c>
      <c r="H2511" s="2407">
        <v>0</v>
      </c>
      <c r="I2511" s="2413"/>
      <c r="J2511" s="2413"/>
      <c r="K2511" s="2686" t="s">
        <v>6516</v>
      </c>
      <c r="L2511" s="2408"/>
    </row>
    <row r="2512" spans="1:12" x14ac:dyDescent="0.3">
      <c r="A2512" s="81" t="s">
        <v>5965</v>
      </c>
      <c r="B2512" s="2445" t="s">
        <v>3650</v>
      </c>
      <c r="C2512" s="2406">
        <v>0</v>
      </c>
      <c r="D2512" s="2396"/>
      <c r="E2512" s="2406">
        <v>0</v>
      </c>
      <c r="F2512" s="2406">
        <v>0</v>
      </c>
      <c r="G2512" s="2450">
        <v>0</v>
      </c>
      <c r="H2512" s="2407">
        <v>0</v>
      </c>
      <c r="I2512" s="2413"/>
      <c r="J2512" s="2413"/>
      <c r="K2512" s="2686" t="s">
        <v>6517</v>
      </c>
      <c r="L2512" s="2408"/>
    </row>
    <row r="2513" spans="1:12" x14ac:dyDescent="0.3">
      <c r="A2513" s="81" t="s">
        <v>5966</v>
      </c>
      <c r="B2513" s="2445" t="s">
        <v>3652</v>
      </c>
      <c r="C2513" s="2406">
        <v>0</v>
      </c>
      <c r="D2513" s="2396"/>
      <c r="E2513" s="2406">
        <v>0</v>
      </c>
      <c r="F2513" s="2406">
        <v>0</v>
      </c>
      <c r="G2513" s="2450">
        <v>0</v>
      </c>
      <c r="H2513" s="2407">
        <v>0</v>
      </c>
      <c r="I2513" s="2413"/>
      <c r="J2513" s="2413"/>
      <c r="K2513" s="2686" t="s">
        <v>6518</v>
      </c>
      <c r="L2513" s="2408"/>
    </row>
    <row r="2514" spans="1:12" x14ac:dyDescent="0.3">
      <c r="A2514" s="81" t="s">
        <v>5967</v>
      </c>
      <c r="B2514" s="2445" t="s">
        <v>3654</v>
      </c>
      <c r="C2514" s="2406">
        <v>0</v>
      </c>
      <c r="D2514" s="2396"/>
      <c r="E2514" s="2406">
        <v>0</v>
      </c>
      <c r="F2514" s="2406">
        <v>0</v>
      </c>
      <c r="G2514" s="2450">
        <v>0</v>
      </c>
      <c r="H2514" s="2407">
        <v>0</v>
      </c>
      <c r="I2514" s="2413"/>
      <c r="J2514" s="2413"/>
      <c r="K2514" s="2686" t="s">
        <v>6518</v>
      </c>
      <c r="L2514" s="2408"/>
    </row>
    <row r="2515" spans="1:12" x14ac:dyDescent="0.3">
      <c r="A2515" s="81" t="s">
        <v>5968</v>
      </c>
      <c r="B2515" s="2445" t="s">
        <v>3656</v>
      </c>
      <c r="C2515" s="2406">
        <v>0</v>
      </c>
      <c r="D2515" s="2396"/>
      <c r="E2515" s="2406">
        <v>0</v>
      </c>
      <c r="F2515" s="2406">
        <v>0</v>
      </c>
      <c r="G2515" s="2450">
        <v>0</v>
      </c>
      <c r="H2515" s="2407">
        <v>0</v>
      </c>
      <c r="I2515" s="2413"/>
      <c r="J2515" s="2413"/>
      <c r="K2515" s="2686"/>
      <c r="L2515" s="2408"/>
    </row>
    <row r="2516" spans="1:12" x14ac:dyDescent="0.3">
      <c r="A2516" s="81" t="s">
        <v>5969</v>
      </c>
      <c r="B2516" s="2445" t="s">
        <v>3658</v>
      </c>
      <c r="C2516" s="2406">
        <v>0</v>
      </c>
      <c r="D2516" s="2396"/>
      <c r="E2516" s="2406">
        <v>0</v>
      </c>
      <c r="F2516" s="2406">
        <v>0</v>
      </c>
      <c r="G2516" s="2450">
        <v>0</v>
      </c>
      <c r="H2516" s="2407">
        <v>0</v>
      </c>
      <c r="I2516" s="2413"/>
      <c r="J2516" s="2413"/>
      <c r="K2516" s="2686" t="s">
        <v>6519</v>
      </c>
      <c r="L2516" s="2408"/>
    </row>
    <row r="2517" spans="1:12" x14ac:dyDescent="0.3">
      <c r="A2517" s="81" t="s">
        <v>5970</v>
      </c>
      <c r="B2517" s="2445" t="s">
        <v>3660</v>
      </c>
      <c r="C2517" s="2406">
        <v>0</v>
      </c>
      <c r="D2517" s="2396"/>
      <c r="E2517" s="2406">
        <v>0</v>
      </c>
      <c r="F2517" s="2406">
        <v>0</v>
      </c>
      <c r="G2517" s="2450">
        <v>0</v>
      </c>
      <c r="H2517" s="2407">
        <v>0</v>
      </c>
      <c r="I2517" s="2413"/>
      <c r="J2517" s="2413"/>
      <c r="K2517" s="2686" t="s">
        <v>6520</v>
      </c>
      <c r="L2517" s="2408"/>
    </row>
    <row r="2518" spans="1:12" x14ac:dyDescent="0.3">
      <c r="A2518" s="81" t="s">
        <v>5971</v>
      </c>
      <c r="B2518" s="2445" t="s">
        <v>3662</v>
      </c>
      <c r="C2518" s="2406">
        <v>4450000</v>
      </c>
      <c r="D2518" s="2396"/>
      <c r="E2518" s="2406">
        <v>434000</v>
      </c>
      <c r="F2518" s="2406">
        <v>0</v>
      </c>
      <c r="G2518" s="2450">
        <v>434000</v>
      </c>
      <c r="H2518" s="2407">
        <v>4884000</v>
      </c>
      <c r="I2518" s="2413"/>
      <c r="J2518" s="2413"/>
      <c r="K2518" s="2686" t="s">
        <v>6521</v>
      </c>
      <c r="L2518" s="2408"/>
    </row>
    <row r="2519" spans="1:12" x14ac:dyDescent="0.3">
      <c r="A2519" s="81" t="s">
        <v>5972</v>
      </c>
      <c r="B2519" s="2445" t="s">
        <v>3664</v>
      </c>
      <c r="C2519" s="2406">
        <v>0</v>
      </c>
      <c r="D2519" s="2396"/>
      <c r="E2519" s="2406">
        <v>0</v>
      </c>
      <c r="F2519" s="2406">
        <v>0</v>
      </c>
      <c r="G2519" s="2450">
        <v>0</v>
      </c>
      <c r="H2519" s="2407">
        <v>0</v>
      </c>
      <c r="I2519" s="2413"/>
      <c r="J2519" s="2413"/>
      <c r="K2519" s="2686" t="s">
        <v>6522</v>
      </c>
      <c r="L2519" s="2408"/>
    </row>
    <row r="2520" spans="1:12" x14ac:dyDescent="0.3">
      <c r="A2520" s="81" t="s">
        <v>5973</v>
      </c>
      <c r="B2520" s="2445" t="s">
        <v>3666</v>
      </c>
      <c r="C2520" s="2406">
        <v>0</v>
      </c>
      <c r="D2520" s="2396"/>
      <c r="E2520" s="2406">
        <v>0</v>
      </c>
      <c r="F2520" s="2406">
        <v>0</v>
      </c>
      <c r="G2520" s="2450">
        <v>0</v>
      </c>
      <c r="H2520" s="2407">
        <v>0</v>
      </c>
      <c r="I2520" s="2413"/>
      <c r="J2520" s="2413"/>
      <c r="K2520" s="2686" t="s">
        <v>6523</v>
      </c>
      <c r="L2520" s="2408"/>
    </row>
    <row r="2521" spans="1:12" x14ac:dyDescent="0.3">
      <c r="A2521" s="81" t="s">
        <v>5974</v>
      </c>
      <c r="B2521" s="2445" t="s">
        <v>3668</v>
      </c>
      <c r="C2521" s="2406">
        <v>0</v>
      </c>
      <c r="D2521" s="2396"/>
      <c r="E2521" s="2406">
        <v>0</v>
      </c>
      <c r="F2521" s="2406">
        <v>0</v>
      </c>
      <c r="G2521" s="2450">
        <v>0</v>
      </c>
      <c r="H2521" s="2407">
        <v>0</v>
      </c>
      <c r="I2521" s="2413"/>
      <c r="J2521" s="2413"/>
      <c r="K2521" s="2686" t="s">
        <v>6524</v>
      </c>
      <c r="L2521" s="2408"/>
    </row>
    <row r="2522" spans="1:12" x14ac:dyDescent="0.3">
      <c r="A2522" s="81" t="s">
        <v>5975</v>
      </c>
      <c r="B2522" s="2445" t="s">
        <v>350</v>
      </c>
      <c r="C2522" s="2406">
        <v>0</v>
      </c>
      <c r="D2522" s="2396"/>
      <c r="E2522" s="2406">
        <v>0</v>
      </c>
      <c r="F2522" s="2406">
        <v>0</v>
      </c>
      <c r="G2522" s="2450">
        <v>0</v>
      </c>
      <c r="H2522" s="2407">
        <v>0</v>
      </c>
      <c r="I2522" s="2413"/>
      <c r="J2522" s="2413"/>
      <c r="K2522" s="2686" t="s">
        <v>6524</v>
      </c>
      <c r="L2522" s="2408"/>
    </row>
    <row r="2523" spans="1:12" x14ac:dyDescent="0.3">
      <c r="A2523" s="81" t="s">
        <v>5976</v>
      </c>
      <c r="B2523" s="2445" t="s">
        <v>3671</v>
      </c>
      <c r="C2523" s="2406">
        <v>0</v>
      </c>
      <c r="D2523" s="2396"/>
      <c r="E2523" s="2406">
        <v>0</v>
      </c>
      <c r="F2523" s="2406">
        <v>0</v>
      </c>
      <c r="G2523" s="2450">
        <v>0</v>
      </c>
      <c r="H2523" s="2407">
        <v>0</v>
      </c>
      <c r="I2523" s="2413"/>
      <c r="J2523" s="2413"/>
      <c r="K2523" s="2686"/>
      <c r="L2523" s="2408"/>
    </row>
    <row r="2524" spans="1:12" x14ac:dyDescent="0.3">
      <c r="A2524" s="81" t="s">
        <v>5977</v>
      </c>
      <c r="B2524" s="2445" t="s">
        <v>3930</v>
      </c>
      <c r="C2524" s="2406">
        <v>0</v>
      </c>
      <c r="D2524" s="2396"/>
      <c r="E2524" s="2406">
        <v>0</v>
      </c>
      <c r="F2524" s="2406">
        <v>0</v>
      </c>
      <c r="G2524" s="2450">
        <v>0</v>
      </c>
      <c r="H2524" s="2407">
        <v>0</v>
      </c>
      <c r="I2524" s="2413"/>
      <c r="J2524" s="2413"/>
      <c r="K2524" s="2686" t="s">
        <v>6525</v>
      </c>
      <c r="L2524" s="2408"/>
    </row>
    <row r="2525" spans="1:12" x14ac:dyDescent="0.3">
      <c r="A2525" s="81" t="s">
        <v>5978</v>
      </c>
      <c r="B2525" s="2445" t="s">
        <v>3675</v>
      </c>
      <c r="C2525" s="2406">
        <v>0</v>
      </c>
      <c r="D2525" s="2396"/>
      <c r="E2525" s="2406">
        <v>0</v>
      </c>
      <c r="F2525" s="2406">
        <v>0</v>
      </c>
      <c r="G2525" s="2450">
        <v>0</v>
      </c>
      <c r="H2525" s="2407">
        <v>0</v>
      </c>
      <c r="I2525" s="2413"/>
      <c r="J2525" s="2413"/>
      <c r="K2525" s="2686" t="s">
        <v>6526</v>
      </c>
      <c r="L2525" s="2408"/>
    </row>
    <row r="2526" spans="1:12" x14ac:dyDescent="0.3">
      <c r="A2526" s="81" t="s">
        <v>5979</v>
      </c>
      <c r="B2526" s="2445" t="s">
        <v>3677</v>
      </c>
      <c r="C2526" s="2406">
        <v>0</v>
      </c>
      <c r="D2526" s="2396"/>
      <c r="E2526" s="2406">
        <v>0</v>
      </c>
      <c r="F2526" s="2406">
        <v>0</v>
      </c>
      <c r="G2526" s="2450">
        <v>0</v>
      </c>
      <c r="H2526" s="2407">
        <v>0</v>
      </c>
      <c r="I2526" s="2413"/>
      <c r="J2526" s="2413"/>
      <c r="K2526" s="2686" t="s">
        <v>6526</v>
      </c>
      <c r="L2526" s="2408"/>
    </row>
    <row r="2527" spans="1:12" x14ac:dyDescent="0.3">
      <c r="A2527" s="81" t="s">
        <v>5980</v>
      </c>
      <c r="B2527" s="2445" t="s">
        <v>3679</v>
      </c>
      <c r="C2527" s="2406">
        <v>0</v>
      </c>
      <c r="D2527" s="2396"/>
      <c r="E2527" s="2406">
        <v>0</v>
      </c>
      <c r="F2527" s="2406">
        <v>0</v>
      </c>
      <c r="G2527" s="2450">
        <v>0</v>
      </c>
      <c r="H2527" s="2407">
        <v>0</v>
      </c>
      <c r="I2527" s="2413"/>
      <c r="J2527" s="2413"/>
      <c r="K2527" s="2686" t="s">
        <v>6526</v>
      </c>
      <c r="L2527" s="2408"/>
    </row>
    <row r="2528" spans="1:12" x14ac:dyDescent="0.3">
      <c r="A2528" s="81" t="s">
        <v>5981</v>
      </c>
      <c r="B2528" s="2445" t="s">
        <v>3681</v>
      </c>
      <c r="C2528" s="2406">
        <v>0</v>
      </c>
      <c r="D2528" s="2396"/>
      <c r="E2528" s="2406">
        <v>0</v>
      </c>
      <c r="F2528" s="2406">
        <v>0</v>
      </c>
      <c r="G2528" s="2450">
        <v>0</v>
      </c>
      <c r="H2528" s="2407">
        <v>0</v>
      </c>
      <c r="I2528" s="2413"/>
      <c r="J2528" s="2413"/>
      <c r="K2528" s="2686" t="s">
        <v>6526</v>
      </c>
      <c r="L2528" s="2408"/>
    </row>
    <row r="2529" spans="1:12" x14ac:dyDescent="0.3">
      <c r="A2529" s="81" t="s">
        <v>5982</v>
      </c>
      <c r="B2529" s="2445" t="s">
        <v>3683</v>
      </c>
      <c r="C2529" s="2406">
        <v>0</v>
      </c>
      <c r="D2529" s="2396"/>
      <c r="E2529" s="2406">
        <v>0</v>
      </c>
      <c r="F2529" s="2406">
        <v>0</v>
      </c>
      <c r="G2529" s="2450">
        <v>0</v>
      </c>
      <c r="H2529" s="2407">
        <v>0</v>
      </c>
      <c r="I2529" s="2413"/>
      <c r="J2529" s="2413"/>
      <c r="K2529" s="2686" t="s">
        <v>6527</v>
      </c>
      <c r="L2529" s="2408"/>
    </row>
    <row r="2530" spans="1:12" x14ac:dyDescent="0.3">
      <c r="A2530" s="81" t="s">
        <v>5983</v>
      </c>
      <c r="B2530" s="2445" t="s">
        <v>3685</v>
      </c>
      <c r="C2530" s="2406">
        <v>0</v>
      </c>
      <c r="D2530" s="2396"/>
      <c r="E2530" s="2406">
        <v>0</v>
      </c>
      <c r="F2530" s="2406">
        <v>0</v>
      </c>
      <c r="G2530" s="2450">
        <v>0</v>
      </c>
      <c r="H2530" s="2407">
        <v>0</v>
      </c>
      <c r="I2530" s="2413"/>
      <c r="J2530" s="2413"/>
      <c r="K2530" s="2686" t="s">
        <v>6528</v>
      </c>
      <c r="L2530" s="2408"/>
    </row>
    <row r="2531" spans="1:12" x14ac:dyDescent="0.3">
      <c r="A2531" s="81" t="s">
        <v>5984</v>
      </c>
      <c r="B2531" s="2445" t="s">
        <v>3687</v>
      </c>
      <c r="C2531" s="2406">
        <v>0</v>
      </c>
      <c r="D2531" s="2396"/>
      <c r="E2531" s="2406">
        <v>0</v>
      </c>
      <c r="F2531" s="2406">
        <v>0</v>
      </c>
      <c r="G2531" s="2450">
        <v>0</v>
      </c>
      <c r="H2531" s="2407">
        <v>0</v>
      </c>
      <c r="I2531" s="2413"/>
      <c r="J2531" s="2413"/>
      <c r="K2531" s="2686" t="s">
        <v>6528</v>
      </c>
      <c r="L2531" s="2408"/>
    </row>
    <row r="2532" spans="1:12" x14ac:dyDescent="0.3">
      <c r="A2532" s="81" t="s">
        <v>5985</v>
      </c>
      <c r="B2532" s="2445" t="s">
        <v>3689</v>
      </c>
      <c r="C2532" s="2406">
        <v>0</v>
      </c>
      <c r="D2532" s="2396"/>
      <c r="E2532" s="2406">
        <v>0</v>
      </c>
      <c r="F2532" s="2406">
        <v>0</v>
      </c>
      <c r="G2532" s="2450">
        <v>0</v>
      </c>
      <c r="H2532" s="2407">
        <v>0</v>
      </c>
      <c r="I2532" s="2413"/>
      <c r="J2532" s="2413"/>
      <c r="K2532" s="2686" t="s">
        <v>6528</v>
      </c>
      <c r="L2532" s="2408"/>
    </row>
    <row r="2533" spans="1:12" x14ac:dyDescent="0.3">
      <c r="A2533" s="81" t="s">
        <v>5986</v>
      </c>
      <c r="B2533" s="2445" t="s">
        <v>4130</v>
      </c>
      <c r="C2533" s="2406">
        <v>0</v>
      </c>
      <c r="D2533" s="2396"/>
      <c r="E2533" s="2406">
        <v>0</v>
      </c>
      <c r="F2533" s="2406">
        <v>0</v>
      </c>
      <c r="G2533" s="2450">
        <v>0</v>
      </c>
      <c r="H2533" s="2407">
        <v>0</v>
      </c>
      <c r="I2533" s="2413"/>
      <c r="J2533" s="2413"/>
      <c r="K2533" s="2686"/>
      <c r="L2533" s="2408"/>
    </row>
    <row r="2534" spans="1:12" x14ac:dyDescent="0.3">
      <c r="A2534" s="81" t="s">
        <v>5987</v>
      </c>
      <c r="B2534" s="2445" t="s">
        <v>4131</v>
      </c>
      <c r="C2534" s="2406">
        <v>38000</v>
      </c>
      <c r="D2534" s="2396"/>
      <c r="E2534" s="2406">
        <v>0</v>
      </c>
      <c r="F2534" s="2406">
        <v>0</v>
      </c>
      <c r="G2534" s="2450">
        <v>0</v>
      </c>
      <c r="H2534" s="2407">
        <v>38000</v>
      </c>
      <c r="I2534" s="2413"/>
      <c r="J2534" s="2413"/>
      <c r="K2534" s="2686" t="s">
        <v>6557</v>
      </c>
      <c r="L2534" s="2408"/>
    </row>
    <row r="2535" spans="1:12" x14ac:dyDescent="0.3">
      <c r="A2535" s="81" t="s">
        <v>5988</v>
      </c>
      <c r="B2535" s="2445" t="s">
        <v>4132</v>
      </c>
      <c r="C2535" s="2406">
        <v>6682528</v>
      </c>
      <c r="D2535" s="2396"/>
      <c r="E2535" s="2406">
        <v>0</v>
      </c>
      <c r="F2535" s="2406">
        <v>0</v>
      </c>
      <c r="G2535" s="2450">
        <v>0</v>
      </c>
      <c r="H2535" s="2407">
        <v>6682528</v>
      </c>
      <c r="I2535" s="2413"/>
      <c r="J2535" s="2413"/>
      <c r="K2535" s="2686" t="s">
        <v>6558</v>
      </c>
      <c r="L2535" s="2408"/>
    </row>
    <row r="2536" spans="1:12" x14ac:dyDescent="0.3">
      <c r="A2536" s="81" t="s">
        <v>5989</v>
      </c>
      <c r="B2536" s="2445" t="s">
        <v>4133</v>
      </c>
      <c r="C2536" s="2406">
        <v>2557797</v>
      </c>
      <c r="D2536" s="2396"/>
      <c r="E2536" s="2406">
        <v>0</v>
      </c>
      <c r="F2536" s="2406">
        <v>0</v>
      </c>
      <c r="G2536" s="2450">
        <v>0</v>
      </c>
      <c r="H2536" s="2407">
        <v>2557797</v>
      </c>
      <c r="I2536" s="2413"/>
      <c r="J2536" s="2413"/>
      <c r="K2536" s="2686" t="s">
        <v>6559</v>
      </c>
      <c r="L2536" s="2408"/>
    </row>
    <row r="2537" spans="1:12" x14ac:dyDescent="0.3">
      <c r="A2537" s="81" t="s">
        <v>5990</v>
      </c>
      <c r="B2537" s="2445" t="s">
        <v>4134</v>
      </c>
      <c r="C2537" s="2406">
        <v>38945363</v>
      </c>
      <c r="D2537" s="2396"/>
      <c r="E2537" s="2406">
        <v>4655000</v>
      </c>
      <c r="F2537" s="2406">
        <v>0</v>
      </c>
      <c r="G2537" s="2450">
        <v>4655000</v>
      </c>
      <c r="H2537" s="2407">
        <v>43600363</v>
      </c>
      <c r="I2537" s="2413"/>
      <c r="J2537" s="2413"/>
      <c r="K2537" s="2686" t="s">
        <v>6560</v>
      </c>
      <c r="L2537" s="2408"/>
    </row>
    <row r="2538" spans="1:12" x14ac:dyDescent="0.3">
      <c r="A2538" s="81" t="s">
        <v>5991</v>
      </c>
      <c r="B2538" s="2445" t="s">
        <v>4135</v>
      </c>
      <c r="C2538" s="2406">
        <v>5106813</v>
      </c>
      <c r="D2538" s="2396"/>
      <c r="E2538" s="2406">
        <v>0</v>
      </c>
      <c r="F2538" s="2406">
        <v>0</v>
      </c>
      <c r="G2538" s="2450">
        <v>0</v>
      </c>
      <c r="H2538" s="2407">
        <v>5106813</v>
      </c>
      <c r="I2538" s="2413"/>
      <c r="J2538" s="2413"/>
      <c r="K2538" s="2686" t="s">
        <v>6561</v>
      </c>
      <c r="L2538" s="2408"/>
    </row>
    <row r="2539" spans="1:12" x14ac:dyDescent="0.3">
      <c r="A2539" s="81" t="s">
        <v>5992</v>
      </c>
      <c r="B2539" s="2445" t="s">
        <v>4136</v>
      </c>
      <c r="C2539" s="2406">
        <v>3367700</v>
      </c>
      <c r="D2539" s="2396"/>
      <c r="E2539" s="2406">
        <v>369000</v>
      </c>
      <c r="F2539" s="2406">
        <v>0</v>
      </c>
      <c r="G2539" s="2450">
        <v>369000</v>
      </c>
      <c r="H2539" s="2407">
        <v>3736700</v>
      </c>
      <c r="I2539" s="2413"/>
      <c r="J2539" s="2413"/>
      <c r="K2539" s="2686" t="s">
        <v>6562</v>
      </c>
      <c r="L2539" s="2408"/>
    </row>
    <row r="2540" spans="1:12" ht="14.5" x14ac:dyDescent="0.35">
      <c r="A2540" s="81" t="s">
        <v>7757</v>
      </c>
      <c r="B2540" t="s">
        <v>7758</v>
      </c>
      <c r="C2540" s="2406">
        <v>3493400</v>
      </c>
      <c r="D2540" s="2396"/>
      <c r="E2540" s="2406">
        <v>0</v>
      </c>
      <c r="F2540" s="2406">
        <v>0</v>
      </c>
      <c r="G2540" s="2450">
        <v>0</v>
      </c>
      <c r="H2540" s="2407">
        <v>3493400</v>
      </c>
      <c r="I2540" s="2413"/>
      <c r="J2540" s="2413"/>
      <c r="K2540" s="2686" t="s">
        <v>6563</v>
      </c>
      <c r="L2540" s="2408"/>
    </row>
    <row r="2541" spans="1:12" x14ac:dyDescent="0.3">
      <c r="A2541" s="81" t="s">
        <v>5993</v>
      </c>
      <c r="B2541" s="2445" t="s">
        <v>350</v>
      </c>
      <c r="C2541" s="2406">
        <v>4432300</v>
      </c>
      <c r="D2541" s="2396"/>
      <c r="E2541" s="2406">
        <v>0</v>
      </c>
      <c r="F2541" s="2406">
        <v>0</v>
      </c>
      <c r="G2541" s="2450">
        <v>0</v>
      </c>
      <c r="H2541" s="2407">
        <v>4432300</v>
      </c>
      <c r="I2541" s="2413"/>
      <c r="J2541" s="2413"/>
      <c r="K2541" s="2686" t="s">
        <v>6563</v>
      </c>
      <c r="L2541" s="2408"/>
    </row>
    <row r="2542" spans="1:12" x14ac:dyDescent="0.3">
      <c r="A2542" s="81" t="s">
        <v>5994</v>
      </c>
      <c r="B2542" s="2445" t="s">
        <v>350</v>
      </c>
      <c r="C2542" s="2406">
        <v>0</v>
      </c>
      <c r="D2542" s="2396"/>
      <c r="E2542" s="2406">
        <v>0</v>
      </c>
      <c r="F2542" s="2406">
        <v>0</v>
      </c>
      <c r="G2542" s="2450">
        <v>0</v>
      </c>
      <c r="H2542" s="2407">
        <v>0</v>
      </c>
      <c r="I2542" s="2413"/>
      <c r="J2542" s="2413"/>
      <c r="K2542" s="2686"/>
      <c r="L2542" s="2408"/>
    </row>
    <row r="2543" spans="1:12" x14ac:dyDescent="0.3">
      <c r="A2543" s="81" t="s">
        <v>5995</v>
      </c>
      <c r="B2543" s="2445" t="s">
        <v>4009</v>
      </c>
      <c r="C2543" s="2406">
        <v>0</v>
      </c>
      <c r="D2543" s="2396"/>
      <c r="E2543" s="2406">
        <v>0</v>
      </c>
      <c r="F2543" s="2406">
        <v>0</v>
      </c>
      <c r="G2543" s="2450">
        <v>0</v>
      </c>
      <c r="H2543" s="2407">
        <v>0</v>
      </c>
      <c r="I2543" s="2413"/>
      <c r="J2543" s="2413"/>
      <c r="K2543" s="2686" t="s">
        <v>6541</v>
      </c>
      <c r="L2543" s="2408"/>
    </row>
    <row r="2544" spans="1:12" x14ac:dyDescent="0.3">
      <c r="A2544" s="81" t="s">
        <v>5996</v>
      </c>
      <c r="B2544" s="2445" t="s">
        <v>4072</v>
      </c>
      <c r="C2544" s="2406">
        <v>0</v>
      </c>
      <c r="D2544" s="2396"/>
      <c r="E2544" s="2406">
        <v>0</v>
      </c>
      <c r="F2544" s="2406">
        <v>0</v>
      </c>
      <c r="G2544" s="2450">
        <v>0</v>
      </c>
      <c r="H2544" s="2407">
        <v>0</v>
      </c>
      <c r="I2544" s="2413"/>
      <c r="J2544" s="2413"/>
      <c r="K2544" s="2686" t="s">
        <v>6539</v>
      </c>
      <c r="L2544" s="2408"/>
    </row>
    <row r="2545" spans="1:12" x14ac:dyDescent="0.3">
      <c r="A2545" s="81" t="s">
        <v>5997</v>
      </c>
      <c r="B2545" s="2445" t="s">
        <v>4139</v>
      </c>
      <c r="C2545" s="2406">
        <v>0</v>
      </c>
      <c r="D2545" s="2396"/>
      <c r="E2545" s="2406">
        <v>0</v>
      </c>
      <c r="F2545" s="2406">
        <v>0</v>
      </c>
      <c r="G2545" s="2450">
        <v>0</v>
      </c>
      <c r="H2545" s="2407">
        <v>0</v>
      </c>
      <c r="I2545" s="2413"/>
      <c r="J2545" s="2413"/>
      <c r="K2545" s="2686"/>
      <c r="L2545" s="2408"/>
    </row>
    <row r="2546" spans="1:12" x14ac:dyDescent="0.3">
      <c r="A2546" s="81" t="s">
        <v>5998</v>
      </c>
      <c r="B2546" s="2445" t="s">
        <v>4140</v>
      </c>
      <c r="C2546" s="2406">
        <v>11595000</v>
      </c>
      <c r="D2546" s="2396"/>
      <c r="E2546" s="2406">
        <v>0</v>
      </c>
      <c r="F2546" s="2406">
        <v>0</v>
      </c>
      <c r="G2546" s="2456">
        <v>0</v>
      </c>
      <c r="H2546" s="2407">
        <v>11595000</v>
      </c>
      <c r="I2546" s="2413"/>
      <c r="J2546" s="2413"/>
      <c r="K2546" s="2686" t="s">
        <v>6525</v>
      </c>
      <c r="L2546" s="2408"/>
    </row>
    <row r="2547" spans="1:12" x14ac:dyDescent="0.3">
      <c r="A2547" s="81" t="s">
        <v>5999</v>
      </c>
      <c r="B2547" s="2445" t="s">
        <v>4141</v>
      </c>
      <c r="C2547" s="2406">
        <v>37391700</v>
      </c>
      <c r="D2547" s="2396"/>
      <c r="E2547" s="2406">
        <v>55841500</v>
      </c>
      <c r="F2547" s="2406">
        <v>0</v>
      </c>
      <c r="G2547" s="2456">
        <v>55841500</v>
      </c>
      <c r="H2547" s="2407">
        <v>93233200</v>
      </c>
      <c r="I2547" s="2413"/>
      <c r="J2547" s="2413"/>
      <c r="K2547" s="2686" t="s">
        <v>6525</v>
      </c>
      <c r="L2547" s="2408"/>
    </row>
    <row r="2548" spans="1:12" x14ac:dyDescent="0.3">
      <c r="A2548" s="81" t="s">
        <v>6000</v>
      </c>
      <c r="B2548" s="2445" t="s">
        <v>4142</v>
      </c>
      <c r="C2548" s="2406">
        <v>24230337</v>
      </c>
      <c r="D2548" s="2396"/>
      <c r="E2548" s="2406">
        <v>15000</v>
      </c>
      <c r="F2548" s="2406">
        <v>0</v>
      </c>
      <c r="G2548" s="2456">
        <v>15000</v>
      </c>
      <c r="H2548" s="2407">
        <v>24245337</v>
      </c>
      <c r="I2548" s="2413"/>
      <c r="J2548" s="2413"/>
      <c r="K2548" s="2686" t="s">
        <v>6525</v>
      </c>
      <c r="L2548" s="2408"/>
    </row>
    <row r="2549" spans="1:12" x14ac:dyDescent="0.3">
      <c r="A2549" s="81" t="s">
        <v>6001</v>
      </c>
      <c r="B2549" s="2445" t="s">
        <v>4143</v>
      </c>
      <c r="C2549" s="2406">
        <v>0</v>
      </c>
      <c r="D2549" s="2396"/>
      <c r="E2549" s="2406">
        <v>0</v>
      </c>
      <c r="F2549" s="2406">
        <v>0</v>
      </c>
      <c r="G2549" s="2456">
        <v>0</v>
      </c>
      <c r="H2549" s="2407">
        <v>0</v>
      </c>
      <c r="I2549" s="2413"/>
      <c r="J2549" s="2413"/>
      <c r="K2549" s="2686" t="s">
        <v>6525</v>
      </c>
      <c r="L2549" s="2408"/>
    </row>
    <row r="2550" spans="1:12" x14ac:dyDescent="0.3">
      <c r="A2550" s="81" t="s">
        <v>6002</v>
      </c>
      <c r="B2550" s="2445" t="s">
        <v>4144</v>
      </c>
      <c r="C2550" s="2406">
        <v>190000</v>
      </c>
      <c r="D2550" s="2396"/>
      <c r="E2550" s="2406">
        <v>0</v>
      </c>
      <c r="F2550" s="2406">
        <v>0</v>
      </c>
      <c r="G2550" s="2456">
        <v>0</v>
      </c>
      <c r="H2550" s="2407">
        <v>190000</v>
      </c>
      <c r="I2550" s="2413"/>
      <c r="J2550" s="2413"/>
      <c r="K2550" s="2686" t="s">
        <v>6525</v>
      </c>
      <c r="L2550" s="2408"/>
    </row>
    <row r="2551" spans="1:12" x14ac:dyDescent="0.3">
      <c r="A2551" s="81" t="s">
        <v>6003</v>
      </c>
      <c r="B2551" s="2445" t="s">
        <v>4145</v>
      </c>
      <c r="C2551" s="2406">
        <v>1432000</v>
      </c>
      <c r="D2551" s="2396"/>
      <c r="E2551" s="2406">
        <v>0</v>
      </c>
      <c r="F2551" s="2406">
        <v>0</v>
      </c>
      <c r="G2551" s="2456">
        <v>0</v>
      </c>
      <c r="H2551" s="2407">
        <v>1432000</v>
      </c>
      <c r="I2551" s="2413"/>
      <c r="J2551" s="2413"/>
      <c r="K2551" s="2686" t="s">
        <v>6525</v>
      </c>
      <c r="L2551" s="2408"/>
    </row>
    <row r="2552" spans="1:12" x14ac:dyDescent="0.3">
      <c r="A2552" s="81" t="s">
        <v>6004</v>
      </c>
      <c r="B2552" s="2445" t="s">
        <v>4146</v>
      </c>
      <c r="C2552" s="2406">
        <v>3155000</v>
      </c>
      <c r="D2552" s="2396"/>
      <c r="E2552" s="2406">
        <v>0</v>
      </c>
      <c r="F2552" s="2406">
        <v>0</v>
      </c>
      <c r="G2552" s="2456">
        <v>0</v>
      </c>
      <c r="H2552" s="2407">
        <v>3155000</v>
      </c>
      <c r="I2552" s="2413"/>
      <c r="J2552" s="2413"/>
      <c r="K2552" s="2686" t="s">
        <v>6525</v>
      </c>
      <c r="L2552" s="2408"/>
    </row>
    <row r="2553" spans="1:12" x14ac:dyDescent="0.3">
      <c r="A2553" s="81" t="s">
        <v>6005</v>
      </c>
      <c r="B2553" s="2445" t="s">
        <v>4147</v>
      </c>
      <c r="C2553" s="2406">
        <v>0</v>
      </c>
      <c r="D2553" s="2396"/>
      <c r="E2553" s="2406">
        <v>0</v>
      </c>
      <c r="F2553" s="2406">
        <v>0</v>
      </c>
      <c r="G2553" s="2456">
        <v>0</v>
      </c>
      <c r="H2553" s="2407">
        <v>0</v>
      </c>
      <c r="I2553" s="2413"/>
      <c r="J2553" s="2413"/>
      <c r="K2553" s="2686" t="s">
        <v>6525</v>
      </c>
      <c r="L2553" s="2408"/>
    </row>
    <row r="2554" spans="1:12" x14ac:dyDescent="0.3">
      <c r="A2554" s="81" t="s">
        <v>6006</v>
      </c>
      <c r="B2554" s="2445" t="s">
        <v>4148</v>
      </c>
      <c r="C2554" s="2406">
        <v>0</v>
      </c>
      <c r="D2554" s="2396"/>
      <c r="E2554" s="2406">
        <v>0</v>
      </c>
      <c r="F2554" s="2406">
        <v>0</v>
      </c>
      <c r="G2554" s="2456">
        <v>0</v>
      </c>
      <c r="H2554" s="2407">
        <v>0</v>
      </c>
      <c r="I2554" s="2413"/>
      <c r="J2554" s="2413"/>
      <c r="K2554" s="2686"/>
      <c r="L2554" s="2408"/>
    </row>
    <row r="2555" spans="1:12" x14ac:dyDescent="0.3">
      <c r="A2555" s="81" t="s">
        <v>6007</v>
      </c>
      <c r="B2555" s="2445" t="s">
        <v>4149</v>
      </c>
      <c r="C2555" s="2406">
        <v>0</v>
      </c>
      <c r="D2555" s="2396"/>
      <c r="E2555" s="2406">
        <v>0</v>
      </c>
      <c r="F2555" s="2406">
        <v>0</v>
      </c>
      <c r="G2555" s="2456">
        <v>0</v>
      </c>
      <c r="H2555" s="2407">
        <v>0</v>
      </c>
      <c r="I2555" s="2413"/>
      <c r="J2555" s="2413"/>
      <c r="K2555" s="2686" t="s">
        <v>6525</v>
      </c>
      <c r="L2555" s="2408"/>
    </row>
    <row r="2556" spans="1:12" x14ac:dyDescent="0.3">
      <c r="A2556" s="81" t="s">
        <v>6008</v>
      </c>
      <c r="B2556" s="2445" t="s">
        <v>4150</v>
      </c>
      <c r="C2556" s="2406">
        <v>250000</v>
      </c>
      <c r="D2556" s="2396"/>
      <c r="E2556" s="2406">
        <v>0</v>
      </c>
      <c r="F2556" s="2406">
        <v>0</v>
      </c>
      <c r="G2556" s="2456">
        <v>0</v>
      </c>
      <c r="H2556" s="2407">
        <v>250000</v>
      </c>
      <c r="I2556" s="2413"/>
      <c r="J2556" s="2413"/>
      <c r="K2556" s="2686" t="s">
        <v>6525</v>
      </c>
      <c r="L2556" s="2408"/>
    </row>
    <row r="2557" spans="1:12" x14ac:dyDescent="0.3">
      <c r="A2557" s="81" t="s">
        <v>6009</v>
      </c>
      <c r="B2557" s="2445" t="s">
        <v>4151</v>
      </c>
      <c r="C2557" s="2406">
        <v>50000</v>
      </c>
      <c r="D2557" s="2396"/>
      <c r="E2557" s="2406">
        <v>0</v>
      </c>
      <c r="F2557" s="2406">
        <v>0</v>
      </c>
      <c r="G2557" s="2456">
        <v>0</v>
      </c>
      <c r="H2557" s="2407">
        <v>50000</v>
      </c>
      <c r="I2557" s="2413"/>
      <c r="J2557" s="2413"/>
      <c r="K2557" s="2686" t="s">
        <v>6525</v>
      </c>
      <c r="L2557" s="2408"/>
    </row>
    <row r="2558" spans="1:12" x14ac:dyDescent="0.3">
      <c r="A2558" s="81" t="s">
        <v>6010</v>
      </c>
      <c r="B2558" s="2445" t="s">
        <v>4152</v>
      </c>
      <c r="C2558" s="2406">
        <v>0</v>
      </c>
      <c r="D2558" s="2396"/>
      <c r="E2558" s="2406">
        <v>0</v>
      </c>
      <c r="F2558" s="2406">
        <v>0</v>
      </c>
      <c r="G2558" s="2456">
        <v>0</v>
      </c>
      <c r="H2558" s="2407">
        <v>0</v>
      </c>
      <c r="I2558" s="2413"/>
      <c r="J2558" s="2413"/>
      <c r="K2558" s="2686" t="s">
        <v>6525</v>
      </c>
      <c r="L2558" s="2408"/>
    </row>
    <row r="2559" spans="1:12" x14ac:dyDescent="0.3">
      <c r="A2559" s="81" t="s">
        <v>6011</v>
      </c>
      <c r="B2559" s="2445" t="s">
        <v>4153</v>
      </c>
      <c r="C2559" s="2406">
        <v>0</v>
      </c>
      <c r="D2559" s="2396"/>
      <c r="E2559" s="2406">
        <v>0</v>
      </c>
      <c r="F2559" s="2406">
        <v>0</v>
      </c>
      <c r="G2559" s="2456">
        <v>0</v>
      </c>
      <c r="H2559" s="2407">
        <v>0</v>
      </c>
      <c r="I2559" s="2413"/>
      <c r="J2559" s="2413"/>
      <c r="K2559" s="2686" t="s">
        <v>6525</v>
      </c>
      <c r="L2559" s="2408"/>
    </row>
    <row r="2560" spans="1:12" x14ac:dyDescent="0.3">
      <c r="A2560" s="81" t="s">
        <v>6012</v>
      </c>
      <c r="B2560" s="2445" t="s">
        <v>4154</v>
      </c>
      <c r="C2560" s="2406">
        <v>0</v>
      </c>
      <c r="D2560" s="2396"/>
      <c r="E2560" s="2406">
        <v>0</v>
      </c>
      <c r="F2560" s="2406">
        <v>0</v>
      </c>
      <c r="G2560" s="2456">
        <v>0</v>
      </c>
      <c r="H2560" s="2407">
        <v>0</v>
      </c>
      <c r="I2560" s="2413"/>
      <c r="J2560" s="2413"/>
      <c r="K2560" s="2686" t="s">
        <v>6525</v>
      </c>
      <c r="L2560" s="2408"/>
    </row>
    <row r="2561" spans="1:12" x14ac:dyDescent="0.3">
      <c r="A2561" s="81" t="s">
        <v>6013</v>
      </c>
      <c r="B2561" s="2445" t="s">
        <v>4155</v>
      </c>
      <c r="C2561" s="2406">
        <v>0</v>
      </c>
      <c r="D2561" s="2396"/>
      <c r="E2561" s="2406">
        <v>0</v>
      </c>
      <c r="F2561" s="2406">
        <v>0</v>
      </c>
      <c r="G2561" s="2456">
        <v>0</v>
      </c>
      <c r="H2561" s="2407">
        <v>0</v>
      </c>
      <c r="I2561" s="2413"/>
      <c r="J2561" s="2413"/>
      <c r="K2561" s="2686" t="s">
        <v>6525</v>
      </c>
      <c r="L2561" s="2408"/>
    </row>
    <row r="2562" spans="1:12" x14ac:dyDescent="0.3">
      <c r="A2562" s="81" t="s">
        <v>6014</v>
      </c>
      <c r="B2562" s="2445" t="s">
        <v>4156</v>
      </c>
      <c r="C2562" s="2406">
        <v>0</v>
      </c>
      <c r="D2562" s="2396"/>
      <c r="E2562" s="2406">
        <v>0</v>
      </c>
      <c r="F2562" s="2406">
        <v>0</v>
      </c>
      <c r="G2562" s="2456">
        <v>0</v>
      </c>
      <c r="H2562" s="2407">
        <v>0</v>
      </c>
      <c r="I2562" s="2413"/>
      <c r="J2562" s="2413"/>
      <c r="K2562" s="2686" t="s">
        <v>6525</v>
      </c>
      <c r="L2562" s="2408"/>
    </row>
    <row r="2563" spans="1:12" x14ac:dyDescent="0.3">
      <c r="A2563" s="81" t="s">
        <v>6015</v>
      </c>
      <c r="B2563" s="2445" t="s">
        <v>4157</v>
      </c>
      <c r="C2563" s="2406">
        <v>0</v>
      </c>
      <c r="D2563" s="2396"/>
      <c r="E2563" s="2406">
        <v>0</v>
      </c>
      <c r="F2563" s="2406">
        <v>0</v>
      </c>
      <c r="G2563" s="2456">
        <v>0</v>
      </c>
      <c r="H2563" s="2407">
        <v>0</v>
      </c>
      <c r="I2563" s="2413"/>
      <c r="J2563" s="2413"/>
      <c r="K2563" s="2686"/>
      <c r="L2563" s="2408"/>
    </row>
    <row r="2564" spans="1:12" x14ac:dyDescent="0.3">
      <c r="A2564" s="81" t="s">
        <v>6016</v>
      </c>
      <c r="B2564" s="2445" t="s">
        <v>4158</v>
      </c>
      <c r="C2564" s="2406">
        <v>80000</v>
      </c>
      <c r="D2564" s="2396"/>
      <c r="E2564" s="2406">
        <v>0</v>
      </c>
      <c r="F2564" s="2406">
        <v>0</v>
      </c>
      <c r="G2564" s="2456">
        <v>0</v>
      </c>
      <c r="H2564" s="2407">
        <v>80000</v>
      </c>
      <c r="I2564" s="2413"/>
      <c r="J2564" s="2413"/>
      <c r="K2564" s="2686" t="s">
        <v>6525</v>
      </c>
      <c r="L2564" s="2408"/>
    </row>
    <row r="2565" spans="1:12" x14ac:dyDescent="0.3">
      <c r="A2565" s="81" t="s">
        <v>6017</v>
      </c>
      <c r="B2565" s="2445" t="s">
        <v>4159</v>
      </c>
      <c r="C2565" s="2406">
        <v>5434000</v>
      </c>
      <c r="D2565" s="2396"/>
      <c r="E2565" s="2406">
        <v>0</v>
      </c>
      <c r="F2565" s="2406">
        <v>0</v>
      </c>
      <c r="G2565" s="2456">
        <v>0</v>
      </c>
      <c r="H2565" s="2407">
        <v>5434000</v>
      </c>
      <c r="I2565" s="2413"/>
      <c r="J2565" s="2413"/>
      <c r="K2565" s="2686" t="s">
        <v>6525</v>
      </c>
      <c r="L2565" s="2408"/>
    </row>
    <row r="2566" spans="1:12" x14ac:dyDescent="0.3">
      <c r="A2566" s="81" t="s">
        <v>6018</v>
      </c>
      <c r="B2566" s="2445" t="s">
        <v>4160</v>
      </c>
      <c r="C2566" s="2406">
        <v>0</v>
      </c>
      <c r="D2566" s="2396"/>
      <c r="E2566" s="2406">
        <v>0</v>
      </c>
      <c r="F2566" s="2406">
        <v>0</v>
      </c>
      <c r="G2566" s="2456">
        <v>0</v>
      </c>
      <c r="H2566" s="2407">
        <v>0</v>
      </c>
      <c r="I2566" s="2413"/>
      <c r="J2566" s="2413"/>
      <c r="K2566" s="2686" t="s">
        <v>6525</v>
      </c>
      <c r="L2566" s="2408"/>
    </row>
    <row r="2567" spans="1:12" x14ac:dyDescent="0.3">
      <c r="A2567" s="81" t="s">
        <v>6019</v>
      </c>
      <c r="B2567" s="2445" t="s">
        <v>4161</v>
      </c>
      <c r="C2567" s="2406">
        <v>0</v>
      </c>
      <c r="D2567" s="2396"/>
      <c r="E2567" s="2406">
        <v>0</v>
      </c>
      <c r="F2567" s="2406">
        <v>0</v>
      </c>
      <c r="G2567" s="2456">
        <v>0</v>
      </c>
      <c r="H2567" s="2407">
        <v>0</v>
      </c>
      <c r="I2567" s="2413"/>
      <c r="J2567" s="2413"/>
      <c r="K2567" s="2686" t="s">
        <v>6525</v>
      </c>
      <c r="L2567" s="2408"/>
    </row>
    <row r="2568" spans="1:12" x14ac:dyDescent="0.3">
      <c r="A2568" s="81" t="s">
        <v>6020</v>
      </c>
      <c r="B2568" s="2445" t="s">
        <v>4162</v>
      </c>
      <c r="C2568" s="2406">
        <v>0</v>
      </c>
      <c r="D2568" s="2396"/>
      <c r="E2568" s="2406">
        <v>0</v>
      </c>
      <c r="F2568" s="2406">
        <v>0</v>
      </c>
      <c r="G2568" s="2456">
        <v>0</v>
      </c>
      <c r="H2568" s="2407">
        <v>0</v>
      </c>
      <c r="I2568" s="2413"/>
      <c r="J2568" s="2413"/>
      <c r="K2568" s="2686" t="s">
        <v>6525</v>
      </c>
      <c r="L2568" s="2408"/>
    </row>
    <row r="2569" spans="1:12" x14ac:dyDescent="0.3">
      <c r="A2569" s="81" t="s">
        <v>6021</v>
      </c>
      <c r="B2569" s="2445" t="s">
        <v>4163</v>
      </c>
      <c r="C2569" s="2406">
        <v>0</v>
      </c>
      <c r="D2569" s="2396"/>
      <c r="E2569" s="2406">
        <v>0</v>
      </c>
      <c r="F2569" s="2406">
        <v>0</v>
      </c>
      <c r="G2569" s="2456">
        <v>0</v>
      </c>
      <c r="H2569" s="2407">
        <v>0</v>
      </c>
      <c r="I2569" s="2413"/>
      <c r="J2569" s="2413"/>
      <c r="K2569" s="2686" t="s">
        <v>6525</v>
      </c>
      <c r="L2569" s="2408"/>
    </row>
    <row r="2570" spans="1:12" x14ac:dyDescent="0.3">
      <c r="A2570" s="81" t="s">
        <v>6022</v>
      </c>
      <c r="B2570" s="2445" t="s">
        <v>4164</v>
      </c>
      <c r="C2570" s="2406">
        <v>0</v>
      </c>
      <c r="D2570" s="2396"/>
      <c r="E2570" s="2406">
        <v>0</v>
      </c>
      <c r="F2570" s="2406">
        <v>0</v>
      </c>
      <c r="G2570" s="2456">
        <v>0</v>
      </c>
      <c r="H2570" s="2407">
        <v>0</v>
      </c>
      <c r="I2570" s="2413"/>
      <c r="J2570" s="2413"/>
      <c r="K2570" s="2686" t="s">
        <v>6525</v>
      </c>
      <c r="L2570" s="2408"/>
    </row>
    <row r="2571" spans="1:12" x14ac:dyDescent="0.3">
      <c r="A2571" s="81" t="s">
        <v>6023</v>
      </c>
      <c r="B2571" s="2445" t="s">
        <v>4165</v>
      </c>
      <c r="C2571" s="2406">
        <v>0</v>
      </c>
      <c r="D2571" s="2396"/>
      <c r="E2571" s="2406">
        <v>0</v>
      </c>
      <c r="F2571" s="2406">
        <v>0</v>
      </c>
      <c r="G2571" s="2456">
        <v>0</v>
      </c>
      <c r="H2571" s="2407">
        <v>0</v>
      </c>
      <c r="I2571" s="2413"/>
      <c r="J2571" s="2413"/>
      <c r="K2571" s="2686" t="s">
        <v>6525</v>
      </c>
      <c r="L2571" s="2408"/>
    </row>
    <row r="2572" spans="1:12" x14ac:dyDescent="0.3">
      <c r="A2572" s="81" t="s">
        <v>6024</v>
      </c>
      <c r="B2572" s="2445" t="s">
        <v>4166</v>
      </c>
      <c r="C2572" s="2406">
        <v>0</v>
      </c>
      <c r="D2572" s="2396"/>
      <c r="E2572" s="2406">
        <v>0</v>
      </c>
      <c r="F2572" s="2406">
        <v>0</v>
      </c>
      <c r="G2572" s="2456">
        <v>0</v>
      </c>
      <c r="H2572" s="2407">
        <v>0</v>
      </c>
      <c r="I2572" s="2413"/>
      <c r="J2572" s="2413"/>
      <c r="K2572" s="2686"/>
      <c r="L2572" s="2408"/>
    </row>
    <row r="2573" spans="1:12" x14ac:dyDescent="0.3">
      <c r="A2573" s="81" t="s">
        <v>6025</v>
      </c>
      <c r="B2573" s="2445" t="s">
        <v>4167</v>
      </c>
      <c r="C2573" s="2406">
        <v>0</v>
      </c>
      <c r="D2573" s="2396"/>
      <c r="E2573" s="2406">
        <v>0</v>
      </c>
      <c r="F2573" s="2406">
        <v>0</v>
      </c>
      <c r="G2573" s="2456">
        <v>0</v>
      </c>
      <c r="H2573" s="2407">
        <v>0</v>
      </c>
      <c r="I2573" s="2413"/>
      <c r="J2573" s="2413"/>
      <c r="K2573" s="2686" t="s">
        <v>6525</v>
      </c>
      <c r="L2573" s="2408"/>
    </row>
    <row r="2574" spans="1:12" x14ac:dyDescent="0.3">
      <c r="A2574" s="81" t="s">
        <v>6026</v>
      </c>
      <c r="B2574" s="2445" t="s">
        <v>4168</v>
      </c>
      <c r="C2574" s="2406">
        <v>0</v>
      </c>
      <c r="D2574" s="2396"/>
      <c r="E2574" s="2406">
        <v>0</v>
      </c>
      <c r="F2574" s="2406">
        <v>0</v>
      </c>
      <c r="G2574" s="2456">
        <v>0</v>
      </c>
      <c r="H2574" s="2407">
        <v>0</v>
      </c>
      <c r="I2574" s="2413"/>
      <c r="J2574" s="2413"/>
      <c r="K2574" s="2686" t="s">
        <v>6525</v>
      </c>
      <c r="L2574" s="2408"/>
    </row>
    <row r="2575" spans="1:12" x14ac:dyDescent="0.3">
      <c r="A2575" s="81" t="s">
        <v>6027</v>
      </c>
      <c r="B2575" s="2445" t="s">
        <v>4169</v>
      </c>
      <c r="C2575" s="2406">
        <v>0</v>
      </c>
      <c r="D2575" s="2396"/>
      <c r="E2575" s="2406">
        <v>0</v>
      </c>
      <c r="F2575" s="2406">
        <v>0</v>
      </c>
      <c r="G2575" s="2456">
        <v>0</v>
      </c>
      <c r="H2575" s="2407">
        <v>0</v>
      </c>
      <c r="I2575" s="2413"/>
      <c r="J2575" s="2413"/>
      <c r="K2575" s="2686" t="s">
        <v>6525</v>
      </c>
      <c r="L2575" s="2408"/>
    </row>
    <row r="2576" spans="1:12" x14ac:dyDescent="0.3">
      <c r="A2576" s="81" t="s">
        <v>6028</v>
      </c>
      <c r="B2576" s="2445" t="s">
        <v>4170</v>
      </c>
      <c r="C2576" s="2406">
        <v>0</v>
      </c>
      <c r="D2576" s="2396"/>
      <c r="E2576" s="2406">
        <v>0</v>
      </c>
      <c r="F2576" s="2406">
        <v>0</v>
      </c>
      <c r="G2576" s="2456">
        <v>0</v>
      </c>
      <c r="H2576" s="2407">
        <v>0</v>
      </c>
      <c r="I2576" s="2413"/>
      <c r="J2576" s="2413"/>
      <c r="K2576" s="2686" t="s">
        <v>6525</v>
      </c>
      <c r="L2576" s="2408"/>
    </row>
    <row r="2577" spans="1:12" x14ac:dyDescent="0.3">
      <c r="A2577" s="81" t="s">
        <v>6029</v>
      </c>
      <c r="B2577" s="2445" t="s">
        <v>4171</v>
      </c>
      <c r="C2577" s="2406">
        <v>0</v>
      </c>
      <c r="D2577" s="2396"/>
      <c r="E2577" s="2406">
        <v>0</v>
      </c>
      <c r="F2577" s="2406">
        <v>0</v>
      </c>
      <c r="G2577" s="2456">
        <v>0</v>
      </c>
      <c r="H2577" s="2407">
        <v>0</v>
      </c>
      <c r="I2577" s="2413"/>
      <c r="J2577" s="2413"/>
      <c r="K2577" s="2686" t="s">
        <v>6525</v>
      </c>
      <c r="L2577" s="2408"/>
    </row>
    <row r="2578" spans="1:12" x14ac:dyDescent="0.3">
      <c r="A2578" s="81" t="s">
        <v>6030</v>
      </c>
      <c r="B2578" s="2445" t="s">
        <v>4172</v>
      </c>
      <c r="C2578" s="2406">
        <v>0</v>
      </c>
      <c r="D2578" s="2396"/>
      <c r="E2578" s="2406">
        <v>0</v>
      </c>
      <c r="F2578" s="2406">
        <v>0</v>
      </c>
      <c r="G2578" s="2456">
        <v>0</v>
      </c>
      <c r="H2578" s="2407">
        <v>0</v>
      </c>
      <c r="I2578" s="2413"/>
      <c r="J2578" s="2413"/>
      <c r="K2578" s="2686" t="s">
        <v>6525</v>
      </c>
      <c r="L2578" s="2408"/>
    </row>
    <row r="2579" spans="1:12" x14ac:dyDescent="0.3">
      <c r="A2579" s="81" t="s">
        <v>6031</v>
      </c>
      <c r="B2579" s="2445" t="s">
        <v>4173</v>
      </c>
      <c r="C2579" s="2406">
        <v>70000</v>
      </c>
      <c r="D2579" s="2396"/>
      <c r="E2579" s="2406">
        <v>0</v>
      </c>
      <c r="F2579" s="2406">
        <v>0</v>
      </c>
      <c r="G2579" s="2456">
        <v>0</v>
      </c>
      <c r="H2579" s="2407">
        <v>70000</v>
      </c>
      <c r="I2579" s="2413"/>
      <c r="J2579" s="2413"/>
      <c r="K2579" s="2686" t="s">
        <v>6525</v>
      </c>
      <c r="L2579" s="2408"/>
    </row>
    <row r="2580" spans="1:12" x14ac:dyDescent="0.3">
      <c r="A2580" s="81" t="s">
        <v>6032</v>
      </c>
      <c r="B2580" s="2445" t="s">
        <v>4174</v>
      </c>
      <c r="C2580" s="2406">
        <v>0</v>
      </c>
      <c r="D2580" s="2396"/>
      <c r="E2580" s="2406">
        <v>0</v>
      </c>
      <c r="F2580" s="2406">
        <v>0</v>
      </c>
      <c r="G2580" s="2456">
        <v>0</v>
      </c>
      <c r="H2580" s="2407">
        <v>0</v>
      </c>
      <c r="I2580" s="2413"/>
      <c r="J2580" s="2413"/>
      <c r="K2580" s="2686" t="s">
        <v>6525</v>
      </c>
      <c r="L2580" s="2408"/>
    </row>
    <row r="2581" spans="1:12" x14ac:dyDescent="0.3">
      <c r="A2581" s="81" t="s">
        <v>6033</v>
      </c>
      <c r="B2581" s="2445" t="s">
        <v>4175</v>
      </c>
      <c r="C2581" s="2406">
        <v>0</v>
      </c>
      <c r="D2581" s="2396"/>
      <c r="E2581" s="2406">
        <v>0</v>
      </c>
      <c r="F2581" s="2406">
        <v>0</v>
      </c>
      <c r="G2581" s="2456">
        <v>0</v>
      </c>
      <c r="H2581" s="2407">
        <v>0</v>
      </c>
      <c r="I2581" s="2413"/>
      <c r="J2581" s="2413"/>
      <c r="K2581" s="2686"/>
      <c r="L2581" s="2408"/>
    </row>
    <row r="2582" spans="1:12" x14ac:dyDescent="0.3">
      <c r="A2582" s="81" t="s">
        <v>6034</v>
      </c>
      <c r="B2582" s="2445" t="s">
        <v>4176</v>
      </c>
      <c r="C2582" s="2406">
        <v>80000</v>
      </c>
      <c r="D2582" s="2396"/>
      <c r="E2582" s="2406">
        <v>0</v>
      </c>
      <c r="F2582" s="2406">
        <v>0</v>
      </c>
      <c r="G2582" s="2456">
        <v>0</v>
      </c>
      <c r="H2582" s="2407">
        <v>80000</v>
      </c>
      <c r="I2582" s="2413"/>
      <c r="J2582" s="2413"/>
      <c r="K2582" s="2686" t="s">
        <v>6525</v>
      </c>
      <c r="L2582" s="2408"/>
    </row>
    <row r="2583" spans="1:12" x14ac:dyDescent="0.3">
      <c r="A2583" s="81" t="s">
        <v>6035</v>
      </c>
      <c r="B2583" s="2445" t="s">
        <v>4177</v>
      </c>
      <c r="C2583" s="2406">
        <v>14619000</v>
      </c>
      <c r="D2583" s="2396"/>
      <c r="E2583" s="2406">
        <v>0</v>
      </c>
      <c r="F2583" s="2406">
        <v>0</v>
      </c>
      <c r="G2583" s="2456">
        <v>0</v>
      </c>
      <c r="H2583" s="2407">
        <v>14619000</v>
      </c>
      <c r="I2583" s="2413"/>
      <c r="J2583" s="2413"/>
      <c r="K2583" s="2686" t="s">
        <v>6525</v>
      </c>
      <c r="L2583" s="2408"/>
    </row>
    <row r="2584" spans="1:12" x14ac:dyDescent="0.3">
      <c r="A2584" s="81" t="s">
        <v>6036</v>
      </c>
      <c r="B2584" s="2445" t="s">
        <v>4178</v>
      </c>
      <c r="C2584" s="2406">
        <v>0</v>
      </c>
      <c r="D2584" s="2396"/>
      <c r="E2584" s="2406">
        <v>0</v>
      </c>
      <c r="F2584" s="2406">
        <v>0</v>
      </c>
      <c r="G2584" s="2456">
        <v>0</v>
      </c>
      <c r="H2584" s="2407">
        <v>0</v>
      </c>
      <c r="I2584" s="2413"/>
      <c r="J2584" s="2413"/>
      <c r="K2584" s="2686" t="s">
        <v>6563</v>
      </c>
      <c r="L2584" s="2408"/>
    </row>
    <row r="2585" spans="1:12" x14ac:dyDescent="0.3">
      <c r="A2585" s="81" t="s">
        <v>6037</v>
      </c>
      <c r="B2585" s="2445" t="s">
        <v>4179</v>
      </c>
      <c r="C2585" s="2406">
        <v>0</v>
      </c>
      <c r="D2585" s="2396"/>
      <c r="E2585" s="2406">
        <v>0</v>
      </c>
      <c r="F2585" s="2406">
        <v>0</v>
      </c>
      <c r="G2585" s="2456">
        <v>0</v>
      </c>
      <c r="H2585" s="2407">
        <v>0</v>
      </c>
      <c r="I2585" s="2413"/>
      <c r="J2585" s="2413"/>
      <c r="K2585" s="2686" t="s">
        <v>6525</v>
      </c>
      <c r="L2585" s="2408"/>
    </row>
    <row r="2586" spans="1:12" x14ac:dyDescent="0.3">
      <c r="A2586" s="81" t="s">
        <v>6038</v>
      </c>
      <c r="B2586" s="2445" t="s">
        <v>4180</v>
      </c>
      <c r="C2586" s="2406">
        <v>0</v>
      </c>
      <c r="D2586" s="2396"/>
      <c r="E2586" s="2406">
        <v>0</v>
      </c>
      <c r="F2586" s="2406">
        <v>0</v>
      </c>
      <c r="G2586" s="2456">
        <v>0</v>
      </c>
      <c r="H2586" s="2407">
        <v>0</v>
      </c>
      <c r="I2586" s="2413"/>
      <c r="J2586" s="2413"/>
      <c r="K2586" s="2686" t="s">
        <v>6525</v>
      </c>
      <c r="L2586" s="2408"/>
    </row>
    <row r="2587" spans="1:12" x14ac:dyDescent="0.3">
      <c r="A2587" s="81" t="s">
        <v>6039</v>
      </c>
      <c r="B2587" s="2445" t="s">
        <v>4181</v>
      </c>
      <c r="C2587" s="2406">
        <v>0</v>
      </c>
      <c r="D2587" s="2396"/>
      <c r="E2587" s="2406">
        <v>0</v>
      </c>
      <c r="F2587" s="2406">
        <v>0</v>
      </c>
      <c r="G2587" s="2456">
        <v>0</v>
      </c>
      <c r="H2587" s="2407">
        <v>0</v>
      </c>
      <c r="I2587" s="2413"/>
      <c r="J2587" s="2413"/>
      <c r="K2587" s="2686" t="s">
        <v>6525</v>
      </c>
      <c r="L2587" s="2408"/>
    </row>
    <row r="2588" spans="1:12" x14ac:dyDescent="0.3">
      <c r="A2588" s="81" t="s">
        <v>6040</v>
      </c>
      <c r="B2588" s="2445" t="s">
        <v>4182</v>
      </c>
      <c r="C2588" s="2406">
        <v>0</v>
      </c>
      <c r="D2588" s="2396"/>
      <c r="E2588" s="2406">
        <v>0</v>
      </c>
      <c r="F2588" s="2406">
        <v>0</v>
      </c>
      <c r="G2588" s="2456">
        <v>0</v>
      </c>
      <c r="H2588" s="2407">
        <v>0</v>
      </c>
      <c r="I2588" s="2413"/>
      <c r="J2588" s="2413"/>
      <c r="K2588" s="2686" t="s">
        <v>6525</v>
      </c>
      <c r="L2588" s="2408"/>
    </row>
    <row r="2589" spans="1:12" x14ac:dyDescent="0.3">
      <c r="A2589" s="81" t="s">
        <v>6041</v>
      </c>
      <c r="B2589" s="2445" t="s">
        <v>4183</v>
      </c>
      <c r="C2589" s="2406">
        <v>0</v>
      </c>
      <c r="D2589" s="2396"/>
      <c r="E2589" s="2406">
        <v>0</v>
      </c>
      <c r="F2589" s="2406">
        <v>0</v>
      </c>
      <c r="G2589" s="2456">
        <v>0</v>
      </c>
      <c r="H2589" s="2407">
        <v>0</v>
      </c>
      <c r="I2589" s="2413"/>
      <c r="J2589" s="2413"/>
      <c r="K2589" s="2686" t="s">
        <v>6563</v>
      </c>
      <c r="L2589" s="2408"/>
    </row>
    <row r="2590" spans="1:12" x14ac:dyDescent="0.3">
      <c r="A2590" s="81" t="s">
        <v>6042</v>
      </c>
      <c r="B2590" s="2445" t="s">
        <v>4184</v>
      </c>
      <c r="C2590" s="2406">
        <v>0</v>
      </c>
      <c r="D2590" s="2396"/>
      <c r="E2590" s="2406">
        <v>0</v>
      </c>
      <c r="F2590" s="2406">
        <v>0</v>
      </c>
      <c r="G2590" s="2456">
        <v>0</v>
      </c>
      <c r="H2590" s="2407">
        <v>0</v>
      </c>
      <c r="I2590" s="2413"/>
      <c r="J2590" s="2413"/>
      <c r="K2590" s="2686"/>
      <c r="L2590" s="2408"/>
    </row>
    <row r="2591" spans="1:12" x14ac:dyDescent="0.3">
      <c r="A2591" s="81" t="s">
        <v>6043</v>
      </c>
      <c r="B2591" s="2445" t="s">
        <v>4185</v>
      </c>
      <c r="C2591" s="2406">
        <v>0</v>
      </c>
      <c r="D2591" s="2396"/>
      <c r="E2591" s="2406">
        <v>0</v>
      </c>
      <c r="F2591" s="2406">
        <v>0</v>
      </c>
      <c r="G2591" s="2456">
        <v>0</v>
      </c>
      <c r="H2591" s="2407">
        <v>0</v>
      </c>
      <c r="I2591" s="2413"/>
      <c r="J2591" s="2413"/>
      <c r="K2591" s="2686" t="s">
        <v>6525</v>
      </c>
      <c r="L2591" s="2408"/>
    </row>
    <row r="2592" spans="1:12" x14ac:dyDescent="0.3">
      <c r="A2592" s="81" t="s">
        <v>6044</v>
      </c>
      <c r="B2592" s="2445" t="s">
        <v>4186</v>
      </c>
      <c r="C2592" s="2406">
        <v>200000</v>
      </c>
      <c r="D2592" s="2396"/>
      <c r="E2592" s="2406">
        <v>0</v>
      </c>
      <c r="F2592" s="2406">
        <v>0</v>
      </c>
      <c r="G2592" s="2456">
        <v>0</v>
      </c>
      <c r="H2592" s="2407">
        <v>200000</v>
      </c>
      <c r="I2592" s="2413"/>
      <c r="J2592" s="2413"/>
      <c r="K2592" s="2686" t="s">
        <v>6525</v>
      </c>
      <c r="L2592" s="2408"/>
    </row>
    <row r="2593" spans="1:12" x14ac:dyDescent="0.3">
      <c r="A2593" s="81" t="s">
        <v>6045</v>
      </c>
      <c r="B2593" s="2445" t="s">
        <v>4187</v>
      </c>
      <c r="C2593" s="2406">
        <v>0</v>
      </c>
      <c r="D2593" s="2396"/>
      <c r="E2593" s="2406">
        <v>0</v>
      </c>
      <c r="F2593" s="2406">
        <v>0</v>
      </c>
      <c r="G2593" s="2456">
        <v>0</v>
      </c>
      <c r="H2593" s="2407">
        <v>0</v>
      </c>
      <c r="I2593" s="2413"/>
      <c r="J2593" s="2413"/>
      <c r="K2593" s="2686" t="s">
        <v>6563</v>
      </c>
      <c r="L2593" s="2408"/>
    </row>
    <row r="2594" spans="1:12" x14ac:dyDescent="0.3">
      <c r="A2594" s="81" t="s">
        <v>6046</v>
      </c>
      <c r="B2594" s="2445" t="s">
        <v>4188</v>
      </c>
      <c r="C2594" s="2406">
        <v>0</v>
      </c>
      <c r="D2594" s="2396"/>
      <c r="E2594" s="2406">
        <v>0</v>
      </c>
      <c r="F2594" s="2406">
        <v>0</v>
      </c>
      <c r="G2594" s="2456">
        <v>0</v>
      </c>
      <c r="H2594" s="2407">
        <v>0</v>
      </c>
      <c r="I2594" s="2413"/>
      <c r="J2594" s="2413"/>
      <c r="K2594" s="2686" t="s">
        <v>6525</v>
      </c>
      <c r="L2594" s="2408"/>
    </row>
    <row r="2595" spans="1:12" x14ac:dyDescent="0.3">
      <c r="A2595" s="81" t="s">
        <v>6047</v>
      </c>
      <c r="B2595" s="2445" t="s">
        <v>4189</v>
      </c>
      <c r="C2595" s="2406">
        <v>0</v>
      </c>
      <c r="D2595" s="2396"/>
      <c r="E2595" s="2406">
        <v>0</v>
      </c>
      <c r="F2595" s="2406">
        <v>0</v>
      </c>
      <c r="G2595" s="2456">
        <v>0</v>
      </c>
      <c r="H2595" s="2407">
        <v>0</v>
      </c>
      <c r="I2595" s="2413"/>
      <c r="J2595" s="2413"/>
      <c r="K2595" s="2686" t="s">
        <v>6525</v>
      </c>
      <c r="L2595" s="2408"/>
    </row>
    <row r="2596" spans="1:12" x14ac:dyDescent="0.3">
      <c r="A2596" s="81" t="s">
        <v>6048</v>
      </c>
      <c r="B2596" s="2445" t="s">
        <v>4190</v>
      </c>
      <c r="C2596" s="2406">
        <v>2850000</v>
      </c>
      <c r="D2596" s="2396"/>
      <c r="E2596" s="2406">
        <v>0</v>
      </c>
      <c r="F2596" s="2406">
        <v>0</v>
      </c>
      <c r="G2596" s="2456">
        <v>0</v>
      </c>
      <c r="H2596" s="2407">
        <v>2850000</v>
      </c>
      <c r="I2596" s="2413"/>
      <c r="J2596" s="2413"/>
      <c r="K2596" s="2686" t="s">
        <v>6525</v>
      </c>
      <c r="L2596" s="2408"/>
    </row>
    <row r="2597" spans="1:12" x14ac:dyDescent="0.3">
      <c r="A2597" s="81" t="s">
        <v>6049</v>
      </c>
      <c r="B2597" s="2445" t="s">
        <v>4191</v>
      </c>
      <c r="C2597" s="2406">
        <v>0</v>
      </c>
      <c r="D2597" s="2396"/>
      <c r="E2597" s="2406">
        <v>0</v>
      </c>
      <c r="F2597" s="2406">
        <v>0</v>
      </c>
      <c r="G2597" s="2456">
        <v>0</v>
      </c>
      <c r="H2597" s="2407">
        <v>0</v>
      </c>
      <c r="I2597" s="2413"/>
      <c r="J2597" s="2413"/>
      <c r="K2597" s="2686" t="s">
        <v>6525</v>
      </c>
      <c r="L2597" s="2408"/>
    </row>
    <row r="2598" spans="1:12" x14ac:dyDescent="0.3">
      <c r="A2598" s="81" t="s">
        <v>6050</v>
      </c>
      <c r="B2598" s="2445" t="s">
        <v>4192</v>
      </c>
      <c r="C2598" s="2406">
        <v>0</v>
      </c>
      <c r="D2598" s="2396"/>
      <c r="E2598" s="2406">
        <v>0</v>
      </c>
      <c r="F2598" s="2406">
        <v>0</v>
      </c>
      <c r="G2598" s="2456">
        <v>0</v>
      </c>
      <c r="H2598" s="2407">
        <v>0</v>
      </c>
      <c r="I2598" s="2413"/>
      <c r="J2598" s="2413"/>
      <c r="K2598" s="2686" t="s">
        <v>6525</v>
      </c>
      <c r="L2598" s="2408"/>
    </row>
    <row r="2599" spans="1:12" x14ac:dyDescent="0.3">
      <c r="A2599" s="81" t="s">
        <v>6051</v>
      </c>
      <c r="B2599" s="2445" t="s">
        <v>4193</v>
      </c>
      <c r="C2599" s="2406">
        <v>0</v>
      </c>
      <c r="D2599" s="2396"/>
      <c r="E2599" s="2406">
        <v>0</v>
      </c>
      <c r="F2599" s="2406">
        <v>0</v>
      </c>
      <c r="G2599" s="2456">
        <v>0</v>
      </c>
      <c r="H2599" s="2407">
        <v>0</v>
      </c>
      <c r="I2599" s="2413"/>
      <c r="J2599" s="2413"/>
      <c r="K2599" s="2686"/>
      <c r="L2599" s="2408"/>
    </row>
    <row r="2600" spans="1:12" x14ac:dyDescent="0.3">
      <c r="A2600" s="81" t="s">
        <v>6052</v>
      </c>
      <c r="B2600" s="2445" t="s">
        <v>4194</v>
      </c>
      <c r="C2600" s="2406">
        <v>0</v>
      </c>
      <c r="D2600" s="2396"/>
      <c r="E2600" s="2406">
        <v>0</v>
      </c>
      <c r="F2600" s="2406">
        <v>0</v>
      </c>
      <c r="G2600" s="2456">
        <v>0</v>
      </c>
      <c r="H2600" s="2407">
        <v>0</v>
      </c>
      <c r="I2600" s="2413"/>
      <c r="J2600" s="2413"/>
      <c r="K2600" s="2686" t="s">
        <v>6525</v>
      </c>
      <c r="L2600" s="2408"/>
    </row>
    <row r="2601" spans="1:12" x14ac:dyDescent="0.3">
      <c r="A2601" s="81" t="s">
        <v>6053</v>
      </c>
      <c r="B2601" s="2445" t="s">
        <v>4195</v>
      </c>
      <c r="C2601" s="2406">
        <v>13936000</v>
      </c>
      <c r="D2601" s="2396"/>
      <c r="E2601" s="2406">
        <v>0</v>
      </c>
      <c r="F2601" s="2406">
        <v>0</v>
      </c>
      <c r="G2601" s="2456">
        <v>0</v>
      </c>
      <c r="H2601" s="2407">
        <v>13936000</v>
      </c>
      <c r="I2601" s="2413"/>
      <c r="J2601" s="2413"/>
      <c r="K2601" s="2686" t="s">
        <v>6525</v>
      </c>
      <c r="L2601" s="2408"/>
    </row>
    <row r="2602" spans="1:12" x14ac:dyDescent="0.3">
      <c r="A2602" s="81" t="s">
        <v>6054</v>
      </c>
      <c r="B2602" s="2445" t="s">
        <v>4196</v>
      </c>
      <c r="C2602" s="2406">
        <v>0</v>
      </c>
      <c r="D2602" s="2396"/>
      <c r="E2602" s="2406">
        <v>0</v>
      </c>
      <c r="F2602" s="2406">
        <v>0</v>
      </c>
      <c r="G2602" s="2456">
        <v>0</v>
      </c>
      <c r="H2602" s="2407">
        <v>0</v>
      </c>
      <c r="I2602" s="2413"/>
      <c r="J2602" s="2413"/>
      <c r="K2602" s="2686" t="s">
        <v>6525</v>
      </c>
      <c r="L2602" s="2408"/>
    </row>
    <row r="2603" spans="1:12" x14ac:dyDescent="0.3">
      <c r="A2603" s="81" t="s">
        <v>6055</v>
      </c>
      <c r="B2603" s="2445" t="s">
        <v>4197</v>
      </c>
      <c r="C2603" s="2406">
        <v>0</v>
      </c>
      <c r="D2603" s="2396"/>
      <c r="E2603" s="2406">
        <v>0</v>
      </c>
      <c r="F2603" s="2406">
        <v>0</v>
      </c>
      <c r="G2603" s="2456">
        <v>0</v>
      </c>
      <c r="H2603" s="2407">
        <v>0</v>
      </c>
      <c r="I2603" s="2413"/>
      <c r="J2603" s="2413"/>
      <c r="K2603" s="2686" t="s">
        <v>6525</v>
      </c>
      <c r="L2603" s="2408"/>
    </row>
    <row r="2604" spans="1:12" x14ac:dyDescent="0.3">
      <c r="A2604" s="81" t="s">
        <v>6056</v>
      </c>
      <c r="B2604" s="2445" t="s">
        <v>4198</v>
      </c>
      <c r="C2604" s="2406">
        <v>0</v>
      </c>
      <c r="D2604" s="2396"/>
      <c r="E2604" s="2406">
        <v>0</v>
      </c>
      <c r="F2604" s="2406">
        <v>0</v>
      </c>
      <c r="G2604" s="2456">
        <v>0</v>
      </c>
      <c r="H2604" s="2407">
        <v>0</v>
      </c>
      <c r="I2604" s="2413"/>
      <c r="J2604" s="2413"/>
      <c r="K2604" s="2686" t="s">
        <v>6525</v>
      </c>
      <c r="L2604" s="2408"/>
    </row>
    <row r="2605" spans="1:12" x14ac:dyDescent="0.3">
      <c r="A2605" s="81" t="s">
        <v>6057</v>
      </c>
      <c r="B2605" s="2445" t="s">
        <v>4199</v>
      </c>
      <c r="C2605" s="2406">
        <v>0</v>
      </c>
      <c r="D2605" s="2396"/>
      <c r="E2605" s="2406">
        <v>0</v>
      </c>
      <c r="F2605" s="2406">
        <v>0</v>
      </c>
      <c r="G2605" s="2456">
        <v>0</v>
      </c>
      <c r="H2605" s="2407">
        <v>0</v>
      </c>
      <c r="I2605" s="2413"/>
      <c r="J2605" s="2413"/>
      <c r="K2605" s="2686" t="s">
        <v>6525</v>
      </c>
      <c r="L2605" s="2408"/>
    </row>
    <row r="2606" spans="1:12" x14ac:dyDescent="0.3">
      <c r="A2606" s="81" t="s">
        <v>6058</v>
      </c>
      <c r="B2606" s="2445" t="s">
        <v>4200</v>
      </c>
      <c r="C2606" s="2406">
        <v>30000</v>
      </c>
      <c r="D2606" s="2396"/>
      <c r="E2606" s="2406">
        <v>0</v>
      </c>
      <c r="F2606" s="2406">
        <v>0</v>
      </c>
      <c r="G2606" s="2456">
        <v>0</v>
      </c>
      <c r="H2606" s="2407">
        <v>30000</v>
      </c>
      <c r="I2606" s="2413"/>
      <c r="J2606" s="2413"/>
      <c r="K2606" s="2686" t="s">
        <v>6563</v>
      </c>
      <c r="L2606" s="2408"/>
    </row>
    <row r="2607" spans="1:12" x14ac:dyDescent="0.3">
      <c r="A2607" s="81" t="s">
        <v>6059</v>
      </c>
      <c r="B2607" s="2445" t="s">
        <v>4201</v>
      </c>
      <c r="C2607" s="2406">
        <v>0</v>
      </c>
      <c r="D2607" s="2396"/>
      <c r="E2607" s="2406">
        <v>0</v>
      </c>
      <c r="F2607" s="2406">
        <v>0</v>
      </c>
      <c r="G2607" s="2456">
        <v>0</v>
      </c>
      <c r="H2607" s="2407">
        <v>0</v>
      </c>
      <c r="I2607" s="2413"/>
      <c r="J2607" s="2413"/>
      <c r="K2607" s="2686" t="s">
        <v>6525</v>
      </c>
      <c r="L2607" s="2408"/>
    </row>
    <row r="2608" spans="1:12" x14ac:dyDescent="0.3">
      <c r="A2608" s="81" t="s">
        <v>6060</v>
      </c>
      <c r="B2608" s="2445" t="s">
        <v>4202</v>
      </c>
      <c r="C2608" s="2406">
        <v>0</v>
      </c>
      <c r="D2608" s="2396"/>
      <c r="E2608" s="2406">
        <v>0</v>
      </c>
      <c r="F2608" s="2406">
        <v>0</v>
      </c>
      <c r="G2608" s="2456">
        <v>0</v>
      </c>
      <c r="H2608" s="2407">
        <v>0</v>
      </c>
      <c r="I2608" s="2413"/>
      <c r="J2608" s="2413"/>
      <c r="K2608" s="2686"/>
      <c r="L2608" s="2408"/>
    </row>
    <row r="2609" spans="1:12" x14ac:dyDescent="0.3">
      <c r="A2609" s="81" t="s">
        <v>6061</v>
      </c>
      <c r="B2609" s="2445" t="s">
        <v>4203</v>
      </c>
      <c r="C2609" s="2406">
        <v>0</v>
      </c>
      <c r="D2609" s="2396"/>
      <c r="E2609" s="2406">
        <v>0</v>
      </c>
      <c r="F2609" s="2406">
        <v>0</v>
      </c>
      <c r="G2609" s="2456">
        <v>0</v>
      </c>
      <c r="H2609" s="2407">
        <v>0</v>
      </c>
      <c r="I2609" s="2413"/>
      <c r="J2609" s="2413"/>
      <c r="K2609" s="2686" t="s">
        <v>6525</v>
      </c>
      <c r="L2609" s="2408"/>
    </row>
    <row r="2610" spans="1:12" x14ac:dyDescent="0.3">
      <c r="A2610" s="81" t="s">
        <v>6062</v>
      </c>
      <c r="B2610" s="2445" t="s">
        <v>4204</v>
      </c>
      <c r="C2610" s="2406">
        <v>0</v>
      </c>
      <c r="D2610" s="2396"/>
      <c r="E2610" s="2406">
        <v>0</v>
      </c>
      <c r="F2610" s="2406">
        <v>0</v>
      </c>
      <c r="G2610" s="2456">
        <v>0</v>
      </c>
      <c r="H2610" s="2407">
        <v>0</v>
      </c>
      <c r="I2610" s="2413"/>
      <c r="J2610" s="2413"/>
      <c r="K2610" s="2686" t="s">
        <v>6525</v>
      </c>
      <c r="L2610" s="2408"/>
    </row>
    <row r="2611" spans="1:12" x14ac:dyDescent="0.3">
      <c r="A2611" s="81" t="s">
        <v>6063</v>
      </c>
      <c r="B2611" s="2445" t="s">
        <v>4205</v>
      </c>
      <c r="C2611" s="2406">
        <v>0</v>
      </c>
      <c r="D2611" s="2396"/>
      <c r="E2611" s="2406">
        <v>0</v>
      </c>
      <c r="F2611" s="2406">
        <v>0</v>
      </c>
      <c r="G2611" s="2456">
        <v>0</v>
      </c>
      <c r="H2611" s="2407">
        <v>0</v>
      </c>
      <c r="I2611" s="2413"/>
      <c r="J2611" s="2413"/>
      <c r="K2611" s="2686" t="s">
        <v>6525</v>
      </c>
      <c r="L2611" s="2408"/>
    </row>
    <row r="2612" spans="1:12" x14ac:dyDescent="0.3">
      <c r="A2612" s="81" t="s">
        <v>6064</v>
      </c>
      <c r="B2612" s="2445" t="s">
        <v>4206</v>
      </c>
      <c r="C2612" s="2406">
        <v>0</v>
      </c>
      <c r="D2612" s="2396"/>
      <c r="E2612" s="2406">
        <v>0</v>
      </c>
      <c r="F2612" s="2406">
        <v>0</v>
      </c>
      <c r="G2612" s="2456">
        <v>0</v>
      </c>
      <c r="H2612" s="2407">
        <v>0</v>
      </c>
      <c r="I2612" s="2413"/>
      <c r="J2612" s="2413"/>
      <c r="K2612" s="2686" t="s">
        <v>6525</v>
      </c>
      <c r="L2612" s="2408"/>
    </row>
    <row r="2613" spans="1:12" x14ac:dyDescent="0.3">
      <c r="A2613" s="81" t="s">
        <v>6065</v>
      </c>
      <c r="B2613" s="2445" t="s">
        <v>4207</v>
      </c>
      <c r="C2613" s="2406">
        <v>0</v>
      </c>
      <c r="D2613" s="2396"/>
      <c r="E2613" s="2406">
        <v>0</v>
      </c>
      <c r="F2613" s="2406">
        <v>0</v>
      </c>
      <c r="G2613" s="2456">
        <v>0</v>
      </c>
      <c r="H2613" s="2407">
        <v>0</v>
      </c>
      <c r="I2613" s="2413"/>
      <c r="J2613" s="2413"/>
      <c r="K2613" s="2686" t="s">
        <v>6525</v>
      </c>
      <c r="L2613" s="2408"/>
    </row>
    <row r="2614" spans="1:12" x14ac:dyDescent="0.3">
      <c r="A2614" s="81" t="s">
        <v>6066</v>
      </c>
      <c r="B2614" s="2445" t="s">
        <v>4208</v>
      </c>
      <c r="C2614" s="2406">
        <v>0</v>
      </c>
      <c r="D2614" s="2396"/>
      <c r="E2614" s="2406">
        <v>0</v>
      </c>
      <c r="F2614" s="2406">
        <v>0</v>
      </c>
      <c r="G2614" s="2456">
        <v>0</v>
      </c>
      <c r="H2614" s="2407">
        <v>0</v>
      </c>
      <c r="I2614" s="2413"/>
      <c r="J2614" s="2413"/>
      <c r="K2614" s="2686" t="s">
        <v>6525</v>
      </c>
      <c r="L2614" s="2408"/>
    </row>
    <row r="2615" spans="1:12" x14ac:dyDescent="0.3">
      <c r="A2615" s="81" t="s">
        <v>6067</v>
      </c>
      <c r="B2615" s="2445" t="s">
        <v>4209</v>
      </c>
      <c r="C2615" s="2406">
        <v>0</v>
      </c>
      <c r="D2615" s="2396"/>
      <c r="E2615" s="2406">
        <v>0</v>
      </c>
      <c r="F2615" s="2406">
        <v>0</v>
      </c>
      <c r="G2615" s="2456">
        <v>0</v>
      </c>
      <c r="H2615" s="2407">
        <v>0</v>
      </c>
      <c r="I2615" s="2413"/>
      <c r="J2615" s="2413"/>
      <c r="K2615" s="2686" t="s">
        <v>6563</v>
      </c>
      <c r="L2615" s="2408"/>
    </row>
    <row r="2616" spans="1:12" x14ac:dyDescent="0.3">
      <c r="A2616" s="81" t="s">
        <v>6068</v>
      </c>
      <c r="B2616" s="2445" t="s">
        <v>4210</v>
      </c>
      <c r="C2616" s="2406">
        <v>0</v>
      </c>
      <c r="D2616" s="2396"/>
      <c r="E2616" s="2406">
        <v>0</v>
      </c>
      <c r="F2616" s="2406">
        <v>0</v>
      </c>
      <c r="G2616" s="2456">
        <v>0</v>
      </c>
      <c r="H2616" s="2407">
        <v>0</v>
      </c>
      <c r="I2616" s="2413"/>
      <c r="J2616" s="2413"/>
      <c r="K2616" s="2686" t="s">
        <v>6525</v>
      </c>
      <c r="L2616" s="2408"/>
    </row>
    <row r="2617" spans="1:12" x14ac:dyDescent="0.3">
      <c r="A2617" s="81" t="s">
        <v>6069</v>
      </c>
      <c r="B2617" s="2445" t="s">
        <v>4211</v>
      </c>
      <c r="C2617" s="2406">
        <v>0</v>
      </c>
      <c r="D2617" s="2396"/>
      <c r="E2617" s="2406">
        <v>0</v>
      </c>
      <c r="F2617" s="2406">
        <v>0</v>
      </c>
      <c r="G2617" s="2456">
        <v>0</v>
      </c>
      <c r="H2617" s="2407">
        <v>0</v>
      </c>
      <c r="I2617" s="2413"/>
      <c r="J2617" s="2413"/>
      <c r="K2617" s="2686"/>
      <c r="L2617" s="2408"/>
    </row>
    <row r="2618" spans="1:12" x14ac:dyDescent="0.3">
      <c r="A2618" s="81" t="s">
        <v>6070</v>
      </c>
      <c r="B2618" s="2445" t="s">
        <v>4212</v>
      </c>
      <c r="C2618" s="2406">
        <v>0</v>
      </c>
      <c r="D2618" s="2396"/>
      <c r="E2618" s="2406">
        <v>0</v>
      </c>
      <c r="F2618" s="2406">
        <v>0</v>
      </c>
      <c r="G2618" s="2456">
        <v>0</v>
      </c>
      <c r="H2618" s="2407">
        <v>0</v>
      </c>
      <c r="I2618" s="2413"/>
      <c r="J2618" s="2413"/>
      <c r="K2618" s="2686" t="s">
        <v>6525</v>
      </c>
      <c r="L2618" s="2408"/>
    </row>
    <row r="2619" spans="1:12" x14ac:dyDescent="0.3">
      <c r="A2619" s="81" t="s">
        <v>6071</v>
      </c>
      <c r="B2619" s="2445" t="s">
        <v>4213</v>
      </c>
      <c r="C2619" s="2406">
        <v>0</v>
      </c>
      <c r="D2619" s="2396"/>
      <c r="E2619" s="2406">
        <v>0</v>
      </c>
      <c r="F2619" s="2406">
        <v>0</v>
      </c>
      <c r="G2619" s="2456">
        <v>0</v>
      </c>
      <c r="H2619" s="2407">
        <v>0</v>
      </c>
      <c r="I2619" s="2413"/>
      <c r="J2619" s="2413"/>
      <c r="K2619" s="2686" t="s">
        <v>6525</v>
      </c>
      <c r="L2619" s="2408"/>
    </row>
    <row r="2620" spans="1:12" x14ac:dyDescent="0.3">
      <c r="A2620" s="81" t="s">
        <v>6072</v>
      </c>
      <c r="B2620" s="2445" t="s">
        <v>4214</v>
      </c>
      <c r="C2620" s="2406">
        <v>0</v>
      </c>
      <c r="D2620" s="2396"/>
      <c r="E2620" s="2406">
        <v>0</v>
      </c>
      <c r="F2620" s="2406">
        <v>0</v>
      </c>
      <c r="G2620" s="2456">
        <v>0</v>
      </c>
      <c r="H2620" s="2407">
        <v>0</v>
      </c>
      <c r="I2620" s="2413"/>
      <c r="J2620" s="2413"/>
      <c r="K2620" s="2686" t="s">
        <v>6525</v>
      </c>
      <c r="L2620" s="2408"/>
    </row>
    <row r="2621" spans="1:12" x14ac:dyDescent="0.3">
      <c r="A2621" s="81" t="s">
        <v>6073</v>
      </c>
      <c r="B2621" s="2445" t="s">
        <v>4215</v>
      </c>
      <c r="C2621" s="2406">
        <v>0</v>
      </c>
      <c r="D2621" s="2396"/>
      <c r="E2621" s="2406">
        <v>0</v>
      </c>
      <c r="F2621" s="2406">
        <v>0</v>
      </c>
      <c r="G2621" s="2456">
        <v>0</v>
      </c>
      <c r="H2621" s="2407">
        <v>0</v>
      </c>
      <c r="I2621" s="2413"/>
      <c r="J2621" s="2413"/>
      <c r="K2621" s="2686" t="s">
        <v>6525</v>
      </c>
      <c r="L2621" s="2408"/>
    </row>
    <row r="2622" spans="1:12" x14ac:dyDescent="0.3">
      <c r="A2622" s="81" t="s">
        <v>6074</v>
      </c>
      <c r="B2622" s="2445" t="s">
        <v>4218</v>
      </c>
      <c r="C2622" s="2406">
        <v>0</v>
      </c>
      <c r="D2622" s="2396"/>
      <c r="E2622" s="2406">
        <v>0</v>
      </c>
      <c r="F2622" s="2406">
        <v>0</v>
      </c>
      <c r="G2622" s="2456">
        <v>0</v>
      </c>
      <c r="H2622" s="2407">
        <v>0</v>
      </c>
      <c r="I2622" s="2413"/>
      <c r="J2622" s="2413"/>
      <c r="K2622" s="2686"/>
      <c r="L2622" s="2408"/>
    </row>
    <row r="2623" spans="1:12" x14ac:dyDescent="0.3">
      <c r="A2623" s="81" t="s">
        <v>6075</v>
      </c>
      <c r="B2623" s="2445" t="s">
        <v>4219</v>
      </c>
      <c r="C2623" s="2406">
        <v>0</v>
      </c>
      <c r="D2623" s="2396"/>
      <c r="E2623" s="2406">
        <v>0</v>
      </c>
      <c r="F2623" s="2406">
        <v>0</v>
      </c>
      <c r="G2623" s="2455">
        <v>0</v>
      </c>
      <c r="H2623" s="2407">
        <v>0</v>
      </c>
      <c r="I2623" s="2413"/>
      <c r="J2623" s="2413"/>
      <c r="K2623" s="2686" t="s">
        <v>6564</v>
      </c>
      <c r="L2623" s="2408"/>
    </row>
    <row r="2624" spans="1:12" x14ac:dyDescent="0.3">
      <c r="A2624" s="81" t="s">
        <v>6076</v>
      </c>
      <c r="B2624" s="2445" t="s">
        <v>4220</v>
      </c>
      <c r="C2624" s="2406">
        <v>0</v>
      </c>
      <c r="D2624" s="2396"/>
      <c r="E2624" s="2406">
        <v>0</v>
      </c>
      <c r="F2624" s="2406">
        <v>0</v>
      </c>
      <c r="G2624" s="2455">
        <v>0</v>
      </c>
      <c r="H2624" s="2407">
        <v>0</v>
      </c>
      <c r="I2624" s="2413"/>
      <c r="J2624" s="2413"/>
      <c r="K2624" s="2686" t="s">
        <v>6564</v>
      </c>
      <c r="L2624" s="2408"/>
    </row>
    <row r="2625" spans="1:12" x14ac:dyDescent="0.3">
      <c r="A2625" s="81" t="s">
        <v>6077</v>
      </c>
      <c r="B2625" s="2445" t="s">
        <v>4221</v>
      </c>
      <c r="C2625" s="2406">
        <v>0</v>
      </c>
      <c r="D2625" s="2396"/>
      <c r="E2625" s="2406">
        <v>0</v>
      </c>
      <c r="F2625" s="2406">
        <v>0</v>
      </c>
      <c r="G2625" s="2455">
        <v>0</v>
      </c>
      <c r="H2625" s="2407">
        <v>0</v>
      </c>
      <c r="I2625" s="2413"/>
      <c r="J2625" s="2413"/>
      <c r="K2625" s="2686" t="s">
        <v>6564</v>
      </c>
      <c r="L2625" s="2408"/>
    </row>
    <row r="2626" spans="1:12" x14ac:dyDescent="0.3">
      <c r="A2626" s="81" t="s">
        <v>6078</v>
      </c>
      <c r="B2626" s="2445" t="s">
        <v>4222</v>
      </c>
      <c r="C2626" s="2406">
        <v>0</v>
      </c>
      <c r="D2626" s="2396"/>
      <c r="E2626" s="2406">
        <v>0</v>
      </c>
      <c r="F2626" s="2406">
        <v>0</v>
      </c>
      <c r="G2626" s="2455">
        <v>0</v>
      </c>
      <c r="H2626" s="2407">
        <v>0</v>
      </c>
      <c r="I2626" s="2413"/>
      <c r="J2626" s="2413"/>
      <c r="K2626" s="2686" t="s">
        <v>6564</v>
      </c>
      <c r="L2626" s="2408"/>
    </row>
    <row r="2627" spans="1:12" x14ac:dyDescent="0.3">
      <c r="A2627" s="81" t="s">
        <v>6079</v>
      </c>
      <c r="B2627" s="2445" t="s">
        <v>4223</v>
      </c>
      <c r="C2627" s="2406">
        <v>0</v>
      </c>
      <c r="D2627" s="2396"/>
      <c r="E2627" s="2406">
        <v>0</v>
      </c>
      <c r="F2627" s="2406">
        <v>0</v>
      </c>
      <c r="G2627" s="2455">
        <v>0</v>
      </c>
      <c r="H2627" s="2407">
        <v>0</v>
      </c>
      <c r="I2627" s="2413"/>
      <c r="J2627" s="2413"/>
      <c r="K2627" s="2686" t="s">
        <v>6564</v>
      </c>
      <c r="L2627" s="2408"/>
    </row>
    <row r="2628" spans="1:12" x14ac:dyDescent="0.3">
      <c r="A2628" s="81" t="s">
        <v>6080</v>
      </c>
      <c r="B2628" s="2445" t="s">
        <v>4224</v>
      </c>
      <c r="C2628" s="2406">
        <v>0</v>
      </c>
      <c r="D2628" s="2396"/>
      <c r="E2628" s="2406">
        <v>0</v>
      </c>
      <c r="F2628" s="2406">
        <v>0</v>
      </c>
      <c r="G2628" s="2455">
        <v>0</v>
      </c>
      <c r="H2628" s="2407">
        <v>0</v>
      </c>
      <c r="I2628" s="2413"/>
      <c r="J2628" s="2413"/>
      <c r="K2628" s="2686" t="s">
        <v>6564</v>
      </c>
      <c r="L2628" s="2408"/>
    </row>
    <row r="2629" spans="1:12" x14ac:dyDescent="0.3">
      <c r="A2629" s="81" t="s">
        <v>6081</v>
      </c>
      <c r="B2629" s="2445" t="s">
        <v>4225</v>
      </c>
      <c r="C2629" s="2406">
        <v>0</v>
      </c>
      <c r="D2629" s="2396"/>
      <c r="E2629" s="2406">
        <v>0</v>
      </c>
      <c r="F2629" s="2406">
        <v>0</v>
      </c>
      <c r="G2629" s="2455">
        <v>0</v>
      </c>
      <c r="H2629" s="2407">
        <v>0</v>
      </c>
      <c r="I2629" s="2413"/>
      <c r="J2629" s="2413"/>
      <c r="K2629" s="2686" t="s">
        <v>6564</v>
      </c>
      <c r="L2629" s="2408"/>
    </row>
    <row r="2630" spans="1:12" x14ac:dyDescent="0.3">
      <c r="A2630" s="81" t="s">
        <v>6082</v>
      </c>
      <c r="B2630" s="2445" t="s">
        <v>4226</v>
      </c>
      <c r="C2630" s="2406">
        <v>0</v>
      </c>
      <c r="D2630" s="2396"/>
      <c r="E2630" s="2406">
        <v>0</v>
      </c>
      <c r="F2630" s="2406">
        <v>0</v>
      </c>
      <c r="G2630" s="2455">
        <v>0</v>
      </c>
      <c r="H2630" s="2407">
        <v>0</v>
      </c>
      <c r="I2630" s="2413"/>
      <c r="J2630" s="2413"/>
      <c r="K2630" s="2686" t="s">
        <v>6564</v>
      </c>
      <c r="L2630" s="2408"/>
    </row>
    <row r="2631" spans="1:12" x14ac:dyDescent="0.3">
      <c r="A2631" s="81" t="s">
        <v>6083</v>
      </c>
      <c r="B2631" s="2445" t="s">
        <v>4227</v>
      </c>
      <c r="C2631" s="2406">
        <v>0</v>
      </c>
      <c r="D2631" s="2396"/>
      <c r="E2631" s="2406">
        <v>0</v>
      </c>
      <c r="F2631" s="2406">
        <v>0</v>
      </c>
      <c r="G2631" s="2455">
        <v>0</v>
      </c>
      <c r="H2631" s="2407">
        <v>0</v>
      </c>
      <c r="I2631" s="2413"/>
      <c r="J2631" s="2413"/>
      <c r="K2631" s="2686" t="s">
        <v>6564</v>
      </c>
      <c r="L2631" s="2408"/>
    </row>
    <row r="2632" spans="1:12" x14ac:dyDescent="0.3">
      <c r="A2632" s="81" t="s">
        <v>6084</v>
      </c>
      <c r="B2632" s="2445" t="s">
        <v>4228</v>
      </c>
      <c r="C2632" s="2406">
        <v>0</v>
      </c>
      <c r="D2632" s="2396"/>
      <c r="E2632" s="2406">
        <v>0</v>
      </c>
      <c r="F2632" s="2406">
        <v>0</v>
      </c>
      <c r="G2632" s="2455">
        <v>0</v>
      </c>
      <c r="H2632" s="2407">
        <v>0</v>
      </c>
      <c r="I2632" s="2413"/>
      <c r="J2632" s="2413"/>
      <c r="K2632" s="2686"/>
      <c r="L2632" s="2408"/>
    </row>
    <row r="2633" spans="1:12" x14ac:dyDescent="0.3">
      <c r="A2633" s="81" t="s">
        <v>6085</v>
      </c>
      <c r="B2633" s="2445" t="s">
        <v>4229</v>
      </c>
      <c r="C2633" s="2406">
        <v>0</v>
      </c>
      <c r="D2633" s="2396"/>
      <c r="E2633" s="2406">
        <v>0</v>
      </c>
      <c r="F2633" s="2406">
        <v>0</v>
      </c>
      <c r="G2633" s="2455">
        <v>0</v>
      </c>
      <c r="H2633" s="2407">
        <v>0</v>
      </c>
      <c r="I2633" s="2413"/>
      <c r="J2633" s="2413"/>
      <c r="K2633" s="2686" t="s">
        <v>6564</v>
      </c>
      <c r="L2633" s="2408"/>
    </row>
    <row r="2634" spans="1:12" x14ac:dyDescent="0.3">
      <c r="A2634" s="81" t="s">
        <v>6086</v>
      </c>
      <c r="B2634" s="2445" t="s">
        <v>4230</v>
      </c>
      <c r="C2634" s="2406">
        <v>0</v>
      </c>
      <c r="D2634" s="2396"/>
      <c r="E2634" s="2406">
        <v>0</v>
      </c>
      <c r="F2634" s="2406">
        <v>0</v>
      </c>
      <c r="G2634" s="2455">
        <v>0</v>
      </c>
      <c r="H2634" s="2407">
        <v>0</v>
      </c>
      <c r="I2634" s="2413"/>
      <c r="J2634" s="2413"/>
      <c r="K2634" s="2686" t="s">
        <v>6564</v>
      </c>
      <c r="L2634" s="2408"/>
    </row>
    <row r="2635" spans="1:12" x14ac:dyDescent="0.3">
      <c r="A2635" s="81" t="s">
        <v>6087</v>
      </c>
      <c r="B2635" s="2445" t="s">
        <v>4231</v>
      </c>
      <c r="C2635" s="2406">
        <v>0</v>
      </c>
      <c r="D2635" s="2396"/>
      <c r="E2635" s="2406">
        <v>0</v>
      </c>
      <c r="F2635" s="2406">
        <v>0</v>
      </c>
      <c r="G2635" s="2455">
        <v>0</v>
      </c>
      <c r="H2635" s="2407">
        <v>0</v>
      </c>
      <c r="I2635" s="2413"/>
      <c r="J2635" s="2413"/>
      <c r="K2635" s="2686" t="s">
        <v>6564</v>
      </c>
      <c r="L2635" s="2408"/>
    </row>
    <row r="2636" spans="1:12" x14ac:dyDescent="0.3">
      <c r="A2636" s="81" t="s">
        <v>6088</v>
      </c>
      <c r="B2636" s="2445" t="s">
        <v>4232</v>
      </c>
      <c r="C2636" s="2406">
        <v>0</v>
      </c>
      <c r="D2636" s="2396"/>
      <c r="E2636" s="2406">
        <v>0</v>
      </c>
      <c r="F2636" s="2406">
        <v>0</v>
      </c>
      <c r="G2636" s="2455">
        <v>0</v>
      </c>
      <c r="H2636" s="2407">
        <v>0</v>
      </c>
      <c r="I2636" s="2413"/>
      <c r="J2636" s="2413"/>
      <c r="K2636" s="2686" t="s">
        <v>6564</v>
      </c>
      <c r="L2636" s="2408"/>
    </row>
    <row r="2637" spans="1:12" x14ac:dyDescent="0.3">
      <c r="A2637" s="81" t="s">
        <v>6089</v>
      </c>
      <c r="B2637" s="2445" t="s">
        <v>4233</v>
      </c>
      <c r="C2637" s="2406">
        <v>0</v>
      </c>
      <c r="D2637" s="2396"/>
      <c r="E2637" s="2406">
        <v>0</v>
      </c>
      <c r="F2637" s="2406">
        <v>0</v>
      </c>
      <c r="G2637" s="2455">
        <v>0</v>
      </c>
      <c r="H2637" s="2407">
        <v>0</v>
      </c>
      <c r="I2637" s="2413"/>
      <c r="J2637" s="2413"/>
      <c r="K2637" s="2686" t="s">
        <v>6564</v>
      </c>
      <c r="L2637" s="2408"/>
    </row>
    <row r="2638" spans="1:12" x14ac:dyDescent="0.3">
      <c r="A2638" s="81" t="s">
        <v>6090</v>
      </c>
      <c r="B2638" s="2445" t="s">
        <v>4234</v>
      </c>
      <c r="C2638" s="2406">
        <v>0</v>
      </c>
      <c r="D2638" s="2396"/>
      <c r="E2638" s="2406">
        <v>0</v>
      </c>
      <c r="F2638" s="2406">
        <v>0</v>
      </c>
      <c r="G2638" s="2455">
        <v>0</v>
      </c>
      <c r="H2638" s="2407">
        <v>0</v>
      </c>
      <c r="I2638" s="2413"/>
      <c r="J2638" s="2413"/>
      <c r="K2638" s="2686" t="s">
        <v>6564</v>
      </c>
      <c r="L2638" s="2408"/>
    </row>
    <row r="2639" spans="1:12" x14ac:dyDescent="0.3">
      <c r="A2639" s="81" t="s">
        <v>6091</v>
      </c>
      <c r="B2639" s="2445" t="s">
        <v>4235</v>
      </c>
      <c r="C2639" s="2406">
        <v>0</v>
      </c>
      <c r="D2639" s="2396"/>
      <c r="E2639" s="2406">
        <v>0</v>
      </c>
      <c r="F2639" s="2406">
        <v>0</v>
      </c>
      <c r="G2639" s="2455">
        <v>0</v>
      </c>
      <c r="H2639" s="2407">
        <v>0</v>
      </c>
      <c r="I2639" s="2413"/>
      <c r="J2639" s="2413"/>
      <c r="K2639" s="2686" t="s">
        <v>6564</v>
      </c>
      <c r="L2639" s="2408"/>
    </row>
    <row r="2640" spans="1:12" x14ac:dyDescent="0.3">
      <c r="A2640" s="81" t="s">
        <v>6092</v>
      </c>
      <c r="B2640" s="2445" t="s">
        <v>4236</v>
      </c>
      <c r="C2640" s="2406">
        <v>2106350</v>
      </c>
      <c r="D2640" s="2396"/>
      <c r="E2640" s="2406">
        <v>0</v>
      </c>
      <c r="F2640" s="2406">
        <v>0</v>
      </c>
      <c r="G2640" s="2455">
        <v>0</v>
      </c>
      <c r="H2640" s="2407">
        <v>2106350</v>
      </c>
      <c r="I2640" s="2413"/>
      <c r="J2640" s="2413"/>
      <c r="K2640" s="2686" t="s">
        <v>6564</v>
      </c>
      <c r="L2640" s="2408"/>
    </row>
    <row r="2641" spans="1:12" x14ac:dyDescent="0.3">
      <c r="A2641" s="81" t="s">
        <v>6093</v>
      </c>
      <c r="B2641" s="2445" t="s">
        <v>4237</v>
      </c>
      <c r="C2641" s="2406">
        <v>3080000</v>
      </c>
      <c r="D2641" s="2396"/>
      <c r="E2641" s="2406">
        <v>0</v>
      </c>
      <c r="F2641" s="2406">
        <v>0</v>
      </c>
      <c r="G2641" s="2455">
        <v>0</v>
      </c>
      <c r="H2641" s="2407">
        <v>3080000</v>
      </c>
      <c r="I2641" s="2413"/>
      <c r="J2641" s="2413"/>
      <c r="K2641" s="2686" t="s">
        <v>6564</v>
      </c>
      <c r="L2641" s="2408"/>
    </row>
    <row r="2642" spans="1:12" x14ac:dyDescent="0.3">
      <c r="A2642" s="81" t="s">
        <v>6094</v>
      </c>
      <c r="B2642" s="2445" t="s">
        <v>4238</v>
      </c>
      <c r="C2642" s="2406">
        <v>0</v>
      </c>
      <c r="D2642" s="2396"/>
      <c r="E2642" s="2406">
        <v>0</v>
      </c>
      <c r="F2642" s="2406">
        <v>0</v>
      </c>
      <c r="G2642" s="2455">
        <v>0</v>
      </c>
      <c r="H2642" s="2407">
        <v>0</v>
      </c>
      <c r="I2642" s="2413"/>
      <c r="J2642" s="2413"/>
      <c r="K2642" s="2686"/>
      <c r="L2642" s="2408"/>
    </row>
    <row r="2643" spans="1:12" x14ac:dyDescent="0.3">
      <c r="A2643" s="81" t="s">
        <v>6095</v>
      </c>
      <c r="B2643" s="2445" t="s">
        <v>4239</v>
      </c>
      <c r="C2643" s="2406">
        <v>7450000</v>
      </c>
      <c r="D2643" s="2396"/>
      <c r="E2643" s="2406">
        <v>75000</v>
      </c>
      <c r="F2643" s="2406">
        <v>0</v>
      </c>
      <c r="G2643" s="2455">
        <v>75000</v>
      </c>
      <c r="H2643" s="2407">
        <v>7525000</v>
      </c>
      <c r="I2643" s="2413"/>
      <c r="J2643" s="2413"/>
      <c r="K2643" s="2686" t="s">
        <v>6564</v>
      </c>
      <c r="L2643" s="2408"/>
    </row>
    <row r="2644" spans="1:12" x14ac:dyDescent="0.3">
      <c r="A2644" s="81" t="s">
        <v>6096</v>
      </c>
      <c r="B2644" s="2445" t="s">
        <v>4240</v>
      </c>
      <c r="C2644" s="2406">
        <v>22779800</v>
      </c>
      <c r="D2644" s="2396"/>
      <c r="E2644" s="2406">
        <v>80000</v>
      </c>
      <c r="F2644" s="2406">
        <v>0</v>
      </c>
      <c r="G2644" s="2455">
        <v>80000</v>
      </c>
      <c r="H2644" s="2407">
        <v>22859800</v>
      </c>
      <c r="I2644" s="2413"/>
      <c r="J2644" s="2413"/>
      <c r="K2644" s="2686" t="s">
        <v>6564</v>
      </c>
      <c r="L2644" s="2408"/>
    </row>
    <row r="2645" spans="1:12" x14ac:dyDescent="0.3">
      <c r="A2645" s="81" t="s">
        <v>6097</v>
      </c>
      <c r="B2645" s="2445" t="s">
        <v>4241</v>
      </c>
      <c r="C2645" s="2406">
        <v>0</v>
      </c>
      <c r="D2645" s="2396"/>
      <c r="E2645" s="2406">
        <v>0</v>
      </c>
      <c r="F2645" s="2406">
        <v>0</v>
      </c>
      <c r="G2645" s="2455">
        <v>0</v>
      </c>
      <c r="H2645" s="2407">
        <v>0</v>
      </c>
      <c r="I2645" s="2413"/>
      <c r="J2645" s="2413"/>
      <c r="K2645" s="2686" t="s">
        <v>6564</v>
      </c>
      <c r="L2645" s="2408"/>
    </row>
    <row r="2646" spans="1:12" x14ac:dyDescent="0.3">
      <c r="A2646" s="81" t="s">
        <v>6098</v>
      </c>
      <c r="B2646" s="2445" t="s">
        <v>4242</v>
      </c>
      <c r="C2646" s="2406">
        <v>250000</v>
      </c>
      <c r="D2646" s="2396"/>
      <c r="E2646" s="2406">
        <v>0</v>
      </c>
      <c r="F2646" s="2406">
        <v>0</v>
      </c>
      <c r="G2646" s="2455">
        <v>0</v>
      </c>
      <c r="H2646" s="2407">
        <v>250000</v>
      </c>
      <c r="I2646" s="2413"/>
      <c r="J2646" s="2413"/>
      <c r="K2646" s="2686" t="s">
        <v>6564</v>
      </c>
      <c r="L2646" s="2408"/>
    </row>
    <row r="2647" spans="1:12" x14ac:dyDescent="0.3">
      <c r="A2647" s="81" t="s">
        <v>6099</v>
      </c>
      <c r="B2647" s="2445" t="s">
        <v>4243</v>
      </c>
      <c r="C2647" s="2406">
        <v>3893000</v>
      </c>
      <c r="D2647" s="2396"/>
      <c r="E2647" s="2406">
        <v>331000</v>
      </c>
      <c r="F2647" s="2406">
        <v>0</v>
      </c>
      <c r="G2647" s="2455">
        <v>331000</v>
      </c>
      <c r="H2647" s="2407">
        <v>4224000</v>
      </c>
      <c r="I2647" s="2413"/>
      <c r="J2647" s="2413"/>
      <c r="K2647" s="2686" t="s">
        <v>6564</v>
      </c>
      <c r="L2647" s="2408"/>
    </row>
    <row r="2648" spans="1:12" x14ac:dyDescent="0.3">
      <c r="A2648" s="81" t="s">
        <v>6100</v>
      </c>
      <c r="B2648" s="2445" t="s">
        <v>4244</v>
      </c>
      <c r="C2648" s="2406">
        <v>0</v>
      </c>
      <c r="D2648" s="2396"/>
      <c r="E2648" s="2406">
        <v>0</v>
      </c>
      <c r="F2648" s="2406">
        <v>0</v>
      </c>
      <c r="G2648" s="2455">
        <v>0</v>
      </c>
      <c r="H2648" s="2407">
        <v>0</v>
      </c>
      <c r="I2648" s="2413"/>
      <c r="J2648" s="2413"/>
      <c r="K2648" s="2686" t="s">
        <v>6564</v>
      </c>
      <c r="L2648" s="2408"/>
    </row>
    <row r="2649" spans="1:12" x14ac:dyDescent="0.3">
      <c r="A2649" s="81" t="s">
        <v>6101</v>
      </c>
      <c r="B2649" s="2445" t="s">
        <v>4245</v>
      </c>
      <c r="C2649" s="2406">
        <v>1285000</v>
      </c>
      <c r="D2649" s="2396"/>
      <c r="E2649" s="2406">
        <v>0</v>
      </c>
      <c r="F2649" s="2406">
        <v>0</v>
      </c>
      <c r="G2649" s="2455">
        <v>0</v>
      </c>
      <c r="H2649" s="2407">
        <v>1285000</v>
      </c>
      <c r="I2649" s="2413"/>
      <c r="J2649" s="2413"/>
      <c r="K2649" s="2686" t="s">
        <v>6564</v>
      </c>
      <c r="L2649" s="2408"/>
    </row>
    <row r="2650" spans="1:12" x14ac:dyDescent="0.3">
      <c r="A2650" s="81" t="s">
        <v>6102</v>
      </c>
      <c r="B2650" s="2445" t="s">
        <v>4246</v>
      </c>
      <c r="C2650" s="2406">
        <v>9352207</v>
      </c>
      <c r="D2650" s="2396"/>
      <c r="E2650" s="2406">
        <v>55000</v>
      </c>
      <c r="F2650" s="2406">
        <v>0</v>
      </c>
      <c r="G2650" s="2455">
        <v>55000</v>
      </c>
      <c r="H2650" s="2407">
        <v>9407207</v>
      </c>
      <c r="I2650" s="2413"/>
      <c r="J2650" s="2413"/>
      <c r="K2650" s="2686" t="s">
        <v>6564</v>
      </c>
      <c r="L2650" s="2408"/>
    </row>
    <row r="2651" spans="1:12" x14ac:dyDescent="0.3">
      <c r="A2651" s="81" t="s">
        <v>6103</v>
      </c>
      <c r="B2651" s="2445" t="s">
        <v>4247</v>
      </c>
      <c r="C2651" s="2406">
        <v>0</v>
      </c>
      <c r="D2651" s="2396"/>
      <c r="E2651" s="2406">
        <v>0</v>
      </c>
      <c r="F2651" s="2406">
        <v>0</v>
      </c>
      <c r="G2651" s="2455">
        <v>0</v>
      </c>
      <c r="H2651" s="2407">
        <v>0</v>
      </c>
      <c r="I2651" s="2413"/>
      <c r="J2651" s="2413"/>
      <c r="K2651" s="2686" t="s">
        <v>6564</v>
      </c>
      <c r="L2651" s="2408"/>
    </row>
    <row r="2652" spans="1:12" x14ac:dyDescent="0.3">
      <c r="A2652" s="81" t="s">
        <v>6104</v>
      </c>
      <c r="B2652" s="2445" t="s">
        <v>4248</v>
      </c>
      <c r="C2652" s="2406">
        <v>20000</v>
      </c>
      <c r="D2652" s="2396"/>
      <c r="E2652" s="2406">
        <v>0</v>
      </c>
      <c r="F2652" s="2406">
        <v>0</v>
      </c>
      <c r="G2652" s="2455">
        <v>0</v>
      </c>
      <c r="H2652" s="2407">
        <v>20000</v>
      </c>
      <c r="I2652" s="2413"/>
      <c r="J2652" s="2413"/>
      <c r="K2652" s="2686" t="s">
        <v>6564</v>
      </c>
      <c r="L2652" s="2408"/>
    </row>
    <row r="2653" spans="1:12" x14ac:dyDescent="0.3">
      <c r="A2653" s="81" t="s">
        <v>6105</v>
      </c>
      <c r="B2653" s="2445" t="s">
        <v>4251</v>
      </c>
      <c r="C2653" s="2406">
        <v>0</v>
      </c>
      <c r="D2653" s="2396"/>
      <c r="E2653" s="2406">
        <v>0</v>
      </c>
      <c r="F2653" s="2406">
        <v>0</v>
      </c>
      <c r="G2653" s="2455">
        <v>0</v>
      </c>
      <c r="H2653" s="2407">
        <v>0</v>
      </c>
      <c r="I2653" s="2413"/>
      <c r="J2653" s="2413"/>
      <c r="K2653" s="2686"/>
      <c r="L2653" s="2408"/>
    </row>
    <row r="2654" spans="1:12" x14ac:dyDescent="0.3">
      <c r="A2654" s="81" t="s">
        <v>6106</v>
      </c>
      <c r="B2654" s="2445" t="s">
        <v>4252</v>
      </c>
      <c r="C2654" s="2406">
        <v>1635000</v>
      </c>
      <c r="D2654" s="2396"/>
      <c r="E2654" s="2406">
        <v>0</v>
      </c>
      <c r="F2654" s="2406">
        <v>0</v>
      </c>
      <c r="G2654" s="2460">
        <v>0</v>
      </c>
      <c r="H2654" s="2407">
        <v>1635000</v>
      </c>
      <c r="I2654" s="2413"/>
      <c r="J2654" s="2413"/>
      <c r="K2654" s="2686" t="s">
        <v>6526</v>
      </c>
      <c r="L2654" s="2408"/>
    </row>
    <row r="2655" spans="1:12" x14ac:dyDescent="0.3">
      <c r="A2655" s="81" t="s">
        <v>6107</v>
      </c>
      <c r="B2655" s="2445" t="s">
        <v>4253</v>
      </c>
      <c r="C2655" s="2406">
        <v>1286100</v>
      </c>
      <c r="D2655" s="2396"/>
      <c r="E2655" s="2406">
        <v>0</v>
      </c>
      <c r="F2655" s="2406">
        <v>0</v>
      </c>
      <c r="G2655" s="2460">
        <v>0</v>
      </c>
      <c r="H2655" s="2407">
        <v>1286100</v>
      </c>
      <c r="I2655" s="2413"/>
      <c r="J2655" s="2413"/>
      <c r="K2655" s="2686" t="s">
        <v>6526</v>
      </c>
      <c r="L2655" s="2408"/>
    </row>
    <row r="2656" spans="1:12" x14ac:dyDescent="0.3">
      <c r="A2656" s="81" t="s">
        <v>6108</v>
      </c>
      <c r="B2656" s="2445" t="s">
        <v>4254</v>
      </c>
      <c r="C2656" s="2406">
        <v>926000</v>
      </c>
      <c r="D2656" s="2396"/>
      <c r="E2656" s="2406">
        <v>0</v>
      </c>
      <c r="F2656" s="2406">
        <v>0</v>
      </c>
      <c r="G2656" s="2460">
        <v>0</v>
      </c>
      <c r="H2656" s="2407">
        <v>926000</v>
      </c>
      <c r="I2656" s="2413"/>
      <c r="J2656" s="2413"/>
      <c r="K2656" s="2686" t="s">
        <v>6526</v>
      </c>
      <c r="L2656" s="2408"/>
    </row>
    <row r="2657" spans="1:12" x14ac:dyDescent="0.3">
      <c r="A2657" s="81" t="s">
        <v>6109</v>
      </c>
      <c r="B2657" s="2445" t="s">
        <v>4255</v>
      </c>
      <c r="C2657" s="2406">
        <v>12427500</v>
      </c>
      <c r="D2657" s="2396"/>
      <c r="E2657" s="2406">
        <v>0</v>
      </c>
      <c r="F2657" s="2406">
        <v>0</v>
      </c>
      <c r="G2657" s="2460">
        <v>0</v>
      </c>
      <c r="H2657" s="2407">
        <v>12427500</v>
      </c>
      <c r="I2657" s="2413"/>
      <c r="J2657" s="2413"/>
      <c r="K2657" s="2686" t="s">
        <v>6528</v>
      </c>
      <c r="L2657" s="2408"/>
    </row>
    <row r="2658" spans="1:12" x14ac:dyDescent="0.3">
      <c r="A2658" s="81" t="s">
        <v>6110</v>
      </c>
      <c r="B2658" s="2445" t="s">
        <v>4256</v>
      </c>
      <c r="C2658" s="2406">
        <v>0</v>
      </c>
      <c r="D2658" s="2396"/>
      <c r="E2658" s="2406">
        <v>0</v>
      </c>
      <c r="F2658" s="2406">
        <v>0</v>
      </c>
      <c r="G2658" s="2460">
        <v>0</v>
      </c>
      <c r="H2658" s="2407">
        <v>0</v>
      </c>
      <c r="I2658" s="2413"/>
      <c r="J2658" s="2413"/>
      <c r="K2658" s="2686" t="s">
        <v>6526</v>
      </c>
      <c r="L2658" s="2408"/>
    </row>
    <row r="2659" spans="1:12" x14ac:dyDescent="0.3">
      <c r="A2659" s="81" t="s">
        <v>6111</v>
      </c>
      <c r="B2659" s="2445" t="s">
        <v>4257</v>
      </c>
      <c r="C2659" s="2406">
        <v>133500</v>
      </c>
      <c r="D2659" s="2396"/>
      <c r="E2659" s="2406">
        <v>0</v>
      </c>
      <c r="F2659" s="2406">
        <v>0</v>
      </c>
      <c r="G2659" s="2460">
        <v>0</v>
      </c>
      <c r="H2659" s="2407">
        <v>133500</v>
      </c>
      <c r="I2659" s="2413"/>
      <c r="J2659" s="2413"/>
      <c r="K2659" s="2686" t="s">
        <v>6526</v>
      </c>
      <c r="L2659" s="2408"/>
    </row>
    <row r="2660" spans="1:12" x14ac:dyDescent="0.3">
      <c r="A2660" s="81" t="s">
        <v>6112</v>
      </c>
      <c r="B2660" s="2445" t="s">
        <v>4258</v>
      </c>
      <c r="C2660" s="2406">
        <v>0</v>
      </c>
      <c r="D2660" s="2396"/>
      <c r="E2660" s="2406">
        <v>0</v>
      </c>
      <c r="F2660" s="2406">
        <v>0</v>
      </c>
      <c r="G2660" s="2460">
        <v>0</v>
      </c>
      <c r="H2660" s="2407">
        <v>0</v>
      </c>
      <c r="I2660" s="2413"/>
      <c r="J2660" s="2413"/>
      <c r="K2660" s="2686" t="s">
        <v>6526</v>
      </c>
      <c r="L2660" s="2408"/>
    </row>
    <row r="2661" spans="1:12" x14ac:dyDescent="0.3">
      <c r="A2661" s="81" t="s">
        <v>6113</v>
      </c>
      <c r="B2661" s="2445" t="s">
        <v>4259</v>
      </c>
      <c r="C2661" s="2406">
        <v>0</v>
      </c>
      <c r="D2661" s="2396"/>
      <c r="E2661" s="2406">
        <v>0</v>
      </c>
      <c r="F2661" s="2406">
        <v>0</v>
      </c>
      <c r="G2661" s="2460">
        <v>0</v>
      </c>
      <c r="H2661" s="2407">
        <v>0</v>
      </c>
      <c r="I2661" s="2413"/>
      <c r="J2661" s="2413"/>
      <c r="K2661" s="2686" t="s">
        <v>6526</v>
      </c>
      <c r="L2661" s="2408"/>
    </row>
    <row r="2662" spans="1:12" x14ac:dyDescent="0.3">
      <c r="A2662" s="81" t="s">
        <v>6114</v>
      </c>
      <c r="B2662" s="2445" t="s">
        <v>4260</v>
      </c>
      <c r="C2662" s="2406">
        <v>0</v>
      </c>
      <c r="D2662" s="2396"/>
      <c r="E2662" s="2406">
        <v>0</v>
      </c>
      <c r="F2662" s="2406">
        <v>0</v>
      </c>
      <c r="G2662" s="2460">
        <v>0</v>
      </c>
      <c r="H2662" s="2407">
        <v>0</v>
      </c>
      <c r="I2662" s="2413"/>
      <c r="J2662" s="2413"/>
      <c r="K2662" s="2686" t="s">
        <v>6526</v>
      </c>
      <c r="L2662" s="2408"/>
    </row>
    <row r="2663" spans="1:12" x14ac:dyDescent="0.3">
      <c r="A2663" s="81" t="s">
        <v>6115</v>
      </c>
      <c r="B2663" s="2445" t="s">
        <v>4261</v>
      </c>
      <c r="C2663" s="2406">
        <v>0</v>
      </c>
      <c r="D2663" s="2396"/>
      <c r="E2663" s="2406">
        <v>0</v>
      </c>
      <c r="F2663" s="2406">
        <v>0</v>
      </c>
      <c r="G2663" s="2460">
        <v>0</v>
      </c>
      <c r="H2663" s="2407">
        <v>0</v>
      </c>
      <c r="I2663" s="2413"/>
      <c r="J2663" s="2413"/>
      <c r="K2663" s="2686"/>
      <c r="L2663" s="2408"/>
    </row>
    <row r="2664" spans="1:12" x14ac:dyDescent="0.3">
      <c r="A2664" s="81" t="s">
        <v>6116</v>
      </c>
      <c r="B2664" s="2445" t="s">
        <v>4262</v>
      </c>
      <c r="C2664" s="2406">
        <v>1712949</v>
      </c>
      <c r="D2664" s="2396"/>
      <c r="E2664" s="2406">
        <v>0</v>
      </c>
      <c r="F2664" s="2406">
        <v>0</v>
      </c>
      <c r="G2664" s="2460">
        <v>0</v>
      </c>
      <c r="H2664" s="2407">
        <v>1712949</v>
      </c>
      <c r="I2664" s="2413"/>
      <c r="J2664" s="2413"/>
      <c r="K2664" s="2686" t="s">
        <v>6528</v>
      </c>
      <c r="L2664" s="2408"/>
    </row>
    <row r="2665" spans="1:12" x14ac:dyDescent="0.3">
      <c r="A2665" s="81" t="s">
        <v>6117</v>
      </c>
      <c r="B2665" s="2445" t="s">
        <v>4263</v>
      </c>
      <c r="C2665" s="2406">
        <v>10165711</v>
      </c>
      <c r="D2665" s="2396"/>
      <c r="E2665" s="2406">
        <v>0</v>
      </c>
      <c r="F2665" s="2406">
        <v>0</v>
      </c>
      <c r="G2665" s="2460">
        <v>0</v>
      </c>
      <c r="H2665" s="2407">
        <v>10165711</v>
      </c>
      <c r="I2665" s="2413"/>
      <c r="J2665" s="2413"/>
      <c r="K2665" s="2686" t="s">
        <v>6528</v>
      </c>
      <c r="L2665" s="2408"/>
    </row>
    <row r="2666" spans="1:12" x14ac:dyDescent="0.3">
      <c r="A2666" s="81" t="s">
        <v>6118</v>
      </c>
      <c r="B2666" s="2445" t="s">
        <v>4264</v>
      </c>
      <c r="C2666" s="2406">
        <v>8177500</v>
      </c>
      <c r="D2666" s="2396"/>
      <c r="E2666" s="2406">
        <v>0</v>
      </c>
      <c r="F2666" s="2406">
        <v>0</v>
      </c>
      <c r="G2666" s="2460">
        <v>0</v>
      </c>
      <c r="H2666" s="2407">
        <v>8177500</v>
      </c>
      <c r="I2666" s="2413"/>
      <c r="J2666" s="2413"/>
      <c r="K2666" s="2686" t="s">
        <v>6528</v>
      </c>
      <c r="L2666" s="2408"/>
    </row>
    <row r="2667" spans="1:12" x14ac:dyDescent="0.3">
      <c r="A2667" s="81" t="s">
        <v>6119</v>
      </c>
      <c r="B2667" s="2445" t="s">
        <v>4265</v>
      </c>
      <c r="C2667" s="2406">
        <v>2853500</v>
      </c>
      <c r="D2667" s="2396"/>
      <c r="E2667" s="2406">
        <v>0</v>
      </c>
      <c r="F2667" s="2406">
        <v>0</v>
      </c>
      <c r="G2667" s="2460">
        <v>0</v>
      </c>
      <c r="H2667" s="2407">
        <v>2853500</v>
      </c>
      <c r="I2667" s="2413"/>
      <c r="J2667" s="2413"/>
      <c r="K2667" s="2686" t="s">
        <v>6526</v>
      </c>
      <c r="L2667" s="2408"/>
    </row>
    <row r="2668" spans="1:12" x14ac:dyDescent="0.3">
      <c r="A2668" s="81" t="s">
        <v>6120</v>
      </c>
      <c r="B2668" s="2445" t="s">
        <v>4266</v>
      </c>
      <c r="C2668" s="2406">
        <v>0</v>
      </c>
      <c r="D2668" s="2396"/>
      <c r="E2668" s="2406">
        <v>0</v>
      </c>
      <c r="F2668" s="2406">
        <v>0</v>
      </c>
      <c r="G2668" s="2460">
        <v>0</v>
      </c>
      <c r="H2668" s="2407">
        <v>0</v>
      </c>
      <c r="I2668" s="2413"/>
      <c r="J2668" s="2413"/>
      <c r="K2668" s="2686" t="s">
        <v>6526</v>
      </c>
      <c r="L2668" s="2408"/>
    </row>
    <row r="2669" spans="1:12" x14ac:dyDescent="0.3">
      <c r="A2669" s="81" t="s">
        <v>6121</v>
      </c>
      <c r="B2669" s="2445" t="s">
        <v>4257</v>
      </c>
      <c r="C2669" s="2406">
        <v>435500</v>
      </c>
      <c r="D2669" s="2396"/>
      <c r="E2669" s="2406">
        <v>153000</v>
      </c>
      <c r="F2669" s="2406">
        <v>0</v>
      </c>
      <c r="G2669" s="2460">
        <v>153000</v>
      </c>
      <c r="H2669" s="2407">
        <v>588500</v>
      </c>
      <c r="I2669" s="2413"/>
      <c r="J2669" s="2413"/>
      <c r="K2669" s="2686" t="s">
        <v>6526</v>
      </c>
      <c r="L2669" s="2408"/>
    </row>
    <row r="2670" spans="1:12" x14ac:dyDescent="0.3">
      <c r="A2670" s="81" t="s">
        <v>6122</v>
      </c>
      <c r="B2670" s="2445" t="s">
        <v>4267</v>
      </c>
      <c r="C2670" s="2406">
        <v>1486000</v>
      </c>
      <c r="D2670" s="2396"/>
      <c r="E2670" s="2406">
        <v>18000</v>
      </c>
      <c r="F2670" s="2406">
        <v>0</v>
      </c>
      <c r="G2670" s="2460">
        <v>18000</v>
      </c>
      <c r="H2670" s="2407">
        <v>1504000</v>
      </c>
      <c r="I2670" s="2413"/>
      <c r="J2670" s="2413"/>
      <c r="K2670" s="2686" t="s">
        <v>6526</v>
      </c>
      <c r="L2670" s="2408"/>
    </row>
    <row r="2671" spans="1:12" x14ac:dyDescent="0.3">
      <c r="A2671" s="81" t="s">
        <v>6123</v>
      </c>
      <c r="B2671" s="2445" t="s">
        <v>4259</v>
      </c>
      <c r="C2671" s="2406">
        <v>535000</v>
      </c>
      <c r="D2671" s="2396"/>
      <c r="E2671" s="2406">
        <v>0</v>
      </c>
      <c r="F2671" s="2406">
        <v>0</v>
      </c>
      <c r="G2671" s="2460">
        <v>0</v>
      </c>
      <c r="H2671" s="2407">
        <v>535000</v>
      </c>
      <c r="I2671" s="2413"/>
      <c r="J2671" s="2413"/>
      <c r="K2671" s="2686" t="s">
        <v>6526</v>
      </c>
      <c r="L2671" s="2408"/>
    </row>
    <row r="2672" spans="1:12" x14ac:dyDescent="0.3">
      <c r="A2672" s="81" t="s">
        <v>6124</v>
      </c>
      <c r="B2672" s="2445" t="s">
        <v>4260</v>
      </c>
      <c r="C2672" s="2406">
        <v>15000</v>
      </c>
      <c r="D2672" s="2396"/>
      <c r="E2672" s="2406">
        <v>80000</v>
      </c>
      <c r="F2672" s="2406">
        <v>0</v>
      </c>
      <c r="G2672" s="2460">
        <v>80000</v>
      </c>
      <c r="H2672" s="2407">
        <v>95000</v>
      </c>
      <c r="I2672" s="2413"/>
      <c r="J2672" s="2413"/>
      <c r="K2672" s="2686" t="s">
        <v>6527</v>
      </c>
      <c r="L2672" s="2408"/>
    </row>
    <row r="2673" spans="1:12" x14ac:dyDescent="0.3">
      <c r="A2673" s="81" t="s">
        <v>6125</v>
      </c>
      <c r="B2673" s="2445" t="s">
        <v>1102</v>
      </c>
      <c r="C2673" s="2406">
        <v>0</v>
      </c>
      <c r="D2673" s="2396"/>
      <c r="E2673" s="2406">
        <v>0</v>
      </c>
      <c r="F2673" s="2406">
        <v>0</v>
      </c>
      <c r="G2673" s="2460">
        <v>0</v>
      </c>
      <c r="H2673" s="2407">
        <v>0</v>
      </c>
      <c r="I2673" s="2413"/>
      <c r="J2673" s="2413"/>
      <c r="K2673" s="2686" t="s">
        <v>6565</v>
      </c>
      <c r="L2673" s="2408"/>
    </row>
    <row r="2674" spans="1:12" x14ac:dyDescent="0.3">
      <c r="A2674" s="81" t="s">
        <v>6126</v>
      </c>
      <c r="B2674" s="2445" t="s">
        <v>4268</v>
      </c>
      <c r="C2674" s="2406">
        <v>19990638</v>
      </c>
      <c r="D2674" s="2396"/>
      <c r="E2674" s="2406">
        <v>326000</v>
      </c>
      <c r="F2674" s="2406">
        <v>0</v>
      </c>
      <c r="G2674" s="2460">
        <v>326000</v>
      </c>
      <c r="H2674" s="2407">
        <v>20316638</v>
      </c>
      <c r="I2674" s="2413"/>
      <c r="J2674" s="2413"/>
      <c r="K2674" s="2686" t="s">
        <v>6565</v>
      </c>
      <c r="L2674" s="2408"/>
    </row>
    <row r="2675" spans="1:12" x14ac:dyDescent="0.3">
      <c r="A2675" s="81" t="s">
        <v>6127</v>
      </c>
      <c r="B2675" s="2445" t="s">
        <v>4269</v>
      </c>
      <c r="C2675" s="2406">
        <v>9018000</v>
      </c>
      <c r="D2675" s="2396"/>
      <c r="E2675" s="2406">
        <v>125000</v>
      </c>
      <c r="F2675" s="2406">
        <v>0</v>
      </c>
      <c r="G2675" s="2460">
        <v>125000</v>
      </c>
      <c r="H2675" s="2407">
        <v>9143000</v>
      </c>
      <c r="I2675" s="2413"/>
      <c r="J2675" s="2413"/>
      <c r="K2675" s="2686" t="s">
        <v>6565</v>
      </c>
      <c r="L2675" s="2408"/>
    </row>
    <row r="2676" spans="1:12" x14ac:dyDescent="0.3">
      <c r="A2676" s="81" t="s">
        <v>6128</v>
      </c>
      <c r="B2676" s="2445" t="s">
        <v>4270</v>
      </c>
      <c r="C2676" s="2406">
        <v>0</v>
      </c>
      <c r="D2676" s="2396"/>
      <c r="E2676" s="2406">
        <v>0</v>
      </c>
      <c r="F2676" s="2406">
        <v>0</v>
      </c>
      <c r="G2676" s="2460">
        <v>0</v>
      </c>
      <c r="H2676" s="2407">
        <v>0</v>
      </c>
      <c r="I2676" s="2413"/>
      <c r="J2676" s="2413"/>
      <c r="K2676" s="2686" t="s">
        <v>6565</v>
      </c>
      <c r="L2676" s="2408"/>
    </row>
    <row r="2677" spans="1:12" x14ac:dyDescent="0.3">
      <c r="A2677" s="81" t="s">
        <v>6129</v>
      </c>
      <c r="B2677" s="2445" t="s">
        <v>4271</v>
      </c>
      <c r="C2677" s="2406">
        <v>340000</v>
      </c>
      <c r="D2677" s="2396"/>
      <c r="E2677" s="2406">
        <v>0</v>
      </c>
      <c r="F2677" s="2406">
        <v>0</v>
      </c>
      <c r="G2677" s="2460">
        <v>0</v>
      </c>
      <c r="H2677" s="2407">
        <v>340000</v>
      </c>
      <c r="I2677" s="2413"/>
      <c r="J2677" s="2413"/>
      <c r="K2677" s="2686" t="s">
        <v>6565</v>
      </c>
      <c r="L2677" s="2408"/>
    </row>
    <row r="2678" spans="1:12" x14ac:dyDescent="0.3">
      <c r="A2678" s="81" t="s">
        <v>6130</v>
      </c>
      <c r="B2678" s="2445" t="s">
        <v>4272</v>
      </c>
      <c r="C2678" s="2406">
        <v>0</v>
      </c>
      <c r="D2678" s="2396"/>
      <c r="E2678" s="2406">
        <v>0</v>
      </c>
      <c r="F2678" s="2406">
        <v>0</v>
      </c>
      <c r="G2678" s="2460">
        <v>0</v>
      </c>
      <c r="H2678" s="2407">
        <v>0</v>
      </c>
      <c r="I2678" s="2413"/>
      <c r="J2678" s="2413"/>
      <c r="K2678" s="2686"/>
      <c r="L2678" s="2408"/>
    </row>
    <row r="2679" spans="1:12" x14ac:dyDescent="0.3">
      <c r="A2679" s="81" t="s">
        <v>6131</v>
      </c>
      <c r="B2679" s="2445" t="s">
        <v>4273</v>
      </c>
      <c r="C2679" s="2406">
        <v>0</v>
      </c>
      <c r="D2679" s="2396"/>
      <c r="E2679" s="2406">
        <v>0</v>
      </c>
      <c r="F2679" s="2406">
        <v>0</v>
      </c>
      <c r="G2679" s="2460">
        <v>0</v>
      </c>
      <c r="H2679" s="2407">
        <v>0</v>
      </c>
      <c r="I2679" s="2413"/>
      <c r="J2679" s="2413"/>
      <c r="K2679" s="2686" t="s">
        <v>6531</v>
      </c>
      <c r="L2679" s="2408"/>
    </row>
    <row r="2680" spans="1:12" x14ac:dyDescent="0.3">
      <c r="A2680" s="81" t="s">
        <v>6132</v>
      </c>
      <c r="B2680" s="2445" t="s">
        <v>4274</v>
      </c>
      <c r="C2680" s="2406">
        <v>0</v>
      </c>
      <c r="D2680" s="2396"/>
      <c r="E2680" s="2406">
        <v>0</v>
      </c>
      <c r="F2680" s="2406">
        <v>0</v>
      </c>
      <c r="G2680" s="2460">
        <v>0</v>
      </c>
      <c r="H2680" s="2407">
        <v>0</v>
      </c>
      <c r="I2680" s="2413"/>
      <c r="J2680" s="2413"/>
      <c r="K2680" s="2686" t="s">
        <v>6531</v>
      </c>
      <c r="L2680" s="2408"/>
    </row>
    <row r="2681" spans="1:12" x14ac:dyDescent="0.3">
      <c r="A2681" s="81" t="s">
        <v>6133</v>
      </c>
      <c r="B2681" s="2445" t="s">
        <v>4275</v>
      </c>
      <c r="C2681" s="2406">
        <v>0</v>
      </c>
      <c r="D2681" s="2396"/>
      <c r="E2681" s="2406">
        <v>0</v>
      </c>
      <c r="F2681" s="2406">
        <v>0</v>
      </c>
      <c r="G2681" s="2460">
        <v>0</v>
      </c>
      <c r="H2681" s="2407">
        <v>0</v>
      </c>
      <c r="I2681" s="2413"/>
      <c r="J2681" s="2413"/>
      <c r="K2681" s="2686" t="s">
        <v>6532</v>
      </c>
      <c r="L2681" s="2408"/>
    </row>
    <row r="2682" spans="1:12" x14ac:dyDescent="0.3">
      <c r="A2682" s="81" t="s">
        <v>6134</v>
      </c>
      <c r="B2682" s="2445" t="s">
        <v>4276</v>
      </c>
      <c r="C2682" s="2406">
        <v>0</v>
      </c>
      <c r="D2682" s="2396"/>
      <c r="E2682" s="2406">
        <v>0</v>
      </c>
      <c r="F2682" s="2406">
        <v>0</v>
      </c>
      <c r="G2682" s="2460">
        <v>0</v>
      </c>
      <c r="H2682" s="2407">
        <v>0</v>
      </c>
      <c r="I2682" s="2413"/>
      <c r="J2682" s="2413"/>
      <c r="K2682" s="2686" t="s">
        <v>6532</v>
      </c>
      <c r="L2682" s="2408"/>
    </row>
    <row r="2683" spans="1:12" x14ac:dyDescent="0.3">
      <c r="A2683" s="81" t="s">
        <v>6135</v>
      </c>
      <c r="B2683" s="2445" t="s">
        <v>350</v>
      </c>
      <c r="C2683" s="2406">
        <v>57500</v>
      </c>
      <c r="D2683" s="2396"/>
      <c r="E2683" s="2406">
        <v>0</v>
      </c>
      <c r="F2683" s="2406">
        <v>0</v>
      </c>
      <c r="G2683" s="2460">
        <v>0</v>
      </c>
      <c r="H2683" s="2407">
        <v>57500</v>
      </c>
      <c r="I2683" s="2413"/>
      <c r="J2683" s="2413"/>
      <c r="K2683" s="2686" t="s">
        <v>6527</v>
      </c>
      <c r="L2683" s="2408"/>
    </row>
    <row r="2684" spans="1:12" x14ac:dyDescent="0.3">
      <c r="A2684" s="81" t="s">
        <v>6136</v>
      </c>
      <c r="B2684" s="2445" t="s">
        <v>4279</v>
      </c>
      <c r="C2684" s="2406">
        <v>0</v>
      </c>
      <c r="D2684" s="2396"/>
      <c r="E2684" s="2406">
        <v>0</v>
      </c>
      <c r="F2684" s="2406">
        <v>0</v>
      </c>
      <c r="G2684" s="2460">
        <v>0</v>
      </c>
      <c r="H2684" s="2407">
        <v>0</v>
      </c>
      <c r="I2684" s="2413"/>
      <c r="J2684" s="2413"/>
      <c r="K2684" s="2687"/>
      <c r="L2684" s="2408"/>
    </row>
    <row r="2685" spans="1:12" x14ac:dyDescent="0.3">
      <c r="A2685" s="81" t="s">
        <v>6137</v>
      </c>
      <c r="B2685" s="2445" t="s">
        <v>7924</v>
      </c>
      <c r="C2685" s="2406">
        <v>408000</v>
      </c>
      <c r="D2685" s="2396"/>
      <c r="E2685" s="2406">
        <v>0</v>
      </c>
      <c r="F2685" s="2406">
        <v>0</v>
      </c>
      <c r="G2685" s="2463">
        <v>0</v>
      </c>
      <c r="H2685" s="2407">
        <v>408000</v>
      </c>
      <c r="I2685" s="2413"/>
      <c r="J2685" s="2413"/>
      <c r="K2685" s="2686" t="s">
        <v>6566</v>
      </c>
      <c r="L2685" s="2408"/>
    </row>
    <row r="2686" spans="1:12" x14ac:dyDescent="0.3">
      <c r="A2686" s="81" t="s">
        <v>6138</v>
      </c>
      <c r="B2686" s="2445" t="s">
        <v>7925</v>
      </c>
      <c r="C2686" s="2406">
        <v>10466000</v>
      </c>
      <c r="D2686" s="2396"/>
      <c r="E2686" s="2406">
        <v>504500</v>
      </c>
      <c r="F2686" s="2406">
        <v>0</v>
      </c>
      <c r="G2686" s="2463">
        <v>504500</v>
      </c>
      <c r="H2686" s="2407">
        <v>10970500</v>
      </c>
      <c r="I2686" s="2413"/>
      <c r="J2686" s="2413"/>
      <c r="K2686" s="2686" t="s">
        <v>6566</v>
      </c>
      <c r="L2686" s="2408"/>
    </row>
    <row r="2687" spans="1:12" x14ac:dyDescent="0.3">
      <c r="A2687" s="81" t="s">
        <v>6139</v>
      </c>
      <c r="B2687" s="2445" t="s">
        <v>4280</v>
      </c>
      <c r="C2687" s="2406">
        <v>39206700</v>
      </c>
      <c r="D2687" s="2396"/>
      <c r="E2687" s="2406">
        <v>5551600</v>
      </c>
      <c r="F2687" s="2406">
        <v>0</v>
      </c>
      <c r="G2687" s="2463">
        <v>5551600</v>
      </c>
      <c r="H2687" s="2407">
        <v>44758300</v>
      </c>
      <c r="I2687" s="2413"/>
      <c r="J2687" s="2413"/>
      <c r="K2687" s="2686" t="s">
        <v>6566</v>
      </c>
      <c r="L2687" s="2408"/>
    </row>
    <row r="2688" spans="1:12" x14ac:dyDescent="0.3">
      <c r="A2688" s="81" t="s">
        <v>6140</v>
      </c>
      <c r="B2688" s="2445" t="s">
        <v>7926</v>
      </c>
      <c r="C2688" s="2406">
        <v>9774000</v>
      </c>
      <c r="D2688" s="2396"/>
      <c r="E2688" s="2406">
        <v>1009000</v>
      </c>
      <c r="F2688" s="2406">
        <v>0</v>
      </c>
      <c r="G2688" s="2463">
        <v>1009000</v>
      </c>
      <c r="H2688" s="2407">
        <v>10783000</v>
      </c>
      <c r="I2688" s="2413"/>
      <c r="J2688" s="2413"/>
      <c r="K2688" s="2686" t="s">
        <v>6566</v>
      </c>
      <c r="L2688" s="2408"/>
    </row>
    <row r="2689" spans="1:12" x14ac:dyDescent="0.3">
      <c r="A2689" s="81" t="s">
        <v>6141</v>
      </c>
      <c r="B2689" s="2445" t="s">
        <v>7927</v>
      </c>
      <c r="C2689" s="2406">
        <v>2517500</v>
      </c>
      <c r="D2689" s="2396"/>
      <c r="E2689" s="2406">
        <v>0</v>
      </c>
      <c r="F2689" s="2406">
        <v>0</v>
      </c>
      <c r="G2689" s="2463">
        <v>0</v>
      </c>
      <c r="H2689" s="2407">
        <v>2517500</v>
      </c>
      <c r="I2689" s="2413"/>
      <c r="J2689" s="2413"/>
      <c r="K2689" s="2686" t="s">
        <v>6566</v>
      </c>
      <c r="L2689" s="2408"/>
    </row>
    <row r="2690" spans="1:12" x14ac:dyDescent="0.3">
      <c r="A2690" s="81" t="s">
        <v>6142</v>
      </c>
      <c r="B2690" s="2445" t="s">
        <v>7928</v>
      </c>
      <c r="C2690" s="2406">
        <v>7310000</v>
      </c>
      <c r="D2690" s="2396"/>
      <c r="E2690" s="2406">
        <v>1009000</v>
      </c>
      <c r="F2690" s="2406">
        <v>0</v>
      </c>
      <c r="G2690" s="2463">
        <v>1009000</v>
      </c>
      <c r="H2690" s="2407">
        <v>8319000</v>
      </c>
      <c r="I2690" s="2413"/>
      <c r="J2690" s="2413"/>
      <c r="K2690" s="2686" t="s">
        <v>6566</v>
      </c>
      <c r="L2690" s="2408"/>
    </row>
    <row r="2691" spans="1:12" x14ac:dyDescent="0.3">
      <c r="A2691" s="81" t="s">
        <v>6143</v>
      </c>
      <c r="B2691" s="2445" t="s">
        <v>4281</v>
      </c>
      <c r="C2691" s="2406">
        <v>503500</v>
      </c>
      <c r="D2691" s="2396"/>
      <c r="E2691" s="2406">
        <v>0</v>
      </c>
      <c r="F2691" s="2406">
        <v>0</v>
      </c>
      <c r="G2691" s="2463">
        <v>0</v>
      </c>
      <c r="H2691" s="2407">
        <v>503500</v>
      </c>
      <c r="I2691" s="2413"/>
      <c r="J2691" s="2413"/>
      <c r="K2691" s="2686" t="s">
        <v>6566</v>
      </c>
      <c r="L2691" s="2408"/>
    </row>
    <row r="2692" spans="1:12" x14ac:dyDescent="0.3">
      <c r="A2692" s="81" t="s">
        <v>6144</v>
      </c>
      <c r="B2692" s="2445" t="s">
        <v>4282</v>
      </c>
      <c r="C2692" s="2406">
        <v>0</v>
      </c>
      <c r="D2692" s="2396"/>
      <c r="E2692" s="2406">
        <v>0</v>
      </c>
      <c r="F2692" s="2406">
        <v>0</v>
      </c>
      <c r="G2692" s="2463">
        <v>0</v>
      </c>
      <c r="H2692" s="2407">
        <v>0</v>
      </c>
      <c r="I2692" s="2413"/>
      <c r="J2692" s="2413"/>
      <c r="K2692" s="2686" t="s">
        <v>6566</v>
      </c>
      <c r="L2692" s="2408"/>
    </row>
    <row r="2693" spans="1:12" x14ac:dyDescent="0.3">
      <c r="A2693" s="81" t="s">
        <v>6145</v>
      </c>
      <c r="B2693" s="2445" t="s">
        <v>4283</v>
      </c>
      <c r="C2693" s="2406">
        <v>0</v>
      </c>
      <c r="D2693" s="2396"/>
      <c r="E2693" s="2406">
        <v>0</v>
      </c>
      <c r="F2693" s="2406">
        <v>0</v>
      </c>
      <c r="G2693" s="2463">
        <v>0</v>
      </c>
      <c r="H2693" s="2407">
        <v>0</v>
      </c>
      <c r="I2693" s="2413"/>
      <c r="J2693" s="2413"/>
      <c r="K2693" s="2686" t="s">
        <v>6566</v>
      </c>
      <c r="L2693" s="2408"/>
    </row>
    <row r="2694" spans="1:12" x14ac:dyDescent="0.3">
      <c r="A2694" s="81" t="s">
        <v>6146</v>
      </c>
      <c r="B2694" s="2445" t="s">
        <v>4284</v>
      </c>
      <c r="C2694" s="2406">
        <v>0</v>
      </c>
      <c r="D2694" s="2396"/>
      <c r="E2694" s="2406">
        <v>0</v>
      </c>
      <c r="F2694" s="2406">
        <v>0</v>
      </c>
      <c r="G2694" s="2463">
        <v>0</v>
      </c>
      <c r="H2694" s="2407">
        <v>0</v>
      </c>
      <c r="I2694" s="2413"/>
      <c r="J2694" s="2413"/>
      <c r="K2694" s="2686"/>
      <c r="L2694" s="2408"/>
    </row>
    <row r="2695" spans="1:12" x14ac:dyDescent="0.3">
      <c r="A2695" s="81" t="s">
        <v>6147</v>
      </c>
      <c r="B2695" s="2445" t="s">
        <v>4285</v>
      </c>
      <c r="C2695" s="2406">
        <v>0</v>
      </c>
      <c r="D2695" s="2396"/>
      <c r="E2695" s="2406">
        <v>0</v>
      </c>
      <c r="F2695" s="2406">
        <v>0</v>
      </c>
      <c r="G2695" s="2463">
        <v>0</v>
      </c>
      <c r="H2695" s="2407">
        <v>0</v>
      </c>
      <c r="I2695" s="2413"/>
      <c r="J2695" s="2413"/>
      <c r="K2695" s="2687" t="s">
        <v>6567</v>
      </c>
      <c r="L2695" s="2408"/>
    </row>
    <row r="2696" spans="1:12" x14ac:dyDescent="0.3">
      <c r="A2696" s="81" t="s">
        <v>6148</v>
      </c>
      <c r="B2696" s="2445" t="s">
        <v>4286</v>
      </c>
      <c r="C2696" s="2406">
        <v>0</v>
      </c>
      <c r="D2696" s="2396"/>
      <c r="E2696" s="2406">
        <v>0</v>
      </c>
      <c r="F2696" s="2406">
        <v>0</v>
      </c>
      <c r="G2696" s="2463">
        <v>0</v>
      </c>
      <c r="H2696" s="2407">
        <v>0</v>
      </c>
      <c r="I2696" s="2413"/>
      <c r="J2696" s="2413"/>
      <c r="K2696" s="2686" t="s">
        <v>6567</v>
      </c>
      <c r="L2696" s="2408"/>
    </row>
    <row r="2697" spans="1:12" x14ac:dyDescent="0.3">
      <c r="A2697" s="81" t="s">
        <v>6149</v>
      </c>
      <c r="B2697" s="2445" t="s">
        <v>4287</v>
      </c>
      <c r="C2697" s="2406">
        <v>0</v>
      </c>
      <c r="D2697" s="2396"/>
      <c r="E2697" s="2406">
        <v>0</v>
      </c>
      <c r="F2697" s="2406">
        <v>0</v>
      </c>
      <c r="G2697" s="2463">
        <v>0</v>
      </c>
      <c r="H2697" s="2407">
        <v>0</v>
      </c>
      <c r="I2697" s="2413"/>
      <c r="J2697" s="2413"/>
      <c r="K2697" s="2686"/>
      <c r="L2697" s="2408"/>
    </row>
    <row r="2698" spans="1:12" x14ac:dyDescent="0.3">
      <c r="A2698" s="81" t="s">
        <v>6150</v>
      </c>
      <c r="B2698" s="2445" t="s">
        <v>4288</v>
      </c>
      <c r="C2698" s="2406">
        <v>0</v>
      </c>
      <c r="D2698" s="2396"/>
      <c r="E2698" s="2406">
        <v>0</v>
      </c>
      <c r="F2698" s="2406">
        <v>0</v>
      </c>
      <c r="G2698" s="2463">
        <v>0</v>
      </c>
      <c r="H2698" s="2407">
        <v>0</v>
      </c>
      <c r="I2698" s="2413"/>
      <c r="J2698" s="2413"/>
      <c r="K2698" s="2686" t="s">
        <v>6568</v>
      </c>
      <c r="L2698" s="2408"/>
    </row>
    <row r="2699" spans="1:12" x14ac:dyDescent="0.3">
      <c r="A2699" s="81" t="s">
        <v>6151</v>
      </c>
      <c r="B2699" s="2445" t="s">
        <v>3599</v>
      </c>
      <c r="C2699" s="2406">
        <v>0</v>
      </c>
      <c r="D2699" s="2396"/>
      <c r="E2699" s="2406">
        <v>0</v>
      </c>
      <c r="F2699" s="2406">
        <v>0</v>
      </c>
      <c r="G2699" s="2463">
        <v>0</v>
      </c>
      <c r="H2699" s="2407">
        <v>0</v>
      </c>
      <c r="I2699" s="2413"/>
      <c r="J2699" s="2413"/>
      <c r="K2699" s="2686"/>
      <c r="L2699" s="2408"/>
    </row>
    <row r="2700" spans="1:12" x14ac:dyDescent="0.3">
      <c r="A2700" s="81" t="s">
        <v>6152</v>
      </c>
      <c r="B2700" s="2445" t="s">
        <v>3605</v>
      </c>
      <c r="C2700" s="2406">
        <v>0</v>
      </c>
      <c r="D2700" s="2396"/>
      <c r="E2700" s="2406">
        <v>0</v>
      </c>
      <c r="F2700" s="2406">
        <v>0</v>
      </c>
      <c r="G2700" s="2449">
        <v>0</v>
      </c>
      <c r="H2700" s="2407">
        <v>0</v>
      </c>
      <c r="I2700" s="2413"/>
      <c r="J2700" s="2413"/>
      <c r="K2700" s="2686" t="s">
        <v>2586</v>
      </c>
      <c r="L2700" s="2408"/>
    </row>
    <row r="2701" spans="1:12" x14ac:dyDescent="0.3">
      <c r="A2701" s="81" t="s">
        <v>6153</v>
      </c>
      <c r="B2701" s="2445" t="s">
        <v>3607</v>
      </c>
      <c r="C2701" s="2406">
        <v>0</v>
      </c>
      <c r="D2701" s="2396"/>
      <c r="E2701" s="2406">
        <v>0</v>
      </c>
      <c r="F2701" s="2406">
        <v>0</v>
      </c>
      <c r="G2701" s="2449">
        <v>0</v>
      </c>
      <c r="H2701" s="2407">
        <v>0</v>
      </c>
      <c r="I2701" s="2413"/>
      <c r="J2701" s="2413"/>
      <c r="K2701" s="2686" t="s">
        <v>2586</v>
      </c>
      <c r="L2701" s="2408"/>
    </row>
    <row r="2702" spans="1:12" x14ac:dyDescent="0.3">
      <c r="A2702" s="81" t="s">
        <v>6154</v>
      </c>
      <c r="B2702" s="2445" t="s">
        <v>4126</v>
      </c>
      <c r="C2702" s="2406">
        <v>0</v>
      </c>
      <c r="D2702" s="2396"/>
      <c r="E2702" s="2406">
        <v>0</v>
      </c>
      <c r="F2702" s="2406">
        <v>0</v>
      </c>
      <c r="G2702" s="2449">
        <v>0</v>
      </c>
      <c r="H2702" s="2407">
        <v>0</v>
      </c>
      <c r="I2702" s="2413"/>
      <c r="J2702" s="2413"/>
      <c r="K2702" s="2686" t="s">
        <v>2585</v>
      </c>
      <c r="L2702" s="2408"/>
    </row>
    <row r="2703" spans="1:12" x14ac:dyDescent="0.3">
      <c r="A2703" s="81" t="s">
        <v>6155</v>
      </c>
      <c r="B2703" s="2445" t="s">
        <v>4127</v>
      </c>
      <c r="C2703" s="2406">
        <v>0</v>
      </c>
      <c r="D2703" s="2396"/>
      <c r="E2703" s="2406">
        <v>0</v>
      </c>
      <c r="F2703" s="2406">
        <v>0</v>
      </c>
      <c r="G2703" s="2449">
        <v>0</v>
      </c>
      <c r="H2703" s="2407">
        <v>0</v>
      </c>
      <c r="I2703" s="2413"/>
      <c r="J2703" s="2413"/>
      <c r="K2703" s="2686" t="s">
        <v>2586</v>
      </c>
      <c r="L2703" s="2408"/>
    </row>
    <row r="2704" spans="1:12" x14ac:dyDescent="0.3">
      <c r="A2704" s="81" t="s">
        <v>6156</v>
      </c>
      <c r="B2704" s="2445" t="s">
        <v>3609</v>
      </c>
      <c r="C2704" s="2406">
        <v>0</v>
      </c>
      <c r="D2704" s="2396"/>
      <c r="E2704" s="2406">
        <v>0</v>
      </c>
      <c r="F2704" s="2406">
        <v>0</v>
      </c>
      <c r="G2704" s="2449">
        <v>0</v>
      </c>
      <c r="H2704" s="2407">
        <v>0</v>
      </c>
      <c r="I2704" s="2413"/>
      <c r="J2704" s="2413"/>
      <c r="K2704" s="2686" t="s">
        <v>2585</v>
      </c>
      <c r="L2704" s="2408"/>
    </row>
    <row r="2705" spans="1:12" x14ac:dyDescent="0.3">
      <c r="A2705" s="81" t="s">
        <v>6157</v>
      </c>
      <c r="B2705" s="2445" t="s">
        <v>3611</v>
      </c>
      <c r="C2705" s="2406">
        <v>0</v>
      </c>
      <c r="D2705" s="2396"/>
      <c r="E2705" s="2406">
        <v>0</v>
      </c>
      <c r="F2705" s="2406">
        <v>0</v>
      </c>
      <c r="G2705" s="2449">
        <v>0</v>
      </c>
      <c r="H2705" s="2407">
        <v>0</v>
      </c>
      <c r="I2705" s="2413"/>
      <c r="J2705" s="2413"/>
      <c r="K2705" s="2686" t="s">
        <v>6505</v>
      </c>
      <c r="L2705" s="2408"/>
    </row>
    <row r="2706" spans="1:12" x14ac:dyDescent="0.3">
      <c r="A2706" s="81" t="s">
        <v>6158</v>
      </c>
      <c r="B2706" s="2445" t="s">
        <v>3613</v>
      </c>
      <c r="C2706" s="2406">
        <v>0</v>
      </c>
      <c r="D2706" s="2396"/>
      <c r="E2706" s="2406">
        <v>0</v>
      </c>
      <c r="F2706" s="2406">
        <v>0</v>
      </c>
      <c r="G2706" s="2449">
        <v>0</v>
      </c>
      <c r="H2706" s="2407">
        <v>0</v>
      </c>
      <c r="I2706" s="2413"/>
      <c r="J2706" s="2413"/>
      <c r="K2706" s="2686" t="s">
        <v>6505</v>
      </c>
      <c r="L2706" s="2408"/>
    </row>
    <row r="2707" spans="1:12" x14ac:dyDescent="0.3">
      <c r="A2707" s="81" t="s">
        <v>6159</v>
      </c>
      <c r="B2707" s="2445" t="s">
        <v>3615</v>
      </c>
      <c r="C2707" s="2406">
        <v>0</v>
      </c>
      <c r="D2707" s="2396"/>
      <c r="E2707" s="2406">
        <v>0</v>
      </c>
      <c r="F2707" s="2406">
        <v>0</v>
      </c>
      <c r="G2707" s="2449">
        <v>0</v>
      </c>
      <c r="H2707" s="2407">
        <v>0</v>
      </c>
      <c r="I2707" s="2413"/>
      <c r="J2707" s="2413"/>
      <c r="K2707" s="2686" t="s">
        <v>2586</v>
      </c>
      <c r="L2707" s="2408"/>
    </row>
    <row r="2708" spans="1:12" x14ac:dyDescent="0.3">
      <c r="A2708" s="81" t="s">
        <v>6160</v>
      </c>
      <c r="B2708" s="2445" t="s">
        <v>3617</v>
      </c>
      <c r="C2708" s="2406">
        <v>0</v>
      </c>
      <c r="D2708" s="2396"/>
      <c r="E2708" s="2406">
        <v>0</v>
      </c>
      <c r="F2708" s="2406">
        <v>0</v>
      </c>
      <c r="G2708" s="2449">
        <v>0</v>
      </c>
      <c r="H2708" s="2407">
        <v>0</v>
      </c>
      <c r="I2708" s="2413"/>
      <c r="J2708" s="2413"/>
      <c r="K2708" s="2686" t="s">
        <v>2586</v>
      </c>
      <c r="L2708" s="2408"/>
    </row>
    <row r="2709" spans="1:12" x14ac:dyDescent="0.3">
      <c r="A2709" s="81" t="s">
        <v>6161</v>
      </c>
      <c r="B2709" s="2445" t="s">
        <v>3619</v>
      </c>
      <c r="C2709" s="2406">
        <v>0</v>
      </c>
      <c r="D2709" s="2396"/>
      <c r="E2709" s="2406">
        <v>0</v>
      </c>
      <c r="F2709" s="2406">
        <v>0</v>
      </c>
      <c r="G2709" s="2449">
        <v>0</v>
      </c>
      <c r="H2709" s="2407">
        <v>0</v>
      </c>
      <c r="I2709" s="2413"/>
      <c r="J2709" s="2413"/>
      <c r="K2709" s="2686"/>
      <c r="L2709" s="2408"/>
    </row>
    <row r="2710" spans="1:12" x14ac:dyDescent="0.3">
      <c r="A2710" s="81" t="s">
        <v>6162</v>
      </c>
      <c r="B2710" s="2445" t="s">
        <v>3621</v>
      </c>
      <c r="C2710" s="2406">
        <v>0</v>
      </c>
      <c r="D2710" s="2396"/>
      <c r="E2710" s="2406">
        <v>0</v>
      </c>
      <c r="F2710" s="2406">
        <v>0</v>
      </c>
      <c r="G2710" s="2449">
        <v>0</v>
      </c>
      <c r="H2710" s="2407">
        <v>0</v>
      </c>
      <c r="I2710" s="2413"/>
      <c r="J2710" s="2413"/>
      <c r="K2710" s="2686" t="s">
        <v>6506</v>
      </c>
      <c r="L2710" s="2408"/>
    </row>
    <row r="2711" spans="1:12" x14ac:dyDescent="0.3">
      <c r="A2711" s="81" t="s">
        <v>6163</v>
      </c>
      <c r="B2711" s="2445" t="s">
        <v>3623</v>
      </c>
      <c r="C2711" s="2406">
        <v>0</v>
      </c>
      <c r="D2711" s="2396"/>
      <c r="E2711" s="2406">
        <v>0</v>
      </c>
      <c r="F2711" s="2406">
        <v>0</v>
      </c>
      <c r="G2711" s="2449">
        <v>0</v>
      </c>
      <c r="H2711" s="2407">
        <v>0</v>
      </c>
      <c r="I2711" s="2413"/>
      <c r="J2711" s="2413"/>
      <c r="K2711" s="2686" t="s">
        <v>6507</v>
      </c>
      <c r="L2711" s="2408"/>
    </row>
    <row r="2712" spans="1:12" x14ac:dyDescent="0.3">
      <c r="A2712" s="81" t="s">
        <v>6164</v>
      </c>
      <c r="B2712" s="2445" t="s">
        <v>3625</v>
      </c>
      <c r="C2712" s="2406">
        <v>0</v>
      </c>
      <c r="D2712" s="2396"/>
      <c r="E2712" s="2406">
        <v>0</v>
      </c>
      <c r="F2712" s="2406">
        <v>0</v>
      </c>
      <c r="G2712" s="2449">
        <v>0</v>
      </c>
      <c r="H2712" s="2407">
        <v>0</v>
      </c>
      <c r="I2712" s="2413"/>
      <c r="J2712" s="2413"/>
      <c r="K2712" s="2686" t="s">
        <v>6508</v>
      </c>
      <c r="L2712" s="2408"/>
    </row>
    <row r="2713" spans="1:12" x14ac:dyDescent="0.3">
      <c r="A2713" s="81" t="s">
        <v>6165</v>
      </c>
      <c r="B2713" s="2445" t="s">
        <v>3627</v>
      </c>
      <c r="C2713" s="2406">
        <v>0</v>
      </c>
      <c r="D2713" s="2396"/>
      <c r="E2713" s="2406">
        <v>0</v>
      </c>
      <c r="F2713" s="2406">
        <v>0</v>
      </c>
      <c r="G2713" s="2449">
        <v>0</v>
      </c>
      <c r="H2713" s="2407">
        <v>0</v>
      </c>
      <c r="I2713" s="2413"/>
      <c r="J2713" s="2413"/>
      <c r="K2713" s="2686" t="s">
        <v>6509</v>
      </c>
      <c r="L2713" s="2408"/>
    </row>
    <row r="2714" spans="1:12" x14ac:dyDescent="0.3">
      <c r="A2714" s="81" t="s">
        <v>6166</v>
      </c>
      <c r="B2714" s="2445" t="s">
        <v>3629</v>
      </c>
      <c r="C2714" s="2406">
        <v>0</v>
      </c>
      <c r="D2714" s="2396"/>
      <c r="E2714" s="2406">
        <v>0</v>
      </c>
      <c r="F2714" s="2406">
        <v>0</v>
      </c>
      <c r="G2714" s="2449">
        <v>0</v>
      </c>
      <c r="H2714" s="2407">
        <v>0</v>
      </c>
      <c r="I2714" s="2413"/>
      <c r="J2714" s="2413"/>
      <c r="K2714" s="2686" t="s">
        <v>6510</v>
      </c>
      <c r="L2714" s="2408"/>
    </row>
    <row r="2715" spans="1:12" x14ac:dyDescent="0.3">
      <c r="A2715" s="81" t="s">
        <v>6167</v>
      </c>
      <c r="B2715" s="2445" t="s">
        <v>3631</v>
      </c>
      <c r="C2715" s="2406">
        <v>0</v>
      </c>
      <c r="D2715" s="2396"/>
      <c r="E2715" s="2406">
        <v>0</v>
      </c>
      <c r="F2715" s="2406">
        <v>0</v>
      </c>
      <c r="G2715" s="2449">
        <v>0</v>
      </c>
      <c r="H2715" s="2407">
        <v>0</v>
      </c>
      <c r="I2715" s="2413"/>
      <c r="J2715" s="2413"/>
      <c r="K2715" s="2686" t="s">
        <v>6511</v>
      </c>
      <c r="L2715" s="2408"/>
    </row>
    <row r="2716" spans="1:12" x14ac:dyDescent="0.3">
      <c r="A2716" s="81" t="s">
        <v>6168</v>
      </c>
      <c r="B2716" s="2445" t="s">
        <v>3633</v>
      </c>
      <c r="C2716" s="2406">
        <v>0</v>
      </c>
      <c r="D2716" s="2396"/>
      <c r="E2716" s="2406">
        <v>0</v>
      </c>
      <c r="F2716" s="2406">
        <v>0</v>
      </c>
      <c r="G2716" s="2449">
        <v>0</v>
      </c>
      <c r="H2716" s="2407">
        <v>0</v>
      </c>
      <c r="I2716" s="2413"/>
      <c r="J2716" s="2413"/>
      <c r="K2716" s="2686" t="s">
        <v>6512</v>
      </c>
      <c r="L2716" s="2408"/>
    </row>
    <row r="2717" spans="1:12" x14ac:dyDescent="0.3">
      <c r="A2717" s="81" t="s">
        <v>6169</v>
      </c>
      <c r="B2717" s="2445" t="s">
        <v>3635</v>
      </c>
      <c r="C2717" s="2406">
        <v>0</v>
      </c>
      <c r="D2717" s="2396"/>
      <c r="E2717" s="2406">
        <v>0</v>
      </c>
      <c r="F2717" s="2406">
        <v>0</v>
      </c>
      <c r="G2717" s="2449">
        <v>0</v>
      </c>
      <c r="H2717" s="2407">
        <v>0</v>
      </c>
      <c r="I2717" s="2413"/>
      <c r="J2717" s="2413"/>
      <c r="K2717" s="2686" t="s">
        <v>6513</v>
      </c>
      <c r="L2717" s="2408"/>
    </row>
    <row r="2718" spans="1:12" x14ac:dyDescent="0.3">
      <c r="A2718" s="81" t="s">
        <v>6170</v>
      </c>
      <c r="B2718" s="2445" t="s">
        <v>3637</v>
      </c>
      <c r="C2718" s="2406">
        <v>0</v>
      </c>
      <c r="D2718" s="2396"/>
      <c r="E2718" s="2406">
        <v>0</v>
      </c>
      <c r="F2718" s="2406">
        <v>0</v>
      </c>
      <c r="G2718" s="2449">
        <v>0</v>
      </c>
      <c r="H2718" s="2407">
        <v>0</v>
      </c>
      <c r="I2718" s="2413"/>
      <c r="J2718" s="2413"/>
      <c r="K2718" s="2686" t="s">
        <v>6514</v>
      </c>
      <c r="L2718" s="2408"/>
    </row>
    <row r="2719" spans="1:12" x14ac:dyDescent="0.3">
      <c r="A2719" s="81" t="s">
        <v>6171</v>
      </c>
      <c r="B2719" s="2445" t="s">
        <v>334</v>
      </c>
      <c r="C2719" s="2406">
        <v>0</v>
      </c>
      <c r="D2719" s="2396"/>
      <c r="E2719" s="2406">
        <v>0</v>
      </c>
      <c r="F2719" s="2406">
        <v>0</v>
      </c>
      <c r="G2719" s="2449">
        <v>0</v>
      </c>
      <c r="H2719" s="2407">
        <v>0</v>
      </c>
      <c r="I2719" s="2413"/>
      <c r="J2719" s="2413"/>
      <c r="K2719" s="2686"/>
      <c r="L2719" s="2408"/>
    </row>
    <row r="2720" spans="1:12" x14ac:dyDescent="0.3">
      <c r="A2720" s="81" t="s">
        <v>6172</v>
      </c>
      <c r="B2720" s="2445" t="s">
        <v>3640</v>
      </c>
      <c r="C2720" s="2406">
        <v>0</v>
      </c>
      <c r="D2720" s="2396"/>
      <c r="E2720" s="2406">
        <v>0</v>
      </c>
      <c r="F2720" s="2406">
        <v>0</v>
      </c>
      <c r="G2720" s="2449">
        <v>0</v>
      </c>
      <c r="H2720" s="2407">
        <v>0</v>
      </c>
      <c r="I2720" s="2413"/>
      <c r="J2720" s="2413"/>
      <c r="K2720" s="2686" t="s">
        <v>6515</v>
      </c>
      <c r="L2720" s="2408"/>
    </row>
    <row r="2721" spans="1:12" x14ac:dyDescent="0.3">
      <c r="A2721" s="81" t="s">
        <v>6173</v>
      </c>
      <c r="B2721" s="2445" t="s">
        <v>3642</v>
      </c>
      <c r="C2721" s="2406">
        <v>0</v>
      </c>
      <c r="D2721" s="2396"/>
      <c r="E2721" s="2406">
        <v>0</v>
      </c>
      <c r="F2721" s="2406">
        <v>0</v>
      </c>
      <c r="G2721" s="2449">
        <v>0</v>
      </c>
      <c r="H2721" s="2407">
        <v>0</v>
      </c>
      <c r="I2721" s="2413"/>
      <c r="J2721" s="2413"/>
      <c r="K2721" s="2686" t="s">
        <v>6515</v>
      </c>
      <c r="L2721" s="2408"/>
    </row>
    <row r="2722" spans="1:12" x14ac:dyDescent="0.3">
      <c r="A2722" s="81" t="s">
        <v>6174</v>
      </c>
      <c r="B2722" s="2445" t="s">
        <v>3644</v>
      </c>
      <c r="C2722" s="2406">
        <v>0</v>
      </c>
      <c r="D2722" s="2396"/>
      <c r="E2722" s="2406">
        <v>0</v>
      </c>
      <c r="F2722" s="2406">
        <v>0</v>
      </c>
      <c r="G2722" s="2449">
        <v>0</v>
      </c>
      <c r="H2722" s="2407">
        <v>0</v>
      </c>
      <c r="I2722" s="2413"/>
      <c r="J2722" s="2413"/>
      <c r="K2722" s="2686" t="s">
        <v>6515</v>
      </c>
      <c r="L2722" s="2408"/>
    </row>
    <row r="2723" spans="1:12" x14ac:dyDescent="0.3">
      <c r="A2723" s="81" t="s">
        <v>6175</v>
      </c>
      <c r="B2723" s="2445" t="s">
        <v>3646</v>
      </c>
      <c r="C2723" s="2406">
        <v>70000</v>
      </c>
      <c r="D2723" s="2396"/>
      <c r="E2723" s="2406">
        <v>0</v>
      </c>
      <c r="F2723" s="2406">
        <v>0</v>
      </c>
      <c r="G2723" s="2449">
        <v>0</v>
      </c>
      <c r="H2723" s="2407">
        <v>70000</v>
      </c>
      <c r="I2723" s="2413"/>
      <c r="J2723" s="2413"/>
      <c r="K2723" s="2686" t="s">
        <v>6515</v>
      </c>
      <c r="L2723" s="2408"/>
    </row>
    <row r="2724" spans="1:12" x14ac:dyDescent="0.3">
      <c r="A2724" s="81" t="s">
        <v>6176</v>
      </c>
      <c r="B2724" s="2445" t="s">
        <v>3648</v>
      </c>
      <c r="C2724" s="2406">
        <v>1560000</v>
      </c>
      <c r="D2724" s="2396"/>
      <c r="E2724" s="2406">
        <v>0</v>
      </c>
      <c r="F2724" s="2406">
        <v>0</v>
      </c>
      <c r="G2724" s="2449">
        <v>0</v>
      </c>
      <c r="H2724" s="2407">
        <v>1560000</v>
      </c>
      <c r="I2724" s="2413"/>
      <c r="J2724" s="2413"/>
      <c r="K2724" s="2686" t="s">
        <v>6516</v>
      </c>
      <c r="L2724" s="2408"/>
    </row>
    <row r="2725" spans="1:12" x14ac:dyDescent="0.3">
      <c r="A2725" s="81" t="s">
        <v>6177</v>
      </c>
      <c r="B2725" s="2445" t="s">
        <v>3650</v>
      </c>
      <c r="C2725" s="2406">
        <v>0</v>
      </c>
      <c r="D2725" s="2396"/>
      <c r="E2725" s="2406">
        <v>0</v>
      </c>
      <c r="F2725" s="2406">
        <v>0</v>
      </c>
      <c r="G2725" s="2449">
        <v>0</v>
      </c>
      <c r="H2725" s="2407">
        <v>0</v>
      </c>
      <c r="I2725" s="2413"/>
      <c r="J2725" s="2413"/>
      <c r="K2725" s="2686" t="s">
        <v>6517</v>
      </c>
      <c r="L2725" s="2408"/>
    </row>
    <row r="2726" spans="1:12" x14ac:dyDescent="0.3">
      <c r="A2726" s="81" t="s">
        <v>6178</v>
      </c>
      <c r="B2726" s="2445" t="s">
        <v>3652</v>
      </c>
      <c r="C2726" s="2406">
        <v>0</v>
      </c>
      <c r="D2726" s="2396"/>
      <c r="E2726" s="2406">
        <v>0</v>
      </c>
      <c r="F2726" s="2406">
        <v>0</v>
      </c>
      <c r="G2726" s="2449">
        <v>0</v>
      </c>
      <c r="H2726" s="2407">
        <v>0</v>
      </c>
      <c r="I2726" s="2413"/>
      <c r="J2726" s="2413"/>
      <c r="K2726" s="2686" t="s">
        <v>6518</v>
      </c>
      <c r="L2726" s="2408"/>
    </row>
    <row r="2727" spans="1:12" x14ac:dyDescent="0.3">
      <c r="A2727" s="81" t="s">
        <v>6179</v>
      </c>
      <c r="B2727" s="2445" t="s">
        <v>3654</v>
      </c>
      <c r="C2727" s="2406">
        <v>200100</v>
      </c>
      <c r="D2727" s="2396"/>
      <c r="E2727" s="2406">
        <v>0</v>
      </c>
      <c r="F2727" s="2406">
        <v>0</v>
      </c>
      <c r="G2727" s="2449">
        <v>0</v>
      </c>
      <c r="H2727" s="2407">
        <v>200100</v>
      </c>
      <c r="I2727" s="2413"/>
      <c r="J2727" s="2413"/>
      <c r="K2727" s="2686" t="s">
        <v>6518</v>
      </c>
      <c r="L2727" s="2408"/>
    </row>
    <row r="2728" spans="1:12" x14ac:dyDescent="0.3">
      <c r="A2728" s="81" t="s">
        <v>6180</v>
      </c>
      <c r="B2728" s="2445" t="s">
        <v>3656</v>
      </c>
      <c r="C2728" s="2406">
        <v>0</v>
      </c>
      <c r="D2728" s="2396"/>
      <c r="E2728" s="2406">
        <v>0</v>
      </c>
      <c r="F2728" s="2406">
        <v>0</v>
      </c>
      <c r="G2728" s="2449">
        <v>0</v>
      </c>
      <c r="H2728" s="2407">
        <v>0</v>
      </c>
      <c r="I2728" s="2413"/>
      <c r="J2728" s="2413"/>
      <c r="K2728" s="2686"/>
      <c r="L2728" s="2408"/>
    </row>
    <row r="2729" spans="1:12" x14ac:dyDescent="0.3">
      <c r="A2729" s="81" t="s">
        <v>6181</v>
      </c>
      <c r="B2729" s="2445" t="s">
        <v>3658</v>
      </c>
      <c r="C2729" s="2406">
        <v>0</v>
      </c>
      <c r="D2729" s="2396"/>
      <c r="E2729" s="2406">
        <v>0</v>
      </c>
      <c r="F2729" s="2406">
        <v>0</v>
      </c>
      <c r="G2729" s="2449">
        <v>0</v>
      </c>
      <c r="H2729" s="2407">
        <v>0</v>
      </c>
      <c r="I2729" s="2413"/>
      <c r="J2729" s="2413"/>
      <c r="K2729" s="2686" t="s">
        <v>6519</v>
      </c>
      <c r="L2729" s="2408"/>
    </row>
    <row r="2730" spans="1:12" x14ac:dyDescent="0.3">
      <c r="A2730" s="81" t="s">
        <v>6182</v>
      </c>
      <c r="B2730" s="2445" t="s">
        <v>3660</v>
      </c>
      <c r="C2730" s="2406">
        <v>0</v>
      </c>
      <c r="D2730" s="2396"/>
      <c r="E2730" s="2406">
        <v>0</v>
      </c>
      <c r="F2730" s="2406">
        <v>0</v>
      </c>
      <c r="G2730" s="2449">
        <v>0</v>
      </c>
      <c r="H2730" s="2407">
        <v>0</v>
      </c>
      <c r="I2730" s="2413"/>
      <c r="J2730" s="2413"/>
      <c r="K2730" s="2686" t="s">
        <v>6520</v>
      </c>
      <c r="L2730" s="2408"/>
    </row>
    <row r="2731" spans="1:12" x14ac:dyDescent="0.3">
      <c r="A2731" s="81" t="s">
        <v>6183</v>
      </c>
      <c r="B2731" s="2445" t="s">
        <v>3662</v>
      </c>
      <c r="C2731" s="2406">
        <v>0</v>
      </c>
      <c r="D2731" s="2396"/>
      <c r="E2731" s="2406">
        <v>0</v>
      </c>
      <c r="F2731" s="2406">
        <v>0</v>
      </c>
      <c r="G2731" s="2449">
        <v>0</v>
      </c>
      <c r="H2731" s="2407">
        <v>0</v>
      </c>
      <c r="I2731" s="2413"/>
      <c r="J2731" s="2413"/>
      <c r="K2731" s="2686" t="s">
        <v>6521</v>
      </c>
      <c r="L2731" s="2408"/>
    </row>
    <row r="2732" spans="1:12" x14ac:dyDescent="0.3">
      <c r="A2732" s="81" t="s">
        <v>6184</v>
      </c>
      <c r="B2732" s="2445" t="s">
        <v>3664</v>
      </c>
      <c r="C2732" s="2406">
        <v>0</v>
      </c>
      <c r="D2732" s="2396"/>
      <c r="E2732" s="2406">
        <v>0</v>
      </c>
      <c r="F2732" s="2406">
        <v>0</v>
      </c>
      <c r="G2732" s="2449">
        <v>0</v>
      </c>
      <c r="H2732" s="2407">
        <v>0</v>
      </c>
      <c r="I2732" s="2413"/>
      <c r="J2732" s="2413"/>
      <c r="K2732" s="2686" t="s">
        <v>6522</v>
      </c>
      <c r="L2732" s="2408"/>
    </row>
    <row r="2733" spans="1:12" x14ac:dyDescent="0.3">
      <c r="A2733" s="81" t="s">
        <v>6185</v>
      </c>
      <c r="B2733" s="2445" t="s">
        <v>3666</v>
      </c>
      <c r="C2733" s="2406">
        <v>0</v>
      </c>
      <c r="D2733" s="2396"/>
      <c r="E2733" s="2406">
        <v>0</v>
      </c>
      <c r="F2733" s="2406">
        <v>0</v>
      </c>
      <c r="G2733" s="2449">
        <v>0</v>
      </c>
      <c r="H2733" s="2407">
        <v>0</v>
      </c>
      <c r="I2733" s="2413"/>
      <c r="J2733" s="2413"/>
      <c r="K2733" s="2686" t="s">
        <v>6523</v>
      </c>
      <c r="L2733" s="2408"/>
    </row>
    <row r="2734" spans="1:12" x14ac:dyDescent="0.3">
      <c r="A2734" s="81" t="s">
        <v>6186</v>
      </c>
      <c r="B2734" s="2445" t="s">
        <v>3668</v>
      </c>
      <c r="C2734" s="2406">
        <v>0</v>
      </c>
      <c r="D2734" s="2396"/>
      <c r="E2734" s="2406">
        <v>0</v>
      </c>
      <c r="F2734" s="2406">
        <v>0</v>
      </c>
      <c r="G2734" s="2449">
        <v>0</v>
      </c>
      <c r="H2734" s="2407">
        <v>0</v>
      </c>
      <c r="I2734" s="2413"/>
      <c r="J2734" s="2413"/>
      <c r="K2734" s="2686" t="s">
        <v>6524</v>
      </c>
      <c r="L2734" s="2408"/>
    </row>
    <row r="2735" spans="1:12" x14ac:dyDescent="0.3">
      <c r="A2735" s="81" t="s">
        <v>6187</v>
      </c>
      <c r="B2735" s="2445" t="s">
        <v>350</v>
      </c>
      <c r="C2735" s="2406">
        <v>0</v>
      </c>
      <c r="D2735" s="2396"/>
      <c r="E2735" s="2406">
        <v>0</v>
      </c>
      <c r="F2735" s="2406">
        <v>0</v>
      </c>
      <c r="G2735" s="2449">
        <v>0</v>
      </c>
      <c r="H2735" s="2407">
        <v>0</v>
      </c>
      <c r="I2735" s="2413"/>
      <c r="J2735" s="2413"/>
      <c r="K2735" s="2686" t="s">
        <v>6569</v>
      </c>
      <c r="L2735" s="2408"/>
    </row>
    <row r="2736" spans="1:12" x14ac:dyDescent="0.3">
      <c r="A2736" s="81" t="s">
        <v>6188</v>
      </c>
      <c r="B2736" s="2445" t="s">
        <v>3671</v>
      </c>
      <c r="C2736" s="2406">
        <v>0</v>
      </c>
      <c r="D2736" s="2396"/>
      <c r="E2736" s="2406">
        <v>0</v>
      </c>
      <c r="F2736" s="2406">
        <v>0</v>
      </c>
      <c r="G2736" s="2449">
        <v>0</v>
      </c>
      <c r="H2736" s="2407">
        <v>0</v>
      </c>
      <c r="I2736" s="2413"/>
      <c r="J2736" s="2413"/>
      <c r="K2736" s="2686"/>
      <c r="L2736" s="2408"/>
    </row>
    <row r="2737" spans="1:12" x14ac:dyDescent="0.3">
      <c r="A2737" s="81" t="s">
        <v>6189</v>
      </c>
      <c r="B2737" s="2445" t="s">
        <v>3930</v>
      </c>
      <c r="C2737" s="2406">
        <v>0</v>
      </c>
      <c r="D2737" s="2396"/>
      <c r="E2737" s="2406">
        <v>0</v>
      </c>
      <c r="F2737" s="2406">
        <v>0</v>
      </c>
      <c r="G2737" s="2449">
        <v>0</v>
      </c>
      <c r="H2737" s="2407">
        <v>0</v>
      </c>
      <c r="I2737" s="2413"/>
      <c r="J2737" s="2413"/>
      <c r="K2737" s="2686" t="s">
        <v>6525</v>
      </c>
      <c r="L2737" s="2408"/>
    </row>
    <row r="2738" spans="1:12" x14ac:dyDescent="0.3">
      <c r="A2738" s="81" t="s">
        <v>6190</v>
      </c>
      <c r="B2738" s="2445" t="s">
        <v>3675</v>
      </c>
      <c r="C2738" s="2406">
        <v>0</v>
      </c>
      <c r="D2738" s="2396"/>
      <c r="E2738" s="2406">
        <v>0</v>
      </c>
      <c r="F2738" s="2406">
        <v>0</v>
      </c>
      <c r="G2738" s="2449">
        <v>0</v>
      </c>
      <c r="H2738" s="2407">
        <v>0</v>
      </c>
      <c r="I2738" s="2413"/>
      <c r="J2738" s="2413"/>
      <c r="K2738" s="2686" t="s">
        <v>6526</v>
      </c>
      <c r="L2738" s="2408"/>
    </row>
    <row r="2739" spans="1:12" x14ac:dyDescent="0.3">
      <c r="A2739" s="81" t="s">
        <v>6191</v>
      </c>
      <c r="B2739" s="2445" t="s">
        <v>3677</v>
      </c>
      <c r="C2739" s="2406">
        <v>0</v>
      </c>
      <c r="D2739" s="2396"/>
      <c r="E2739" s="2406">
        <v>0</v>
      </c>
      <c r="F2739" s="2406">
        <v>0</v>
      </c>
      <c r="G2739" s="2449">
        <v>0</v>
      </c>
      <c r="H2739" s="2407">
        <v>0</v>
      </c>
      <c r="I2739" s="2413"/>
      <c r="J2739" s="2413"/>
      <c r="K2739" s="2686" t="s">
        <v>6526</v>
      </c>
      <c r="L2739" s="2408"/>
    </row>
    <row r="2740" spans="1:12" x14ac:dyDescent="0.3">
      <c r="A2740" s="81" t="s">
        <v>6192</v>
      </c>
      <c r="B2740" s="2445" t="s">
        <v>3679</v>
      </c>
      <c r="C2740" s="2406">
        <v>0</v>
      </c>
      <c r="D2740" s="2396"/>
      <c r="E2740" s="2406">
        <v>0</v>
      </c>
      <c r="F2740" s="2406">
        <v>0</v>
      </c>
      <c r="G2740" s="2449">
        <v>0</v>
      </c>
      <c r="H2740" s="2407">
        <v>0</v>
      </c>
      <c r="I2740" s="2413"/>
      <c r="J2740" s="2413"/>
      <c r="K2740" s="2686" t="s">
        <v>6526</v>
      </c>
      <c r="L2740" s="2408"/>
    </row>
    <row r="2741" spans="1:12" x14ac:dyDescent="0.3">
      <c r="A2741" s="81" t="s">
        <v>6193</v>
      </c>
      <c r="B2741" s="2445" t="s">
        <v>3681</v>
      </c>
      <c r="C2741" s="2406">
        <v>0</v>
      </c>
      <c r="D2741" s="2396"/>
      <c r="E2741" s="2406">
        <v>0</v>
      </c>
      <c r="F2741" s="2406">
        <v>0</v>
      </c>
      <c r="G2741" s="2449">
        <v>0</v>
      </c>
      <c r="H2741" s="2407">
        <v>0</v>
      </c>
      <c r="I2741" s="2413"/>
      <c r="J2741" s="2413"/>
      <c r="K2741" s="2686" t="s">
        <v>6526</v>
      </c>
      <c r="L2741" s="2408"/>
    </row>
    <row r="2742" spans="1:12" x14ac:dyDescent="0.3">
      <c r="A2742" s="81" t="s">
        <v>6194</v>
      </c>
      <c r="B2742" s="2445" t="s">
        <v>3683</v>
      </c>
      <c r="C2742" s="2406">
        <v>0</v>
      </c>
      <c r="D2742" s="2396"/>
      <c r="E2742" s="2406">
        <v>0</v>
      </c>
      <c r="F2742" s="2406">
        <v>0</v>
      </c>
      <c r="G2742" s="2449">
        <v>0</v>
      </c>
      <c r="H2742" s="2407">
        <v>0</v>
      </c>
      <c r="I2742" s="2413"/>
      <c r="J2742" s="2413"/>
      <c r="K2742" s="2686" t="s">
        <v>6527</v>
      </c>
      <c r="L2742" s="2408"/>
    </row>
    <row r="2743" spans="1:12" x14ac:dyDescent="0.3">
      <c r="A2743" s="81" t="s">
        <v>6195</v>
      </c>
      <c r="B2743" s="2445" t="s">
        <v>3685</v>
      </c>
      <c r="C2743" s="2406">
        <v>0</v>
      </c>
      <c r="D2743" s="2396"/>
      <c r="E2743" s="2406">
        <v>0</v>
      </c>
      <c r="F2743" s="2406">
        <v>0</v>
      </c>
      <c r="G2743" s="2449">
        <v>0</v>
      </c>
      <c r="H2743" s="2407">
        <v>0</v>
      </c>
      <c r="I2743" s="2413"/>
      <c r="J2743" s="2413"/>
      <c r="K2743" s="2686" t="s">
        <v>6528</v>
      </c>
      <c r="L2743" s="2408"/>
    </row>
    <row r="2744" spans="1:12" x14ac:dyDescent="0.3">
      <c r="A2744" s="81" t="s">
        <v>6196</v>
      </c>
      <c r="B2744" s="2445" t="s">
        <v>3687</v>
      </c>
      <c r="C2744" s="2406">
        <v>0</v>
      </c>
      <c r="D2744" s="2396"/>
      <c r="E2744" s="2406">
        <v>0</v>
      </c>
      <c r="F2744" s="2406">
        <v>0</v>
      </c>
      <c r="G2744" s="2449">
        <v>0</v>
      </c>
      <c r="H2744" s="2407">
        <v>0</v>
      </c>
      <c r="I2744" s="2413"/>
      <c r="J2744" s="2413"/>
      <c r="K2744" s="2686" t="s">
        <v>6528</v>
      </c>
      <c r="L2744" s="2408"/>
    </row>
    <row r="2745" spans="1:12" x14ac:dyDescent="0.3">
      <c r="A2745" s="81" t="s">
        <v>6197</v>
      </c>
      <c r="B2745" s="2445" t="s">
        <v>3689</v>
      </c>
      <c r="C2745" s="2406">
        <v>0</v>
      </c>
      <c r="D2745" s="2396"/>
      <c r="E2745" s="2406">
        <v>0</v>
      </c>
      <c r="F2745" s="2406">
        <v>0</v>
      </c>
      <c r="G2745" s="2449">
        <v>0</v>
      </c>
      <c r="H2745" s="2407">
        <v>0</v>
      </c>
      <c r="I2745" s="2413"/>
      <c r="J2745" s="2413"/>
      <c r="K2745" s="2686" t="s">
        <v>6528</v>
      </c>
      <c r="L2745" s="2408"/>
    </row>
    <row r="2746" spans="1:12" x14ac:dyDescent="0.3">
      <c r="A2746" s="81" t="s">
        <v>6198</v>
      </c>
      <c r="B2746" s="2445" t="s">
        <v>4291</v>
      </c>
      <c r="C2746" s="2406">
        <v>0</v>
      </c>
      <c r="D2746" s="2396"/>
      <c r="E2746" s="2406">
        <v>0</v>
      </c>
      <c r="F2746" s="2406">
        <v>0</v>
      </c>
      <c r="G2746" s="2449">
        <v>0</v>
      </c>
      <c r="H2746" s="2407">
        <v>0</v>
      </c>
      <c r="I2746" s="2413"/>
      <c r="J2746" s="2413"/>
      <c r="K2746" s="2686"/>
      <c r="L2746" s="2408"/>
    </row>
    <row r="2747" spans="1:12" x14ac:dyDescent="0.3">
      <c r="A2747" s="81" t="s">
        <v>6199</v>
      </c>
      <c r="B2747" s="2445" t="s">
        <v>4292</v>
      </c>
      <c r="C2747" s="2406">
        <v>0</v>
      </c>
      <c r="D2747" s="2396"/>
      <c r="E2747" s="2406">
        <v>0</v>
      </c>
      <c r="F2747" s="2406">
        <v>0</v>
      </c>
      <c r="G2747" s="2449">
        <v>0</v>
      </c>
      <c r="H2747" s="2407">
        <v>0</v>
      </c>
      <c r="I2747" s="2413"/>
      <c r="J2747" s="2413"/>
      <c r="K2747" s="2686" t="s">
        <v>6569</v>
      </c>
      <c r="L2747" s="2408"/>
    </row>
    <row r="2748" spans="1:12" x14ac:dyDescent="0.3">
      <c r="A2748" s="81" t="s">
        <v>6200</v>
      </c>
      <c r="B2748" s="2445" t="s">
        <v>4293</v>
      </c>
      <c r="C2748" s="2406">
        <v>0</v>
      </c>
      <c r="D2748" s="2396"/>
      <c r="E2748" s="2406">
        <v>0</v>
      </c>
      <c r="F2748" s="2406">
        <v>0</v>
      </c>
      <c r="G2748" s="2449">
        <v>0</v>
      </c>
      <c r="H2748" s="2407">
        <v>0</v>
      </c>
      <c r="I2748" s="2413"/>
      <c r="J2748" s="2413"/>
      <c r="K2748" s="2686" t="s">
        <v>6569</v>
      </c>
      <c r="L2748" s="2408"/>
    </row>
    <row r="2749" spans="1:12" x14ac:dyDescent="0.3">
      <c r="A2749" s="81" t="s">
        <v>6201</v>
      </c>
      <c r="B2749" s="2445" t="s">
        <v>350</v>
      </c>
      <c r="C2749" s="2406">
        <v>1060000</v>
      </c>
      <c r="D2749" s="2396"/>
      <c r="E2749" s="2406">
        <v>0</v>
      </c>
      <c r="F2749" s="2406">
        <v>0</v>
      </c>
      <c r="G2749" s="2449">
        <v>0</v>
      </c>
      <c r="H2749" s="2407">
        <v>1060000</v>
      </c>
      <c r="I2749" s="2413"/>
      <c r="J2749" s="2413"/>
      <c r="K2749" s="2686" t="s">
        <v>6569</v>
      </c>
      <c r="L2749" s="2408"/>
    </row>
    <row r="2750" spans="1:12" x14ac:dyDescent="0.3">
      <c r="A2750" s="81" t="s">
        <v>6202</v>
      </c>
      <c r="B2750" s="2445" t="s">
        <v>350</v>
      </c>
      <c r="C2750" s="2406">
        <v>0</v>
      </c>
      <c r="D2750" s="2396"/>
      <c r="E2750" s="2406">
        <v>0</v>
      </c>
      <c r="F2750" s="2406">
        <v>0</v>
      </c>
      <c r="G2750" s="2449">
        <v>0</v>
      </c>
      <c r="H2750" s="2407">
        <v>0</v>
      </c>
      <c r="I2750" s="2413"/>
      <c r="J2750" s="2413"/>
      <c r="K2750" s="2686"/>
      <c r="L2750" s="2408"/>
    </row>
    <row r="2751" spans="1:12" x14ac:dyDescent="0.3">
      <c r="A2751" s="81" t="s">
        <v>6203</v>
      </c>
      <c r="B2751" s="2445" t="s">
        <v>4294</v>
      </c>
      <c r="C2751" s="2406">
        <v>0</v>
      </c>
      <c r="D2751" s="2396"/>
      <c r="E2751" s="2406">
        <v>0</v>
      </c>
      <c r="F2751" s="2406">
        <v>0</v>
      </c>
      <c r="G2751" s="2449">
        <v>0</v>
      </c>
      <c r="H2751" s="2407">
        <v>0</v>
      </c>
      <c r="I2751" s="2413"/>
      <c r="J2751" s="2413"/>
      <c r="K2751" s="2686" t="s">
        <v>6541</v>
      </c>
      <c r="L2751" s="2408"/>
    </row>
    <row r="2752" spans="1:12" x14ac:dyDescent="0.3">
      <c r="A2752" s="81" t="s">
        <v>6204</v>
      </c>
      <c r="B2752" s="2445" t="s">
        <v>4072</v>
      </c>
      <c r="C2752" s="2406">
        <v>0</v>
      </c>
      <c r="D2752" s="2396"/>
      <c r="E2752" s="2406">
        <v>0</v>
      </c>
      <c r="F2752" s="2406">
        <v>0</v>
      </c>
      <c r="G2752" s="2449">
        <v>0</v>
      </c>
      <c r="H2752" s="2407">
        <v>0</v>
      </c>
      <c r="I2752" s="2413"/>
      <c r="J2752" s="2413"/>
      <c r="K2752" s="2686" t="s">
        <v>6539</v>
      </c>
      <c r="L2752" s="2408"/>
    </row>
    <row r="2753" spans="1:12" x14ac:dyDescent="0.3">
      <c r="A2753" s="81" t="s">
        <v>6205</v>
      </c>
      <c r="B2753" s="2445" t="s">
        <v>3599</v>
      </c>
      <c r="C2753" s="2406">
        <v>0</v>
      </c>
      <c r="D2753" s="2396"/>
      <c r="E2753" s="2406">
        <v>0</v>
      </c>
      <c r="F2753" s="2406">
        <v>0</v>
      </c>
      <c r="G2753" s="2449">
        <v>0</v>
      </c>
      <c r="H2753" s="2407">
        <v>0</v>
      </c>
      <c r="I2753" s="2413"/>
      <c r="J2753" s="2413"/>
      <c r="K2753" s="2686"/>
      <c r="L2753" s="2408"/>
    </row>
    <row r="2754" spans="1:12" x14ac:dyDescent="0.3">
      <c r="A2754" s="81" t="s">
        <v>6206</v>
      </c>
      <c r="B2754" s="2445" t="s">
        <v>3605</v>
      </c>
      <c r="C2754" s="2406">
        <v>0</v>
      </c>
      <c r="D2754" s="2396"/>
      <c r="E2754" s="2406">
        <v>0</v>
      </c>
      <c r="F2754" s="2406">
        <v>0</v>
      </c>
      <c r="G2754" s="2459">
        <v>0</v>
      </c>
      <c r="H2754" s="2407">
        <v>0</v>
      </c>
      <c r="I2754" s="2413"/>
      <c r="J2754" s="2413"/>
      <c r="K2754" s="2686" t="s">
        <v>2586</v>
      </c>
      <c r="L2754" s="2408"/>
    </row>
    <row r="2755" spans="1:12" x14ac:dyDescent="0.3">
      <c r="A2755" s="81" t="s">
        <v>6207</v>
      </c>
      <c r="B2755" s="2445" t="s">
        <v>3607</v>
      </c>
      <c r="C2755" s="2406">
        <v>0</v>
      </c>
      <c r="D2755" s="2396"/>
      <c r="E2755" s="2406">
        <v>0</v>
      </c>
      <c r="F2755" s="2406">
        <v>0</v>
      </c>
      <c r="G2755" s="2459">
        <v>0</v>
      </c>
      <c r="H2755" s="2407">
        <v>0</v>
      </c>
      <c r="I2755" s="2413"/>
      <c r="J2755" s="2413"/>
      <c r="K2755" s="2686" t="s">
        <v>2586</v>
      </c>
      <c r="L2755" s="2408"/>
    </row>
    <row r="2756" spans="1:12" x14ac:dyDescent="0.3">
      <c r="A2756" s="81" t="s">
        <v>6208</v>
      </c>
      <c r="B2756" s="2445" t="s">
        <v>4126</v>
      </c>
      <c r="C2756" s="2406">
        <v>0</v>
      </c>
      <c r="D2756" s="2396"/>
      <c r="E2756" s="2406">
        <v>0</v>
      </c>
      <c r="F2756" s="2406">
        <v>0</v>
      </c>
      <c r="G2756" s="2459">
        <v>0</v>
      </c>
      <c r="H2756" s="2407">
        <v>0</v>
      </c>
      <c r="I2756" s="2413"/>
      <c r="J2756" s="2413"/>
      <c r="K2756" s="2686" t="s">
        <v>2585</v>
      </c>
      <c r="L2756" s="2408"/>
    </row>
    <row r="2757" spans="1:12" x14ac:dyDescent="0.3">
      <c r="A2757" s="81" t="s">
        <v>6209</v>
      </c>
      <c r="B2757" s="2445" t="s">
        <v>4127</v>
      </c>
      <c r="C2757" s="2406">
        <v>0</v>
      </c>
      <c r="D2757" s="2396"/>
      <c r="E2757" s="2406">
        <v>0</v>
      </c>
      <c r="F2757" s="2406">
        <v>0</v>
      </c>
      <c r="G2757" s="2459">
        <v>0</v>
      </c>
      <c r="H2757" s="2407">
        <v>0</v>
      </c>
      <c r="I2757" s="2413"/>
      <c r="J2757" s="2413"/>
      <c r="K2757" s="2686" t="s">
        <v>2586</v>
      </c>
      <c r="L2757" s="2408"/>
    </row>
    <row r="2758" spans="1:12" x14ac:dyDescent="0.3">
      <c r="A2758" s="81" t="s">
        <v>6210</v>
      </c>
      <c r="B2758" s="2445" t="s">
        <v>3609</v>
      </c>
      <c r="C2758" s="2406">
        <v>0</v>
      </c>
      <c r="D2758" s="2396"/>
      <c r="E2758" s="2406">
        <v>0</v>
      </c>
      <c r="F2758" s="2406">
        <v>0</v>
      </c>
      <c r="G2758" s="2459">
        <v>0</v>
      </c>
      <c r="H2758" s="2407">
        <v>0</v>
      </c>
      <c r="I2758" s="2413"/>
      <c r="J2758" s="2413"/>
      <c r="K2758" s="2686" t="s">
        <v>2585</v>
      </c>
      <c r="L2758" s="2408"/>
    </row>
    <row r="2759" spans="1:12" x14ac:dyDescent="0.3">
      <c r="A2759" s="81" t="s">
        <v>6211</v>
      </c>
      <c r="B2759" s="2445" t="s">
        <v>3611</v>
      </c>
      <c r="C2759" s="2406">
        <v>0</v>
      </c>
      <c r="D2759" s="2396"/>
      <c r="E2759" s="2406">
        <v>0</v>
      </c>
      <c r="F2759" s="2406">
        <v>0</v>
      </c>
      <c r="G2759" s="2459">
        <v>0</v>
      </c>
      <c r="H2759" s="2407">
        <v>0</v>
      </c>
      <c r="I2759" s="2413"/>
      <c r="J2759" s="2413"/>
      <c r="K2759" s="2686" t="s">
        <v>6505</v>
      </c>
      <c r="L2759" s="2408"/>
    </row>
    <row r="2760" spans="1:12" x14ac:dyDescent="0.3">
      <c r="A2760" s="81" t="s">
        <v>6212</v>
      </c>
      <c r="B2760" s="2445" t="s">
        <v>3613</v>
      </c>
      <c r="C2760" s="2406">
        <v>0</v>
      </c>
      <c r="D2760" s="2396"/>
      <c r="E2760" s="2406">
        <v>0</v>
      </c>
      <c r="F2760" s="2406">
        <v>0</v>
      </c>
      <c r="G2760" s="2459">
        <v>0</v>
      </c>
      <c r="H2760" s="2407">
        <v>0</v>
      </c>
      <c r="I2760" s="2413"/>
      <c r="J2760" s="2413"/>
      <c r="K2760" s="2686" t="s">
        <v>6505</v>
      </c>
      <c r="L2760" s="2408"/>
    </row>
    <row r="2761" spans="1:12" x14ac:dyDescent="0.3">
      <c r="A2761" s="81" t="s">
        <v>6213</v>
      </c>
      <c r="B2761" s="2445" t="s">
        <v>3615</v>
      </c>
      <c r="C2761" s="2406">
        <v>0</v>
      </c>
      <c r="D2761" s="2396"/>
      <c r="E2761" s="2406">
        <v>0</v>
      </c>
      <c r="F2761" s="2406">
        <v>0</v>
      </c>
      <c r="G2761" s="2459">
        <v>0</v>
      </c>
      <c r="H2761" s="2407">
        <v>0</v>
      </c>
      <c r="I2761" s="2413"/>
      <c r="J2761" s="2413"/>
      <c r="K2761" s="2686" t="s">
        <v>2586</v>
      </c>
      <c r="L2761" s="2408"/>
    </row>
    <row r="2762" spans="1:12" x14ac:dyDescent="0.3">
      <c r="A2762" s="81" t="s">
        <v>6214</v>
      </c>
      <c r="B2762" s="2445" t="s">
        <v>3617</v>
      </c>
      <c r="C2762" s="2406">
        <v>0</v>
      </c>
      <c r="D2762" s="2396"/>
      <c r="E2762" s="2406">
        <v>0</v>
      </c>
      <c r="F2762" s="2406">
        <v>0</v>
      </c>
      <c r="G2762" s="2459">
        <v>0</v>
      </c>
      <c r="H2762" s="2407">
        <v>0</v>
      </c>
      <c r="I2762" s="2413"/>
      <c r="J2762" s="2413"/>
      <c r="K2762" s="2686" t="s">
        <v>2586</v>
      </c>
      <c r="L2762" s="2408"/>
    </row>
    <row r="2763" spans="1:12" x14ac:dyDescent="0.3">
      <c r="A2763" s="81" t="s">
        <v>6215</v>
      </c>
      <c r="B2763" s="2445" t="s">
        <v>3619</v>
      </c>
      <c r="C2763" s="2406">
        <v>0</v>
      </c>
      <c r="D2763" s="2396"/>
      <c r="E2763" s="2406">
        <v>0</v>
      </c>
      <c r="F2763" s="2406">
        <v>0</v>
      </c>
      <c r="G2763" s="2459">
        <v>0</v>
      </c>
      <c r="H2763" s="2407">
        <v>0</v>
      </c>
      <c r="I2763" s="2413"/>
      <c r="J2763" s="2413"/>
      <c r="K2763" s="2686"/>
      <c r="L2763" s="2408"/>
    </row>
    <row r="2764" spans="1:12" x14ac:dyDescent="0.3">
      <c r="A2764" s="81" t="s">
        <v>6216</v>
      </c>
      <c r="B2764" s="2445" t="s">
        <v>3621</v>
      </c>
      <c r="C2764" s="2406">
        <v>0</v>
      </c>
      <c r="D2764" s="2396"/>
      <c r="E2764" s="2406">
        <v>0</v>
      </c>
      <c r="F2764" s="2406">
        <v>0</v>
      </c>
      <c r="G2764" s="2459">
        <v>0</v>
      </c>
      <c r="H2764" s="2407">
        <v>0</v>
      </c>
      <c r="I2764" s="2413"/>
      <c r="J2764" s="2413"/>
      <c r="K2764" s="2686" t="s">
        <v>6506</v>
      </c>
      <c r="L2764" s="2408"/>
    </row>
    <row r="2765" spans="1:12" x14ac:dyDescent="0.3">
      <c r="A2765" s="81" t="s">
        <v>6217</v>
      </c>
      <c r="B2765" s="2445" t="s">
        <v>3623</v>
      </c>
      <c r="C2765" s="2406">
        <v>0</v>
      </c>
      <c r="D2765" s="2396"/>
      <c r="E2765" s="2406">
        <v>0</v>
      </c>
      <c r="F2765" s="2406">
        <v>0</v>
      </c>
      <c r="G2765" s="2459">
        <v>0</v>
      </c>
      <c r="H2765" s="2407">
        <v>0</v>
      </c>
      <c r="I2765" s="2413"/>
      <c r="J2765" s="2413"/>
      <c r="K2765" s="2686" t="s">
        <v>6507</v>
      </c>
      <c r="L2765" s="2408"/>
    </row>
    <row r="2766" spans="1:12" x14ac:dyDescent="0.3">
      <c r="A2766" s="81" t="s">
        <v>6218</v>
      </c>
      <c r="B2766" s="2445" t="s">
        <v>3625</v>
      </c>
      <c r="C2766" s="2406">
        <v>0</v>
      </c>
      <c r="D2766" s="2396"/>
      <c r="E2766" s="2406">
        <v>0</v>
      </c>
      <c r="F2766" s="2406">
        <v>0</v>
      </c>
      <c r="G2766" s="2459">
        <v>0</v>
      </c>
      <c r="H2766" s="2407">
        <v>0</v>
      </c>
      <c r="I2766" s="2413"/>
      <c r="J2766" s="2413"/>
      <c r="K2766" s="2686" t="s">
        <v>6508</v>
      </c>
      <c r="L2766" s="2408"/>
    </row>
    <row r="2767" spans="1:12" x14ac:dyDescent="0.3">
      <c r="A2767" s="81" t="s">
        <v>6219</v>
      </c>
      <c r="B2767" s="2445" t="s">
        <v>3627</v>
      </c>
      <c r="C2767" s="2406">
        <v>0</v>
      </c>
      <c r="D2767" s="2396"/>
      <c r="E2767" s="2406">
        <v>0</v>
      </c>
      <c r="F2767" s="2406">
        <v>0</v>
      </c>
      <c r="G2767" s="2459">
        <v>0</v>
      </c>
      <c r="H2767" s="2407">
        <v>0</v>
      </c>
      <c r="I2767" s="2413"/>
      <c r="J2767" s="2413"/>
      <c r="K2767" s="2686" t="s">
        <v>6509</v>
      </c>
      <c r="L2767" s="2408"/>
    </row>
    <row r="2768" spans="1:12" x14ac:dyDescent="0.3">
      <c r="A2768" s="81" t="s">
        <v>6220</v>
      </c>
      <c r="B2768" s="2445" t="s">
        <v>3629</v>
      </c>
      <c r="C2768" s="2406">
        <v>0</v>
      </c>
      <c r="D2768" s="2396"/>
      <c r="E2768" s="2406">
        <v>0</v>
      </c>
      <c r="F2768" s="2406">
        <v>0</v>
      </c>
      <c r="G2768" s="2459">
        <v>0</v>
      </c>
      <c r="H2768" s="2407">
        <v>0</v>
      </c>
      <c r="I2768" s="2413"/>
      <c r="J2768" s="2413"/>
      <c r="K2768" s="2686" t="s">
        <v>6510</v>
      </c>
      <c r="L2768" s="2408"/>
    </row>
    <row r="2769" spans="1:12" x14ac:dyDescent="0.3">
      <c r="A2769" s="81" t="s">
        <v>6221</v>
      </c>
      <c r="B2769" s="2445" t="s">
        <v>3631</v>
      </c>
      <c r="C2769" s="2406">
        <v>0</v>
      </c>
      <c r="D2769" s="2396"/>
      <c r="E2769" s="2406">
        <v>0</v>
      </c>
      <c r="F2769" s="2406">
        <v>0</v>
      </c>
      <c r="G2769" s="2459">
        <v>0</v>
      </c>
      <c r="H2769" s="2407">
        <v>0</v>
      </c>
      <c r="I2769" s="2413"/>
      <c r="J2769" s="2413"/>
      <c r="K2769" s="2686" t="s">
        <v>6511</v>
      </c>
      <c r="L2769" s="2408"/>
    </row>
    <row r="2770" spans="1:12" x14ac:dyDescent="0.3">
      <c r="A2770" s="81" t="s">
        <v>6222</v>
      </c>
      <c r="B2770" s="2445" t="s">
        <v>3633</v>
      </c>
      <c r="C2770" s="2406">
        <v>0</v>
      </c>
      <c r="D2770" s="2396"/>
      <c r="E2770" s="2406">
        <v>0</v>
      </c>
      <c r="F2770" s="2406">
        <v>0</v>
      </c>
      <c r="G2770" s="2459">
        <v>0</v>
      </c>
      <c r="H2770" s="2407">
        <v>0</v>
      </c>
      <c r="I2770" s="2413"/>
      <c r="J2770" s="2413"/>
      <c r="K2770" s="2686" t="s">
        <v>6512</v>
      </c>
      <c r="L2770" s="2408"/>
    </row>
    <row r="2771" spans="1:12" x14ac:dyDescent="0.3">
      <c r="A2771" s="81" t="s">
        <v>6223</v>
      </c>
      <c r="B2771" s="2445" t="s">
        <v>3635</v>
      </c>
      <c r="C2771" s="2406">
        <v>0</v>
      </c>
      <c r="D2771" s="2396"/>
      <c r="E2771" s="2406">
        <v>0</v>
      </c>
      <c r="F2771" s="2406">
        <v>0</v>
      </c>
      <c r="G2771" s="2459">
        <v>0</v>
      </c>
      <c r="H2771" s="2407">
        <v>0</v>
      </c>
      <c r="I2771" s="2413"/>
      <c r="J2771" s="2413"/>
      <c r="K2771" s="2686" t="s">
        <v>6513</v>
      </c>
      <c r="L2771" s="2408"/>
    </row>
    <row r="2772" spans="1:12" x14ac:dyDescent="0.3">
      <c r="A2772" s="81" t="s">
        <v>6224</v>
      </c>
      <c r="B2772" s="2445" t="s">
        <v>3637</v>
      </c>
      <c r="C2772" s="2406">
        <v>0</v>
      </c>
      <c r="D2772" s="2396"/>
      <c r="E2772" s="2406">
        <v>0</v>
      </c>
      <c r="F2772" s="2406">
        <v>0</v>
      </c>
      <c r="G2772" s="2459">
        <v>0</v>
      </c>
      <c r="H2772" s="2407">
        <v>0</v>
      </c>
      <c r="I2772" s="2413"/>
      <c r="J2772" s="2413"/>
      <c r="K2772" s="2686" t="s">
        <v>6514</v>
      </c>
      <c r="L2772" s="2408"/>
    </row>
    <row r="2773" spans="1:12" x14ac:dyDescent="0.3">
      <c r="A2773" s="81" t="s">
        <v>6225</v>
      </c>
      <c r="B2773" s="2445" t="s">
        <v>334</v>
      </c>
      <c r="C2773" s="2406">
        <v>0</v>
      </c>
      <c r="D2773" s="2396"/>
      <c r="E2773" s="2406">
        <v>0</v>
      </c>
      <c r="F2773" s="2406">
        <v>0</v>
      </c>
      <c r="G2773" s="2459">
        <v>0</v>
      </c>
      <c r="H2773" s="2407">
        <v>0</v>
      </c>
      <c r="I2773" s="2413"/>
      <c r="J2773" s="2413"/>
      <c r="K2773" s="2686"/>
      <c r="L2773" s="2408"/>
    </row>
    <row r="2774" spans="1:12" x14ac:dyDescent="0.3">
      <c r="A2774" s="81" t="s">
        <v>6226</v>
      </c>
      <c r="B2774" s="2445" t="s">
        <v>3640</v>
      </c>
      <c r="C2774" s="2406">
        <v>0</v>
      </c>
      <c r="D2774" s="2396"/>
      <c r="E2774" s="2406">
        <v>0</v>
      </c>
      <c r="F2774" s="2406">
        <v>0</v>
      </c>
      <c r="G2774" s="2459">
        <v>0</v>
      </c>
      <c r="H2774" s="2407">
        <v>0</v>
      </c>
      <c r="I2774" s="2413"/>
      <c r="J2774" s="2413"/>
      <c r="K2774" s="2686" t="s">
        <v>6515</v>
      </c>
      <c r="L2774" s="2408"/>
    </row>
    <row r="2775" spans="1:12" x14ac:dyDescent="0.3">
      <c r="A2775" s="81" t="s">
        <v>6227</v>
      </c>
      <c r="B2775" s="2445" t="s">
        <v>3642</v>
      </c>
      <c r="C2775" s="2406">
        <v>0</v>
      </c>
      <c r="D2775" s="2396"/>
      <c r="E2775" s="2406">
        <v>0</v>
      </c>
      <c r="F2775" s="2406">
        <v>0</v>
      </c>
      <c r="G2775" s="2459">
        <v>0</v>
      </c>
      <c r="H2775" s="2407">
        <v>0</v>
      </c>
      <c r="I2775" s="2413"/>
      <c r="J2775" s="2413"/>
      <c r="K2775" s="2686" t="s">
        <v>6515</v>
      </c>
      <c r="L2775" s="2408"/>
    </row>
    <row r="2776" spans="1:12" x14ac:dyDescent="0.3">
      <c r="A2776" s="81" t="s">
        <v>6228</v>
      </c>
      <c r="B2776" s="2445" t="s">
        <v>3644</v>
      </c>
      <c r="C2776" s="2406">
        <v>0</v>
      </c>
      <c r="D2776" s="2396"/>
      <c r="E2776" s="2406">
        <v>0</v>
      </c>
      <c r="F2776" s="2406">
        <v>0</v>
      </c>
      <c r="G2776" s="2459">
        <v>0</v>
      </c>
      <c r="H2776" s="2407">
        <v>0</v>
      </c>
      <c r="I2776" s="2413"/>
      <c r="J2776" s="2413"/>
      <c r="K2776" s="2686" t="s">
        <v>6515</v>
      </c>
      <c r="L2776" s="2408"/>
    </row>
    <row r="2777" spans="1:12" x14ac:dyDescent="0.3">
      <c r="A2777" s="81" t="s">
        <v>6229</v>
      </c>
      <c r="B2777" s="2445" t="s">
        <v>3646</v>
      </c>
      <c r="C2777" s="2406">
        <v>0</v>
      </c>
      <c r="D2777" s="2396"/>
      <c r="E2777" s="2406">
        <v>0</v>
      </c>
      <c r="F2777" s="2406">
        <v>0</v>
      </c>
      <c r="G2777" s="2459">
        <v>0</v>
      </c>
      <c r="H2777" s="2407">
        <v>0</v>
      </c>
      <c r="I2777" s="2413"/>
      <c r="J2777" s="2413"/>
      <c r="K2777" s="2686" t="s">
        <v>6515</v>
      </c>
      <c r="L2777" s="2408"/>
    </row>
    <row r="2778" spans="1:12" x14ac:dyDescent="0.3">
      <c r="A2778" s="81" t="s">
        <v>6230</v>
      </c>
      <c r="B2778" s="2445" t="s">
        <v>3648</v>
      </c>
      <c r="C2778" s="2406">
        <v>0</v>
      </c>
      <c r="D2778" s="2396"/>
      <c r="E2778" s="2406">
        <v>0</v>
      </c>
      <c r="F2778" s="2406">
        <v>0</v>
      </c>
      <c r="G2778" s="2459">
        <v>0</v>
      </c>
      <c r="H2778" s="2407">
        <v>0</v>
      </c>
      <c r="I2778" s="2413"/>
      <c r="J2778" s="2413"/>
      <c r="K2778" s="2686" t="s">
        <v>6516</v>
      </c>
      <c r="L2778" s="2408"/>
    </row>
    <row r="2779" spans="1:12" x14ac:dyDescent="0.3">
      <c r="A2779" s="81" t="s">
        <v>6231</v>
      </c>
      <c r="B2779" s="2445" t="s">
        <v>3650</v>
      </c>
      <c r="C2779" s="2406">
        <v>0</v>
      </c>
      <c r="D2779" s="2396"/>
      <c r="E2779" s="2406">
        <v>0</v>
      </c>
      <c r="F2779" s="2406">
        <v>0</v>
      </c>
      <c r="G2779" s="2459">
        <v>0</v>
      </c>
      <c r="H2779" s="2407">
        <v>0</v>
      </c>
      <c r="I2779" s="2413"/>
      <c r="J2779" s="2413"/>
      <c r="K2779" s="2686" t="s">
        <v>6517</v>
      </c>
      <c r="L2779" s="2408"/>
    </row>
    <row r="2780" spans="1:12" x14ac:dyDescent="0.3">
      <c r="A2780" s="81" t="s">
        <v>6232</v>
      </c>
      <c r="B2780" s="2445" t="s">
        <v>3652</v>
      </c>
      <c r="C2780" s="2406">
        <v>0</v>
      </c>
      <c r="D2780" s="2396"/>
      <c r="E2780" s="2406">
        <v>0</v>
      </c>
      <c r="F2780" s="2406">
        <v>0</v>
      </c>
      <c r="G2780" s="2459">
        <v>0</v>
      </c>
      <c r="H2780" s="2407">
        <v>0</v>
      </c>
      <c r="I2780" s="2413"/>
      <c r="J2780" s="2413"/>
      <c r="K2780" s="2686" t="s">
        <v>6518</v>
      </c>
      <c r="L2780" s="2408"/>
    </row>
    <row r="2781" spans="1:12" x14ac:dyDescent="0.3">
      <c r="A2781" s="81" t="s">
        <v>6233</v>
      </c>
      <c r="B2781" s="2445" t="s">
        <v>3654</v>
      </c>
      <c r="C2781" s="2406">
        <v>0</v>
      </c>
      <c r="D2781" s="2396"/>
      <c r="E2781" s="2406">
        <v>0</v>
      </c>
      <c r="F2781" s="2406">
        <v>0</v>
      </c>
      <c r="G2781" s="2459">
        <v>0</v>
      </c>
      <c r="H2781" s="2407">
        <v>0</v>
      </c>
      <c r="I2781" s="2413"/>
      <c r="J2781" s="2413"/>
      <c r="K2781" s="2686" t="s">
        <v>6518</v>
      </c>
      <c r="L2781" s="2408"/>
    </row>
    <row r="2782" spans="1:12" x14ac:dyDescent="0.3">
      <c r="A2782" s="81" t="s">
        <v>6234</v>
      </c>
      <c r="B2782" s="2445" t="s">
        <v>3656</v>
      </c>
      <c r="C2782" s="2406">
        <v>0</v>
      </c>
      <c r="D2782" s="2396"/>
      <c r="E2782" s="2406">
        <v>0</v>
      </c>
      <c r="F2782" s="2406">
        <v>0</v>
      </c>
      <c r="G2782" s="2459">
        <v>0</v>
      </c>
      <c r="H2782" s="2407">
        <v>0</v>
      </c>
      <c r="I2782" s="2413"/>
      <c r="J2782" s="2413"/>
      <c r="K2782" s="2686"/>
      <c r="L2782" s="2408"/>
    </row>
    <row r="2783" spans="1:12" x14ac:dyDescent="0.3">
      <c r="A2783" s="81" t="s">
        <v>6235</v>
      </c>
      <c r="B2783" s="2445" t="s">
        <v>3658</v>
      </c>
      <c r="C2783" s="2406">
        <v>0</v>
      </c>
      <c r="D2783" s="2396"/>
      <c r="E2783" s="2406">
        <v>0</v>
      </c>
      <c r="F2783" s="2406">
        <v>0</v>
      </c>
      <c r="G2783" s="2459">
        <v>0</v>
      </c>
      <c r="H2783" s="2407">
        <v>0</v>
      </c>
      <c r="I2783" s="2413"/>
      <c r="J2783" s="2413"/>
      <c r="K2783" s="2686" t="s">
        <v>6519</v>
      </c>
      <c r="L2783" s="2408"/>
    </row>
    <row r="2784" spans="1:12" x14ac:dyDescent="0.3">
      <c r="A2784" s="81" t="s">
        <v>6236</v>
      </c>
      <c r="B2784" s="2445" t="s">
        <v>3660</v>
      </c>
      <c r="C2784" s="2406">
        <v>0</v>
      </c>
      <c r="D2784" s="2396"/>
      <c r="E2784" s="2406">
        <v>0</v>
      </c>
      <c r="F2784" s="2406">
        <v>0</v>
      </c>
      <c r="G2784" s="2459">
        <v>0</v>
      </c>
      <c r="H2784" s="2407">
        <v>0</v>
      </c>
      <c r="I2784" s="2413"/>
      <c r="J2784" s="2413"/>
      <c r="K2784" s="2686" t="s">
        <v>6520</v>
      </c>
      <c r="L2784" s="2408"/>
    </row>
    <row r="2785" spans="1:12" x14ac:dyDescent="0.3">
      <c r="A2785" s="81" t="s">
        <v>6237</v>
      </c>
      <c r="B2785" s="2445" t="s">
        <v>3662</v>
      </c>
      <c r="C2785" s="2406">
        <v>0</v>
      </c>
      <c r="D2785" s="2396"/>
      <c r="E2785" s="2406">
        <v>0</v>
      </c>
      <c r="F2785" s="2406">
        <v>0</v>
      </c>
      <c r="G2785" s="2459">
        <v>0</v>
      </c>
      <c r="H2785" s="2407">
        <v>0</v>
      </c>
      <c r="I2785" s="2413"/>
      <c r="J2785" s="2413"/>
      <c r="K2785" s="2686" t="s">
        <v>6521</v>
      </c>
      <c r="L2785" s="2408"/>
    </row>
    <row r="2786" spans="1:12" x14ac:dyDescent="0.3">
      <c r="A2786" s="81" t="s">
        <v>6238</v>
      </c>
      <c r="B2786" s="2445" t="s">
        <v>3664</v>
      </c>
      <c r="C2786" s="2406">
        <v>0</v>
      </c>
      <c r="D2786" s="2396"/>
      <c r="E2786" s="2406">
        <v>0</v>
      </c>
      <c r="F2786" s="2406">
        <v>0</v>
      </c>
      <c r="G2786" s="2459">
        <v>0</v>
      </c>
      <c r="H2786" s="2407">
        <v>0</v>
      </c>
      <c r="I2786" s="2413"/>
      <c r="J2786" s="2413"/>
      <c r="K2786" s="2686" t="s">
        <v>6522</v>
      </c>
      <c r="L2786" s="2408"/>
    </row>
    <row r="2787" spans="1:12" x14ac:dyDescent="0.3">
      <c r="A2787" s="81" t="s">
        <v>6239</v>
      </c>
      <c r="B2787" s="2445" t="s">
        <v>3666</v>
      </c>
      <c r="C2787" s="2406">
        <v>0</v>
      </c>
      <c r="D2787" s="2396"/>
      <c r="E2787" s="2406">
        <v>0</v>
      </c>
      <c r="F2787" s="2406">
        <v>0</v>
      </c>
      <c r="G2787" s="2459">
        <v>0</v>
      </c>
      <c r="H2787" s="2407">
        <v>0</v>
      </c>
      <c r="I2787" s="2413"/>
      <c r="J2787" s="2413"/>
      <c r="K2787" s="2686" t="s">
        <v>6523</v>
      </c>
      <c r="L2787" s="2408"/>
    </row>
    <row r="2788" spans="1:12" x14ac:dyDescent="0.3">
      <c r="A2788" s="81" t="s">
        <v>6240</v>
      </c>
      <c r="B2788" s="2445" t="s">
        <v>3668</v>
      </c>
      <c r="C2788" s="2406">
        <v>0</v>
      </c>
      <c r="D2788" s="2396"/>
      <c r="E2788" s="2406">
        <v>0</v>
      </c>
      <c r="F2788" s="2406">
        <v>0</v>
      </c>
      <c r="G2788" s="2459">
        <v>0</v>
      </c>
      <c r="H2788" s="2407">
        <v>0</v>
      </c>
      <c r="I2788" s="2413"/>
      <c r="J2788" s="2413"/>
      <c r="K2788" s="2686" t="s">
        <v>6524</v>
      </c>
      <c r="L2788" s="2408"/>
    </row>
    <row r="2789" spans="1:12" x14ac:dyDescent="0.3">
      <c r="A2789" s="81" t="s">
        <v>6241</v>
      </c>
      <c r="B2789" s="2445" t="s">
        <v>350</v>
      </c>
      <c r="C2789" s="2406">
        <v>0</v>
      </c>
      <c r="D2789" s="2396"/>
      <c r="E2789" s="2406">
        <v>0</v>
      </c>
      <c r="F2789" s="2406">
        <v>0</v>
      </c>
      <c r="G2789" s="2459">
        <v>0</v>
      </c>
      <c r="H2789" s="2407">
        <v>0</v>
      </c>
      <c r="I2789" s="2413"/>
      <c r="J2789" s="2413"/>
      <c r="K2789" s="2686" t="s">
        <v>6524</v>
      </c>
      <c r="L2789" s="2408"/>
    </row>
    <row r="2790" spans="1:12" x14ac:dyDescent="0.3">
      <c r="A2790" s="81" t="s">
        <v>6242</v>
      </c>
      <c r="B2790" s="2445" t="s">
        <v>3671</v>
      </c>
      <c r="C2790" s="2406">
        <v>0</v>
      </c>
      <c r="D2790" s="2396"/>
      <c r="E2790" s="2406">
        <v>0</v>
      </c>
      <c r="F2790" s="2406">
        <v>0</v>
      </c>
      <c r="G2790" s="2459">
        <v>0</v>
      </c>
      <c r="H2790" s="2407">
        <v>0</v>
      </c>
      <c r="I2790" s="2413"/>
      <c r="J2790" s="2413"/>
      <c r="K2790" s="2686"/>
      <c r="L2790" s="2408"/>
    </row>
    <row r="2791" spans="1:12" x14ac:dyDescent="0.3">
      <c r="A2791" s="81" t="s">
        <v>6243</v>
      </c>
      <c r="B2791" s="2445" t="s">
        <v>3930</v>
      </c>
      <c r="C2791" s="2406">
        <v>0</v>
      </c>
      <c r="D2791" s="2396"/>
      <c r="E2791" s="2406">
        <v>0</v>
      </c>
      <c r="F2791" s="2406">
        <v>0</v>
      </c>
      <c r="G2791" s="2459">
        <v>0</v>
      </c>
      <c r="H2791" s="2407">
        <v>0</v>
      </c>
      <c r="I2791" s="2413"/>
      <c r="J2791" s="2413"/>
      <c r="K2791" s="2686" t="s">
        <v>6525</v>
      </c>
      <c r="L2791" s="2408"/>
    </row>
    <row r="2792" spans="1:12" x14ac:dyDescent="0.3">
      <c r="A2792" s="81" t="s">
        <v>6244</v>
      </c>
      <c r="B2792" s="2445" t="s">
        <v>3675</v>
      </c>
      <c r="C2792" s="2406">
        <v>0</v>
      </c>
      <c r="D2792" s="2396"/>
      <c r="E2792" s="2406">
        <v>0</v>
      </c>
      <c r="F2792" s="2406">
        <v>0</v>
      </c>
      <c r="G2792" s="2459">
        <v>0</v>
      </c>
      <c r="H2792" s="2407">
        <v>0</v>
      </c>
      <c r="I2792" s="2413"/>
      <c r="J2792" s="2413"/>
      <c r="K2792" s="2686" t="s">
        <v>6526</v>
      </c>
      <c r="L2792" s="2408"/>
    </row>
    <row r="2793" spans="1:12" x14ac:dyDescent="0.3">
      <c r="A2793" s="81" t="s">
        <v>6245</v>
      </c>
      <c r="B2793" s="2445" t="s">
        <v>3677</v>
      </c>
      <c r="C2793" s="2406">
        <v>0</v>
      </c>
      <c r="D2793" s="2396"/>
      <c r="E2793" s="2406">
        <v>0</v>
      </c>
      <c r="F2793" s="2406">
        <v>0</v>
      </c>
      <c r="G2793" s="2459">
        <v>0</v>
      </c>
      <c r="H2793" s="2407">
        <v>0</v>
      </c>
      <c r="I2793" s="2413"/>
      <c r="J2793" s="2413"/>
      <c r="K2793" s="2686" t="s">
        <v>6526</v>
      </c>
      <c r="L2793" s="2408"/>
    </row>
    <row r="2794" spans="1:12" x14ac:dyDescent="0.3">
      <c r="A2794" s="81" t="s">
        <v>6246</v>
      </c>
      <c r="B2794" s="2445" t="s">
        <v>3679</v>
      </c>
      <c r="C2794" s="2406">
        <v>0</v>
      </c>
      <c r="D2794" s="2396"/>
      <c r="E2794" s="2406">
        <v>0</v>
      </c>
      <c r="F2794" s="2406">
        <v>0</v>
      </c>
      <c r="G2794" s="2459">
        <v>0</v>
      </c>
      <c r="H2794" s="2407">
        <v>0</v>
      </c>
      <c r="I2794" s="2413"/>
      <c r="J2794" s="2413"/>
      <c r="K2794" s="2686" t="s">
        <v>6526</v>
      </c>
      <c r="L2794" s="2408"/>
    </row>
    <row r="2795" spans="1:12" x14ac:dyDescent="0.3">
      <c r="A2795" s="81" t="s">
        <v>6247</v>
      </c>
      <c r="B2795" s="2445" t="s">
        <v>3681</v>
      </c>
      <c r="C2795" s="2406">
        <v>0</v>
      </c>
      <c r="D2795" s="2396"/>
      <c r="E2795" s="2406">
        <v>0</v>
      </c>
      <c r="F2795" s="2406">
        <v>0</v>
      </c>
      <c r="G2795" s="2459">
        <v>0</v>
      </c>
      <c r="H2795" s="2407">
        <v>0</v>
      </c>
      <c r="I2795" s="2413"/>
      <c r="J2795" s="2413"/>
      <c r="K2795" s="2686" t="s">
        <v>6526</v>
      </c>
      <c r="L2795" s="2408"/>
    </row>
    <row r="2796" spans="1:12" x14ac:dyDescent="0.3">
      <c r="A2796" s="81" t="s">
        <v>6248</v>
      </c>
      <c r="B2796" s="2445" t="s">
        <v>3683</v>
      </c>
      <c r="C2796" s="2406">
        <v>0</v>
      </c>
      <c r="D2796" s="2396"/>
      <c r="E2796" s="2406">
        <v>0</v>
      </c>
      <c r="F2796" s="2406">
        <v>0</v>
      </c>
      <c r="G2796" s="2459">
        <v>0</v>
      </c>
      <c r="H2796" s="2407">
        <v>0</v>
      </c>
      <c r="I2796" s="2413"/>
      <c r="J2796" s="2413"/>
      <c r="K2796" s="2686" t="s">
        <v>6527</v>
      </c>
      <c r="L2796" s="2408"/>
    </row>
    <row r="2797" spans="1:12" x14ac:dyDescent="0.3">
      <c r="A2797" s="81" t="s">
        <v>6249</v>
      </c>
      <c r="B2797" s="2445" t="s">
        <v>3685</v>
      </c>
      <c r="C2797" s="2406">
        <v>0</v>
      </c>
      <c r="D2797" s="2396"/>
      <c r="E2797" s="2406">
        <v>0</v>
      </c>
      <c r="F2797" s="2406">
        <v>0</v>
      </c>
      <c r="G2797" s="2459">
        <v>0</v>
      </c>
      <c r="H2797" s="2407">
        <v>0</v>
      </c>
      <c r="I2797" s="2413"/>
      <c r="J2797" s="2413"/>
      <c r="K2797" s="2686" t="s">
        <v>6528</v>
      </c>
      <c r="L2797" s="2408"/>
    </row>
    <row r="2798" spans="1:12" x14ac:dyDescent="0.3">
      <c r="A2798" s="81" t="s">
        <v>6250</v>
      </c>
      <c r="B2798" s="2445" t="s">
        <v>3687</v>
      </c>
      <c r="C2798" s="2406">
        <v>0</v>
      </c>
      <c r="D2798" s="2396"/>
      <c r="E2798" s="2406">
        <v>0</v>
      </c>
      <c r="F2798" s="2406">
        <v>0</v>
      </c>
      <c r="G2798" s="2459">
        <v>0</v>
      </c>
      <c r="H2798" s="2407">
        <v>0</v>
      </c>
      <c r="I2798" s="2413"/>
      <c r="J2798" s="2413"/>
      <c r="K2798" s="2686" t="s">
        <v>6528</v>
      </c>
      <c r="L2798" s="2408"/>
    </row>
    <row r="2799" spans="1:12" x14ac:dyDescent="0.3">
      <c r="A2799" s="81" t="s">
        <v>6251</v>
      </c>
      <c r="B2799" s="2445" t="s">
        <v>3689</v>
      </c>
      <c r="C2799" s="2406">
        <v>0</v>
      </c>
      <c r="D2799" s="2396"/>
      <c r="E2799" s="2406">
        <v>0</v>
      </c>
      <c r="F2799" s="2406">
        <v>0</v>
      </c>
      <c r="G2799" s="2459">
        <v>0</v>
      </c>
      <c r="H2799" s="2407">
        <v>0</v>
      </c>
      <c r="I2799" s="2413"/>
      <c r="J2799" s="2413"/>
      <c r="K2799" s="2686" t="s">
        <v>6528</v>
      </c>
      <c r="L2799" s="2408"/>
    </row>
    <row r="2800" spans="1:12" x14ac:dyDescent="0.3">
      <c r="A2800" s="81" t="s">
        <v>6252</v>
      </c>
      <c r="B2800" s="2445" t="s">
        <v>4297</v>
      </c>
      <c r="C2800" s="2406">
        <v>0</v>
      </c>
      <c r="D2800" s="2396"/>
      <c r="E2800" s="2406">
        <v>0</v>
      </c>
      <c r="F2800" s="2406">
        <v>0</v>
      </c>
      <c r="G2800" s="2459">
        <v>0</v>
      </c>
      <c r="H2800" s="2407">
        <v>0</v>
      </c>
      <c r="I2800" s="2413"/>
      <c r="J2800" s="2413"/>
      <c r="K2800" s="2686"/>
      <c r="L2800" s="2408"/>
    </row>
    <row r="2801" spans="1:12" x14ac:dyDescent="0.3">
      <c r="A2801" s="81" t="s">
        <v>6253</v>
      </c>
      <c r="B2801" s="2445" t="s">
        <v>4298</v>
      </c>
      <c r="C2801" s="2406">
        <v>0</v>
      </c>
      <c r="D2801" s="2396"/>
      <c r="E2801" s="2406">
        <v>0</v>
      </c>
      <c r="F2801" s="2406">
        <v>0</v>
      </c>
      <c r="G2801" s="2459">
        <v>0</v>
      </c>
      <c r="H2801" s="2407">
        <v>0</v>
      </c>
      <c r="I2801" s="2413"/>
      <c r="J2801" s="2413"/>
      <c r="K2801" s="2686" t="s">
        <v>6570</v>
      </c>
      <c r="L2801" s="2408"/>
    </row>
    <row r="2802" spans="1:12" x14ac:dyDescent="0.3">
      <c r="A2802" s="81" t="s">
        <v>6254</v>
      </c>
      <c r="B2802" s="2445" t="s">
        <v>4299</v>
      </c>
      <c r="C2802" s="2406">
        <v>0</v>
      </c>
      <c r="D2802" s="2396"/>
      <c r="E2802" s="2406">
        <v>0</v>
      </c>
      <c r="F2802" s="2406">
        <v>0</v>
      </c>
      <c r="G2802" s="2459">
        <v>0</v>
      </c>
      <c r="H2802" s="2407">
        <v>0</v>
      </c>
      <c r="I2802" s="2413"/>
      <c r="J2802" s="2413"/>
      <c r="K2802" s="2686" t="s">
        <v>6570</v>
      </c>
      <c r="L2802" s="2408"/>
    </row>
    <row r="2803" spans="1:12" x14ac:dyDescent="0.3">
      <c r="A2803" s="81" t="s">
        <v>6255</v>
      </c>
      <c r="B2803" s="2445" t="s">
        <v>4300</v>
      </c>
      <c r="C2803" s="2406">
        <v>0</v>
      </c>
      <c r="D2803" s="2396"/>
      <c r="E2803" s="2406">
        <v>0</v>
      </c>
      <c r="F2803" s="2406">
        <v>0</v>
      </c>
      <c r="G2803" s="2459">
        <v>0</v>
      </c>
      <c r="H2803" s="2407">
        <v>0</v>
      </c>
      <c r="I2803" s="2413"/>
      <c r="J2803" s="2413"/>
      <c r="K2803" s="2686" t="s">
        <v>6570</v>
      </c>
      <c r="L2803" s="2408"/>
    </row>
    <row r="2804" spans="1:12" x14ac:dyDescent="0.3">
      <c r="A2804" s="81" t="s">
        <v>6256</v>
      </c>
      <c r="B2804" s="2445" t="s">
        <v>350</v>
      </c>
      <c r="C2804" s="2406">
        <v>0</v>
      </c>
      <c r="D2804" s="2396"/>
      <c r="E2804" s="2406">
        <v>0</v>
      </c>
      <c r="F2804" s="2406">
        <v>0</v>
      </c>
      <c r="G2804" s="2459">
        <v>0</v>
      </c>
      <c r="H2804" s="2407">
        <v>0</v>
      </c>
      <c r="I2804" s="2413"/>
      <c r="J2804" s="2413"/>
      <c r="K2804" s="2686"/>
      <c r="L2804" s="2408"/>
    </row>
    <row r="2805" spans="1:12" x14ac:dyDescent="0.3">
      <c r="A2805" s="81" t="s">
        <v>6257</v>
      </c>
      <c r="B2805" s="2445" t="s">
        <v>4294</v>
      </c>
      <c r="C2805" s="2406">
        <v>0</v>
      </c>
      <c r="D2805" s="2396"/>
      <c r="E2805" s="2406">
        <v>0</v>
      </c>
      <c r="F2805" s="2406">
        <v>0</v>
      </c>
      <c r="G2805" s="2459">
        <v>0</v>
      </c>
      <c r="H2805" s="2407">
        <v>0</v>
      </c>
      <c r="I2805" s="2413"/>
      <c r="J2805" s="2413"/>
      <c r="K2805" s="2686" t="s">
        <v>6541</v>
      </c>
      <c r="L2805" s="2408"/>
    </row>
    <row r="2806" spans="1:12" x14ac:dyDescent="0.3">
      <c r="A2806" s="81" t="s">
        <v>6258</v>
      </c>
      <c r="B2806" s="2445" t="s">
        <v>4072</v>
      </c>
      <c r="C2806" s="2406">
        <v>0</v>
      </c>
      <c r="D2806" s="2396"/>
      <c r="E2806" s="2406">
        <v>0</v>
      </c>
      <c r="F2806" s="2406">
        <v>0</v>
      </c>
      <c r="G2806" s="2459">
        <v>0</v>
      </c>
      <c r="H2806" s="2407">
        <v>0</v>
      </c>
      <c r="I2806" s="2413"/>
      <c r="J2806" s="2413"/>
      <c r="K2806" s="2686" t="s">
        <v>6539</v>
      </c>
      <c r="L2806" s="2408"/>
    </row>
    <row r="2807" spans="1:12" x14ac:dyDescent="0.3">
      <c r="A2807" s="81" t="s">
        <v>6259</v>
      </c>
      <c r="B2807" s="2445" t="s">
        <v>558</v>
      </c>
      <c r="C2807" s="2406">
        <v>0</v>
      </c>
      <c r="D2807" s="2396"/>
      <c r="E2807" s="2406">
        <v>0</v>
      </c>
      <c r="F2807" s="2406">
        <v>0</v>
      </c>
      <c r="G2807" s="2459">
        <v>0</v>
      </c>
      <c r="H2807" s="2407">
        <v>0</v>
      </c>
      <c r="I2807" s="2413"/>
      <c r="J2807" s="2413"/>
      <c r="K2807" s="2686"/>
      <c r="L2807" s="2408"/>
    </row>
    <row r="2808" spans="1:12" x14ac:dyDescent="0.3">
      <c r="A2808" s="81" t="s">
        <v>6260</v>
      </c>
      <c r="B2808" s="2445" t="s">
        <v>3124</v>
      </c>
      <c r="C2808" s="2406">
        <v>191435993.87</v>
      </c>
      <c r="D2808" s="2396"/>
      <c r="E2808" s="2406">
        <v>17403272.170000002</v>
      </c>
      <c r="F2808" s="2406">
        <v>0</v>
      </c>
      <c r="G2808" s="2466">
        <v>17403272.170000002</v>
      </c>
      <c r="H2808" s="2407">
        <v>208839266.03999999</v>
      </c>
      <c r="I2808" s="2413"/>
      <c r="J2808" s="2413"/>
      <c r="K2808" s="2695" t="s">
        <v>6571</v>
      </c>
      <c r="L2808" s="2408"/>
    </row>
    <row r="2809" spans="1:12" x14ac:dyDescent="0.3">
      <c r="A2809" s="81" t="s">
        <v>6261</v>
      </c>
      <c r="B2809" s="2445" t="s">
        <v>3125</v>
      </c>
      <c r="C2809" s="2406">
        <v>147496250</v>
      </c>
      <c r="D2809" s="2396"/>
      <c r="E2809" s="2406">
        <v>13408750</v>
      </c>
      <c r="F2809" s="2406">
        <v>0</v>
      </c>
      <c r="G2809" s="2466">
        <v>13408750</v>
      </c>
      <c r="H2809" s="2407">
        <v>160905000</v>
      </c>
      <c r="I2809" s="2413"/>
      <c r="J2809" s="2413"/>
      <c r="K2809" s="2695" t="s">
        <v>6571</v>
      </c>
      <c r="L2809" s="2408"/>
    </row>
    <row r="2810" spans="1:12" x14ac:dyDescent="0.3">
      <c r="A2810" s="81" t="s">
        <v>6262</v>
      </c>
      <c r="B2810" s="2445" t="s">
        <v>3126</v>
      </c>
      <c r="C2810" s="2406">
        <v>47878691.630000003</v>
      </c>
      <c r="D2810" s="2396"/>
      <c r="E2810" s="2406">
        <v>4352608.33</v>
      </c>
      <c r="F2810" s="2406">
        <v>0</v>
      </c>
      <c r="G2810" s="2466">
        <v>4352608.33</v>
      </c>
      <c r="H2810" s="2407">
        <v>52231299.960000001</v>
      </c>
      <c r="I2810" s="2413"/>
      <c r="J2810" s="2413"/>
      <c r="K2810" s="2695" t="s">
        <v>6571</v>
      </c>
      <c r="L2810" s="2408"/>
    </row>
    <row r="2811" spans="1:12" x14ac:dyDescent="0.3">
      <c r="A2811" s="81" t="s">
        <v>6263</v>
      </c>
      <c r="B2811" s="2445" t="s">
        <v>3127</v>
      </c>
      <c r="C2811" s="2406">
        <v>120204364.81999999</v>
      </c>
      <c r="D2811" s="2396"/>
      <c r="E2811" s="2406">
        <v>13792294.74</v>
      </c>
      <c r="F2811" s="2406">
        <v>0</v>
      </c>
      <c r="G2811" s="2466">
        <v>13792294.74</v>
      </c>
      <c r="H2811" s="2407">
        <v>133996659.56</v>
      </c>
      <c r="I2811" s="2413"/>
      <c r="J2811" s="2413"/>
      <c r="K2811" s="2695" t="s">
        <v>6571</v>
      </c>
      <c r="L2811" s="2408"/>
    </row>
    <row r="2812" spans="1:12" x14ac:dyDescent="0.3">
      <c r="A2812" s="81" t="s">
        <v>6264</v>
      </c>
      <c r="B2812" s="2445" t="s">
        <v>3128</v>
      </c>
      <c r="C2812" s="2406">
        <v>0</v>
      </c>
      <c r="D2812" s="2396"/>
      <c r="E2812" s="2406">
        <v>0</v>
      </c>
      <c r="F2812" s="2406">
        <v>0</v>
      </c>
      <c r="G2812" s="2466">
        <v>0</v>
      </c>
      <c r="H2812" s="2407">
        <v>0</v>
      </c>
      <c r="I2812" s="2413"/>
      <c r="J2812" s="2413"/>
      <c r="K2812" s="2695" t="s">
        <v>6571</v>
      </c>
      <c r="L2812" s="2408"/>
    </row>
    <row r="2813" spans="1:12" x14ac:dyDescent="0.3">
      <c r="A2813" s="81" t="s">
        <v>6265</v>
      </c>
      <c r="B2813" s="2445" t="s">
        <v>3129</v>
      </c>
      <c r="C2813" s="2406">
        <v>0</v>
      </c>
      <c r="D2813" s="2396"/>
      <c r="E2813" s="2406">
        <v>0</v>
      </c>
      <c r="F2813" s="2406">
        <v>0</v>
      </c>
      <c r="G2813" s="2466">
        <v>0</v>
      </c>
      <c r="H2813" s="2407">
        <v>0</v>
      </c>
      <c r="I2813" s="2413"/>
      <c r="J2813" s="2413"/>
      <c r="K2813" s="2695" t="s">
        <v>6571</v>
      </c>
      <c r="L2813" s="2408"/>
    </row>
    <row r="2814" spans="1:12" x14ac:dyDescent="0.3">
      <c r="A2814" s="81" t="s">
        <v>6266</v>
      </c>
      <c r="B2814" s="2445" t="s">
        <v>3130</v>
      </c>
      <c r="C2814" s="2406">
        <v>25684222.93</v>
      </c>
      <c r="D2814" s="2396"/>
      <c r="E2814" s="2406">
        <v>2336259.38</v>
      </c>
      <c r="F2814" s="2406">
        <v>0</v>
      </c>
      <c r="G2814" s="2466">
        <v>2336259.38</v>
      </c>
      <c r="H2814" s="2407">
        <v>28020482.309999999</v>
      </c>
      <c r="I2814" s="2413"/>
      <c r="J2814" s="2413"/>
      <c r="K2814" s="2695" t="s">
        <v>6571</v>
      </c>
      <c r="L2814" s="2408"/>
    </row>
    <row r="2815" spans="1:12" x14ac:dyDescent="0.3">
      <c r="A2815" s="81" t="s">
        <v>6267</v>
      </c>
      <c r="B2815" s="2445" t="s">
        <v>3131</v>
      </c>
      <c r="C2815" s="2406">
        <v>550000</v>
      </c>
      <c r="D2815" s="2396"/>
      <c r="E2815" s="2406">
        <v>50000</v>
      </c>
      <c r="F2815" s="2406">
        <v>0</v>
      </c>
      <c r="G2815" s="2466">
        <v>50000</v>
      </c>
      <c r="H2815" s="2407">
        <v>600000</v>
      </c>
      <c r="I2815" s="2413"/>
      <c r="J2815" s="2413"/>
      <c r="K2815" s="2695" t="s">
        <v>6571</v>
      </c>
      <c r="L2815" s="2408"/>
    </row>
    <row r="2816" spans="1:12" x14ac:dyDescent="0.3">
      <c r="A2816" s="81" t="s">
        <v>6268</v>
      </c>
      <c r="B2816" s="2445" t="s">
        <v>561</v>
      </c>
      <c r="C2816" s="2406">
        <v>0</v>
      </c>
      <c r="D2816" s="2396"/>
      <c r="E2816" s="2406">
        <v>0</v>
      </c>
      <c r="F2816" s="2406">
        <v>0</v>
      </c>
      <c r="G2816" s="2466">
        <v>0</v>
      </c>
      <c r="H2816" s="2407">
        <v>0</v>
      </c>
      <c r="I2816" s="2413"/>
      <c r="J2816" s="2413"/>
      <c r="K2816" s="2695"/>
      <c r="L2816" s="2408"/>
    </row>
    <row r="2817" spans="1:12" x14ac:dyDescent="0.3">
      <c r="A2817" s="81" t="s">
        <v>6269</v>
      </c>
      <c r="B2817" s="2445" t="s">
        <v>3132</v>
      </c>
      <c r="C2817" s="2406">
        <v>6431241.6299999999</v>
      </c>
      <c r="D2817" s="2396"/>
      <c r="E2817" s="2406">
        <v>584658.32999999996</v>
      </c>
      <c r="F2817" s="2406">
        <v>0</v>
      </c>
      <c r="G2817" s="2460">
        <v>584658.32999999996</v>
      </c>
      <c r="H2817" s="2407">
        <v>7015899.96</v>
      </c>
      <c r="I2817" s="2413"/>
      <c r="J2817" s="2413"/>
      <c r="K2817" s="2695" t="s">
        <v>6571</v>
      </c>
      <c r="L2817" s="2408"/>
    </row>
    <row r="2818" spans="1:12" x14ac:dyDescent="0.3">
      <c r="A2818" s="81" t="s">
        <v>6270</v>
      </c>
      <c r="B2818" s="2445" t="s">
        <v>3133</v>
      </c>
      <c r="C2818" s="2406">
        <v>0</v>
      </c>
      <c r="D2818" s="2396"/>
      <c r="E2818" s="2406">
        <v>0</v>
      </c>
      <c r="F2818" s="2406">
        <v>0</v>
      </c>
      <c r="G2818" s="2460">
        <v>0</v>
      </c>
      <c r="H2818" s="2407">
        <v>0</v>
      </c>
      <c r="I2818" s="2413"/>
      <c r="J2818" s="2413"/>
      <c r="K2818" s="2695" t="s">
        <v>6571</v>
      </c>
      <c r="L2818" s="2408"/>
    </row>
    <row r="2819" spans="1:12" x14ac:dyDescent="0.3">
      <c r="A2819" s="81" t="s">
        <v>6271</v>
      </c>
      <c r="B2819" s="2445" t="s">
        <v>3134</v>
      </c>
      <c r="C2819" s="2406">
        <v>524999.97</v>
      </c>
      <c r="D2819" s="2396"/>
      <c r="E2819" s="2406">
        <v>58333.33</v>
      </c>
      <c r="F2819" s="2406">
        <v>0</v>
      </c>
      <c r="G2819" s="2460">
        <v>58333.33</v>
      </c>
      <c r="H2819" s="2407">
        <v>583333.30000000005</v>
      </c>
      <c r="I2819" s="2413"/>
      <c r="J2819" s="2413"/>
      <c r="K2819" s="2695" t="s">
        <v>6571</v>
      </c>
      <c r="L2819" s="2408"/>
    </row>
    <row r="2820" spans="1:12" x14ac:dyDescent="0.3">
      <c r="A2820" s="81" t="s">
        <v>6272</v>
      </c>
      <c r="B2820" s="2445" t="s">
        <v>3135</v>
      </c>
      <c r="C2820" s="2406">
        <v>328854.19</v>
      </c>
      <c r="D2820" s="2396"/>
      <c r="E2820" s="2406">
        <v>0</v>
      </c>
      <c r="F2820" s="2406">
        <v>0</v>
      </c>
      <c r="G2820" s="2460">
        <v>0</v>
      </c>
      <c r="H2820" s="2407">
        <v>328854.19</v>
      </c>
      <c r="I2820" s="2413"/>
      <c r="J2820" s="2413"/>
      <c r="K2820" s="2695" t="s">
        <v>6571</v>
      </c>
      <c r="L2820" s="2408"/>
    </row>
    <row r="2821" spans="1:12" x14ac:dyDescent="0.3">
      <c r="A2821" s="81" t="s">
        <v>6273</v>
      </c>
      <c r="B2821" s="2445" t="s">
        <v>3136</v>
      </c>
      <c r="C2821" s="2406">
        <v>36289527.119999997</v>
      </c>
      <c r="D2821" s="2396"/>
      <c r="E2821" s="2406">
        <v>3299047.92</v>
      </c>
      <c r="F2821" s="2406">
        <v>0</v>
      </c>
      <c r="G2821" s="2460">
        <v>3299047.92</v>
      </c>
      <c r="H2821" s="2407">
        <v>39588575.039999999</v>
      </c>
      <c r="I2821" s="2413"/>
      <c r="J2821" s="2413"/>
      <c r="K2821" s="2695" t="s">
        <v>6571</v>
      </c>
      <c r="L2821" s="2408"/>
    </row>
    <row r="2822" spans="1:12" x14ac:dyDescent="0.3">
      <c r="A2822" s="81" t="s">
        <v>6274</v>
      </c>
      <c r="B2822" s="2445" t="s">
        <v>3137</v>
      </c>
      <c r="C2822" s="2406">
        <v>0</v>
      </c>
      <c r="D2822" s="2396"/>
      <c r="E2822" s="2406">
        <v>0</v>
      </c>
      <c r="F2822" s="2406">
        <v>0</v>
      </c>
      <c r="G2822" s="2460">
        <v>0</v>
      </c>
      <c r="H2822" s="2407">
        <v>0</v>
      </c>
      <c r="I2822" s="2413"/>
      <c r="J2822" s="2413"/>
      <c r="K2822" s="2695" t="s">
        <v>6571</v>
      </c>
      <c r="L2822" s="2408"/>
    </row>
    <row r="2823" spans="1:12" x14ac:dyDescent="0.3">
      <c r="A2823" s="81" t="s">
        <v>6275</v>
      </c>
      <c r="B2823" s="2445" t="s">
        <v>3138</v>
      </c>
      <c r="C2823" s="2406">
        <v>16721699.609999999</v>
      </c>
      <c r="D2823" s="2396"/>
      <c r="E2823" s="2406">
        <v>1544154.51</v>
      </c>
      <c r="F2823" s="2406">
        <v>0</v>
      </c>
      <c r="G2823" s="2460">
        <v>1544154.51</v>
      </c>
      <c r="H2823" s="2407">
        <v>18265854.120000001</v>
      </c>
      <c r="I2823" s="2413"/>
      <c r="J2823" s="2413"/>
      <c r="K2823" s="2695" t="s">
        <v>6571</v>
      </c>
      <c r="L2823" s="2408"/>
    </row>
    <row r="2824" spans="1:12" x14ac:dyDescent="0.3">
      <c r="A2824" s="81" t="s">
        <v>6276</v>
      </c>
      <c r="B2824" s="2445" t="s">
        <v>3139</v>
      </c>
      <c r="C2824" s="2406">
        <v>8375354.1299999999</v>
      </c>
      <c r="D2824" s="2396"/>
      <c r="E2824" s="2406">
        <v>761404.33</v>
      </c>
      <c r="F2824" s="2406">
        <v>0</v>
      </c>
      <c r="G2824" s="2460">
        <v>761404.33</v>
      </c>
      <c r="H2824" s="2407">
        <v>9136758.4600000009</v>
      </c>
      <c r="I2824" s="2413"/>
      <c r="J2824" s="2413"/>
      <c r="K2824" s="2695" t="s">
        <v>6571</v>
      </c>
      <c r="L2824" s="2408"/>
    </row>
    <row r="2825" spans="1:12" x14ac:dyDescent="0.3">
      <c r="A2825" s="81" t="s">
        <v>6277</v>
      </c>
      <c r="B2825" s="2445" t="s">
        <v>3140</v>
      </c>
      <c r="C2825" s="2406">
        <v>0</v>
      </c>
      <c r="D2825" s="2396"/>
      <c r="E2825" s="2406">
        <v>0</v>
      </c>
      <c r="F2825" s="2406">
        <v>0</v>
      </c>
      <c r="G2825" s="2460">
        <v>0</v>
      </c>
      <c r="H2825" s="2407">
        <v>0</v>
      </c>
      <c r="I2825" s="2413"/>
      <c r="J2825" s="2413"/>
      <c r="K2825" s="2695" t="s">
        <v>6571</v>
      </c>
      <c r="L2825" s="2408"/>
    </row>
    <row r="2826" spans="1:12" x14ac:dyDescent="0.3">
      <c r="A2826" s="81" t="s">
        <v>6278</v>
      </c>
      <c r="B2826" s="2445" t="s">
        <v>1096</v>
      </c>
      <c r="C2826" s="2406">
        <v>0</v>
      </c>
      <c r="D2826" s="2396"/>
      <c r="E2826" s="2406">
        <v>0</v>
      </c>
      <c r="F2826" s="2406">
        <v>0</v>
      </c>
      <c r="G2826" s="2460">
        <v>0</v>
      </c>
      <c r="H2826" s="2407">
        <v>0</v>
      </c>
      <c r="I2826" s="2413"/>
      <c r="J2826" s="2413"/>
      <c r="K2826" s="2695"/>
      <c r="L2826" s="2408"/>
    </row>
    <row r="2827" spans="1:12" x14ac:dyDescent="0.3">
      <c r="A2827" s="81" t="s">
        <v>6279</v>
      </c>
      <c r="B2827" s="2445" t="s">
        <v>3141</v>
      </c>
      <c r="C2827" s="2406">
        <v>91019989.390000001</v>
      </c>
      <c r="D2827" s="2396"/>
      <c r="E2827" s="2406">
        <v>8877958.2300000004</v>
      </c>
      <c r="F2827" s="2406">
        <v>0</v>
      </c>
      <c r="G2827" s="2459">
        <v>8877958.2300000004</v>
      </c>
      <c r="H2827" s="2407">
        <v>99897947.620000005</v>
      </c>
      <c r="I2827" s="2413"/>
      <c r="J2827" s="2413"/>
      <c r="K2827" s="2695" t="s">
        <v>6571</v>
      </c>
      <c r="L2827" s="2408"/>
    </row>
    <row r="2828" spans="1:12" x14ac:dyDescent="0.3">
      <c r="A2828" s="81" t="s">
        <v>6280</v>
      </c>
      <c r="B2828" s="2445" t="s">
        <v>3142</v>
      </c>
      <c r="C2828" s="2406">
        <v>4095294.98</v>
      </c>
      <c r="D2828" s="2396"/>
      <c r="E2828" s="2406">
        <v>410890.8</v>
      </c>
      <c r="F2828" s="2406">
        <v>0</v>
      </c>
      <c r="G2828" s="2459">
        <v>410890.8</v>
      </c>
      <c r="H2828" s="2407">
        <v>4506185.78</v>
      </c>
      <c r="I2828" s="2413"/>
      <c r="J2828" s="2413"/>
      <c r="K2828" s="2695" t="s">
        <v>6571</v>
      </c>
      <c r="L2828" s="2408"/>
    </row>
    <row r="2829" spans="1:12" x14ac:dyDescent="0.3">
      <c r="A2829" s="81" t="s">
        <v>6281</v>
      </c>
      <c r="B2829" s="2445" t="s">
        <v>3143</v>
      </c>
      <c r="C2829" s="2406">
        <v>3256953</v>
      </c>
      <c r="D2829" s="2396"/>
      <c r="E2829" s="2406">
        <v>169513.17</v>
      </c>
      <c r="F2829" s="2406">
        <v>0</v>
      </c>
      <c r="G2829" s="2459">
        <v>169513.17</v>
      </c>
      <c r="H2829" s="2407">
        <v>3426466.17</v>
      </c>
      <c r="I2829" s="2413"/>
      <c r="J2829" s="2413"/>
      <c r="K2829" s="2695" t="s">
        <v>6571</v>
      </c>
      <c r="L2829" s="2408"/>
    </row>
    <row r="2830" spans="1:12" x14ac:dyDescent="0.3">
      <c r="A2830" s="81" t="s">
        <v>6282</v>
      </c>
      <c r="B2830" s="2445" t="s">
        <v>3144</v>
      </c>
      <c r="C2830" s="2406">
        <v>29883038.32</v>
      </c>
      <c r="D2830" s="2396"/>
      <c r="E2830" s="2406">
        <v>2808334.88</v>
      </c>
      <c r="F2830" s="2406">
        <v>0</v>
      </c>
      <c r="G2830" s="2459">
        <v>2808334.88</v>
      </c>
      <c r="H2830" s="2407">
        <v>32691373.199999999</v>
      </c>
      <c r="I2830" s="2413"/>
      <c r="J2830" s="2413"/>
      <c r="K2830" s="2695" t="s">
        <v>6571</v>
      </c>
      <c r="L2830" s="2408"/>
    </row>
    <row r="2831" spans="1:12" x14ac:dyDescent="0.3">
      <c r="A2831" s="81" t="s">
        <v>6283</v>
      </c>
      <c r="B2831" s="2445" t="s">
        <v>3145</v>
      </c>
      <c r="C2831" s="2406">
        <v>0</v>
      </c>
      <c r="D2831" s="2396"/>
      <c r="E2831" s="2406">
        <v>0</v>
      </c>
      <c r="F2831" s="2406">
        <v>0</v>
      </c>
      <c r="G2831" s="2459">
        <v>0</v>
      </c>
      <c r="H2831" s="2407">
        <v>0</v>
      </c>
      <c r="I2831" s="2413"/>
      <c r="J2831" s="2413"/>
      <c r="K2831" s="2695" t="s">
        <v>6571</v>
      </c>
      <c r="L2831" s="2408"/>
    </row>
    <row r="2832" spans="1:12" x14ac:dyDescent="0.3">
      <c r="A2832" s="81" t="s">
        <v>6284</v>
      </c>
      <c r="B2832" s="2445" t="s">
        <v>3146</v>
      </c>
      <c r="C2832" s="2406">
        <v>8348121.9900000002</v>
      </c>
      <c r="D2832" s="2396"/>
      <c r="E2832" s="2406">
        <v>715958.33</v>
      </c>
      <c r="F2832" s="2406">
        <v>0</v>
      </c>
      <c r="G2832" s="2459">
        <v>715958.33</v>
      </c>
      <c r="H2832" s="2407">
        <v>9064080.3200000003</v>
      </c>
      <c r="I2832" s="2413"/>
      <c r="J2832" s="2413"/>
      <c r="K2832" s="2695" t="s">
        <v>6571</v>
      </c>
      <c r="L2832" s="2408"/>
    </row>
    <row r="2833" spans="1:12" x14ac:dyDescent="0.3">
      <c r="A2833" s="81" t="s">
        <v>6285</v>
      </c>
      <c r="B2833" s="2445" t="s">
        <v>3147</v>
      </c>
      <c r="C2833" s="2406">
        <v>0</v>
      </c>
      <c r="D2833" s="2396"/>
      <c r="E2833" s="2406">
        <v>0</v>
      </c>
      <c r="F2833" s="2406">
        <v>0</v>
      </c>
      <c r="G2833" s="2459">
        <v>0</v>
      </c>
      <c r="H2833" s="2407">
        <v>0</v>
      </c>
      <c r="I2833" s="2413"/>
      <c r="J2833" s="2413"/>
      <c r="K2833" s="2695" t="s">
        <v>6571</v>
      </c>
      <c r="L2833" s="2408"/>
    </row>
    <row r="2834" spans="1:12" x14ac:dyDescent="0.3">
      <c r="A2834" s="81" t="s">
        <v>6286</v>
      </c>
      <c r="B2834" s="2445" t="s">
        <v>3148</v>
      </c>
      <c r="C2834" s="2406">
        <v>0</v>
      </c>
      <c r="D2834" s="2396"/>
      <c r="E2834" s="2406">
        <v>0</v>
      </c>
      <c r="F2834" s="2406">
        <v>0</v>
      </c>
      <c r="G2834" s="2459">
        <v>0</v>
      </c>
      <c r="H2834" s="2407">
        <v>0</v>
      </c>
      <c r="I2834" s="2413"/>
      <c r="J2834" s="2413"/>
      <c r="K2834" s="2695" t="s">
        <v>6571</v>
      </c>
      <c r="L2834" s="2408"/>
    </row>
    <row r="2835" spans="1:12" x14ac:dyDescent="0.3">
      <c r="A2835" s="81" t="s">
        <v>6287</v>
      </c>
      <c r="B2835" s="2445" t="s">
        <v>3111</v>
      </c>
      <c r="C2835" s="2406">
        <v>0</v>
      </c>
      <c r="D2835" s="2396"/>
      <c r="E2835" s="2406">
        <v>0</v>
      </c>
      <c r="F2835" s="2406">
        <v>0</v>
      </c>
      <c r="G2835" s="2459">
        <v>0</v>
      </c>
      <c r="H2835" s="2407">
        <v>0</v>
      </c>
      <c r="I2835" s="2413"/>
      <c r="J2835" s="2413"/>
      <c r="K2835" s="2695"/>
      <c r="L2835" s="2408"/>
    </row>
    <row r="2836" spans="1:12" x14ac:dyDescent="0.3">
      <c r="A2836" s="81" t="s">
        <v>6288</v>
      </c>
      <c r="B2836" s="2445" t="s">
        <v>3149</v>
      </c>
      <c r="C2836" s="2406">
        <v>17820953.510000002</v>
      </c>
      <c r="D2836" s="2396"/>
      <c r="E2836" s="2406">
        <v>1651771.68</v>
      </c>
      <c r="F2836" s="2406">
        <v>0</v>
      </c>
      <c r="G2836" s="2448">
        <v>1651771.68</v>
      </c>
      <c r="H2836" s="2407">
        <v>19472725.190000001</v>
      </c>
      <c r="I2836" s="2413"/>
      <c r="J2836" s="2413"/>
      <c r="K2836" s="2695" t="s">
        <v>6571</v>
      </c>
      <c r="L2836" s="2408"/>
    </row>
    <row r="2837" spans="1:12" x14ac:dyDescent="0.3">
      <c r="A2837" s="81" t="s">
        <v>6289</v>
      </c>
      <c r="B2837" s="2445" t="s">
        <v>3150</v>
      </c>
      <c r="C2837" s="2406">
        <v>13864259.15</v>
      </c>
      <c r="D2837" s="2396"/>
      <c r="E2837" s="2406">
        <v>1435713.83</v>
      </c>
      <c r="F2837" s="2406">
        <v>0</v>
      </c>
      <c r="G2837" s="2448">
        <v>1435713.83</v>
      </c>
      <c r="H2837" s="2407">
        <v>15299972.98</v>
      </c>
      <c r="I2837" s="2413"/>
      <c r="J2837" s="2413"/>
      <c r="K2837" s="2695" t="s">
        <v>6571</v>
      </c>
      <c r="L2837" s="2408"/>
    </row>
    <row r="2838" spans="1:12" x14ac:dyDescent="0.3">
      <c r="A2838" s="81" t="s">
        <v>6290</v>
      </c>
      <c r="B2838" s="2445" t="s">
        <v>3151</v>
      </c>
      <c r="C2838" s="2406">
        <v>144271603.31999999</v>
      </c>
      <c r="D2838" s="2396"/>
      <c r="E2838" s="2406">
        <v>9831774</v>
      </c>
      <c r="F2838" s="2406">
        <v>0</v>
      </c>
      <c r="G2838" s="2448">
        <v>9831774</v>
      </c>
      <c r="H2838" s="2407">
        <v>154103377.31999999</v>
      </c>
      <c r="I2838" s="2413"/>
      <c r="J2838" s="2413"/>
      <c r="K2838" s="2695" t="s">
        <v>6571</v>
      </c>
      <c r="L2838" s="2408"/>
    </row>
    <row r="2839" spans="1:12" x14ac:dyDescent="0.3">
      <c r="A2839" s="81" t="s">
        <v>6291</v>
      </c>
      <c r="B2839" s="2445" t="s">
        <v>3152</v>
      </c>
      <c r="C2839" s="2406">
        <v>43066642.509999998</v>
      </c>
      <c r="D2839" s="2396"/>
      <c r="E2839" s="2406">
        <v>3629855.83</v>
      </c>
      <c r="F2839" s="2406">
        <v>0</v>
      </c>
      <c r="G2839" s="2448">
        <v>3629855.83</v>
      </c>
      <c r="H2839" s="2407">
        <v>46696498.340000004</v>
      </c>
      <c r="I2839" s="2413"/>
      <c r="J2839" s="2413"/>
      <c r="K2839" s="2695" t="s">
        <v>6571</v>
      </c>
      <c r="L2839" s="2408"/>
    </row>
    <row r="2840" spans="1:12" x14ac:dyDescent="0.3">
      <c r="A2840" s="81" t="s">
        <v>6292</v>
      </c>
      <c r="B2840" s="2445" t="s">
        <v>3153</v>
      </c>
      <c r="C2840" s="2406">
        <v>19125882.57</v>
      </c>
      <c r="D2840" s="2396"/>
      <c r="E2840" s="2406">
        <v>475410.3</v>
      </c>
      <c r="F2840" s="2406">
        <v>0</v>
      </c>
      <c r="G2840" s="2448">
        <v>475410.3</v>
      </c>
      <c r="H2840" s="2407">
        <v>19601292.870000001</v>
      </c>
      <c r="I2840" s="2413"/>
      <c r="J2840" s="2413"/>
      <c r="K2840" s="2695" t="s">
        <v>6571</v>
      </c>
      <c r="L2840" s="2408"/>
    </row>
    <row r="2841" spans="1:12" x14ac:dyDescent="0.3">
      <c r="A2841" s="81" t="s">
        <v>6293</v>
      </c>
      <c r="B2841" s="2445" t="s">
        <v>3154</v>
      </c>
      <c r="C2841" s="2406">
        <v>6412960.3799999999</v>
      </c>
      <c r="D2841" s="2396"/>
      <c r="E2841" s="2406">
        <v>634329.73</v>
      </c>
      <c r="F2841" s="2406">
        <v>0</v>
      </c>
      <c r="G2841" s="2448">
        <v>634329.73</v>
      </c>
      <c r="H2841" s="2407">
        <v>7047290.1100000003</v>
      </c>
      <c r="I2841" s="2413"/>
      <c r="J2841" s="2413"/>
      <c r="K2841" s="2695" t="s">
        <v>6571</v>
      </c>
      <c r="L2841" s="2408"/>
    </row>
    <row r="2842" spans="1:12" x14ac:dyDescent="0.3">
      <c r="A2842" s="81" t="s">
        <v>6294</v>
      </c>
      <c r="B2842" s="2445" t="s">
        <v>3155</v>
      </c>
      <c r="C2842" s="2406">
        <v>982124.2</v>
      </c>
      <c r="D2842" s="2396"/>
      <c r="E2842" s="2406">
        <v>285276.17</v>
      </c>
      <c r="F2842" s="2406">
        <v>0</v>
      </c>
      <c r="G2842" s="2448">
        <v>285276.17</v>
      </c>
      <c r="H2842" s="2407">
        <v>1267400.3700000001</v>
      </c>
      <c r="I2842" s="2413"/>
      <c r="J2842" s="2413"/>
      <c r="K2842" s="2695" t="s">
        <v>6571</v>
      </c>
      <c r="L2842" s="2408"/>
    </row>
    <row r="2843" spans="1:12" x14ac:dyDescent="0.3">
      <c r="A2843" s="81" t="s">
        <v>6295</v>
      </c>
      <c r="B2843" s="2445" t="s">
        <v>3156</v>
      </c>
      <c r="C2843" s="2406">
        <v>10702501.369999999</v>
      </c>
      <c r="D2843" s="2396"/>
      <c r="E2843" s="2406">
        <v>972954.67</v>
      </c>
      <c r="F2843" s="2406">
        <v>0</v>
      </c>
      <c r="G2843" s="2448">
        <v>972954.67</v>
      </c>
      <c r="H2843" s="2407">
        <v>11675456.039999999</v>
      </c>
      <c r="I2843" s="2413"/>
      <c r="J2843" s="2413"/>
      <c r="K2843" s="2695" t="s">
        <v>6571</v>
      </c>
      <c r="L2843" s="2408"/>
    </row>
    <row r="2844" spans="1:12" x14ac:dyDescent="0.3">
      <c r="A2844" s="81" t="s">
        <v>6296</v>
      </c>
      <c r="B2844" s="2445" t="s">
        <v>3157</v>
      </c>
      <c r="C2844" s="2406">
        <v>0</v>
      </c>
      <c r="D2844" s="2396"/>
      <c r="E2844" s="2406">
        <v>0</v>
      </c>
      <c r="F2844" s="2406">
        <v>0</v>
      </c>
      <c r="G2844" s="2448">
        <v>0</v>
      </c>
      <c r="H2844" s="2407">
        <v>0</v>
      </c>
      <c r="I2844" s="2413"/>
      <c r="J2844" s="2413"/>
      <c r="K2844" s="2695" t="s">
        <v>6571</v>
      </c>
      <c r="L2844" s="2408"/>
    </row>
    <row r="2845" spans="1:12" x14ac:dyDescent="0.3">
      <c r="A2845" s="81" t="s">
        <v>6297</v>
      </c>
      <c r="B2845" s="2445" t="s">
        <v>1102</v>
      </c>
      <c r="C2845" s="2406">
        <v>0</v>
      </c>
      <c r="D2845" s="2396"/>
      <c r="E2845" s="2406">
        <v>0</v>
      </c>
      <c r="F2845" s="2406">
        <v>0</v>
      </c>
      <c r="G2845" s="2448">
        <v>0</v>
      </c>
      <c r="H2845" s="2407">
        <v>0</v>
      </c>
      <c r="I2845" s="2413"/>
      <c r="J2845" s="2413"/>
      <c r="K2845" s="2695"/>
      <c r="L2845" s="2408"/>
    </row>
    <row r="2846" spans="1:12" x14ac:dyDescent="0.3">
      <c r="A2846" s="81" t="s">
        <v>6298</v>
      </c>
      <c r="B2846" s="2445" t="s">
        <v>3158</v>
      </c>
      <c r="C2846" s="2406">
        <v>22156248.969999999</v>
      </c>
      <c r="D2846" s="2396"/>
      <c r="E2846" s="2406">
        <v>2031250</v>
      </c>
      <c r="F2846" s="2406">
        <v>0</v>
      </c>
      <c r="G2846" s="2459">
        <v>2031250</v>
      </c>
      <c r="H2846" s="2407">
        <v>24187498.969999999</v>
      </c>
      <c r="I2846" s="2413"/>
      <c r="J2846" s="2413"/>
      <c r="K2846" s="2695" t="s">
        <v>6571</v>
      </c>
      <c r="L2846" s="2408"/>
    </row>
    <row r="2847" spans="1:12" x14ac:dyDescent="0.3">
      <c r="A2847" s="81" t="s">
        <v>6299</v>
      </c>
      <c r="B2847" s="2445" t="s">
        <v>3159</v>
      </c>
      <c r="C2847" s="2406">
        <v>2444791.63</v>
      </c>
      <c r="D2847" s="2396"/>
      <c r="E2847" s="2406">
        <v>298958.33</v>
      </c>
      <c r="F2847" s="2406">
        <v>0</v>
      </c>
      <c r="G2847" s="2459">
        <v>298958.33</v>
      </c>
      <c r="H2847" s="2407">
        <v>2743749.96</v>
      </c>
      <c r="I2847" s="2413"/>
      <c r="J2847" s="2413"/>
      <c r="K2847" s="2695" t="s">
        <v>6571</v>
      </c>
      <c r="L2847" s="2408"/>
    </row>
    <row r="2848" spans="1:12" x14ac:dyDescent="0.3">
      <c r="A2848" s="81" t="s">
        <v>6300</v>
      </c>
      <c r="B2848" s="2445" t="s">
        <v>3160</v>
      </c>
      <c r="C2848" s="2406">
        <v>0</v>
      </c>
      <c r="D2848" s="2396"/>
      <c r="E2848" s="2406">
        <v>0</v>
      </c>
      <c r="F2848" s="2406">
        <v>0</v>
      </c>
      <c r="G2848" s="2459">
        <v>0</v>
      </c>
      <c r="H2848" s="2407">
        <v>0</v>
      </c>
      <c r="I2848" s="2413"/>
      <c r="J2848" s="2413"/>
      <c r="K2848" s="2695" t="s">
        <v>6571</v>
      </c>
      <c r="L2848" s="2408"/>
    </row>
    <row r="2849" spans="1:12" x14ac:dyDescent="0.3">
      <c r="A2849" s="81" t="s">
        <v>6301</v>
      </c>
      <c r="B2849" s="2445" t="s">
        <v>4303</v>
      </c>
      <c r="C2849" s="2406">
        <v>0</v>
      </c>
      <c r="D2849" s="2396"/>
      <c r="E2849" s="2406">
        <v>0</v>
      </c>
      <c r="F2849" s="2406">
        <v>0</v>
      </c>
      <c r="G2849" s="2459">
        <v>0</v>
      </c>
      <c r="H2849" s="2407">
        <v>0</v>
      </c>
      <c r="I2849" s="2413"/>
      <c r="J2849" s="2413"/>
      <c r="K2849" s="2695"/>
      <c r="L2849" s="2408"/>
    </row>
    <row r="2850" spans="1:12" x14ac:dyDescent="0.3">
      <c r="A2850" s="81" t="s">
        <v>6302</v>
      </c>
      <c r="B2850" s="2445" t="s">
        <v>4304</v>
      </c>
      <c r="C2850" s="2406">
        <v>0</v>
      </c>
      <c r="D2850" s="2396"/>
      <c r="E2850" s="2406">
        <v>0</v>
      </c>
      <c r="F2850" s="2406">
        <v>0</v>
      </c>
      <c r="G2850" s="2448">
        <v>0</v>
      </c>
      <c r="H2850" s="2407">
        <v>0</v>
      </c>
      <c r="I2850" s="2413"/>
      <c r="J2850" s="2413"/>
      <c r="K2850" s="2695" t="s">
        <v>6571</v>
      </c>
      <c r="L2850" s="2408"/>
    </row>
    <row r="2851" spans="1:12" x14ac:dyDescent="0.3">
      <c r="A2851" s="81" t="s">
        <v>6303</v>
      </c>
      <c r="B2851" s="2445" t="s">
        <v>4305</v>
      </c>
      <c r="C2851" s="2406">
        <v>0</v>
      </c>
      <c r="D2851" s="2396"/>
      <c r="E2851" s="2406">
        <v>0</v>
      </c>
      <c r="F2851" s="2406">
        <v>0</v>
      </c>
      <c r="G2851" s="2448">
        <v>0</v>
      </c>
      <c r="H2851" s="2407">
        <v>0</v>
      </c>
      <c r="I2851" s="2413"/>
      <c r="J2851" s="2413"/>
      <c r="K2851" s="2695" t="s">
        <v>6571</v>
      </c>
      <c r="L2851" s="2408"/>
    </row>
    <row r="2852" spans="1:12" x14ac:dyDescent="0.3">
      <c r="A2852" s="81" t="s">
        <v>6304</v>
      </c>
      <c r="B2852" s="2445" t="s">
        <v>4306</v>
      </c>
      <c r="C2852" s="2406">
        <v>0</v>
      </c>
      <c r="D2852" s="2396"/>
      <c r="E2852" s="2406">
        <v>0</v>
      </c>
      <c r="F2852" s="2406">
        <v>0</v>
      </c>
      <c r="G2852" s="2448">
        <v>0</v>
      </c>
      <c r="H2852" s="2407">
        <v>0</v>
      </c>
      <c r="I2852" s="2413"/>
      <c r="J2852" s="2413"/>
      <c r="K2852" s="2695" t="s">
        <v>6571</v>
      </c>
      <c r="L2852" s="2408"/>
    </row>
    <row r="2853" spans="1:12" x14ac:dyDescent="0.3">
      <c r="A2853" s="81" t="s">
        <v>6305</v>
      </c>
      <c r="B2853" s="2445" t="s">
        <v>4307</v>
      </c>
      <c r="C2853" s="2406">
        <v>0</v>
      </c>
      <c r="D2853" s="2396"/>
      <c r="E2853" s="2406">
        <v>0</v>
      </c>
      <c r="F2853" s="2406">
        <v>0</v>
      </c>
      <c r="G2853" s="2448">
        <v>0</v>
      </c>
      <c r="H2853" s="2407">
        <v>0</v>
      </c>
      <c r="I2853" s="2413"/>
      <c r="J2853" s="2413"/>
      <c r="K2853" s="2695"/>
      <c r="L2853" s="2408"/>
    </row>
    <row r="2854" spans="1:12" x14ac:dyDescent="0.3">
      <c r="A2854" s="81" t="s">
        <v>6306</v>
      </c>
      <c r="B2854" s="2445" t="s">
        <v>4308</v>
      </c>
      <c r="C2854" s="2406">
        <v>0</v>
      </c>
      <c r="D2854" s="2396"/>
      <c r="E2854" s="2406">
        <v>0</v>
      </c>
      <c r="F2854" s="2406">
        <v>0</v>
      </c>
      <c r="G2854" s="2459">
        <v>0</v>
      </c>
      <c r="H2854" s="2407">
        <v>0</v>
      </c>
      <c r="I2854" s="2413"/>
      <c r="J2854" s="2413"/>
      <c r="K2854" s="2695" t="s">
        <v>6571</v>
      </c>
      <c r="L2854" s="2408"/>
    </row>
    <row r="2855" spans="1:12" x14ac:dyDescent="0.3">
      <c r="A2855" s="81" t="s">
        <v>6307</v>
      </c>
      <c r="B2855" s="2445" t="s">
        <v>4313</v>
      </c>
      <c r="C2855" s="2406">
        <v>0</v>
      </c>
      <c r="D2855" s="2396"/>
      <c r="E2855" s="2406">
        <v>0</v>
      </c>
      <c r="F2855" s="2406">
        <v>0</v>
      </c>
      <c r="G2855" s="2459">
        <v>0</v>
      </c>
      <c r="H2855" s="2407">
        <v>0</v>
      </c>
      <c r="I2855" s="2413"/>
      <c r="J2855" s="2413"/>
      <c r="K2855" s="2695"/>
      <c r="L2855" s="2408"/>
    </row>
    <row r="2856" spans="1:12" x14ac:dyDescent="0.3">
      <c r="A2856" s="81" t="s">
        <v>6308</v>
      </c>
      <c r="B2856" s="2445" t="s">
        <v>4314</v>
      </c>
      <c r="C2856" s="2406">
        <v>0</v>
      </c>
      <c r="D2856" s="2396"/>
      <c r="E2856" s="2406">
        <v>0</v>
      </c>
      <c r="F2856" s="2406">
        <v>0</v>
      </c>
      <c r="G2856" s="2449">
        <v>0</v>
      </c>
      <c r="H2856" s="2407">
        <v>0</v>
      </c>
      <c r="I2856" s="2413"/>
      <c r="J2856" s="2413"/>
      <c r="K2856" s="2691" t="s">
        <v>6572</v>
      </c>
      <c r="L2856" s="2408"/>
    </row>
    <row r="2857" spans="1:12" x14ac:dyDescent="0.3">
      <c r="A2857" s="81" t="s">
        <v>6309</v>
      </c>
      <c r="B2857" s="2445" t="s">
        <v>4315</v>
      </c>
      <c r="C2857" s="2406">
        <v>0</v>
      </c>
      <c r="D2857" s="2396"/>
      <c r="E2857" s="2406">
        <v>0</v>
      </c>
      <c r="F2857" s="2406">
        <v>0</v>
      </c>
      <c r="G2857" s="2449">
        <v>0</v>
      </c>
      <c r="H2857" s="2407">
        <v>0</v>
      </c>
      <c r="I2857" s="2413"/>
      <c r="J2857" s="2413"/>
      <c r="K2857" s="2692" t="s">
        <v>6572</v>
      </c>
      <c r="L2857" s="2408"/>
    </row>
    <row r="2858" spans="1:12" x14ac:dyDescent="0.3">
      <c r="A2858" s="81" t="s">
        <v>6310</v>
      </c>
      <c r="B2858" s="2445" t="s">
        <v>4316</v>
      </c>
      <c r="C2858" s="2406">
        <v>0</v>
      </c>
      <c r="D2858" s="2396"/>
      <c r="E2858" s="2406">
        <v>0</v>
      </c>
      <c r="F2858" s="2406">
        <v>0</v>
      </c>
      <c r="G2858" s="2449">
        <v>0</v>
      </c>
      <c r="H2858" s="2407">
        <v>0</v>
      </c>
      <c r="I2858" s="2413"/>
      <c r="J2858" s="2413"/>
      <c r="K2858" s="2692" t="s">
        <v>6572</v>
      </c>
      <c r="L2858" s="2408"/>
    </row>
    <row r="2859" spans="1:12" x14ac:dyDescent="0.3">
      <c r="A2859" s="81" t="s">
        <v>6311</v>
      </c>
      <c r="B2859" s="2445" t="s">
        <v>4317</v>
      </c>
      <c r="C2859" s="2406">
        <v>0</v>
      </c>
      <c r="D2859" s="2396"/>
      <c r="E2859" s="2406">
        <v>0</v>
      </c>
      <c r="F2859" s="2406">
        <v>0</v>
      </c>
      <c r="G2859" s="2449">
        <v>0</v>
      </c>
      <c r="H2859" s="2407">
        <v>0</v>
      </c>
      <c r="I2859" s="2413"/>
      <c r="J2859" s="2413"/>
      <c r="K2859" s="2692" t="s">
        <v>6572</v>
      </c>
      <c r="L2859" s="2408"/>
    </row>
    <row r="2860" spans="1:12" x14ac:dyDescent="0.3">
      <c r="A2860" s="81" t="s">
        <v>6312</v>
      </c>
      <c r="B2860" s="2445" t="s">
        <v>4318</v>
      </c>
      <c r="C2860" s="2406">
        <v>0</v>
      </c>
      <c r="D2860" s="2396"/>
      <c r="E2860" s="2406">
        <v>0</v>
      </c>
      <c r="F2860" s="2406">
        <v>0</v>
      </c>
      <c r="G2860" s="2449">
        <v>0</v>
      </c>
      <c r="H2860" s="2407">
        <v>0</v>
      </c>
      <c r="I2860" s="2413"/>
      <c r="J2860" s="2413"/>
      <c r="K2860" s="2692" t="s">
        <v>6572</v>
      </c>
      <c r="L2860" s="2408"/>
    </row>
    <row r="2861" spans="1:12" x14ac:dyDescent="0.3">
      <c r="A2861" s="81" t="s">
        <v>6313</v>
      </c>
      <c r="B2861" s="2445" t="s">
        <v>4319</v>
      </c>
      <c r="C2861" s="2406">
        <v>0</v>
      </c>
      <c r="D2861" s="2396"/>
      <c r="E2861" s="2406">
        <v>0</v>
      </c>
      <c r="F2861" s="2406">
        <v>0</v>
      </c>
      <c r="G2861" s="2449">
        <v>0</v>
      </c>
      <c r="H2861" s="2407">
        <v>0</v>
      </c>
      <c r="I2861" s="2413"/>
      <c r="J2861" s="2413"/>
      <c r="K2861" s="2692" t="s">
        <v>6572</v>
      </c>
      <c r="L2861" s="2408"/>
    </row>
    <row r="2862" spans="1:12" x14ac:dyDescent="0.3">
      <c r="A2862" s="81" t="s">
        <v>6314</v>
      </c>
      <c r="B2862" s="2445" t="s">
        <v>4320</v>
      </c>
      <c r="C2862" s="2406">
        <v>0</v>
      </c>
      <c r="D2862" s="2396"/>
      <c r="E2862" s="2406">
        <v>0</v>
      </c>
      <c r="F2862" s="2406">
        <v>0</v>
      </c>
      <c r="G2862" s="2449">
        <v>0</v>
      </c>
      <c r="H2862" s="2407">
        <v>0</v>
      </c>
      <c r="I2862" s="2413"/>
      <c r="J2862" s="2413"/>
      <c r="K2862" s="2692" t="s">
        <v>6572</v>
      </c>
      <c r="L2862" s="2408"/>
    </row>
    <row r="2863" spans="1:12" x14ac:dyDescent="0.3">
      <c r="A2863" s="81" t="s">
        <v>6315</v>
      </c>
      <c r="B2863" s="2445" t="s">
        <v>4323</v>
      </c>
      <c r="C2863" s="2406">
        <v>0</v>
      </c>
      <c r="D2863" s="2396"/>
      <c r="E2863" s="2406">
        <v>0</v>
      </c>
      <c r="F2863" s="2406">
        <v>0</v>
      </c>
      <c r="G2863" s="2449">
        <v>0</v>
      </c>
      <c r="H2863" s="2407">
        <v>0</v>
      </c>
      <c r="I2863" s="2413"/>
      <c r="J2863" s="2413"/>
      <c r="K2863" s="2692" t="s">
        <v>6572</v>
      </c>
      <c r="L2863" s="2408"/>
    </row>
    <row r="2864" spans="1:12" x14ac:dyDescent="0.3">
      <c r="A2864" s="81" t="s">
        <v>6316</v>
      </c>
      <c r="B2864" s="2445" t="s">
        <v>4324</v>
      </c>
      <c r="C2864" s="2406">
        <v>0</v>
      </c>
      <c r="D2864" s="2396"/>
      <c r="E2864" s="2406">
        <v>0</v>
      </c>
      <c r="F2864" s="2406">
        <v>0</v>
      </c>
      <c r="G2864" s="2459">
        <v>0</v>
      </c>
      <c r="H2864" s="2407">
        <v>0</v>
      </c>
      <c r="I2864" s="2413"/>
      <c r="J2864" s="2413"/>
      <c r="K2864" s="2692" t="s">
        <v>6572</v>
      </c>
      <c r="L2864" s="2408"/>
    </row>
    <row r="2865" spans="1:12" x14ac:dyDescent="0.3">
      <c r="A2865" s="81" t="s">
        <v>6317</v>
      </c>
      <c r="B2865" s="2445" t="s">
        <v>4328</v>
      </c>
      <c r="C2865" s="2406">
        <v>2934637</v>
      </c>
      <c r="D2865" s="2396"/>
      <c r="E2865" s="2406">
        <v>61850</v>
      </c>
      <c r="F2865" s="2406">
        <v>0</v>
      </c>
      <c r="G2865" s="2459">
        <v>61850</v>
      </c>
      <c r="H2865" s="2407">
        <v>2996487</v>
      </c>
      <c r="I2865" s="2413"/>
      <c r="J2865" s="2413"/>
      <c r="K2865" s="2692" t="s">
        <v>6531</v>
      </c>
      <c r="L2865" s="2408"/>
    </row>
    <row r="2866" spans="1:12" x14ac:dyDescent="0.3">
      <c r="A2866" s="81" t="s">
        <v>6318</v>
      </c>
      <c r="B2866" s="2445" t="s">
        <v>4329</v>
      </c>
      <c r="C2866" s="2406">
        <v>0</v>
      </c>
      <c r="D2866" s="2396"/>
      <c r="E2866" s="2406">
        <v>0</v>
      </c>
      <c r="F2866" s="2406">
        <v>0</v>
      </c>
      <c r="G2866" s="2448">
        <v>0</v>
      </c>
      <c r="H2866" s="2407">
        <v>0</v>
      </c>
      <c r="I2866" s="2413"/>
      <c r="J2866" s="2413"/>
      <c r="K2866" s="2675" t="s">
        <v>6531</v>
      </c>
      <c r="L2866" s="2408"/>
    </row>
    <row r="2867" spans="1:12" x14ac:dyDescent="0.3">
      <c r="A2867" s="81" t="s">
        <v>6319</v>
      </c>
      <c r="B2867" s="2445" t="s">
        <v>4330</v>
      </c>
      <c r="C2867" s="2406">
        <v>0</v>
      </c>
      <c r="D2867" s="2396"/>
      <c r="E2867" s="2406">
        <v>0</v>
      </c>
      <c r="F2867" s="2406">
        <v>0</v>
      </c>
      <c r="G2867" s="2448">
        <v>0</v>
      </c>
      <c r="H2867" s="2407">
        <v>0</v>
      </c>
      <c r="I2867" s="2413"/>
      <c r="J2867" s="2413"/>
      <c r="K2867" s="2675" t="s">
        <v>6531</v>
      </c>
      <c r="L2867" s="2408"/>
    </row>
    <row r="2868" spans="1:12" x14ac:dyDescent="0.3">
      <c r="A2868" s="81" t="s">
        <v>6320</v>
      </c>
      <c r="B2868" s="2445" t="s">
        <v>4333</v>
      </c>
      <c r="C2868" s="2406">
        <v>305498000</v>
      </c>
      <c r="D2868" s="2396"/>
      <c r="E2868" s="2406">
        <v>0</v>
      </c>
      <c r="F2868" s="2406">
        <v>0</v>
      </c>
      <c r="G2868" s="2460">
        <v>0</v>
      </c>
      <c r="H2868" s="2407">
        <v>305498000</v>
      </c>
      <c r="I2868" s="2413"/>
      <c r="J2868" s="2413"/>
      <c r="K2868" s="2675" t="s">
        <v>6531</v>
      </c>
      <c r="L2868" s="2408"/>
    </row>
    <row r="2869" spans="1:12" x14ac:dyDescent="0.3">
      <c r="A2869" s="81" t="s">
        <v>6321</v>
      </c>
      <c r="B2869" s="2445" t="s">
        <v>4334</v>
      </c>
      <c r="C2869" s="2406">
        <v>89626231</v>
      </c>
      <c r="D2869" s="2396"/>
      <c r="E2869" s="2406">
        <v>0</v>
      </c>
      <c r="F2869" s="2406">
        <v>0</v>
      </c>
      <c r="G2869" s="2460">
        <v>0</v>
      </c>
      <c r="H2869" s="2407">
        <v>89626231</v>
      </c>
      <c r="I2869" s="2413"/>
      <c r="J2869" s="2413"/>
      <c r="K2869" s="2675" t="s">
        <v>6531</v>
      </c>
      <c r="L2869" s="2408"/>
    </row>
    <row r="2870" spans="1:12" x14ac:dyDescent="0.3">
      <c r="A2870" s="81" t="s">
        <v>6322</v>
      </c>
      <c r="B2870" s="2445" t="s">
        <v>4337</v>
      </c>
      <c r="C2870" s="2406">
        <v>0</v>
      </c>
      <c r="D2870" s="2396"/>
      <c r="E2870" s="2406">
        <v>0</v>
      </c>
      <c r="F2870" s="2406">
        <v>0</v>
      </c>
      <c r="G2870" s="2460">
        <v>0</v>
      </c>
      <c r="H2870" s="2407">
        <v>0</v>
      </c>
      <c r="I2870" s="2413"/>
      <c r="J2870" s="2413"/>
      <c r="K2870" s="2675" t="s">
        <v>6573</v>
      </c>
      <c r="L2870" s="2408"/>
    </row>
    <row r="2871" spans="1:12" x14ac:dyDescent="0.3">
      <c r="A2871" s="81" t="s">
        <v>6323</v>
      </c>
      <c r="B2871" s="2445" t="s">
        <v>4338</v>
      </c>
      <c r="C2871" s="2406">
        <v>37726000</v>
      </c>
      <c r="D2871" s="2396"/>
      <c r="E2871" s="2406">
        <v>0</v>
      </c>
      <c r="F2871" s="2406">
        <v>0</v>
      </c>
      <c r="G2871" s="2459">
        <v>0</v>
      </c>
      <c r="H2871" s="2407">
        <v>37726000</v>
      </c>
      <c r="I2871" s="2413"/>
      <c r="J2871" s="2413"/>
      <c r="K2871" s="2675" t="s">
        <v>6573</v>
      </c>
      <c r="L2871" s="2408"/>
    </row>
    <row r="2872" spans="1:12" x14ac:dyDescent="0.3">
      <c r="A2872" s="81" t="s">
        <v>6324</v>
      </c>
      <c r="B2872" s="2445" t="s">
        <v>4339</v>
      </c>
      <c r="C2872" s="2406">
        <v>0</v>
      </c>
      <c r="D2872" s="2396"/>
      <c r="E2872" s="2406">
        <v>0</v>
      </c>
      <c r="F2872" s="2406">
        <v>0</v>
      </c>
      <c r="G2872" s="2459">
        <v>0</v>
      </c>
      <c r="H2872" s="2407">
        <v>0</v>
      </c>
      <c r="I2872" s="2413"/>
      <c r="J2872" s="2413"/>
      <c r="K2872" s="2675" t="s">
        <v>6573</v>
      </c>
      <c r="L2872" s="2408"/>
    </row>
    <row r="2873" spans="1:12" x14ac:dyDescent="0.3">
      <c r="A2873" s="81" t="s">
        <v>6325</v>
      </c>
      <c r="B2873" s="2445" t="s">
        <v>3599</v>
      </c>
      <c r="C2873" s="2406">
        <v>0</v>
      </c>
      <c r="D2873" s="2396"/>
      <c r="E2873" s="2406">
        <v>0</v>
      </c>
      <c r="F2873" s="2406">
        <v>0</v>
      </c>
      <c r="G2873" s="2459">
        <v>0</v>
      </c>
      <c r="H2873" s="2407">
        <v>0</v>
      </c>
      <c r="I2873" s="2413"/>
      <c r="J2873" s="2413"/>
      <c r="K2873" s="2675"/>
      <c r="L2873" s="2408"/>
    </row>
    <row r="2874" spans="1:12" x14ac:dyDescent="0.3">
      <c r="A2874" s="81" t="s">
        <v>6326</v>
      </c>
      <c r="B2874" s="2445" t="s">
        <v>3605</v>
      </c>
      <c r="C2874" s="2406">
        <v>0</v>
      </c>
      <c r="D2874" s="2396"/>
      <c r="E2874" s="2406">
        <v>0</v>
      </c>
      <c r="F2874" s="2406">
        <v>0</v>
      </c>
      <c r="G2874" s="2455">
        <v>0</v>
      </c>
      <c r="H2874" s="2407">
        <v>0</v>
      </c>
      <c r="I2874" s="2413"/>
      <c r="J2874" s="2413"/>
      <c r="K2874" s="2693" t="s">
        <v>2586</v>
      </c>
      <c r="L2874" s="2408"/>
    </row>
    <row r="2875" spans="1:12" x14ac:dyDescent="0.3">
      <c r="A2875" s="81" t="s">
        <v>6327</v>
      </c>
      <c r="B2875" s="2445" t="s">
        <v>3607</v>
      </c>
      <c r="C2875" s="2406">
        <v>0</v>
      </c>
      <c r="D2875" s="2396"/>
      <c r="E2875" s="2406">
        <v>0</v>
      </c>
      <c r="F2875" s="2406">
        <v>0</v>
      </c>
      <c r="G2875" s="2455">
        <v>0</v>
      </c>
      <c r="H2875" s="2407">
        <v>0</v>
      </c>
      <c r="I2875" s="2413"/>
      <c r="J2875" s="2413"/>
      <c r="K2875" s="2672" t="s">
        <v>2586</v>
      </c>
      <c r="L2875" s="2408"/>
    </row>
    <row r="2876" spans="1:12" x14ac:dyDescent="0.3">
      <c r="A2876" s="81" t="s">
        <v>6328</v>
      </c>
      <c r="B2876" s="2445" t="s">
        <v>4126</v>
      </c>
      <c r="C2876" s="2406">
        <v>0</v>
      </c>
      <c r="D2876" s="2396"/>
      <c r="E2876" s="2406">
        <v>0</v>
      </c>
      <c r="F2876" s="2406">
        <v>0</v>
      </c>
      <c r="G2876" s="2455">
        <v>0</v>
      </c>
      <c r="H2876" s="2407">
        <v>0</v>
      </c>
      <c r="I2876" s="2413"/>
      <c r="J2876" s="2413"/>
      <c r="K2876" s="2672" t="s">
        <v>2585</v>
      </c>
      <c r="L2876" s="2408"/>
    </row>
    <row r="2877" spans="1:12" x14ac:dyDescent="0.3">
      <c r="A2877" s="81" t="s">
        <v>6329</v>
      </c>
      <c r="B2877" s="2445" t="s">
        <v>4127</v>
      </c>
      <c r="C2877" s="2406">
        <v>0</v>
      </c>
      <c r="D2877" s="2396"/>
      <c r="E2877" s="2406">
        <v>0</v>
      </c>
      <c r="F2877" s="2406">
        <v>0</v>
      </c>
      <c r="G2877" s="2455">
        <v>0</v>
      </c>
      <c r="H2877" s="2407">
        <v>0</v>
      </c>
      <c r="I2877" s="2413"/>
      <c r="J2877" s="2413"/>
      <c r="K2877" s="2672" t="s">
        <v>2586</v>
      </c>
      <c r="L2877" s="2408"/>
    </row>
    <row r="2878" spans="1:12" x14ac:dyDescent="0.3">
      <c r="A2878" s="81" t="s">
        <v>6330</v>
      </c>
      <c r="B2878" s="2445" t="s">
        <v>4014</v>
      </c>
      <c r="C2878" s="2406">
        <v>0</v>
      </c>
      <c r="D2878" s="2396"/>
      <c r="E2878" s="2406">
        <v>0</v>
      </c>
      <c r="F2878" s="2406">
        <v>0</v>
      </c>
      <c r="G2878" s="2455">
        <v>0</v>
      </c>
      <c r="H2878" s="2407">
        <v>0</v>
      </c>
      <c r="I2878" s="2413"/>
      <c r="J2878" s="2413"/>
      <c r="K2878" s="2672" t="s">
        <v>2585</v>
      </c>
      <c r="L2878" s="2408"/>
    </row>
    <row r="2879" spans="1:12" x14ac:dyDescent="0.3">
      <c r="A2879" s="81" t="s">
        <v>6331</v>
      </c>
      <c r="B2879" s="2445" t="s">
        <v>3613</v>
      </c>
      <c r="C2879" s="2406">
        <v>0</v>
      </c>
      <c r="D2879" s="2396"/>
      <c r="E2879" s="2406">
        <v>0</v>
      </c>
      <c r="F2879" s="2406">
        <v>0</v>
      </c>
      <c r="G2879" s="2455">
        <v>0</v>
      </c>
      <c r="H2879" s="2407">
        <v>0</v>
      </c>
      <c r="I2879" s="2413"/>
      <c r="J2879" s="2413"/>
      <c r="K2879" s="2672" t="s">
        <v>6505</v>
      </c>
      <c r="L2879" s="2408"/>
    </row>
    <row r="2880" spans="1:12" x14ac:dyDescent="0.3">
      <c r="A2880" s="81" t="s">
        <v>6332</v>
      </c>
      <c r="B2880" s="2445" t="s">
        <v>4015</v>
      </c>
      <c r="C2880" s="2406">
        <v>0</v>
      </c>
      <c r="D2880" s="2396"/>
      <c r="E2880" s="2406">
        <v>0</v>
      </c>
      <c r="F2880" s="2406">
        <v>0</v>
      </c>
      <c r="G2880" s="2455">
        <v>0</v>
      </c>
      <c r="H2880" s="2407">
        <v>0</v>
      </c>
      <c r="I2880" s="2413"/>
      <c r="J2880" s="2413"/>
      <c r="K2880" s="2672" t="s">
        <v>2586</v>
      </c>
      <c r="L2880" s="2408"/>
    </row>
    <row r="2881" spans="1:12" x14ac:dyDescent="0.3">
      <c r="A2881" s="81" t="s">
        <v>6333</v>
      </c>
      <c r="B2881" s="2445" t="s">
        <v>4343</v>
      </c>
      <c r="C2881" s="2406">
        <v>0</v>
      </c>
      <c r="D2881" s="2396"/>
      <c r="E2881" s="2406">
        <v>0</v>
      </c>
      <c r="F2881" s="2406">
        <v>0</v>
      </c>
      <c r="G2881" s="2455">
        <v>0</v>
      </c>
      <c r="H2881" s="2407">
        <v>0</v>
      </c>
      <c r="I2881" s="2413"/>
      <c r="J2881" s="2413"/>
      <c r="K2881" s="2672" t="s">
        <v>2586</v>
      </c>
      <c r="L2881" s="2408"/>
    </row>
    <row r="2882" spans="1:12" x14ac:dyDescent="0.3">
      <c r="A2882" s="81" t="s">
        <v>6334</v>
      </c>
      <c r="B2882" s="2445" t="s">
        <v>3619</v>
      </c>
      <c r="C2882" s="2406">
        <v>0</v>
      </c>
      <c r="D2882" s="2396"/>
      <c r="E2882" s="2406">
        <v>0</v>
      </c>
      <c r="F2882" s="2406">
        <v>0</v>
      </c>
      <c r="G2882" s="2455">
        <v>0</v>
      </c>
      <c r="H2882" s="2407">
        <v>0</v>
      </c>
      <c r="I2882" s="2413"/>
      <c r="J2882" s="2413"/>
      <c r="K2882" s="2672"/>
      <c r="L2882" s="2408"/>
    </row>
    <row r="2883" spans="1:12" x14ac:dyDescent="0.3">
      <c r="A2883" s="81" t="s">
        <v>6335</v>
      </c>
      <c r="B2883" s="2445" t="s">
        <v>3621</v>
      </c>
      <c r="C2883" s="2406">
        <v>0</v>
      </c>
      <c r="D2883" s="2396"/>
      <c r="E2883" s="2406">
        <v>0</v>
      </c>
      <c r="F2883" s="2406">
        <v>0</v>
      </c>
      <c r="G2883" s="2455">
        <v>0</v>
      </c>
      <c r="H2883" s="2407">
        <v>0</v>
      </c>
      <c r="I2883" s="2413"/>
      <c r="J2883" s="2413"/>
      <c r="K2883" s="2672" t="s">
        <v>6506</v>
      </c>
      <c r="L2883" s="2408"/>
    </row>
    <row r="2884" spans="1:12" x14ac:dyDescent="0.3">
      <c r="A2884" s="81" t="s">
        <v>6336</v>
      </c>
      <c r="B2884" s="2445" t="s">
        <v>3623</v>
      </c>
      <c r="C2884" s="2406">
        <v>0</v>
      </c>
      <c r="D2884" s="2396"/>
      <c r="E2884" s="2406">
        <v>0</v>
      </c>
      <c r="F2884" s="2406">
        <v>0</v>
      </c>
      <c r="G2884" s="2455">
        <v>0</v>
      </c>
      <c r="H2884" s="2407">
        <v>0</v>
      </c>
      <c r="I2884" s="2413"/>
      <c r="J2884" s="2413"/>
      <c r="K2884" s="2672" t="s">
        <v>6507</v>
      </c>
      <c r="L2884" s="2408"/>
    </row>
    <row r="2885" spans="1:12" x14ac:dyDescent="0.3">
      <c r="A2885" s="81" t="s">
        <v>6337</v>
      </c>
      <c r="B2885" s="2445" t="s">
        <v>4344</v>
      </c>
      <c r="C2885" s="2406">
        <v>0</v>
      </c>
      <c r="D2885" s="2396"/>
      <c r="E2885" s="2406">
        <v>0</v>
      </c>
      <c r="F2885" s="2406">
        <v>0</v>
      </c>
      <c r="G2885" s="2455">
        <v>0</v>
      </c>
      <c r="H2885" s="2407">
        <v>0</v>
      </c>
      <c r="I2885" s="2413"/>
      <c r="J2885" s="2413"/>
      <c r="K2885" s="2672" t="s">
        <v>6508</v>
      </c>
      <c r="L2885" s="2408"/>
    </row>
    <row r="2886" spans="1:12" x14ac:dyDescent="0.3">
      <c r="A2886" s="81" t="s">
        <v>6338</v>
      </c>
      <c r="B2886" s="2445" t="s">
        <v>3627</v>
      </c>
      <c r="C2886" s="2406">
        <v>0</v>
      </c>
      <c r="D2886" s="2396"/>
      <c r="E2886" s="2406">
        <v>0</v>
      </c>
      <c r="F2886" s="2406">
        <v>0</v>
      </c>
      <c r="G2886" s="2455">
        <v>0</v>
      </c>
      <c r="H2886" s="2407">
        <v>0</v>
      </c>
      <c r="I2886" s="2413"/>
      <c r="J2886" s="2413"/>
      <c r="K2886" s="2672" t="s">
        <v>6509</v>
      </c>
      <c r="L2886" s="2408"/>
    </row>
    <row r="2887" spans="1:12" x14ac:dyDescent="0.3">
      <c r="A2887" s="81" t="s">
        <v>6339</v>
      </c>
      <c r="B2887" s="2445" t="s">
        <v>3629</v>
      </c>
      <c r="C2887" s="2406">
        <v>0</v>
      </c>
      <c r="D2887" s="2396"/>
      <c r="E2887" s="2406">
        <v>0</v>
      </c>
      <c r="F2887" s="2406">
        <v>0</v>
      </c>
      <c r="G2887" s="2455">
        <v>0</v>
      </c>
      <c r="H2887" s="2407">
        <v>0</v>
      </c>
      <c r="I2887" s="2413"/>
      <c r="J2887" s="2413"/>
      <c r="K2887" s="2672" t="s">
        <v>6510</v>
      </c>
      <c r="L2887" s="2408"/>
    </row>
    <row r="2888" spans="1:12" x14ac:dyDescent="0.3">
      <c r="A2888" s="81" t="s">
        <v>6340</v>
      </c>
      <c r="B2888" s="2445" t="s">
        <v>3631</v>
      </c>
      <c r="C2888" s="2406">
        <v>0</v>
      </c>
      <c r="D2888" s="2396"/>
      <c r="E2888" s="2406">
        <v>0</v>
      </c>
      <c r="F2888" s="2406">
        <v>0</v>
      </c>
      <c r="G2888" s="2455">
        <v>0</v>
      </c>
      <c r="H2888" s="2407">
        <v>0</v>
      </c>
      <c r="I2888" s="2413"/>
      <c r="J2888" s="2413"/>
      <c r="K2888" s="2672" t="s">
        <v>6511</v>
      </c>
      <c r="L2888" s="2408"/>
    </row>
    <row r="2889" spans="1:12" x14ac:dyDescent="0.3">
      <c r="A2889" s="81" t="s">
        <v>6341</v>
      </c>
      <c r="B2889" s="2445" t="s">
        <v>3633</v>
      </c>
      <c r="C2889" s="2406">
        <v>0</v>
      </c>
      <c r="D2889" s="2396"/>
      <c r="E2889" s="2406">
        <v>0</v>
      </c>
      <c r="F2889" s="2406">
        <v>0</v>
      </c>
      <c r="G2889" s="2455">
        <v>0</v>
      </c>
      <c r="H2889" s="2407">
        <v>0</v>
      </c>
      <c r="I2889" s="2413"/>
      <c r="J2889" s="2413"/>
      <c r="K2889" s="2672" t="s">
        <v>6512</v>
      </c>
      <c r="L2889" s="2408"/>
    </row>
    <row r="2890" spans="1:12" x14ac:dyDescent="0.3">
      <c r="A2890" s="81" t="s">
        <v>6342</v>
      </c>
      <c r="B2890" s="2445" t="s">
        <v>3635</v>
      </c>
      <c r="C2890" s="2406">
        <v>0</v>
      </c>
      <c r="D2890" s="2396"/>
      <c r="E2890" s="2406">
        <v>0</v>
      </c>
      <c r="F2890" s="2406">
        <v>0</v>
      </c>
      <c r="G2890" s="2455">
        <v>0</v>
      </c>
      <c r="H2890" s="2407">
        <v>0</v>
      </c>
      <c r="I2890" s="2413"/>
      <c r="J2890" s="2413"/>
      <c r="K2890" s="2672" t="s">
        <v>6513</v>
      </c>
      <c r="L2890" s="2408"/>
    </row>
    <row r="2891" spans="1:12" x14ac:dyDescent="0.3">
      <c r="A2891" s="81" t="s">
        <v>6343</v>
      </c>
      <c r="B2891" s="2445" t="s">
        <v>3637</v>
      </c>
      <c r="C2891" s="2406">
        <v>0</v>
      </c>
      <c r="D2891" s="2396"/>
      <c r="E2891" s="2406">
        <v>0</v>
      </c>
      <c r="F2891" s="2406">
        <v>0</v>
      </c>
      <c r="G2891" s="2455">
        <v>0</v>
      </c>
      <c r="H2891" s="2407">
        <v>0</v>
      </c>
      <c r="I2891" s="2413"/>
      <c r="J2891" s="2413"/>
      <c r="K2891" s="2672" t="s">
        <v>6514</v>
      </c>
      <c r="L2891" s="2408"/>
    </row>
    <row r="2892" spans="1:12" x14ac:dyDescent="0.3">
      <c r="A2892" s="81" t="s">
        <v>6344</v>
      </c>
      <c r="B2892" s="2445" t="s">
        <v>4345</v>
      </c>
      <c r="C2892" s="2406">
        <v>0</v>
      </c>
      <c r="D2892" s="2396"/>
      <c r="E2892" s="2406">
        <v>0</v>
      </c>
      <c r="F2892" s="2406">
        <v>0</v>
      </c>
      <c r="G2892" s="2455">
        <v>0</v>
      </c>
      <c r="H2892" s="2407">
        <v>0</v>
      </c>
      <c r="I2892" s="2413"/>
      <c r="J2892" s="2413"/>
      <c r="K2892" s="2672"/>
      <c r="L2892" s="2408"/>
    </row>
    <row r="2893" spans="1:12" x14ac:dyDescent="0.3">
      <c r="A2893" s="81" t="s">
        <v>6345</v>
      </c>
      <c r="B2893" s="2445" t="s">
        <v>3720</v>
      </c>
      <c r="C2893" s="2406">
        <v>0</v>
      </c>
      <c r="D2893" s="2396"/>
      <c r="E2893" s="2406">
        <v>0</v>
      </c>
      <c r="F2893" s="2406">
        <v>0</v>
      </c>
      <c r="G2893" s="2455">
        <v>0</v>
      </c>
      <c r="H2893" s="2407">
        <v>0</v>
      </c>
      <c r="I2893" s="2413"/>
      <c r="J2893" s="2413"/>
      <c r="K2893" s="2672" t="s">
        <v>6515</v>
      </c>
      <c r="L2893" s="2408"/>
    </row>
    <row r="2894" spans="1:12" x14ac:dyDescent="0.3">
      <c r="A2894" s="81" t="s">
        <v>6346</v>
      </c>
      <c r="B2894" s="2445" t="s">
        <v>3117</v>
      </c>
      <c r="C2894" s="2406">
        <v>0</v>
      </c>
      <c r="D2894" s="2396"/>
      <c r="E2894" s="2406">
        <v>0</v>
      </c>
      <c r="F2894" s="2406">
        <v>0</v>
      </c>
      <c r="G2894" s="2455">
        <v>0</v>
      </c>
      <c r="H2894" s="2407">
        <v>0</v>
      </c>
      <c r="I2894" s="2413"/>
      <c r="J2894" s="2413"/>
      <c r="K2894" s="2672" t="s">
        <v>6520</v>
      </c>
      <c r="L2894" s="2408"/>
    </row>
    <row r="2895" spans="1:12" x14ac:dyDescent="0.3">
      <c r="A2895" s="81" t="s">
        <v>6347</v>
      </c>
      <c r="B2895" s="2445" t="s">
        <v>3662</v>
      </c>
      <c r="C2895" s="2406">
        <v>0</v>
      </c>
      <c r="D2895" s="2396"/>
      <c r="E2895" s="2406">
        <v>0</v>
      </c>
      <c r="F2895" s="2406">
        <v>0</v>
      </c>
      <c r="G2895" s="2455">
        <v>0</v>
      </c>
      <c r="H2895" s="2407">
        <v>0</v>
      </c>
      <c r="I2895" s="2413"/>
      <c r="J2895" s="2413"/>
      <c r="K2895" s="2672" t="s">
        <v>6521</v>
      </c>
      <c r="L2895" s="2408"/>
    </row>
    <row r="2896" spans="1:12" x14ac:dyDescent="0.3">
      <c r="A2896" s="81" t="s">
        <v>6348</v>
      </c>
      <c r="B2896" s="2445" t="s">
        <v>4346</v>
      </c>
      <c r="C2896" s="2406">
        <v>0</v>
      </c>
      <c r="D2896" s="2396"/>
      <c r="E2896" s="2406">
        <v>0</v>
      </c>
      <c r="F2896" s="2406">
        <v>0</v>
      </c>
      <c r="G2896" s="2455">
        <v>0</v>
      </c>
      <c r="H2896" s="2407">
        <v>0</v>
      </c>
      <c r="I2896" s="2413"/>
      <c r="J2896" s="2413"/>
      <c r="K2896" s="2672" t="s">
        <v>6523</v>
      </c>
      <c r="L2896" s="2408"/>
    </row>
    <row r="2897" spans="1:12" x14ac:dyDescent="0.3">
      <c r="A2897" s="81" t="s">
        <v>6349</v>
      </c>
      <c r="B2897" s="2445" t="s">
        <v>4112</v>
      </c>
      <c r="C2897" s="2406">
        <v>0</v>
      </c>
      <c r="D2897" s="2396"/>
      <c r="E2897" s="2406">
        <v>0</v>
      </c>
      <c r="F2897" s="2406">
        <v>0</v>
      </c>
      <c r="G2897" s="2455">
        <v>0</v>
      </c>
      <c r="H2897" s="2407">
        <v>0</v>
      </c>
      <c r="I2897" s="2413"/>
      <c r="J2897" s="2413"/>
      <c r="K2897" s="2672" t="s">
        <v>6519</v>
      </c>
      <c r="L2897" s="2408"/>
    </row>
    <row r="2898" spans="1:12" x14ac:dyDescent="0.3">
      <c r="A2898" s="81" t="s">
        <v>6350</v>
      </c>
      <c r="B2898" s="2445" t="s">
        <v>4347</v>
      </c>
      <c r="C2898" s="2406">
        <v>0</v>
      </c>
      <c r="D2898" s="2396"/>
      <c r="E2898" s="2406">
        <v>0</v>
      </c>
      <c r="F2898" s="2406">
        <v>0</v>
      </c>
      <c r="G2898" s="2455">
        <v>0</v>
      </c>
      <c r="H2898" s="2407">
        <v>0</v>
      </c>
      <c r="I2898" s="2413"/>
      <c r="J2898" s="2413"/>
      <c r="K2898" s="2672" t="s">
        <v>6552</v>
      </c>
      <c r="L2898" s="2408"/>
    </row>
    <row r="2899" spans="1:12" x14ac:dyDescent="0.3">
      <c r="A2899" s="81" t="s">
        <v>6351</v>
      </c>
      <c r="B2899" s="2445" t="s">
        <v>3648</v>
      </c>
      <c r="C2899" s="2406">
        <v>0</v>
      </c>
      <c r="D2899" s="2396"/>
      <c r="E2899" s="2406">
        <v>0</v>
      </c>
      <c r="F2899" s="2406">
        <v>0</v>
      </c>
      <c r="G2899" s="2455">
        <v>0</v>
      </c>
      <c r="H2899" s="2407">
        <v>0</v>
      </c>
      <c r="I2899" s="2413"/>
      <c r="J2899" s="2413"/>
      <c r="K2899" s="2672" t="s">
        <v>6516</v>
      </c>
      <c r="L2899" s="2408"/>
    </row>
    <row r="2900" spans="1:12" x14ac:dyDescent="0.3">
      <c r="A2900" s="81" t="s">
        <v>6352</v>
      </c>
      <c r="B2900" s="2445" t="s">
        <v>4024</v>
      </c>
      <c r="C2900" s="2406">
        <v>0</v>
      </c>
      <c r="D2900" s="2396"/>
      <c r="E2900" s="2406">
        <v>0</v>
      </c>
      <c r="F2900" s="2406">
        <v>0</v>
      </c>
      <c r="G2900" s="2455">
        <v>0</v>
      </c>
      <c r="H2900" s="2407">
        <v>0</v>
      </c>
      <c r="I2900" s="2413"/>
      <c r="J2900" s="2413"/>
      <c r="K2900" s="2672" t="s">
        <v>6518</v>
      </c>
      <c r="L2900" s="2408"/>
    </row>
    <row r="2901" spans="1:12" x14ac:dyDescent="0.3">
      <c r="A2901" s="81" t="s">
        <v>6353</v>
      </c>
      <c r="B2901" s="2445" t="s">
        <v>3654</v>
      </c>
      <c r="C2901" s="2406">
        <v>0</v>
      </c>
      <c r="D2901" s="2396"/>
      <c r="E2901" s="2406">
        <v>0</v>
      </c>
      <c r="F2901" s="2406">
        <v>0</v>
      </c>
      <c r="G2901" s="2455">
        <v>0</v>
      </c>
      <c r="H2901" s="2407">
        <v>0</v>
      </c>
      <c r="I2901" s="2413"/>
      <c r="J2901" s="2413"/>
      <c r="K2901" s="2672" t="s">
        <v>6518</v>
      </c>
      <c r="L2901" s="2408"/>
    </row>
    <row r="2902" spans="1:12" x14ac:dyDescent="0.3">
      <c r="A2902" s="81" t="s">
        <v>6354</v>
      </c>
      <c r="B2902" s="2445" t="s">
        <v>3671</v>
      </c>
      <c r="C2902" s="2406">
        <v>0</v>
      </c>
      <c r="D2902" s="2396"/>
      <c r="E2902" s="2406">
        <v>0</v>
      </c>
      <c r="F2902" s="2406">
        <v>0</v>
      </c>
      <c r="G2902" s="2455">
        <v>0</v>
      </c>
      <c r="H2902" s="2407">
        <v>0</v>
      </c>
      <c r="I2902" s="2413"/>
      <c r="J2902" s="2413"/>
      <c r="K2902" s="2672"/>
      <c r="L2902" s="2408"/>
    </row>
    <row r="2903" spans="1:12" x14ac:dyDescent="0.3">
      <c r="A2903" s="81" t="s">
        <v>6355</v>
      </c>
      <c r="B2903" s="2445" t="s">
        <v>3675</v>
      </c>
      <c r="C2903" s="2406">
        <v>0</v>
      </c>
      <c r="D2903" s="2396"/>
      <c r="E2903" s="2406">
        <v>0</v>
      </c>
      <c r="F2903" s="2406">
        <v>0</v>
      </c>
      <c r="G2903" s="2455">
        <v>0</v>
      </c>
      <c r="H2903" s="2407">
        <v>0</v>
      </c>
      <c r="I2903" s="2413"/>
      <c r="J2903" s="2413"/>
      <c r="K2903" s="2672" t="s">
        <v>6526</v>
      </c>
      <c r="L2903" s="2408"/>
    </row>
    <row r="2904" spans="1:12" x14ac:dyDescent="0.3">
      <c r="A2904" s="81" t="s">
        <v>6356</v>
      </c>
      <c r="B2904" s="2445" t="s">
        <v>3679</v>
      </c>
      <c r="C2904" s="2406">
        <v>0</v>
      </c>
      <c r="D2904" s="2396"/>
      <c r="E2904" s="2406">
        <v>0</v>
      </c>
      <c r="F2904" s="2406">
        <v>0</v>
      </c>
      <c r="G2904" s="2455">
        <v>0</v>
      </c>
      <c r="H2904" s="2407">
        <v>0</v>
      </c>
      <c r="I2904" s="2413"/>
      <c r="J2904" s="2413"/>
      <c r="K2904" s="2672" t="s">
        <v>6526</v>
      </c>
      <c r="L2904" s="2408"/>
    </row>
    <row r="2905" spans="1:12" x14ac:dyDescent="0.3">
      <c r="A2905" s="81" t="s">
        <v>6357</v>
      </c>
      <c r="B2905" s="2445" t="s">
        <v>4348</v>
      </c>
      <c r="C2905" s="2406">
        <v>0</v>
      </c>
      <c r="D2905" s="2396"/>
      <c r="E2905" s="2406">
        <v>0</v>
      </c>
      <c r="F2905" s="2406">
        <v>0</v>
      </c>
      <c r="G2905" s="2455">
        <v>0</v>
      </c>
      <c r="H2905" s="2407">
        <v>0</v>
      </c>
      <c r="I2905" s="2413"/>
      <c r="J2905" s="2413"/>
      <c r="K2905" s="2672" t="s">
        <v>6526</v>
      </c>
      <c r="L2905" s="2408"/>
    </row>
    <row r="2906" spans="1:12" x14ac:dyDescent="0.3">
      <c r="A2906" s="81" t="s">
        <v>6358</v>
      </c>
      <c r="B2906" s="2445" t="s">
        <v>4349</v>
      </c>
      <c r="C2906" s="2406">
        <v>0</v>
      </c>
      <c r="D2906" s="2396"/>
      <c r="E2906" s="2406">
        <v>0</v>
      </c>
      <c r="F2906" s="2406">
        <v>0</v>
      </c>
      <c r="G2906" s="2455">
        <v>0</v>
      </c>
      <c r="H2906" s="2407">
        <v>0</v>
      </c>
      <c r="I2906" s="2413"/>
      <c r="J2906" s="2413"/>
      <c r="K2906" s="2672" t="s">
        <v>6526</v>
      </c>
      <c r="L2906" s="2408"/>
    </row>
    <row r="2907" spans="1:12" x14ac:dyDescent="0.3">
      <c r="A2907" s="81" t="s">
        <v>6359</v>
      </c>
      <c r="B2907" s="2445" t="s">
        <v>4350</v>
      </c>
      <c r="C2907" s="2406">
        <v>0</v>
      </c>
      <c r="D2907" s="2396"/>
      <c r="E2907" s="2406">
        <v>0</v>
      </c>
      <c r="F2907" s="2406">
        <v>0</v>
      </c>
      <c r="G2907" s="2455">
        <v>0</v>
      </c>
      <c r="H2907" s="2407">
        <v>0</v>
      </c>
      <c r="I2907" s="2413"/>
      <c r="J2907" s="2413"/>
      <c r="K2907" s="2672" t="s">
        <v>6527</v>
      </c>
      <c r="L2907" s="2408"/>
    </row>
    <row r="2908" spans="1:12" x14ac:dyDescent="0.3">
      <c r="A2908" s="81" t="s">
        <v>6360</v>
      </c>
      <c r="B2908" s="2445" t="s">
        <v>3685</v>
      </c>
      <c r="C2908" s="2406">
        <v>0</v>
      </c>
      <c r="D2908" s="2396"/>
      <c r="E2908" s="2406">
        <v>0</v>
      </c>
      <c r="F2908" s="2406">
        <v>0</v>
      </c>
      <c r="G2908" s="2455">
        <v>0</v>
      </c>
      <c r="H2908" s="2407">
        <v>0</v>
      </c>
      <c r="I2908" s="2413"/>
      <c r="J2908" s="2413"/>
      <c r="K2908" s="2672" t="s">
        <v>6528</v>
      </c>
      <c r="L2908" s="2408"/>
    </row>
    <row r="2909" spans="1:12" x14ac:dyDescent="0.3">
      <c r="A2909" s="81" t="s">
        <v>6361</v>
      </c>
      <c r="B2909" s="2445" t="s">
        <v>3687</v>
      </c>
      <c r="C2909" s="2406">
        <v>0</v>
      </c>
      <c r="D2909" s="2396"/>
      <c r="E2909" s="2406">
        <v>0</v>
      </c>
      <c r="F2909" s="2406">
        <v>0</v>
      </c>
      <c r="G2909" s="2455">
        <v>0</v>
      </c>
      <c r="H2909" s="2407">
        <v>0</v>
      </c>
      <c r="I2909" s="2413"/>
      <c r="J2909" s="2413"/>
      <c r="K2909" s="2672" t="s">
        <v>6528</v>
      </c>
      <c r="L2909" s="2408"/>
    </row>
    <row r="2910" spans="1:12" x14ac:dyDescent="0.3">
      <c r="A2910" s="81" t="s">
        <v>6362</v>
      </c>
      <c r="B2910" s="2445" t="s">
        <v>3689</v>
      </c>
      <c r="C2910" s="2406">
        <v>0</v>
      </c>
      <c r="D2910" s="2396"/>
      <c r="E2910" s="2406">
        <v>0</v>
      </c>
      <c r="F2910" s="2406">
        <v>0</v>
      </c>
      <c r="G2910" s="2455">
        <v>0</v>
      </c>
      <c r="H2910" s="2407">
        <v>0</v>
      </c>
      <c r="I2910" s="2413"/>
      <c r="J2910" s="2413"/>
      <c r="K2910" s="2672" t="s">
        <v>6528</v>
      </c>
      <c r="L2910" s="2408"/>
    </row>
    <row r="2911" spans="1:12" x14ac:dyDescent="0.3">
      <c r="A2911" s="81" t="s">
        <v>6363</v>
      </c>
      <c r="B2911" s="2445" t="s">
        <v>4351</v>
      </c>
      <c r="C2911" s="2406">
        <v>0</v>
      </c>
      <c r="D2911" s="2396"/>
      <c r="E2911" s="2406">
        <v>0</v>
      </c>
      <c r="F2911" s="2406">
        <v>0</v>
      </c>
      <c r="G2911" s="2455">
        <v>0</v>
      </c>
      <c r="H2911" s="2407">
        <v>0</v>
      </c>
      <c r="I2911" s="2413"/>
      <c r="J2911" s="2413"/>
      <c r="K2911" s="2672" t="s">
        <v>6527</v>
      </c>
      <c r="L2911" s="2408"/>
    </row>
    <row r="2912" spans="1:12" x14ac:dyDescent="0.3">
      <c r="A2912" s="81" t="s">
        <v>6364</v>
      </c>
      <c r="B2912" s="2445" t="s">
        <v>4352</v>
      </c>
      <c r="C2912" s="2406">
        <v>0</v>
      </c>
      <c r="D2912" s="2396"/>
      <c r="E2912" s="2406">
        <v>0</v>
      </c>
      <c r="F2912" s="2406">
        <v>0</v>
      </c>
      <c r="G2912" s="2455">
        <v>0</v>
      </c>
      <c r="H2912" s="2407">
        <v>0</v>
      </c>
      <c r="I2912" s="2413"/>
      <c r="J2912" s="2413"/>
      <c r="K2912" s="2672"/>
      <c r="L2912" s="2408"/>
    </row>
    <row r="2913" spans="1:12" x14ac:dyDescent="0.3">
      <c r="A2913" s="81" t="s">
        <v>6365</v>
      </c>
      <c r="B2913" s="2445" t="s">
        <v>4353</v>
      </c>
      <c r="C2913" s="2406">
        <v>0</v>
      </c>
      <c r="D2913" s="2396"/>
      <c r="E2913" s="2406">
        <v>0</v>
      </c>
      <c r="F2913" s="2406">
        <v>0</v>
      </c>
      <c r="G2913" s="2455">
        <v>0</v>
      </c>
      <c r="H2913" s="2407">
        <v>0</v>
      </c>
      <c r="I2913" s="2413"/>
      <c r="J2913" s="2413"/>
      <c r="K2913" s="2672" t="s">
        <v>6817</v>
      </c>
      <c r="L2913" s="2408"/>
    </row>
    <row r="2914" spans="1:12" x14ac:dyDescent="0.3">
      <c r="A2914" s="81" t="s">
        <v>6366</v>
      </c>
      <c r="B2914" s="2445" t="s">
        <v>4354</v>
      </c>
      <c r="C2914" s="2406">
        <v>0</v>
      </c>
      <c r="D2914" s="2396"/>
      <c r="E2914" s="2406">
        <v>0</v>
      </c>
      <c r="F2914" s="2406">
        <v>0</v>
      </c>
      <c r="G2914" s="2455">
        <v>0</v>
      </c>
      <c r="H2914" s="2407">
        <v>0</v>
      </c>
      <c r="I2914" s="2413"/>
      <c r="J2914" s="2413"/>
      <c r="K2914" s="2672" t="s">
        <v>6817</v>
      </c>
      <c r="L2914" s="2408"/>
    </row>
    <row r="2915" spans="1:12" x14ac:dyDescent="0.3">
      <c r="A2915" s="81" t="s">
        <v>6367</v>
      </c>
      <c r="B2915" s="2445" t="s">
        <v>4355</v>
      </c>
      <c r="C2915" s="2406">
        <v>12091665</v>
      </c>
      <c r="D2915" s="2396"/>
      <c r="E2915" s="2406">
        <v>749600</v>
      </c>
      <c r="F2915" s="2406">
        <v>0</v>
      </c>
      <c r="G2915" s="2455">
        <v>749600</v>
      </c>
      <c r="H2915" s="2407">
        <v>12841265</v>
      </c>
      <c r="I2915" s="2413"/>
      <c r="J2915" s="2413"/>
      <c r="K2915" s="2672" t="s">
        <v>6817</v>
      </c>
      <c r="L2915" s="2408"/>
    </row>
    <row r="2916" spans="1:12" x14ac:dyDescent="0.3">
      <c r="A2916" s="81" t="s">
        <v>6368</v>
      </c>
      <c r="B2916" s="2445" t="s">
        <v>4356</v>
      </c>
      <c r="C2916" s="2406">
        <v>0</v>
      </c>
      <c r="D2916" s="2396"/>
      <c r="E2916" s="2406">
        <v>0</v>
      </c>
      <c r="F2916" s="2406">
        <v>0</v>
      </c>
      <c r="G2916" s="2455">
        <v>0</v>
      </c>
      <c r="H2916" s="2407">
        <v>0</v>
      </c>
      <c r="I2916" s="2413"/>
      <c r="J2916" s="2413"/>
      <c r="K2916" s="2672" t="s">
        <v>6817</v>
      </c>
      <c r="L2916" s="2408"/>
    </row>
    <row r="2917" spans="1:12" x14ac:dyDescent="0.3">
      <c r="A2917" s="81" t="s">
        <v>6369</v>
      </c>
      <c r="B2917" s="2445" t="s">
        <v>4357</v>
      </c>
      <c r="C2917" s="2406">
        <v>0</v>
      </c>
      <c r="D2917" s="2396"/>
      <c r="E2917" s="2406">
        <v>0</v>
      </c>
      <c r="F2917" s="2406">
        <v>0</v>
      </c>
      <c r="G2917" s="2455">
        <v>0</v>
      </c>
      <c r="H2917" s="2407">
        <v>0</v>
      </c>
      <c r="I2917" s="2413"/>
      <c r="J2917" s="2413"/>
      <c r="K2917" s="2672" t="s">
        <v>6817</v>
      </c>
      <c r="L2917" s="2408"/>
    </row>
    <row r="2918" spans="1:12" x14ac:dyDescent="0.3">
      <c r="A2918" s="81" t="s">
        <v>6370</v>
      </c>
      <c r="B2918" s="2445" t="s">
        <v>4358</v>
      </c>
      <c r="C2918" s="2406">
        <v>0</v>
      </c>
      <c r="D2918" s="2396"/>
      <c r="E2918" s="2406">
        <v>0</v>
      </c>
      <c r="F2918" s="2406">
        <v>0</v>
      </c>
      <c r="G2918" s="2455">
        <v>0</v>
      </c>
      <c r="H2918" s="2407">
        <v>0</v>
      </c>
      <c r="I2918" s="2413"/>
      <c r="J2918" s="2413"/>
      <c r="K2918" s="2672" t="s">
        <v>6560</v>
      </c>
      <c r="L2918" s="2408"/>
    </row>
    <row r="2919" spans="1:12" x14ac:dyDescent="0.3">
      <c r="A2919" s="81" t="s">
        <v>6371</v>
      </c>
      <c r="B2919" s="2445" t="s">
        <v>4359</v>
      </c>
      <c r="C2919" s="2406">
        <v>0</v>
      </c>
      <c r="D2919" s="2396"/>
      <c r="E2919" s="2406">
        <v>0</v>
      </c>
      <c r="F2919" s="2406">
        <v>0</v>
      </c>
      <c r="G2919" s="2455">
        <v>0</v>
      </c>
      <c r="H2919" s="2407">
        <v>0</v>
      </c>
      <c r="I2919" s="2413"/>
      <c r="J2919" s="2413"/>
      <c r="K2919" s="2672" t="s">
        <v>6817</v>
      </c>
      <c r="L2919" s="2408"/>
    </row>
    <row r="2920" spans="1:12" x14ac:dyDescent="0.3">
      <c r="A2920" s="81" t="s">
        <v>6372</v>
      </c>
      <c r="B2920" s="2445" t="s">
        <v>350</v>
      </c>
      <c r="C2920" s="2406">
        <v>0</v>
      </c>
      <c r="D2920" s="2396"/>
      <c r="E2920" s="2406">
        <v>0</v>
      </c>
      <c r="F2920" s="2406">
        <v>0</v>
      </c>
      <c r="G2920" s="2455">
        <v>0</v>
      </c>
      <c r="H2920" s="2407">
        <v>0</v>
      </c>
      <c r="I2920" s="2413"/>
      <c r="J2920" s="2413"/>
      <c r="K2920" s="2672" t="s">
        <v>6817</v>
      </c>
      <c r="L2920" s="2408"/>
    </row>
    <row r="2921" spans="1:12" x14ac:dyDescent="0.3">
      <c r="A2921" s="81" t="s">
        <v>6373</v>
      </c>
      <c r="B2921" s="2445" t="s">
        <v>4360</v>
      </c>
      <c r="C2921" s="2406">
        <v>0</v>
      </c>
      <c r="D2921" s="2396"/>
      <c r="E2921" s="2406">
        <v>0</v>
      </c>
      <c r="F2921" s="2406">
        <v>0</v>
      </c>
      <c r="G2921" s="2455">
        <v>0</v>
      </c>
      <c r="H2921" s="2407">
        <v>0</v>
      </c>
      <c r="I2921" s="2413"/>
      <c r="J2921" s="2413"/>
      <c r="K2921" s="2672"/>
      <c r="L2921" s="2408"/>
    </row>
    <row r="2922" spans="1:12" x14ac:dyDescent="0.3">
      <c r="A2922" s="81" t="s">
        <v>6374</v>
      </c>
      <c r="B2922" s="2445" t="s">
        <v>4361</v>
      </c>
      <c r="C2922" s="2406">
        <v>1084094320</v>
      </c>
      <c r="D2922" s="2396"/>
      <c r="E2922" s="2406">
        <v>88281143</v>
      </c>
      <c r="F2922" s="2406">
        <v>0</v>
      </c>
      <c r="G2922" s="2455">
        <v>88281143</v>
      </c>
      <c r="H2922" s="2407">
        <v>1172375463</v>
      </c>
      <c r="I2922" s="2413"/>
      <c r="J2922" s="2413"/>
      <c r="K2922" s="2672" t="s">
        <v>6543</v>
      </c>
      <c r="L2922" s="2408"/>
    </row>
    <row r="2923" spans="1:12" x14ac:dyDescent="0.3">
      <c r="A2923" s="81" t="s">
        <v>6375</v>
      </c>
      <c r="B2923" s="2445" t="s">
        <v>3325</v>
      </c>
      <c r="C2923" s="2406">
        <v>387622500</v>
      </c>
      <c r="D2923" s="2396"/>
      <c r="E2923" s="2406">
        <v>1154500</v>
      </c>
      <c r="F2923" s="2406">
        <v>0</v>
      </c>
      <c r="G2923" s="2455">
        <v>1154500</v>
      </c>
      <c r="H2923" s="2407">
        <v>388777000</v>
      </c>
      <c r="I2923" s="2413"/>
      <c r="J2923" s="2413"/>
      <c r="K2923" s="2672" t="s">
        <v>6798</v>
      </c>
      <c r="L2923" s="2408"/>
    </row>
    <row r="2924" spans="1:12" x14ac:dyDescent="0.3">
      <c r="A2924" s="81" t="s">
        <v>6376</v>
      </c>
      <c r="B2924" s="2445" t="s">
        <v>4362</v>
      </c>
      <c r="C2924" s="2406">
        <v>8340000</v>
      </c>
      <c r="D2924" s="2396"/>
      <c r="E2924" s="2406">
        <v>190000</v>
      </c>
      <c r="F2924" s="2406">
        <v>0</v>
      </c>
      <c r="G2924" s="2455">
        <v>190000</v>
      </c>
      <c r="H2924" s="2407">
        <v>8530000</v>
      </c>
      <c r="I2924" s="2413"/>
      <c r="J2924" s="2413"/>
      <c r="K2924" s="2672" t="s">
        <v>6803</v>
      </c>
      <c r="L2924" s="2408"/>
    </row>
    <row r="2925" spans="1:12" x14ac:dyDescent="0.3">
      <c r="A2925" s="81" t="s">
        <v>6377</v>
      </c>
      <c r="B2925" s="2445" t="s">
        <v>4363</v>
      </c>
      <c r="C2925" s="2406">
        <v>0</v>
      </c>
      <c r="D2925" s="2396"/>
      <c r="E2925" s="2406">
        <v>0</v>
      </c>
      <c r="F2925" s="2406">
        <v>0</v>
      </c>
      <c r="G2925" s="2455">
        <v>0</v>
      </c>
      <c r="H2925" s="2407">
        <v>0</v>
      </c>
      <c r="I2925" s="2413"/>
      <c r="J2925" s="2413"/>
      <c r="K2925" s="2672" t="s">
        <v>6803</v>
      </c>
      <c r="L2925" s="2408"/>
    </row>
    <row r="2926" spans="1:12" x14ac:dyDescent="0.3">
      <c r="A2926" s="81" t="s">
        <v>6378</v>
      </c>
      <c r="B2926" s="2445" t="s">
        <v>4364</v>
      </c>
      <c r="C2926" s="2406">
        <v>51629000</v>
      </c>
      <c r="D2926" s="2396"/>
      <c r="E2926" s="2406">
        <v>3060000</v>
      </c>
      <c r="F2926" s="2406">
        <v>0</v>
      </c>
      <c r="G2926" s="2455">
        <v>3060000</v>
      </c>
      <c r="H2926" s="2407">
        <v>54689000</v>
      </c>
      <c r="I2926" s="2413"/>
      <c r="J2926" s="2413"/>
      <c r="K2926" s="2672" t="s">
        <v>6809</v>
      </c>
      <c r="L2926" s="2408"/>
    </row>
    <row r="2927" spans="1:12" x14ac:dyDescent="0.3">
      <c r="A2927" s="81" t="s">
        <v>6379</v>
      </c>
      <c r="B2927" s="2445" t="s">
        <v>4365</v>
      </c>
      <c r="C2927" s="2406">
        <v>36273700</v>
      </c>
      <c r="D2927" s="2396"/>
      <c r="E2927" s="2406">
        <v>2458000</v>
      </c>
      <c r="F2927" s="2406">
        <v>0</v>
      </c>
      <c r="G2927" s="2455">
        <v>2458000</v>
      </c>
      <c r="H2927" s="2407">
        <v>38731700</v>
      </c>
      <c r="I2927" s="2413"/>
      <c r="J2927" s="2413"/>
      <c r="K2927" s="2672" t="s">
        <v>6806</v>
      </c>
      <c r="L2927" s="2408"/>
    </row>
    <row r="2928" spans="1:12" x14ac:dyDescent="0.3">
      <c r="A2928" s="81" t="s">
        <v>6380</v>
      </c>
      <c r="B2928" s="2445" t="s">
        <v>4366</v>
      </c>
      <c r="C2928" s="2406">
        <v>669600</v>
      </c>
      <c r="D2928" s="2396"/>
      <c r="E2928" s="2406">
        <v>0</v>
      </c>
      <c r="F2928" s="2406">
        <v>0</v>
      </c>
      <c r="G2928" s="2455">
        <v>0</v>
      </c>
      <c r="H2928" s="2407">
        <v>669600</v>
      </c>
      <c r="I2928" s="2413"/>
      <c r="J2928" s="2413"/>
      <c r="K2928" s="2672" t="s">
        <v>6812</v>
      </c>
      <c r="L2928" s="2408"/>
    </row>
    <row r="2929" spans="1:12" x14ac:dyDescent="0.3">
      <c r="A2929" s="81" t="s">
        <v>6381</v>
      </c>
      <c r="B2929" s="2445" t="s">
        <v>4367</v>
      </c>
      <c r="C2929" s="2406">
        <v>43074000</v>
      </c>
      <c r="D2929" s="2396"/>
      <c r="E2929" s="2406">
        <v>4443000</v>
      </c>
      <c r="F2929" s="2406">
        <v>0</v>
      </c>
      <c r="G2929" s="2455">
        <v>4443000</v>
      </c>
      <c r="H2929" s="2407">
        <v>47517000</v>
      </c>
      <c r="I2929" s="2413"/>
      <c r="J2929" s="2413"/>
      <c r="K2929" s="2672" t="s">
        <v>6814</v>
      </c>
      <c r="L2929" s="2408"/>
    </row>
    <row r="2930" spans="1:12" x14ac:dyDescent="0.3">
      <c r="A2930" s="81" t="s">
        <v>6382</v>
      </c>
      <c r="B2930" s="2445" t="s">
        <v>4368</v>
      </c>
      <c r="C2930" s="2406">
        <v>90000</v>
      </c>
      <c r="D2930" s="2396"/>
      <c r="E2930" s="2406">
        <v>15000</v>
      </c>
      <c r="F2930" s="2406">
        <v>0</v>
      </c>
      <c r="G2930" s="2455">
        <v>15000</v>
      </c>
      <c r="H2930" s="2407">
        <v>105000</v>
      </c>
      <c r="I2930" s="2413"/>
      <c r="J2930" s="2413"/>
      <c r="K2930" s="2672" t="s">
        <v>6814</v>
      </c>
      <c r="L2930" s="2408"/>
    </row>
    <row r="2931" spans="1:12" x14ac:dyDescent="0.3">
      <c r="A2931" s="81" t="s">
        <v>6383</v>
      </c>
      <c r="B2931" s="2445" t="s">
        <v>350</v>
      </c>
      <c r="C2931" s="2406">
        <v>0</v>
      </c>
      <c r="D2931" s="2396"/>
      <c r="E2931" s="2406">
        <v>0</v>
      </c>
      <c r="F2931" s="2406">
        <v>0</v>
      </c>
      <c r="G2931" s="2455">
        <v>0</v>
      </c>
      <c r="H2931" s="2407">
        <v>0</v>
      </c>
      <c r="I2931" s="2413"/>
      <c r="J2931" s="2413"/>
      <c r="K2931" s="2672"/>
      <c r="L2931" s="2408"/>
    </row>
    <row r="2932" spans="1:12" x14ac:dyDescent="0.3">
      <c r="A2932" s="81" t="s">
        <v>6384</v>
      </c>
      <c r="B2932" s="2445" t="s">
        <v>4369</v>
      </c>
      <c r="C2932" s="2406">
        <v>0</v>
      </c>
      <c r="D2932" s="2396"/>
      <c r="E2932" s="2406">
        <v>0</v>
      </c>
      <c r="F2932" s="2406">
        <v>0</v>
      </c>
      <c r="G2932" s="2455">
        <v>0</v>
      </c>
      <c r="H2932" s="2407">
        <v>0</v>
      </c>
      <c r="I2932" s="2413"/>
      <c r="J2932" s="2413"/>
      <c r="K2932" s="2672" t="s">
        <v>6543</v>
      </c>
      <c r="L2932" s="2408"/>
    </row>
    <row r="2933" spans="1:12" x14ac:dyDescent="0.3">
      <c r="A2933" s="81" t="s">
        <v>6385</v>
      </c>
      <c r="B2933" s="2445" t="s">
        <v>3599</v>
      </c>
      <c r="C2933" s="2406">
        <v>0</v>
      </c>
      <c r="D2933" s="2396"/>
      <c r="E2933" s="2406">
        <v>0</v>
      </c>
      <c r="F2933" s="2406">
        <v>0</v>
      </c>
      <c r="G2933" s="2467">
        <v>0</v>
      </c>
      <c r="H2933" s="2407">
        <v>0</v>
      </c>
      <c r="I2933" s="2413"/>
      <c r="J2933" s="2413"/>
      <c r="K2933" s="2672"/>
      <c r="L2933" s="2408"/>
    </row>
    <row r="2934" spans="1:12" x14ac:dyDescent="0.3">
      <c r="A2934" s="81" t="s">
        <v>6386</v>
      </c>
      <c r="B2934" s="2445" t="s">
        <v>3605</v>
      </c>
      <c r="C2934" s="2406">
        <v>0</v>
      </c>
      <c r="D2934" s="2396"/>
      <c r="E2934" s="2406">
        <v>0</v>
      </c>
      <c r="F2934" s="2406">
        <v>0</v>
      </c>
      <c r="G2934" s="2467">
        <v>0</v>
      </c>
      <c r="H2934" s="2407">
        <v>0</v>
      </c>
      <c r="I2934" s="2413"/>
      <c r="J2934" s="2413"/>
      <c r="K2934" s="2672" t="s">
        <v>2586</v>
      </c>
      <c r="L2934" s="2408"/>
    </row>
    <row r="2935" spans="1:12" x14ac:dyDescent="0.3">
      <c r="A2935" s="81" t="s">
        <v>6387</v>
      </c>
      <c r="B2935" s="2445" t="s">
        <v>3607</v>
      </c>
      <c r="C2935" s="2406">
        <v>0</v>
      </c>
      <c r="D2935" s="2396"/>
      <c r="E2935" s="2406">
        <v>0</v>
      </c>
      <c r="F2935" s="2406">
        <v>0</v>
      </c>
      <c r="G2935" s="2467">
        <v>0</v>
      </c>
      <c r="H2935" s="2407">
        <v>0</v>
      </c>
      <c r="I2935" s="2413"/>
      <c r="J2935" s="2413"/>
      <c r="K2935" s="2672" t="s">
        <v>2586</v>
      </c>
      <c r="L2935" s="2408"/>
    </row>
    <row r="2936" spans="1:12" x14ac:dyDescent="0.3">
      <c r="A2936" s="81" t="s">
        <v>6388</v>
      </c>
      <c r="B2936" s="2445" t="s">
        <v>4126</v>
      </c>
      <c r="C2936" s="2406">
        <v>0</v>
      </c>
      <c r="D2936" s="2396"/>
      <c r="E2936" s="2406">
        <v>0</v>
      </c>
      <c r="F2936" s="2406">
        <v>0</v>
      </c>
      <c r="G2936" s="2467">
        <v>0</v>
      </c>
      <c r="H2936" s="2407">
        <v>0</v>
      </c>
      <c r="I2936" s="2413"/>
      <c r="J2936" s="2413"/>
      <c r="K2936" s="2672" t="s">
        <v>2585</v>
      </c>
      <c r="L2936" s="2408"/>
    </row>
    <row r="2937" spans="1:12" x14ac:dyDescent="0.3">
      <c r="A2937" s="81" t="s">
        <v>6389</v>
      </c>
      <c r="B2937" s="2445" t="s">
        <v>4127</v>
      </c>
      <c r="C2937" s="2406">
        <v>0</v>
      </c>
      <c r="D2937" s="2396"/>
      <c r="E2937" s="2406">
        <v>0</v>
      </c>
      <c r="F2937" s="2406">
        <v>0</v>
      </c>
      <c r="G2937" s="2467">
        <v>0</v>
      </c>
      <c r="H2937" s="2407">
        <v>0</v>
      </c>
      <c r="I2937" s="2413"/>
      <c r="J2937" s="2413"/>
      <c r="K2937" s="2672" t="s">
        <v>2586</v>
      </c>
      <c r="L2937" s="2408"/>
    </row>
    <row r="2938" spans="1:12" x14ac:dyDescent="0.3">
      <c r="A2938" s="81" t="s">
        <v>6390</v>
      </c>
      <c r="B2938" s="2445" t="s">
        <v>4014</v>
      </c>
      <c r="C2938" s="2406">
        <v>0</v>
      </c>
      <c r="D2938" s="2396"/>
      <c r="E2938" s="2406">
        <v>0</v>
      </c>
      <c r="F2938" s="2406">
        <v>0</v>
      </c>
      <c r="G2938" s="2467">
        <v>0</v>
      </c>
      <c r="H2938" s="2407">
        <v>0</v>
      </c>
      <c r="I2938" s="2413"/>
      <c r="J2938" s="2413"/>
      <c r="K2938" s="2672" t="s">
        <v>2585</v>
      </c>
      <c r="L2938" s="2408"/>
    </row>
    <row r="2939" spans="1:12" x14ac:dyDescent="0.3">
      <c r="A2939" s="81" t="s">
        <v>6391</v>
      </c>
      <c r="B2939" s="2445" t="s">
        <v>3613</v>
      </c>
      <c r="C2939" s="2406">
        <v>0</v>
      </c>
      <c r="D2939" s="2396"/>
      <c r="E2939" s="2406">
        <v>0</v>
      </c>
      <c r="F2939" s="2406">
        <v>0</v>
      </c>
      <c r="G2939" s="2467">
        <v>0</v>
      </c>
      <c r="H2939" s="2407">
        <v>0</v>
      </c>
      <c r="I2939" s="2413"/>
      <c r="J2939" s="2413"/>
      <c r="K2939" s="2672" t="s">
        <v>6505</v>
      </c>
      <c r="L2939" s="2408"/>
    </row>
    <row r="2940" spans="1:12" x14ac:dyDescent="0.3">
      <c r="A2940" s="81" t="s">
        <v>6392</v>
      </c>
      <c r="B2940" s="2445" t="s">
        <v>4015</v>
      </c>
      <c r="C2940" s="2406">
        <v>0</v>
      </c>
      <c r="D2940" s="2396"/>
      <c r="E2940" s="2406">
        <v>0</v>
      </c>
      <c r="F2940" s="2406">
        <v>0</v>
      </c>
      <c r="G2940" s="2467">
        <v>0</v>
      </c>
      <c r="H2940" s="2407">
        <v>0</v>
      </c>
      <c r="I2940" s="2413"/>
      <c r="J2940" s="2413"/>
      <c r="K2940" s="2672" t="s">
        <v>2586</v>
      </c>
      <c r="L2940" s="2408"/>
    </row>
    <row r="2941" spans="1:12" x14ac:dyDescent="0.3">
      <c r="A2941" s="81" t="s">
        <v>6393</v>
      </c>
      <c r="B2941" s="2445" t="s">
        <v>4343</v>
      </c>
      <c r="C2941" s="2406">
        <v>0</v>
      </c>
      <c r="D2941" s="2396"/>
      <c r="E2941" s="2406">
        <v>0</v>
      </c>
      <c r="F2941" s="2406">
        <v>0</v>
      </c>
      <c r="G2941" s="2467">
        <v>0</v>
      </c>
      <c r="H2941" s="2407">
        <v>0</v>
      </c>
      <c r="I2941" s="2413"/>
      <c r="J2941" s="2413"/>
      <c r="K2941" s="2672" t="s">
        <v>2586</v>
      </c>
      <c r="L2941" s="2408"/>
    </row>
    <row r="2942" spans="1:12" x14ac:dyDescent="0.3">
      <c r="A2942" s="81" t="s">
        <v>6394</v>
      </c>
      <c r="B2942" s="2445" t="s">
        <v>3619</v>
      </c>
      <c r="C2942" s="2406">
        <v>0</v>
      </c>
      <c r="D2942" s="2396"/>
      <c r="E2942" s="2406">
        <v>0</v>
      </c>
      <c r="F2942" s="2406">
        <v>0</v>
      </c>
      <c r="G2942" s="2467">
        <v>0</v>
      </c>
      <c r="H2942" s="2407">
        <v>0</v>
      </c>
      <c r="I2942" s="2413"/>
      <c r="J2942" s="2413"/>
      <c r="K2942" s="2672"/>
      <c r="L2942" s="2408"/>
    </row>
    <row r="2943" spans="1:12" x14ac:dyDescent="0.3">
      <c r="A2943" s="81" t="s">
        <v>6395</v>
      </c>
      <c r="B2943" s="2445" t="s">
        <v>3621</v>
      </c>
      <c r="C2943" s="2406">
        <v>0</v>
      </c>
      <c r="D2943" s="2396"/>
      <c r="E2943" s="2406">
        <v>0</v>
      </c>
      <c r="F2943" s="2406">
        <v>0</v>
      </c>
      <c r="G2943" s="2467">
        <v>0</v>
      </c>
      <c r="H2943" s="2407">
        <v>0</v>
      </c>
      <c r="I2943" s="2413"/>
      <c r="J2943" s="2413"/>
      <c r="K2943" s="2672" t="s">
        <v>6506</v>
      </c>
      <c r="L2943" s="2408"/>
    </row>
    <row r="2944" spans="1:12" x14ac:dyDescent="0.3">
      <c r="A2944" s="81" t="s">
        <v>6396</v>
      </c>
      <c r="B2944" s="2445" t="s">
        <v>3623</v>
      </c>
      <c r="C2944" s="2406">
        <v>0</v>
      </c>
      <c r="D2944" s="2396"/>
      <c r="E2944" s="2406">
        <v>0</v>
      </c>
      <c r="F2944" s="2406">
        <v>0</v>
      </c>
      <c r="G2944" s="2467">
        <v>0</v>
      </c>
      <c r="H2944" s="2407">
        <v>0</v>
      </c>
      <c r="I2944" s="2413"/>
      <c r="J2944" s="2413"/>
      <c r="K2944" s="2672" t="s">
        <v>6507</v>
      </c>
      <c r="L2944" s="2408"/>
    </row>
    <row r="2945" spans="1:12" x14ac:dyDescent="0.3">
      <c r="A2945" s="81" t="s">
        <v>6397</v>
      </c>
      <c r="B2945" s="2445" t="s">
        <v>4344</v>
      </c>
      <c r="C2945" s="2406">
        <v>0</v>
      </c>
      <c r="D2945" s="2396"/>
      <c r="E2945" s="2406">
        <v>0</v>
      </c>
      <c r="F2945" s="2406">
        <v>0</v>
      </c>
      <c r="G2945" s="2467">
        <v>0</v>
      </c>
      <c r="H2945" s="2407">
        <v>0</v>
      </c>
      <c r="I2945" s="2413"/>
      <c r="J2945" s="2413"/>
      <c r="K2945" s="2672" t="s">
        <v>6508</v>
      </c>
      <c r="L2945" s="2408"/>
    </row>
    <row r="2946" spans="1:12" x14ac:dyDescent="0.3">
      <c r="A2946" s="81" t="s">
        <v>6398</v>
      </c>
      <c r="B2946" s="2445" t="s">
        <v>3627</v>
      </c>
      <c r="C2946" s="2406">
        <v>0</v>
      </c>
      <c r="D2946" s="2396"/>
      <c r="E2946" s="2406">
        <v>0</v>
      </c>
      <c r="F2946" s="2406">
        <v>0</v>
      </c>
      <c r="G2946" s="2467">
        <v>0</v>
      </c>
      <c r="H2946" s="2407">
        <v>0</v>
      </c>
      <c r="I2946" s="2413"/>
      <c r="J2946" s="2413"/>
      <c r="K2946" s="2672" t="s">
        <v>6509</v>
      </c>
      <c r="L2946" s="2408"/>
    </row>
    <row r="2947" spans="1:12" x14ac:dyDescent="0.3">
      <c r="A2947" s="81" t="s">
        <v>6399</v>
      </c>
      <c r="B2947" s="2445" t="s">
        <v>3629</v>
      </c>
      <c r="C2947" s="2406">
        <v>0</v>
      </c>
      <c r="D2947" s="2396"/>
      <c r="E2947" s="2406">
        <v>0</v>
      </c>
      <c r="F2947" s="2406">
        <v>0</v>
      </c>
      <c r="G2947" s="2467">
        <v>0</v>
      </c>
      <c r="H2947" s="2407">
        <v>0</v>
      </c>
      <c r="I2947" s="2413"/>
      <c r="J2947" s="2413"/>
      <c r="K2947" s="2672" t="s">
        <v>6510</v>
      </c>
      <c r="L2947" s="2408"/>
    </row>
    <row r="2948" spans="1:12" x14ac:dyDescent="0.3">
      <c r="A2948" s="81" t="s">
        <v>6400</v>
      </c>
      <c r="B2948" s="2445" t="s">
        <v>3631</v>
      </c>
      <c r="C2948" s="2406">
        <v>0</v>
      </c>
      <c r="D2948" s="2396"/>
      <c r="E2948" s="2406">
        <v>0</v>
      </c>
      <c r="F2948" s="2406">
        <v>0</v>
      </c>
      <c r="G2948" s="2467">
        <v>0</v>
      </c>
      <c r="H2948" s="2407">
        <v>0</v>
      </c>
      <c r="I2948" s="2413"/>
      <c r="J2948" s="2413"/>
      <c r="K2948" s="2672" t="s">
        <v>6511</v>
      </c>
      <c r="L2948" s="2408"/>
    </row>
    <row r="2949" spans="1:12" x14ac:dyDescent="0.3">
      <c r="A2949" s="81" t="s">
        <v>6401</v>
      </c>
      <c r="B2949" s="2445" t="s">
        <v>3633</v>
      </c>
      <c r="C2949" s="2406">
        <v>0</v>
      </c>
      <c r="D2949" s="2396"/>
      <c r="E2949" s="2406">
        <v>0</v>
      </c>
      <c r="F2949" s="2406">
        <v>0</v>
      </c>
      <c r="G2949" s="2467">
        <v>0</v>
      </c>
      <c r="H2949" s="2407">
        <v>0</v>
      </c>
      <c r="I2949" s="2413"/>
      <c r="J2949" s="2413"/>
      <c r="K2949" s="2672" t="s">
        <v>6512</v>
      </c>
      <c r="L2949" s="2408"/>
    </row>
    <row r="2950" spans="1:12" x14ac:dyDescent="0.3">
      <c r="A2950" s="81" t="s">
        <v>6402</v>
      </c>
      <c r="B2950" s="2445" t="s">
        <v>3635</v>
      </c>
      <c r="C2950" s="2406">
        <v>0</v>
      </c>
      <c r="D2950" s="2396"/>
      <c r="E2950" s="2406">
        <v>0</v>
      </c>
      <c r="F2950" s="2406">
        <v>0</v>
      </c>
      <c r="G2950" s="2467">
        <v>0</v>
      </c>
      <c r="H2950" s="2407">
        <v>0</v>
      </c>
      <c r="I2950" s="2413"/>
      <c r="J2950" s="2413"/>
      <c r="K2950" s="2672" t="s">
        <v>6513</v>
      </c>
      <c r="L2950" s="2408"/>
    </row>
    <row r="2951" spans="1:12" x14ac:dyDescent="0.3">
      <c r="A2951" s="81" t="s">
        <v>6403</v>
      </c>
      <c r="B2951" s="2445" t="s">
        <v>3637</v>
      </c>
      <c r="C2951" s="2406">
        <v>0</v>
      </c>
      <c r="D2951" s="2396"/>
      <c r="E2951" s="2406">
        <v>0</v>
      </c>
      <c r="F2951" s="2406">
        <v>0</v>
      </c>
      <c r="G2951" s="2467">
        <v>0</v>
      </c>
      <c r="H2951" s="2407">
        <v>0</v>
      </c>
      <c r="I2951" s="2413"/>
      <c r="J2951" s="2413"/>
      <c r="K2951" s="2672" t="s">
        <v>6514</v>
      </c>
      <c r="L2951" s="2408"/>
    </row>
    <row r="2952" spans="1:12" x14ac:dyDescent="0.3">
      <c r="A2952" s="81" t="s">
        <v>6404</v>
      </c>
      <c r="B2952" s="2445" t="s">
        <v>4345</v>
      </c>
      <c r="C2952" s="2406">
        <v>0</v>
      </c>
      <c r="D2952" s="2396"/>
      <c r="E2952" s="2406">
        <v>0</v>
      </c>
      <c r="F2952" s="2406">
        <v>0</v>
      </c>
      <c r="G2952" s="2467">
        <v>0</v>
      </c>
      <c r="H2952" s="2407">
        <v>0</v>
      </c>
      <c r="I2952" s="2413"/>
      <c r="J2952" s="2413"/>
      <c r="K2952" s="2672"/>
      <c r="L2952" s="2408"/>
    </row>
    <row r="2953" spans="1:12" x14ac:dyDescent="0.3">
      <c r="A2953" s="81" t="s">
        <v>6405</v>
      </c>
      <c r="B2953" s="2445" t="s">
        <v>3720</v>
      </c>
      <c r="C2953" s="2406">
        <v>0</v>
      </c>
      <c r="D2953" s="2396"/>
      <c r="E2953" s="2406">
        <v>0</v>
      </c>
      <c r="F2953" s="2406">
        <v>0</v>
      </c>
      <c r="G2953" s="2467">
        <v>0</v>
      </c>
      <c r="H2953" s="2407">
        <v>0</v>
      </c>
      <c r="I2953" s="2413"/>
      <c r="J2953" s="2413"/>
      <c r="K2953" s="2672" t="s">
        <v>6515</v>
      </c>
      <c r="L2953" s="2408"/>
    </row>
    <row r="2954" spans="1:12" x14ac:dyDescent="0.3">
      <c r="A2954" s="81" t="s">
        <v>6406</v>
      </c>
      <c r="B2954" s="2445" t="s">
        <v>3117</v>
      </c>
      <c r="C2954" s="2406">
        <v>0</v>
      </c>
      <c r="D2954" s="2396"/>
      <c r="E2954" s="2406">
        <v>0</v>
      </c>
      <c r="F2954" s="2406">
        <v>0</v>
      </c>
      <c r="G2954" s="2467">
        <v>0</v>
      </c>
      <c r="H2954" s="2407">
        <v>0</v>
      </c>
      <c r="I2954" s="2413"/>
      <c r="J2954" s="2413"/>
      <c r="K2954" s="2672" t="s">
        <v>6520</v>
      </c>
      <c r="L2954" s="2408"/>
    </row>
    <row r="2955" spans="1:12" x14ac:dyDescent="0.3">
      <c r="A2955" s="81" t="s">
        <v>6407</v>
      </c>
      <c r="B2955" s="2445" t="s">
        <v>3662</v>
      </c>
      <c r="C2955" s="2406">
        <v>0</v>
      </c>
      <c r="D2955" s="2396"/>
      <c r="E2955" s="2406">
        <v>0</v>
      </c>
      <c r="F2955" s="2406">
        <v>0</v>
      </c>
      <c r="G2955" s="2467">
        <v>0</v>
      </c>
      <c r="H2955" s="2407">
        <v>0</v>
      </c>
      <c r="I2955" s="2413"/>
      <c r="J2955" s="2413"/>
      <c r="K2955" s="2672" t="s">
        <v>6521</v>
      </c>
      <c r="L2955" s="2408"/>
    </row>
    <row r="2956" spans="1:12" x14ac:dyDescent="0.3">
      <c r="A2956" s="81" t="s">
        <v>6408</v>
      </c>
      <c r="B2956" s="2445" t="s">
        <v>4346</v>
      </c>
      <c r="C2956" s="2406">
        <v>0</v>
      </c>
      <c r="D2956" s="2396"/>
      <c r="E2956" s="2406">
        <v>0</v>
      </c>
      <c r="F2956" s="2406">
        <v>0</v>
      </c>
      <c r="G2956" s="2467">
        <v>0</v>
      </c>
      <c r="H2956" s="2407">
        <v>0</v>
      </c>
      <c r="I2956" s="2413"/>
      <c r="J2956" s="2413"/>
      <c r="K2956" s="2672" t="s">
        <v>6523</v>
      </c>
      <c r="L2956" s="2408"/>
    </row>
    <row r="2957" spans="1:12" x14ac:dyDescent="0.3">
      <c r="A2957" s="81" t="s">
        <v>6409</v>
      </c>
      <c r="B2957" s="2445" t="s">
        <v>4112</v>
      </c>
      <c r="C2957" s="2406">
        <v>0</v>
      </c>
      <c r="D2957" s="2396"/>
      <c r="E2957" s="2406">
        <v>0</v>
      </c>
      <c r="F2957" s="2406">
        <v>0</v>
      </c>
      <c r="G2957" s="2467">
        <v>0</v>
      </c>
      <c r="H2957" s="2407">
        <v>0</v>
      </c>
      <c r="I2957" s="2413"/>
      <c r="J2957" s="2413"/>
      <c r="K2957" s="2672" t="s">
        <v>6519</v>
      </c>
      <c r="L2957" s="2408"/>
    </row>
    <row r="2958" spans="1:12" x14ac:dyDescent="0.3">
      <c r="A2958" s="81" t="s">
        <v>6410</v>
      </c>
      <c r="B2958" s="2445" t="s">
        <v>4347</v>
      </c>
      <c r="C2958" s="2406">
        <v>0</v>
      </c>
      <c r="D2958" s="2396"/>
      <c r="E2958" s="2406">
        <v>0</v>
      </c>
      <c r="F2958" s="2406">
        <v>0</v>
      </c>
      <c r="G2958" s="2467">
        <v>0</v>
      </c>
      <c r="H2958" s="2407">
        <v>0</v>
      </c>
      <c r="I2958" s="2413"/>
      <c r="J2958" s="2413"/>
      <c r="K2958" s="2672" t="s">
        <v>6552</v>
      </c>
      <c r="L2958" s="2408"/>
    </row>
    <row r="2959" spans="1:12" x14ac:dyDescent="0.3">
      <c r="A2959" s="81" t="s">
        <v>6411</v>
      </c>
      <c r="B2959" s="2445" t="s">
        <v>3648</v>
      </c>
      <c r="C2959" s="2406">
        <v>0</v>
      </c>
      <c r="D2959" s="2396"/>
      <c r="E2959" s="2406">
        <v>0</v>
      </c>
      <c r="F2959" s="2406">
        <v>0</v>
      </c>
      <c r="G2959" s="2467">
        <v>0</v>
      </c>
      <c r="H2959" s="2407">
        <v>0</v>
      </c>
      <c r="I2959" s="2413"/>
      <c r="J2959" s="2413"/>
      <c r="K2959" s="2672" t="s">
        <v>6516</v>
      </c>
      <c r="L2959" s="2408"/>
    </row>
    <row r="2960" spans="1:12" x14ac:dyDescent="0.3">
      <c r="A2960" s="81" t="s">
        <v>6412</v>
      </c>
      <c r="B2960" s="2445" t="s">
        <v>4024</v>
      </c>
      <c r="C2960" s="2406">
        <v>0</v>
      </c>
      <c r="D2960" s="2396"/>
      <c r="E2960" s="2406">
        <v>0</v>
      </c>
      <c r="F2960" s="2406">
        <v>0</v>
      </c>
      <c r="G2960" s="2467">
        <v>0</v>
      </c>
      <c r="H2960" s="2407">
        <v>0</v>
      </c>
      <c r="I2960" s="2413"/>
      <c r="J2960" s="2413"/>
      <c r="K2960" s="2672" t="s">
        <v>6518</v>
      </c>
      <c r="L2960" s="2408"/>
    </row>
    <row r="2961" spans="1:12" x14ac:dyDescent="0.3">
      <c r="A2961" s="81" t="s">
        <v>6413</v>
      </c>
      <c r="B2961" s="2445" t="s">
        <v>3654</v>
      </c>
      <c r="C2961" s="2406">
        <v>0</v>
      </c>
      <c r="D2961" s="2396"/>
      <c r="E2961" s="2406">
        <v>0</v>
      </c>
      <c r="F2961" s="2406">
        <v>0</v>
      </c>
      <c r="G2961" s="2467">
        <v>0</v>
      </c>
      <c r="H2961" s="2407">
        <v>0</v>
      </c>
      <c r="I2961" s="2413"/>
      <c r="J2961" s="2413"/>
      <c r="K2961" s="2672" t="s">
        <v>6518</v>
      </c>
      <c r="L2961" s="2408"/>
    </row>
    <row r="2962" spans="1:12" x14ac:dyDescent="0.3">
      <c r="A2962" s="81" t="s">
        <v>6414</v>
      </c>
      <c r="B2962" s="2445" t="s">
        <v>3671</v>
      </c>
      <c r="C2962" s="2406">
        <v>0</v>
      </c>
      <c r="D2962" s="2396"/>
      <c r="E2962" s="2406">
        <v>0</v>
      </c>
      <c r="F2962" s="2406">
        <v>0</v>
      </c>
      <c r="G2962" s="2467">
        <v>0</v>
      </c>
      <c r="H2962" s="2407">
        <v>0</v>
      </c>
      <c r="I2962" s="2413"/>
      <c r="J2962" s="2413"/>
      <c r="K2962" s="2672"/>
      <c r="L2962" s="2408"/>
    </row>
    <row r="2963" spans="1:12" x14ac:dyDescent="0.3">
      <c r="A2963" s="81" t="s">
        <v>6415</v>
      </c>
      <c r="B2963" s="2445" t="s">
        <v>3675</v>
      </c>
      <c r="C2963" s="2406">
        <v>0</v>
      </c>
      <c r="D2963" s="2396"/>
      <c r="E2963" s="2406">
        <v>0</v>
      </c>
      <c r="F2963" s="2406">
        <v>0</v>
      </c>
      <c r="G2963" s="2467">
        <v>0</v>
      </c>
      <c r="H2963" s="2407">
        <v>0</v>
      </c>
      <c r="I2963" s="2413"/>
      <c r="J2963" s="2413"/>
      <c r="K2963" s="2672" t="s">
        <v>6526</v>
      </c>
      <c r="L2963" s="2408"/>
    </row>
    <row r="2964" spans="1:12" x14ac:dyDescent="0.3">
      <c r="A2964" s="81" t="s">
        <v>6416</v>
      </c>
      <c r="B2964" s="2445" t="s">
        <v>3679</v>
      </c>
      <c r="C2964" s="2406">
        <v>0</v>
      </c>
      <c r="D2964" s="2396"/>
      <c r="E2964" s="2406">
        <v>0</v>
      </c>
      <c r="F2964" s="2406">
        <v>0</v>
      </c>
      <c r="G2964" s="2467">
        <v>0</v>
      </c>
      <c r="H2964" s="2407">
        <v>0</v>
      </c>
      <c r="I2964" s="2413"/>
      <c r="J2964" s="2413"/>
      <c r="K2964" s="2672" t="s">
        <v>6526</v>
      </c>
      <c r="L2964" s="2408"/>
    </row>
    <row r="2965" spans="1:12" x14ac:dyDescent="0.3">
      <c r="A2965" s="81" t="s">
        <v>6417</v>
      </c>
      <c r="B2965" s="2445" t="s">
        <v>4348</v>
      </c>
      <c r="C2965" s="2406">
        <v>0</v>
      </c>
      <c r="D2965" s="2396"/>
      <c r="E2965" s="2406">
        <v>0</v>
      </c>
      <c r="F2965" s="2406">
        <v>0</v>
      </c>
      <c r="G2965" s="2467">
        <v>0</v>
      </c>
      <c r="H2965" s="2407">
        <v>0</v>
      </c>
      <c r="I2965" s="2413"/>
      <c r="J2965" s="2413"/>
      <c r="K2965" s="2672" t="s">
        <v>6526</v>
      </c>
      <c r="L2965" s="2408"/>
    </row>
    <row r="2966" spans="1:12" x14ac:dyDescent="0.3">
      <c r="A2966" s="81" t="s">
        <v>6418</v>
      </c>
      <c r="B2966" s="2445" t="s">
        <v>4349</v>
      </c>
      <c r="C2966" s="2406">
        <v>0</v>
      </c>
      <c r="D2966" s="2396"/>
      <c r="E2966" s="2406">
        <v>0</v>
      </c>
      <c r="F2966" s="2406">
        <v>0</v>
      </c>
      <c r="G2966" s="2467">
        <v>0</v>
      </c>
      <c r="H2966" s="2407">
        <v>0</v>
      </c>
      <c r="I2966" s="2413"/>
      <c r="J2966" s="2413"/>
      <c r="K2966" s="2672" t="s">
        <v>6526</v>
      </c>
      <c r="L2966" s="2408"/>
    </row>
    <row r="2967" spans="1:12" x14ac:dyDescent="0.3">
      <c r="A2967" s="81" t="s">
        <v>6419</v>
      </c>
      <c r="B2967" s="2445" t="s">
        <v>4350</v>
      </c>
      <c r="C2967" s="2406">
        <v>0</v>
      </c>
      <c r="D2967" s="2396"/>
      <c r="E2967" s="2406">
        <v>0</v>
      </c>
      <c r="F2967" s="2406">
        <v>0</v>
      </c>
      <c r="G2967" s="2467">
        <v>0</v>
      </c>
      <c r="H2967" s="2407">
        <v>0</v>
      </c>
      <c r="I2967" s="2413"/>
      <c r="J2967" s="2413"/>
      <c r="K2967" s="2672" t="s">
        <v>6527</v>
      </c>
      <c r="L2967" s="2408"/>
    </row>
    <row r="2968" spans="1:12" x14ac:dyDescent="0.3">
      <c r="A2968" s="81" t="s">
        <v>6420</v>
      </c>
      <c r="B2968" s="2445" t="s">
        <v>3685</v>
      </c>
      <c r="C2968" s="2406">
        <v>0</v>
      </c>
      <c r="D2968" s="2396"/>
      <c r="E2968" s="2406">
        <v>0</v>
      </c>
      <c r="F2968" s="2406">
        <v>0</v>
      </c>
      <c r="G2968" s="2467">
        <v>0</v>
      </c>
      <c r="H2968" s="2407">
        <v>0</v>
      </c>
      <c r="I2968" s="2413"/>
      <c r="J2968" s="2413"/>
      <c r="K2968" s="2672" t="s">
        <v>6528</v>
      </c>
      <c r="L2968" s="2408"/>
    </row>
    <row r="2969" spans="1:12" x14ac:dyDescent="0.3">
      <c r="A2969" s="81" t="s">
        <v>6421</v>
      </c>
      <c r="B2969" s="2445" t="s">
        <v>3687</v>
      </c>
      <c r="C2969" s="2406">
        <v>0</v>
      </c>
      <c r="D2969" s="2396"/>
      <c r="E2969" s="2406">
        <v>0</v>
      </c>
      <c r="F2969" s="2406">
        <v>0</v>
      </c>
      <c r="G2969" s="2467">
        <v>0</v>
      </c>
      <c r="H2969" s="2407">
        <v>0</v>
      </c>
      <c r="I2969" s="2413"/>
      <c r="J2969" s="2413"/>
      <c r="K2969" s="2672" t="s">
        <v>6528</v>
      </c>
      <c r="L2969" s="2408"/>
    </row>
    <row r="2970" spans="1:12" x14ac:dyDescent="0.3">
      <c r="A2970" s="81" t="s">
        <v>6422</v>
      </c>
      <c r="B2970" s="2445" t="s">
        <v>3689</v>
      </c>
      <c r="C2970" s="2406">
        <v>0</v>
      </c>
      <c r="D2970" s="2396"/>
      <c r="E2970" s="2406">
        <v>0</v>
      </c>
      <c r="F2970" s="2406">
        <v>0</v>
      </c>
      <c r="G2970" s="2467">
        <v>0</v>
      </c>
      <c r="H2970" s="2407">
        <v>0</v>
      </c>
      <c r="I2970" s="2413"/>
      <c r="J2970" s="2413"/>
      <c r="K2970" s="2672" t="s">
        <v>6528</v>
      </c>
      <c r="L2970" s="2408"/>
    </row>
    <row r="2971" spans="1:12" x14ac:dyDescent="0.3">
      <c r="A2971" s="81" t="s">
        <v>6423</v>
      </c>
      <c r="B2971" s="2445" t="s">
        <v>4351</v>
      </c>
      <c r="C2971" s="2406">
        <v>0</v>
      </c>
      <c r="D2971" s="2396"/>
      <c r="E2971" s="2406">
        <v>0</v>
      </c>
      <c r="F2971" s="2406">
        <v>0</v>
      </c>
      <c r="G2971" s="2467">
        <v>0</v>
      </c>
      <c r="H2971" s="2407">
        <v>0</v>
      </c>
      <c r="I2971" s="2413"/>
      <c r="J2971" s="2413"/>
      <c r="K2971" s="2672" t="s">
        <v>6527</v>
      </c>
      <c r="L2971" s="2408"/>
    </row>
    <row r="2972" spans="1:12" x14ac:dyDescent="0.3">
      <c r="A2972" s="81" t="s">
        <v>6424</v>
      </c>
      <c r="B2972" s="2445" t="s">
        <v>4372</v>
      </c>
      <c r="C2972" s="2406">
        <v>0</v>
      </c>
      <c r="D2972" s="2396"/>
      <c r="E2972" s="2406">
        <v>0</v>
      </c>
      <c r="F2972" s="2406">
        <v>0</v>
      </c>
      <c r="G2972" s="2467">
        <v>0</v>
      </c>
      <c r="H2972" s="2407">
        <v>0</v>
      </c>
      <c r="I2972" s="2413"/>
      <c r="J2972" s="2413"/>
      <c r="K2972" s="2672" t="s">
        <v>6830</v>
      </c>
      <c r="L2972" s="2408"/>
    </row>
    <row r="2973" spans="1:12" x14ac:dyDescent="0.3">
      <c r="A2973" s="81" t="s">
        <v>6425</v>
      </c>
      <c r="B2973" s="2445" t="s">
        <v>4373</v>
      </c>
      <c r="C2973" s="2406">
        <v>0</v>
      </c>
      <c r="D2973" s="2396"/>
      <c r="E2973" s="2406">
        <v>0</v>
      </c>
      <c r="F2973" s="2406">
        <v>0</v>
      </c>
      <c r="G2973" s="2467">
        <v>0</v>
      </c>
      <c r="H2973" s="2407">
        <v>0</v>
      </c>
      <c r="I2973" s="2413"/>
      <c r="J2973" s="2413"/>
      <c r="K2973" s="2672" t="s">
        <v>6830</v>
      </c>
      <c r="L2973" s="2408"/>
    </row>
    <row r="2974" spans="1:12" x14ac:dyDescent="0.3">
      <c r="A2974" s="81" t="s">
        <v>6426</v>
      </c>
      <c r="B2974" s="2445" t="s">
        <v>4374</v>
      </c>
      <c r="C2974" s="2406">
        <v>0</v>
      </c>
      <c r="D2974" s="2396"/>
      <c r="E2974" s="2406">
        <v>0</v>
      </c>
      <c r="F2974" s="2406">
        <v>0</v>
      </c>
      <c r="G2974" s="2467">
        <v>0</v>
      </c>
      <c r="H2974" s="2407">
        <v>0</v>
      </c>
      <c r="I2974" s="2413"/>
      <c r="J2974" s="2413"/>
      <c r="K2974" s="2672" t="s">
        <v>6830</v>
      </c>
      <c r="L2974" s="2408"/>
    </row>
    <row r="2975" spans="1:12" x14ac:dyDescent="0.3">
      <c r="A2975" s="81" t="s">
        <v>6427</v>
      </c>
      <c r="B2975" s="2445" t="s">
        <v>4375</v>
      </c>
      <c r="C2975" s="2406">
        <v>0</v>
      </c>
      <c r="D2975" s="2396"/>
      <c r="E2975" s="2406">
        <v>0</v>
      </c>
      <c r="F2975" s="2406">
        <v>0</v>
      </c>
      <c r="G2975" s="2467">
        <v>0</v>
      </c>
      <c r="H2975" s="2407">
        <v>0</v>
      </c>
      <c r="I2975" s="2413"/>
      <c r="J2975" s="2413"/>
      <c r="K2975" s="2672" t="s">
        <v>6830</v>
      </c>
      <c r="L2975" s="2408"/>
    </row>
    <row r="2976" spans="1:12" x14ac:dyDescent="0.3">
      <c r="A2976" s="81" t="s">
        <v>6428</v>
      </c>
      <c r="B2976" s="2445" t="s">
        <v>4376</v>
      </c>
      <c r="C2976" s="2406">
        <v>0</v>
      </c>
      <c r="D2976" s="2396"/>
      <c r="E2976" s="2406">
        <v>0</v>
      </c>
      <c r="F2976" s="2406">
        <v>0</v>
      </c>
      <c r="G2976" s="2467">
        <v>0</v>
      </c>
      <c r="H2976" s="2407">
        <v>0</v>
      </c>
      <c r="I2976" s="2413"/>
      <c r="J2976" s="2413"/>
      <c r="K2976" s="2672" t="s">
        <v>6830</v>
      </c>
      <c r="L2976" s="2408"/>
    </row>
    <row r="2977" spans="1:12" x14ac:dyDescent="0.3">
      <c r="A2977" s="81" t="s">
        <v>6429</v>
      </c>
      <c r="B2977" s="2445" t="s">
        <v>4377</v>
      </c>
      <c r="C2977" s="2406">
        <v>0</v>
      </c>
      <c r="D2977" s="2396"/>
      <c r="E2977" s="2406">
        <v>0</v>
      </c>
      <c r="F2977" s="2406">
        <v>0</v>
      </c>
      <c r="G2977" s="2467">
        <v>0</v>
      </c>
      <c r="H2977" s="2407">
        <v>0</v>
      </c>
      <c r="I2977" s="2413"/>
      <c r="J2977" s="2413"/>
      <c r="K2977" s="2672" t="s">
        <v>6830</v>
      </c>
      <c r="L2977" s="2408"/>
    </row>
    <row r="2978" spans="1:12" x14ac:dyDescent="0.3">
      <c r="A2978" s="81" t="s">
        <v>6430</v>
      </c>
      <c r="B2978" s="2445" t="s">
        <v>4378</v>
      </c>
      <c r="C2978" s="2406">
        <v>0</v>
      </c>
      <c r="D2978" s="2396"/>
      <c r="E2978" s="2406">
        <v>0</v>
      </c>
      <c r="F2978" s="2406">
        <v>0</v>
      </c>
      <c r="G2978" s="2467">
        <v>0</v>
      </c>
      <c r="H2978" s="2407">
        <v>0</v>
      </c>
      <c r="I2978" s="2413"/>
      <c r="J2978" s="2413"/>
      <c r="K2978" s="2672" t="s">
        <v>6830</v>
      </c>
      <c r="L2978" s="2408"/>
    </row>
    <row r="2979" spans="1:12" x14ac:dyDescent="0.3">
      <c r="A2979" s="81" t="s">
        <v>6431</v>
      </c>
      <c r="B2979" s="2445" t="s">
        <v>350</v>
      </c>
      <c r="C2979" s="2406">
        <v>0</v>
      </c>
      <c r="D2979" s="2396"/>
      <c r="E2979" s="2406">
        <v>0</v>
      </c>
      <c r="F2979" s="2406">
        <v>0</v>
      </c>
      <c r="G2979" s="2467">
        <v>0</v>
      </c>
      <c r="H2979" s="2407">
        <v>0</v>
      </c>
      <c r="I2979" s="2413"/>
      <c r="J2979" s="2413"/>
      <c r="K2979" s="2672" t="s">
        <v>6830</v>
      </c>
      <c r="L2979" s="2408"/>
    </row>
    <row r="2980" spans="1:12" x14ac:dyDescent="0.3">
      <c r="A2980" s="81" t="s">
        <v>6432</v>
      </c>
      <c r="B2980" s="2445" t="s">
        <v>4379</v>
      </c>
      <c r="C2980" s="2406">
        <v>0</v>
      </c>
      <c r="D2980" s="2396"/>
      <c r="E2980" s="2406">
        <v>0</v>
      </c>
      <c r="F2980" s="2406">
        <v>0</v>
      </c>
      <c r="G2980" s="2467">
        <v>0</v>
      </c>
      <c r="H2980" s="2407">
        <v>0</v>
      </c>
      <c r="I2980" s="2413"/>
      <c r="J2980" s="2413"/>
      <c r="K2980" s="2672"/>
      <c r="L2980" s="2408"/>
    </row>
    <row r="2981" spans="1:12" x14ac:dyDescent="0.3">
      <c r="A2981" s="81" t="s">
        <v>6433</v>
      </c>
      <c r="B2981" s="2445" t="s">
        <v>4380</v>
      </c>
      <c r="C2981" s="2406">
        <v>0</v>
      </c>
      <c r="D2981" s="2396"/>
      <c r="E2981" s="2406">
        <v>0</v>
      </c>
      <c r="F2981" s="2406">
        <v>0</v>
      </c>
      <c r="G2981" s="2467">
        <v>0</v>
      </c>
      <c r="H2981" s="2407">
        <v>0</v>
      </c>
      <c r="I2981" s="2413"/>
      <c r="J2981" s="2413"/>
      <c r="K2981" s="2672" t="s">
        <v>6822</v>
      </c>
      <c r="L2981" s="2408"/>
    </row>
    <row r="2982" spans="1:12" x14ac:dyDescent="0.3">
      <c r="A2982" s="81" t="s">
        <v>6434</v>
      </c>
      <c r="B2982" s="2445" t="s">
        <v>4381</v>
      </c>
      <c r="C2982" s="2406">
        <v>0</v>
      </c>
      <c r="D2982" s="2396"/>
      <c r="E2982" s="2406">
        <v>0</v>
      </c>
      <c r="F2982" s="2406">
        <v>0</v>
      </c>
      <c r="G2982" s="2467">
        <v>0</v>
      </c>
      <c r="H2982" s="2407">
        <v>0</v>
      </c>
      <c r="I2982" s="2413"/>
      <c r="J2982" s="2413"/>
      <c r="K2982" s="2672" t="s">
        <v>6824</v>
      </c>
      <c r="L2982" s="2408"/>
    </row>
    <row r="2983" spans="1:12" x14ac:dyDescent="0.3">
      <c r="A2983" s="81" t="s">
        <v>6435</v>
      </c>
      <c r="B2983" s="2445" t="s">
        <v>4135</v>
      </c>
      <c r="C2983" s="2406">
        <v>0</v>
      </c>
      <c r="D2983" s="2396"/>
      <c r="E2983" s="2406">
        <v>0</v>
      </c>
      <c r="F2983" s="2406">
        <v>0</v>
      </c>
      <c r="G2983" s="2467">
        <v>0</v>
      </c>
      <c r="H2983" s="2407">
        <v>0</v>
      </c>
      <c r="I2983" s="2413"/>
      <c r="J2983" s="2413"/>
      <c r="K2983" s="2672" t="s">
        <v>6827</v>
      </c>
      <c r="L2983" s="2408"/>
    </row>
    <row r="2984" spans="1:12" x14ac:dyDescent="0.3">
      <c r="A2984" s="81" t="s">
        <v>6436</v>
      </c>
      <c r="B2984" s="2445" t="s">
        <v>4382</v>
      </c>
      <c r="C2984" s="2406">
        <v>0</v>
      </c>
      <c r="D2984" s="2396"/>
      <c r="E2984" s="2406">
        <v>0</v>
      </c>
      <c r="F2984" s="2406">
        <v>0</v>
      </c>
      <c r="G2984" s="2467">
        <v>0</v>
      </c>
      <c r="H2984" s="2407">
        <v>0</v>
      </c>
      <c r="I2984" s="2413"/>
      <c r="J2984" s="2413"/>
      <c r="K2984" s="2672" t="s">
        <v>6827</v>
      </c>
      <c r="L2984" s="2408"/>
    </row>
    <row r="2985" spans="1:12" x14ac:dyDescent="0.3">
      <c r="A2985" s="81" t="s">
        <v>6437</v>
      </c>
      <c r="B2985" s="2445" t="s">
        <v>4383</v>
      </c>
      <c r="C2985" s="2406">
        <v>0</v>
      </c>
      <c r="D2985" s="2396"/>
      <c r="E2985" s="2406">
        <v>0</v>
      </c>
      <c r="F2985" s="2406">
        <v>0</v>
      </c>
      <c r="G2985" s="2467">
        <v>0</v>
      </c>
      <c r="H2985" s="2407">
        <v>0</v>
      </c>
      <c r="I2985" s="2413"/>
      <c r="J2985" s="2413"/>
      <c r="K2985" s="2672" t="s">
        <v>6827</v>
      </c>
      <c r="L2985" s="2408"/>
    </row>
    <row r="2986" spans="1:12" x14ac:dyDescent="0.3">
      <c r="A2986" s="81" t="s">
        <v>6438</v>
      </c>
      <c r="B2986" s="2445" t="s">
        <v>350</v>
      </c>
      <c r="C2986" s="2406">
        <v>0</v>
      </c>
      <c r="D2986" s="2396"/>
      <c r="E2986" s="2406">
        <v>0</v>
      </c>
      <c r="F2986" s="2406">
        <v>0</v>
      </c>
      <c r="G2986" s="2467">
        <v>0</v>
      </c>
      <c r="H2986" s="2407">
        <v>0</v>
      </c>
      <c r="I2986" s="2413"/>
      <c r="J2986" s="2413"/>
      <c r="K2986" s="2672"/>
      <c r="L2986" s="2408"/>
    </row>
    <row r="2987" spans="1:12" x14ac:dyDescent="0.3">
      <c r="A2987" s="81" t="s">
        <v>6439</v>
      </c>
      <c r="B2987" s="2445" t="s">
        <v>4384</v>
      </c>
      <c r="C2987" s="2406">
        <v>0</v>
      </c>
      <c r="D2987" s="2396"/>
      <c r="E2987" s="2406">
        <v>0</v>
      </c>
      <c r="F2987" s="2406">
        <v>0</v>
      </c>
      <c r="G2987" s="2467">
        <v>0</v>
      </c>
      <c r="H2987" s="2407">
        <v>0</v>
      </c>
      <c r="I2987" s="2413"/>
      <c r="J2987" s="2413"/>
      <c r="K2987" s="2672" t="s">
        <v>6861</v>
      </c>
      <c r="L2987" s="2408"/>
    </row>
    <row r="2988" spans="1:12" x14ac:dyDescent="0.3">
      <c r="A2988" s="81" t="s">
        <v>6440</v>
      </c>
      <c r="B2988" s="2445" t="s">
        <v>3599</v>
      </c>
      <c r="C2988" s="2406">
        <v>0</v>
      </c>
      <c r="D2988" s="2396"/>
      <c r="E2988" s="2406">
        <v>0</v>
      </c>
      <c r="F2988" s="2406">
        <v>0</v>
      </c>
      <c r="G2988" s="2467">
        <v>0</v>
      </c>
      <c r="H2988" s="2407">
        <v>0</v>
      </c>
      <c r="I2988" s="2413"/>
      <c r="J2988" s="2413"/>
      <c r="K2988" s="2672"/>
      <c r="L2988" s="2408"/>
    </row>
    <row r="2989" spans="1:12" x14ac:dyDescent="0.3">
      <c r="A2989" s="81" t="s">
        <v>6441</v>
      </c>
      <c r="B2989" s="2445" t="s">
        <v>3605</v>
      </c>
      <c r="C2989" s="2406">
        <v>0</v>
      </c>
      <c r="D2989" s="2396"/>
      <c r="E2989" s="2406">
        <v>0</v>
      </c>
      <c r="F2989" s="2406">
        <v>0</v>
      </c>
      <c r="G2989" s="2466">
        <v>0</v>
      </c>
      <c r="H2989" s="2407">
        <v>0</v>
      </c>
      <c r="I2989" s="2413"/>
      <c r="J2989" s="2413"/>
      <c r="K2989" s="2672" t="s">
        <v>2586</v>
      </c>
      <c r="L2989" s="2408"/>
    </row>
    <row r="2990" spans="1:12" x14ac:dyDescent="0.3">
      <c r="A2990" s="81" t="s">
        <v>6442</v>
      </c>
      <c r="B2990" s="2445" t="s">
        <v>3607</v>
      </c>
      <c r="C2990" s="2406">
        <v>0</v>
      </c>
      <c r="D2990" s="2396"/>
      <c r="E2990" s="2406">
        <v>0</v>
      </c>
      <c r="F2990" s="2406">
        <v>0</v>
      </c>
      <c r="G2990" s="2466">
        <v>0</v>
      </c>
      <c r="H2990" s="2407">
        <v>0</v>
      </c>
      <c r="I2990" s="2413"/>
      <c r="J2990" s="2413"/>
      <c r="K2990" s="2672" t="s">
        <v>2586</v>
      </c>
      <c r="L2990" s="2408"/>
    </row>
    <row r="2991" spans="1:12" x14ac:dyDescent="0.3">
      <c r="A2991" s="81" t="s">
        <v>6443</v>
      </c>
      <c r="B2991" s="2445" t="s">
        <v>4126</v>
      </c>
      <c r="C2991" s="2406">
        <v>0</v>
      </c>
      <c r="D2991" s="2396"/>
      <c r="E2991" s="2406">
        <v>0</v>
      </c>
      <c r="F2991" s="2406">
        <v>0</v>
      </c>
      <c r="G2991" s="2466">
        <v>0</v>
      </c>
      <c r="H2991" s="2407">
        <v>0</v>
      </c>
      <c r="I2991" s="2413"/>
      <c r="J2991" s="2413"/>
      <c r="K2991" s="2672" t="s">
        <v>2585</v>
      </c>
      <c r="L2991" s="2408"/>
    </row>
    <row r="2992" spans="1:12" x14ac:dyDescent="0.3">
      <c r="A2992" s="81" t="s">
        <v>6444</v>
      </c>
      <c r="B2992" s="2445" t="s">
        <v>4127</v>
      </c>
      <c r="C2992" s="2406">
        <v>0</v>
      </c>
      <c r="D2992" s="2396"/>
      <c r="E2992" s="2406">
        <v>0</v>
      </c>
      <c r="F2992" s="2406">
        <v>0</v>
      </c>
      <c r="G2992" s="2466">
        <v>0</v>
      </c>
      <c r="H2992" s="2407">
        <v>0</v>
      </c>
      <c r="I2992" s="2413"/>
      <c r="J2992" s="2413"/>
      <c r="K2992" s="2672" t="s">
        <v>2586</v>
      </c>
      <c r="L2992" s="2408"/>
    </row>
    <row r="2993" spans="1:12" x14ac:dyDescent="0.3">
      <c r="A2993" s="81" t="s">
        <v>6445</v>
      </c>
      <c r="B2993" s="2445" t="s">
        <v>4014</v>
      </c>
      <c r="C2993" s="2406">
        <v>0</v>
      </c>
      <c r="D2993" s="2396"/>
      <c r="E2993" s="2406">
        <v>0</v>
      </c>
      <c r="F2993" s="2406">
        <v>0</v>
      </c>
      <c r="G2993" s="2466">
        <v>0</v>
      </c>
      <c r="H2993" s="2407">
        <v>0</v>
      </c>
      <c r="I2993" s="2413"/>
      <c r="J2993" s="2413"/>
      <c r="K2993" s="2672" t="s">
        <v>2585</v>
      </c>
      <c r="L2993" s="2408"/>
    </row>
    <row r="2994" spans="1:12" x14ac:dyDescent="0.3">
      <c r="A2994" s="81" t="s">
        <v>6446</v>
      </c>
      <c r="B2994" s="2445" t="s">
        <v>3613</v>
      </c>
      <c r="C2994" s="2406">
        <v>0</v>
      </c>
      <c r="D2994" s="2396"/>
      <c r="E2994" s="2406">
        <v>0</v>
      </c>
      <c r="F2994" s="2406">
        <v>0</v>
      </c>
      <c r="G2994" s="2466">
        <v>0</v>
      </c>
      <c r="H2994" s="2407">
        <v>0</v>
      </c>
      <c r="I2994" s="2413"/>
      <c r="J2994" s="2413"/>
      <c r="K2994" s="2672" t="s">
        <v>6505</v>
      </c>
      <c r="L2994" s="2408"/>
    </row>
    <row r="2995" spans="1:12" x14ac:dyDescent="0.3">
      <c r="A2995" s="81" t="s">
        <v>6447</v>
      </c>
      <c r="B2995" s="2445" t="s">
        <v>4015</v>
      </c>
      <c r="C2995" s="2406">
        <v>0</v>
      </c>
      <c r="D2995" s="2396"/>
      <c r="E2995" s="2406">
        <v>0</v>
      </c>
      <c r="F2995" s="2406">
        <v>0</v>
      </c>
      <c r="G2995" s="2466">
        <v>0</v>
      </c>
      <c r="H2995" s="2407">
        <v>0</v>
      </c>
      <c r="I2995" s="2413"/>
      <c r="J2995" s="2413"/>
      <c r="K2995" s="2672" t="s">
        <v>2586</v>
      </c>
      <c r="L2995" s="2408"/>
    </row>
    <row r="2996" spans="1:12" x14ac:dyDescent="0.3">
      <c r="A2996" s="81" t="s">
        <v>6448</v>
      </c>
      <c r="B2996" s="2445" t="s">
        <v>4343</v>
      </c>
      <c r="C2996" s="2406">
        <v>0</v>
      </c>
      <c r="D2996" s="2396"/>
      <c r="E2996" s="2406">
        <v>0</v>
      </c>
      <c r="F2996" s="2406">
        <v>0</v>
      </c>
      <c r="G2996" s="2466">
        <v>0</v>
      </c>
      <c r="H2996" s="2407">
        <v>0</v>
      </c>
      <c r="I2996" s="2413"/>
      <c r="J2996" s="2413"/>
      <c r="K2996" s="2672" t="s">
        <v>2586</v>
      </c>
      <c r="L2996" s="2408"/>
    </row>
    <row r="2997" spans="1:12" x14ac:dyDescent="0.3">
      <c r="A2997" s="81" t="s">
        <v>6449</v>
      </c>
      <c r="B2997" s="2445" t="s">
        <v>3619</v>
      </c>
      <c r="C2997" s="2406">
        <v>0</v>
      </c>
      <c r="D2997" s="2396"/>
      <c r="E2997" s="2406">
        <v>0</v>
      </c>
      <c r="F2997" s="2406">
        <v>0</v>
      </c>
      <c r="G2997" s="2466">
        <v>0</v>
      </c>
      <c r="H2997" s="2407">
        <v>0</v>
      </c>
      <c r="I2997" s="2413"/>
      <c r="J2997" s="2413"/>
      <c r="K2997" s="2672"/>
      <c r="L2997" s="2408"/>
    </row>
    <row r="2998" spans="1:12" x14ac:dyDescent="0.3">
      <c r="A2998" s="81" t="s">
        <v>6450</v>
      </c>
      <c r="B2998" s="2445" t="s">
        <v>3621</v>
      </c>
      <c r="C2998" s="2406">
        <v>0</v>
      </c>
      <c r="D2998" s="2396"/>
      <c r="E2998" s="2406">
        <v>0</v>
      </c>
      <c r="F2998" s="2406">
        <v>0</v>
      </c>
      <c r="G2998" s="2466">
        <v>0</v>
      </c>
      <c r="H2998" s="2407">
        <v>0</v>
      </c>
      <c r="I2998" s="2413"/>
      <c r="J2998" s="2413"/>
      <c r="K2998" s="2672" t="s">
        <v>6506</v>
      </c>
      <c r="L2998" s="2408"/>
    </row>
    <row r="2999" spans="1:12" x14ac:dyDescent="0.3">
      <c r="A2999" s="81" t="s">
        <v>6451</v>
      </c>
      <c r="B2999" s="2445" t="s">
        <v>3623</v>
      </c>
      <c r="C2999" s="2406">
        <v>0</v>
      </c>
      <c r="D2999" s="2396"/>
      <c r="E2999" s="2406">
        <v>0</v>
      </c>
      <c r="F2999" s="2406">
        <v>0</v>
      </c>
      <c r="G2999" s="2466">
        <v>0</v>
      </c>
      <c r="H2999" s="2407">
        <v>0</v>
      </c>
      <c r="I2999" s="2413"/>
      <c r="J2999" s="2413"/>
      <c r="K2999" s="2672" t="s">
        <v>6507</v>
      </c>
      <c r="L2999" s="2408"/>
    </row>
    <row r="3000" spans="1:12" x14ac:dyDescent="0.3">
      <c r="A3000" s="81" t="s">
        <v>6452</v>
      </c>
      <c r="B3000" s="2445" t="s">
        <v>4344</v>
      </c>
      <c r="C3000" s="2406">
        <v>0</v>
      </c>
      <c r="D3000" s="2396"/>
      <c r="E3000" s="2406">
        <v>0</v>
      </c>
      <c r="F3000" s="2406">
        <v>0</v>
      </c>
      <c r="G3000" s="2466">
        <v>0</v>
      </c>
      <c r="H3000" s="2407">
        <v>0</v>
      </c>
      <c r="I3000" s="2413"/>
      <c r="J3000" s="2413"/>
      <c r="K3000" s="2672" t="s">
        <v>6508</v>
      </c>
      <c r="L3000" s="2408"/>
    </row>
    <row r="3001" spans="1:12" x14ac:dyDescent="0.3">
      <c r="A3001" s="81" t="s">
        <v>6453</v>
      </c>
      <c r="B3001" s="2445" t="s">
        <v>3627</v>
      </c>
      <c r="C3001" s="2406">
        <v>0</v>
      </c>
      <c r="D3001" s="2396"/>
      <c r="E3001" s="2406">
        <v>0</v>
      </c>
      <c r="F3001" s="2406">
        <v>0</v>
      </c>
      <c r="G3001" s="2466">
        <v>0</v>
      </c>
      <c r="H3001" s="2407">
        <v>0</v>
      </c>
      <c r="I3001" s="2413"/>
      <c r="J3001" s="2413"/>
      <c r="K3001" s="2672" t="s">
        <v>6509</v>
      </c>
      <c r="L3001" s="2408"/>
    </row>
    <row r="3002" spans="1:12" x14ac:dyDescent="0.3">
      <c r="A3002" s="81" t="s">
        <v>6454</v>
      </c>
      <c r="B3002" s="2445" t="s">
        <v>3629</v>
      </c>
      <c r="C3002" s="2406">
        <v>0</v>
      </c>
      <c r="D3002" s="2396"/>
      <c r="E3002" s="2406">
        <v>0</v>
      </c>
      <c r="F3002" s="2406">
        <v>0</v>
      </c>
      <c r="G3002" s="2466">
        <v>0</v>
      </c>
      <c r="H3002" s="2407">
        <v>0</v>
      </c>
      <c r="I3002" s="2413"/>
      <c r="J3002" s="2413"/>
      <c r="K3002" s="2672" t="s">
        <v>6510</v>
      </c>
      <c r="L3002" s="2408"/>
    </row>
    <row r="3003" spans="1:12" x14ac:dyDescent="0.3">
      <c r="A3003" s="81" t="s">
        <v>6455</v>
      </c>
      <c r="B3003" s="2445" t="s">
        <v>3631</v>
      </c>
      <c r="C3003" s="2406">
        <v>0</v>
      </c>
      <c r="D3003" s="2396"/>
      <c r="E3003" s="2406">
        <v>0</v>
      </c>
      <c r="F3003" s="2406">
        <v>0</v>
      </c>
      <c r="G3003" s="2466">
        <v>0</v>
      </c>
      <c r="H3003" s="2407">
        <v>0</v>
      </c>
      <c r="I3003" s="2413"/>
      <c r="J3003" s="2413"/>
      <c r="K3003" s="2672" t="s">
        <v>6511</v>
      </c>
      <c r="L3003" s="2408"/>
    </row>
    <row r="3004" spans="1:12" x14ac:dyDescent="0.3">
      <c r="A3004" s="81" t="s">
        <v>6456</v>
      </c>
      <c r="B3004" s="2445" t="s">
        <v>3633</v>
      </c>
      <c r="C3004" s="2406">
        <v>0</v>
      </c>
      <c r="D3004" s="2396"/>
      <c r="E3004" s="2406">
        <v>0</v>
      </c>
      <c r="F3004" s="2406">
        <v>0</v>
      </c>
      <c r="G3004" s="2466">
        <v>0</v>
      </c>
      <c r="H3004" s="2407">
        <v>0</v>
      </c>
      <c r="I3004" s="2413"/>
      <c r="J3004" s="2413"/>
      <c r="K3004" s="2672" t="s">
        <v>6512</v>
      </c>
      <c r="L3004" s="2408"/>
    </row>
    <row r="3005" spans="1:12" x14ac:dyDescent="0.3">
      <c r="A3005" s="81" t="s">
        <v>6457</v>
      </c>
      <c r="B3005" s="2445" t="s">
        <v>3635</v>
      </c>
      <c r="C3005" s="2406">
        <v>0</v>
      </c>
      <c r="D3005" s="2396"/>
      <c r="E3005" s="2406">
        <v>0</v>
      </c>
      <c r="F3005" s="2406">
        <v>0</v>
      </c>
      <c r="G3005" s="2466">
        <v>0</v>
      </c>
      <c r="H3005" s="2407">
        <v>0</v>
      </c>
      <c r="I3005" s="2413"/>
      <c r="J3005" s="2413"/>
      <c r="K3005" s="2672" t="s">
        <v>6513</v>
      </c>
      <c r="L3005" s="2408"/>
    </row>
    <row r="3006" spans="1:12" x14ac:dyDescent="0.3">
      <c r="A3006" s="81" t="s">
        <v>6458</v>
      </c>
      <c r="B3006" s="2445" t="s">
        <v>3637</v>
      </c>
      <c r="C3006" s="2406">
        <v>0</v>
      </c>
      <c r="D3006" s="2396"/>
      <c r="E3006" s="2406">
        <v>0</v>
      </c>
      <c r="F3006" s="2406">
        <v>0</v>
      </c>
      <c r="G3006" s="2466">
        <v>0</v>
      </c>
      <c r="H3006" s="2407">
        <v>0</v>
      </c>
      <c r="I3006" s="2413"/>
      <c r="J3006" s="2413"/>
      <c r="K3006" s="2672" t="s">
        <v>6514</v>
      </c>
      <c r="L3006" s="2408"/>
    </row>
    <row r="3007" spans="1:12" x14ac:dyDescent="0.3">
      <c r="A3007" s="81" t="s">
        <v>6459</v>
      </c>
      <c r="B3007" s="2445" t="s">
        <v>4345</v>
      </c>
      <c r="C3007" s="2406">
        <v>0</v>
      </c>
      <c r="D3007" s="2396"/>
      <c r="E3007" s="2406">
        <v>0</v>
      </c>
      <c r="F3007" s="2406">
        <v>0</v>
      </c>
      <c r="G3007" s="2466">
        <v>0</v>
      </c>
      <c r="H3007" s="2407">
        <v>0</v>
      </c>
      <c r="I3007" s="2413"/>
      <c r="J3007" s="2413"/>
      <c r="K3007" s="2672"/>
      <c r="L3007" s="2408"/>
    </row>
    <row r="3008" spans="1:12" x14ac:dyDescent="0.3">
      <c r="A3008" s="81" t="s">
        <v>6460</v>
      </c>
      <c r="B3008" s="2445" t="s">
        <v>3720</v>
      </c>
      <c r="C3008" s="2406">
        <v>0</v>
      </c>
      <c r="D3008" s="2396"/>
      <c r="E3008" s="2406">
        <v>0</v>
      </c>
      <c r="F3008" s="2406">
        <v>0</v>
      </c>
      <c r="G3008" s="2466">
        <v>0</v>
      </c>
      <c r="H3008" s="2407">
        <v>0</v>
      </c>
      <c r="I3008" s="2413"/>
      <c r="J3008" s="2413"/>
      <c r="K3008" s="2672" t="s">
        <v>6515</v>
      </c>
      <c r="L3008" s="2408"/>
    </row>
    <row r="3009" spans="1:12" x14ac:dyDescent="0.3">
      <c r="A3009" s="81" t="s">
        <v>6461</v>
      </c>
      <c r="B3009" s="2445" t="s">
        <v>3117</v>
      </c>
      <c r="C3009" s="2406">
        <v>0</v>
      </c>
      <c r="D3009" s="2396"/>
      <c r="E3009" s="2406">
        <v>0</v>
      </c>
      <c r="F3009" s="2406">
        <v>0</v>
      </c>
      <c r="G3009" s="2466">
        <v>0</v>
      </c>
      <c r="H3009" s="2407">
        <v>0</v>
      </c>
      <c r="I3009" s="2413"/>
      <c r="J3009" s="2413"/>
      <c r="K3009" s="2672" t="s">
        <v>6520</v>
      </c>
      <c r="L3009" s="2408"/>
    </row>
    <row r="3010" spans="1:12" x14ac:dyDescent="0.3">
      <c r="A3010" s="81" t="s">
        <v>6462</v>
      </c>
      <c r="B3010" s="2445" t="s">
        <v>3662</v>
      </c>
      <c r="C3010" s="2406">
        <v>0</v>
      </c>
      <c r="D3010" s="2396"/>
      <c r="E3010" s="2406">
        <v>0</v>
      </c>
      <c r="F3010" s="2406">
        <v>0</v>
      </c>
      <c r="G3010" s="2466">
        <v>0</v>
      </c>
      <c r="H3010" s="2407">
        <v>0</v>
      </c>
      <c r="I3010" s="2413"/>
      <c r="J3010" s="2413"/>
      <c r="K3010" s="2672" t="s">
        <v>6521</v>
      </c>
      <c r="L3010" s="2408"/>
    </row>
    <row r="3011" spans="1:12" x14ac:dyDescent="0.3">
      <c r="A3011" s="81" t="s">
        <v>6463</v>
      </c>
      <c r="B3011" s="2445" t="s">
        <v>4346</v>
      </c>
      <c r="C3011" s="2406">
        <v>0</v>
      </c>
      <c r="D3011" s="2396"/>
      <c r="E3011" s="2406">
        <v>0</v>
      </c>
      <c r="F3011" s="2406">
        <v>0</v>
      </c>
      <c r="G3011" s="2466">
        <v>0</v>
      </c>
      <c r="H3011" s="2407">
        <v>0</v>
      </c>
      <c r="I3011" s="2413"/>
      <c r="J3011" s="2413"/>
      <c r="K3011" s="2672" t="s">
        <v>6523</v>
      </c>
      <c r="L3011" s="2408"/>
    </row>
    <row r="3012" spans="1:12" x14ac:dyDescent="0.3">
      <c r="A3012" s="81" t="s">
        <v>6464</v>
      </c>
      <c r="B3012" s="2445" t="s">
        <v>4112</v>
      </c>
      <c r="C3012" s="2406">
        <v>0</v>
      </c>
      <c r="D3012" s="2396"/>
      <c r="E3012" s="2406">
        <v>0</v>
      </c>
      <c r="F3012" s="2406">
        <v>0</v>
      </c>
      <c r="G3012" s="2466">
        <v>0</v>
      </c>
      <c r="H3012" s="2407">
        <v>0</v>
      </c>
      <c r="I3012" s="2413"/>
      <c r="J3012" s="2413"/>
      <c r="K3012" s="2672" t="s">
        <v>6519</v>
      </c>
      <c r="L3012" s="2408"/>
    </row>
    <row r="3013" spans="1:12" x14ac:dyDescent="0.3">
      <c r="A3013" s="81" t="s">
        <v>6465</v>
      </c>
      <c r="B3013" s="2445" t="s">
        <v>4347</v>
      </c>
      <c r="C3013" s="2406">
        <v>0</v>
      </c>
      <c r="D3013" s="2396"/>
      <c r="E3013" s="2406">
        <v>0</v>
      </c>
      <c r="F3013" s="2406">
        <v>0</v>
      </c>
      <c r="G3013" s="2466">
        <v>0</v>
      </c>
      <c r="H3013" s="2407">
        <v>0</v>
      </c>
      <c r="I3013" s="2413"/>
      <c r="J3013" s="2413"/>
      <c r="K3013" s="2672" t="s">
        <v>6552</v>
      </c>
      <c r="L3013" s="2408"/>
    </row>
    <row r="3014" spans="1:12" x14ac:dyDescent="0.3">
      <c r="A3014" s="81" t="s">
        <v>6466</v>
      </c>
      <c r="B3014" s="2445" t="s">
        <v>3648</v>
      </c>
      <c r="C3014" s="2406">
        <v>32366844</v>
      </c>
      <c r="D3014" s="2396"/>
      <c r="E3014" s="2406">
        <v>3682000</v>
      </c>
      <c r="F3014" s="2406">
        <v>0</v>
      </c>
      <c r="G3014" s="2466">
        <v>3682000</v>
      </c>
      <c r="H3014" s="2407">
        <v>36048844</v>
      </c>
      <c r="I3014" s="2413"/>
      <c r="J3014" s="2413"/>
      <c r="K3014" s="2672" t="s">
        <v>6516</v>
      </c>
      <c r="L3014" s="2408"/>
    </row>
    <row r="3015" spans="1:12" x14ac:dyDescent="0.3">
      <c r="A3015" s="81" t="s">
        <v>6467</v>
      </c>
      <c r="B3015" s="2445" t="s">
        <v>4024</v>
      </c>
      <c r="C3015" s="2406">
        <v>396400</v>
      </c>
      <c r="D3015" s="2396"/>
      <c r="E3015" s="2406">
        <v>1540000</v>
      </c>
      <c r="F3015" s="2406">
        <v>0</v>
      </c>
      <c r="G3015" s="2466">
        <v>1540000</v>
      </c>
      <c r="H3015" s="2407">
        <v>1936400</v>
      </c>
      <c r="I3015" s="2413"/>
      <c r="J3015" s="2413"/>
      <c r="K3015" s="2672" t="s">
        <v>6518</v>
      </c>
      <c r="L3015" s="2408"/>
    </row>
    <row r="3016" spans="1:12" x14ac:dyDescent="0.3">
      <c r="A3016" s="81" t="s">
        <v>6468</v>
      </c>
      <c r="B3016" s="2445" t="s">
        <v>3654</v>
      </c>
      <c r="C3016" s="2406">
        <v>0</v>
      </c>
      <c r="D3016" s="2396"/>
      <c r="E3016" s="2406">
        <v>0</v>
      </c>
      <c r="F3016" s="2406">
        <v>0</v>
      </c>
      <c r="G3016" s="2466">
        <v>0</v>
      </c>
      <c r="H3016" s="2407">
        <v>0</v>
      </c>
      <c r="I3016" s="2413"/>
      <c r="J3016" s="2413"/>
      <c r="K3016" s="2672" t="s">
        <v>6518</v>
      </c>
      <c r="L3016" s="2408"/>
    </row>
    <row r="3017" spans="1:12" x14ac:dyDescent="0.3">
      <c r="A3017" s="81" t="s">
        <v>6469</v>
      </c>
      <c r="B3017" s="2445" t="s">
        <v>3671</v>
      </c>
      <c r="C3017" s="2406">
        <v>0</v>
      </c>
      <c r="D3017" s="2396"/>
      <c r="E3017" s="2406">
        <v>0</v>
      </c>
      <c r="F3017" s="2406">
        <v>0</v>
      </c>
      <c r="G3017" s="2466">
        <v>0</v>
      </c>
      <c r="H3017" s="2407">
        <v>0</v>
      </c>
      <c r="I3017" s="2413"/>
      <c r="J3017" s="2413"/>
      <c r="K3017" s="2672"/>
      <c r="L3017" s="2408"/>
    </row>
    <row r="3018" spans="1:12" x14ac:dyDescent="0.3">
      <c r="A3018" s="81" t="s">
        <v>6470</v>
      </c>
      <c r="B3018" s="2445" t="s">
        <v>3675</v>
      </c>
      <c r="C3018" s="2406">
        <v>0</v>
      </c>
      <c r="D3018" s="2396"/>
      <c r="E3018" s="2406">
        <v>0</v>
      </c>
      <c r="F3018" s="2406">
        <v>0</v>
      </c>
      <c r="G3018" s="2466">
        <v>0</v>
      </c>
      <c r="H3018" s="2407">
        <v>0</v>
      </c>
      <c r="I3018" s="2413"/>
      <c r="J3018" s="2413"/>
      <c r="K3018" s="2672" t="s">
        <v>6526</v>
      </c>
      <c r="L3018" s="2408"/>
    </row>
    <row r="3019" spans="1:12" x14ac:dyDescent="0.3">
      <c r="A3019" s="81" t="s">
        <v>6471</v>
      </c>
      <c r="B3019" s="2445" t="s">
        <v>3679</v>
      </c>
      <c r="C3019" s="2406">
        <v>0</v>
      </c>
      <c r="D3019" s="2396"/>
      <c r="E3019" s="2406">
        <v>0</v>
      </c>
      <c r="F3019" s="2406">
        <v>0</v>
      </c>
      <c r="G3019" s="2466">
        <v>0</v>
      </c>
      <c r="H3019" s="2407">
        <v>0</v>
      </c>
      <c r="I3019" s="2413"/>
      <c r="J3019" s="2413"/>
      <c r="K3019" s="2672" t="s">
        <v>6526</v>
      </c>
      <c r="L3019" s="2408"/>
    </row>
    <row r="3020" spans="1:12" x14ac:dyDescent="0.3">
      <c r="A3020" s="81" t="s">
        <v>6472</v>
      </c>
      <c r="B3020" s="2445" t="s">
        <v>4348</v>
      </c>
      <c r="C3020" s="2406">
        <v>0</v>
      </c>
      <c r="D3020" s="2396"/>
      <c r="E3020" s="2406">
        <v>0</v>
      </c>
      <c r="F3020" s="2406">
        <v>0</v>
      </c>
      <c r="G3020" s="2466">
        <v>0</v>
      </c>
      <c r="H3020" s="2407">
        <v>0</v>
      </c>
      <c r="I3020" s="2413"/>
      <c r="J3020" s="2413"/>
      <c r="K3020" s="2672" t="s">
        <v>6526</v>
      </c>
      <c r="L3020" s="2408"/>
    </row>
    <row r="3021" spans="1:12" x14ac:dyDescent="0.3">
      <c r="A3021" s="81" t="s">
        <v>6473</v>
      </c>
      <c r="B3021" s="2445" t="s">
        <v>4349</v>
      </c>
      <c r="C3021" s="2406">
        <v>0</v>
      </c>
      <c r="D3021" s="2396"/>
      <c r="E3021" s="2406">
        <v>0</v>
      </c>
      <c r="F3021" s="2406">
        <v>0</v>
      </c>
      <c r="G3021" s="2466">
        <v>0</v>
      </c>
      <c r="H3021" s="2407">
        <v>0</v>
      </c>
      <c r="I3021" s="2413"/>
      <c r="J3021" s="2413"/>
      <c r="K3021" s="2672" t="s">
        <v>6526</v>
      </c>
      <c r="L3021" s="2408"/>
    </row>
    <row r="3022" spans="1:12" x14ac:dyDescent="0.3">
      <c r="A3022" s="81" t="s">
        <v>6474</v>
      </c>
      <c r="B3022" s="2445" t="s">
        <v>4350</v>
      </c>
      <c r="C3022" s="2406">
        <v>0</v>
      </c>
      <c r="D3022" s="2396"/>
      <c r="E3022" s="2406">
        <v>0</v>
      </c>
      <c r="F3022" s="2406">
        <v>0</v>
      </c>
      <c r="G3022" s="2466">
        <v>0</v>
      </c>
      <c r="H3022" s="2407">
        <v>0</v>
      </c>
      <c r="I3022" s="2413"/>
      <c r="J3022" s="2413"/>
      <c r="K3022" s="2672" t="s">
        <v>6527</v>
      </c>
      <c r="L3022" s="2408"/>
    </row>
    <row r="3023" spans="1:12" x14ac:dyDescent="0.3">
      <c r="A3023" s="81" t="s">
        <v>6475</v>
      </c>
      <c r="B3023" s="2445" t="s">
        <v>3685</v>
      </c>
      <c r="C3023" s="2406">
        <v>0</v>
      </c>
      <c r="D3023" s="2396"/>
      <c r="E3023" s="2406">
        <v>0</v>
      </c>
      <c r="F3023" s="2406">
        <v>0</v>
      </c>
      <c r="G3023" s="2466">
        <v>0</v>
      </c>
      <c r="H3023" s="2407">
        <v>0</v>
      </c>
      <c r="I3023" s="2413"/>
      <c r="J3023" s="2413"/>
      <c r="K3023" s="2672" t="s">
        <v>6528</v>
      </c>
      <c r="L3023" s="2408"/>
    </row>
    <row r="3024" spans="1:12" x14ac:dyDescent="0.3">
      <c r="A3024" s="81" t="s">
        <v>6476</v>
      </c>
      <c r="B3024" s="2445" t="s">
        <v>3687</v>
      </c>
      <c r="C3024" s="2406">
        <v>0</v>
      </c>
      <c r="D3024" s="2396"/>
      <c r="E3024" s="2406">
        <v>0</v>
      </c>
      <c r="F3024" s="2406">
        <v>0</v>
      </c>
      <c r="G3024" s="2466">
        <v>0</v>
      </c>
      <c r="H3024" s="2407">
        <v>0</v>
      </c>
      <c r="I3024" s="2413"/>
      <c r="J3024" s="2413"/>
      <c r="K3024" s="2672" t="s">
        <v>6528</v>
      </c>
      <c r="L3024" s="2408"/>
    </row>
    <row r="3025" spans="1:12" x14ac:dyDescent="0.3">
      <c r="A3025" s="81" t="s">
        <v>6477</v>
      </c>
      <c r="B3025" s="2445" t="s">
        <v>3689</v>
      </c>
      <c r="C3025" s="2406">
        <v>0</v>
      </c>
      <c r="D3025" s="2396"/>
      <c r="E3025" s="2406">
        <v>0</v>
      </c>
      <c r="F3025" s="2406">
        <v>0</v>
      </c>
      <c r="G3025" s="2466">
        <v>0</v>
      </c>
      <c r="H3025" s="2407">
        <v>0</v>
      </c>
      <c r="I3025" s="2413"/>
      <c r="J3025" s="2413"/>
      <c r="K3025" s="2672" t="s">
        <v>6528</v>
      </c>
      <c r="L3025" s="2408"/>
    </row>
    <row r="3026" spans="1:12" x14ac:dyDescent="0.3">
      <c r="A3026" s="81" t="s">
        <v>6478</v>
      </c>
      <c r="B3026" s="2445" t="s">
        <v>4351</v>
      </c>
      <c r="C3026" s="2406">
        <v>0</v>
      </c>
      <c r="D3026" s="2396"/>
      <c r="E3026" s="2406">
        <v>0</v>
      </c>
      <c r="F3026" s="2406">
        <v>0</v>
      </c>
      <c r="G3026" s="2466">
        <v>0</v>
      </c>
      <c r="H3026" s="2407">
        <v>0</v>
      </c>
      <c r="I3026" s="2413"/>
      <c r="J3026" s="2413"/>
      <c r="K3026" s="2672" t="s">
        <v>6527</v>
      </c>
      <c r="L3026" s="2408"/>
    </row>
    <row r="3027" spans="1:12" x14ac:dyDescent="0.3">
      <c r="A3027" s="81" t="s">
        <v>6479</v>
      </c>
      <c r="B3027" s="2445" t="s">
        <v>4387</v>
      </c>
      <c r="C3027" s="2406">
        <v>0</v>
      </c>
      <c r="D3027" s="2396"/>
      <c r="E3027" s="2406">
        <v>0</v>
      </c>
      <c r="F3027" s="2406">
        <v>0</v>
      </c>
      <c r="G3027" s="2466">
        <v>0</v>
      </c>
      <c r="H3027" s="2407">
        <v>0</v>
      </c>
      <c r="I3027" s="2413"/>
      <c r="J3027" s="2413"/>
      <c r="K3027" s="2672"/>
      <c r="L3027" s="2408"/>
    </row>
    <row r="3028" spans="1:12" x14ac:dyDescent="0.3">
      <c r="A3028" s="81" t="s">
        <v>6480</v>
      </c>
      <c r="B3028" s="2445" t="s">
        <v>4388</v>
      </c>
      <c r="C3028" s="2406">
        <v>0</v>
      </c>
      <c r="D3028" s="2396"/>
      <c r="E3028" s="2406">
        <v>0</v>
      </c>
      <c r="F3028" s="2406">
        <v>0</v>
      </c>
      <c r="G3028" s="2466">
        <v>0</v>
      </c>
      <c r="H3028" s="2407">
        <v>0</v>
      </c>
      <c r="I3028" s="2413"/>
      <c r="J3028" s="2413"/>
      <c r="K3028" s="2672" t="s">
        <v>6557</v>
      </c>
      <c r="L3028" s="2408"/>
    </row>
    <row r="3029" spans="1:12" x14ac:dyDescent="0.3">
      <c r="A3029" s="81" t="s">
        <v>6481</v>
      </c>
      <c r="B3029" s="2445" t="s">
        <v>4389</v>
      </c>
      <c r="C3029" s="2406">
        <v>0</v>
      </c>
      <c r="D3029" s="2396"/>
      <c r="E3029" s="2406">
        <v>0</v>
      </c>
      <c r="F3029" s="2406">
        <v>0</v>
      </c>
      <c r="G3029" s="2466">
        <v>0</v>
      </c>
      <c r="H3029" s="2407">
        <v>0</v>
      </c>
      <c r="I3029" s="2413"/>
      <c r="J3029" s="2413"/>
      <c r="K3029" s="2672" t="s">
        <v>6560</v>
      </c>
      <c r="L3029" s="2408"/>
    </row>
    <row r="3030" spans="1:12" x14ac:dyDescent="0.3">
      <c r="A3030" s="81" t="s">
        <v>6482</v>
      </c>
      <c r="B3030" s="2445" t="s">
        <v>4390</v>
      </c>
      <c r="C3030" s="2406">
        <v>105550</v>
      </c>
      <c r="D3030" s="2396"/>
      <c r="E3030" s="2406">
        <v>0</v>
      </c>
      <c r="F3030" s="2406">
        <v>0</v>
      </c>
      <c r="G3030" s="2466">
        <v>0</v>
      </c>
      <c r="H3030" s="2407">
        <v>105550</v>
      </c>
      <c r="I3030" s="2413"/>
      <c r="J3030" s="2413"/>
      <c r="K3030" s="2672" t="s">
        <v>6850</v>
      </c>
      <c r="L3030" s="2408"/>
    </row>
    <row r="3031" spans="1:12" x14ac:dyDescent="0.3">
      <c r="A3031" s="81" t="s">
        <v>6483</v>
      </c>
      <c r="B3031" s="2445" t="s">
        <v>4391</v>
      </c>
      <c r="C3031" s="2406">
        <v>0</v>
      </c>
      <c r="D3031" s="2396"/>
      <c r="E3031" s="2406">
        <v>0</v>
      </c>
      <c r="F3031" s="2406">
        <v>0</v>
      </c>
      <c r="G3031" s="2468">
        <v>0</v>
      </c>
      <c r="H3031" s="2407">
        <v>0</v>
      </c>
      <c r="I3031" s="2413"/>
      <c r="J3031" s="2413"/>
      <c r="K3031" s="2672" t="s">
        <v>6853</v>
      </c>
      <c r="L3031" s="2408"/>
    </row>
    <row r="3032" spans="1:12" x14ac:dyDescent="0.3">
      <c r="A3032" s="81" t="s">
        <v>6484</v>
      </c>
      <c r="B3032" s="2445" t="s">
        <v>3115</v>
      </c>
      <c r="C3032" s="2406">
        <v>0</v>
      </c>
      <c r="D3032" s="2396"/>
      <c r="E3032" s="2406">
        <v>0</v>
      </c>
      <c r="F3032" s="2406">
        <v>0</v>
      </c>
      <c r="G3032" s="2468">
        <v>0</v>
      </c>
      <c r="H3032" s="2407">
        <v>0</v>
      </c>
      <c r="I3032" s="2413"/>
      <c r="J3032" s="2413"/>
      <c r="K3032" s="2672" t="s">
        <v>6855</v>
      </c>
      <c r="L3032" s="2408"/>
    </row>
    <row r="3033" spans="1:12" x14ac:dyDescent="0.3">
      <c r="A3033" s="81" t="s">
        <v>6485</v>
      </c>
      <c r="B3033" s="2445" t="s">
        <v>4392</v>
      </c>
      <c r="C3033" s="2406">
        <v>0</v>
      </c>
      <c r="D3033" s="2396"/>
      <c r="E3033" s="2406">
        <v>0</v>
      </c>
      <c r="F3033" s="2406">
        <v>0</v>
      </c>
      <c r="G3033" s="2468">
        <v>0</v>
      </c>
      <c r="H3033" s="2407">
        <v>0</v>
      </c>
      <c r="I3033" s="2413"/>
      <c r="J3033" s="2413"/>
      <c r="K3033" s="2672" t="s">
        <v>6858</v>
      </c>
      <c r="L3033" s="2408"/>
    </row>
    <row r="3034" spans="1:12" x14ac:dyDescent="0.3">
      <c r="A3034" s="81" t="s">
        <v>6486</v>
      </c>
      <c r="B3034" s="2445" t="s">
        <v>4393</v>
      </c>
      <c r="C3034" s="2406">
        <v>0</v>
      </c>
      <c r="D3034" s="2396"/>
      <c r="E3034" s="2406">
        <v>0</v>
      </c>
      <c r="F3034" s="2406">
        <v>0</v>
      </c>
      <c r="G3034" s="2468">
        <v>0</v>
      </c>
      <c r="H3034" s="2407">
        <v>0</v>
      </c>
      <c r="I3034" s="2413"/>
      <c r="J3034" s="2413"/>
      <c r="K3034" s="2672" t="s">
        <v>6861</v>
      </c>
      <c r="L3034" s="2408"/>
    </row>
    <row r="3035" spans="1:12" x14ac:dyDescent="0.3">
      <c r="A3035" s="81" t="s">
        <v>6487</v>
      </c>
      <c r="B3035" s="2445" t="s">
        <v>4394</v>
      </c>
      <c r="C3035" s="2406">
        <v>40000</v>
      </c>
      <c r="D3035" s="2396"/>
      <c r="E3035" s="2406">
        <v>0</v>
      </c>
      <c r="F3035" s="2406">
        <v>0</v>
      </c>
      <c r="G3035" s="2466">
        <v>0</v>
      </c>
      <c r="H3035" s="2407">
        <v>40000</v>
      </c>
      <c r="I3035" s="2413"/>
      <c r="J3035" s="2413"/>
      <c r="K3035" s="2672" t="s">
        <v>6864</v>
      </c>
      <c r="L3035" s="2408"/>
    </row>
    <row r="3036" spans="1:12" x14ac:dyDescent="0.3">
      <c r="A3036" s="81" t="s">
        <v>6488</v>
      </c>
      <c r="B3036" s="2445" t="s">
        <v>350</v>
      </c>
      <c r="C3036" s="2406">
        <v>0</v>
      </c>
      <c r="D3036" s="2396"/>
      <c r="E3036" s="2406">
        <v>0</v>
      </c>
      <c r="F3036" s="2406">
        <v>0</v>
      </c>
      <c r="G3036" s="2466">
        <v>0</v>
      </c>
      <c r="H3036" s="2407">
        <v>0</v>
      </c>
      <c r="I3036" s="2413"/>
      <c r="J3036" s="2413"/>
      <c r="K3036" s="2672" t="s">
        <v>6864</v>
      </c>
      <c r="L3036" s="2408"/>
    </row>
    <row r="3037" spans="1:12" x14ac:dyDescent="0.3">
      <c r="A3037" s="81" t="s">
        <v>6489</v>
      </c>
      <c r="B3037" s="2445" t="s">
        <v>350</v>
      </c>
      <c r="C3037" s="2406">
        <v>0</v>
      </c>
      <c r="D3037" s="2396"/>
      <c r="E3037" s="2406">
        <v>0</v>
      </c>
      <c r="F3037" s="2406">
        <v>0</v>
      </c>
      <c r="G3037" s="2466">
        <v>0</v>
      </c>
      <c r="H3037" s="2407">
        <v>0</v>
      </c>
      <c r="I3037" s="2413"/>
      <c r="J3037" s="2413"/>
      <c r="K3037" s="2672"/>
      <c r="L3037" s="2408"/>
    </row>
    <row r="3038" spans="1:12" x14ac:dyDescent="0.3">
      <c r="A3038" s="81" t="s">
        <v>6490</v>
      </c>
      <c r="B3038" s="2445" t="s">
        <v>4395</v>
      </c>
      <c r="C3038" s="2406">
        <v>0</v>
      </c>
      <c r="D3038" s="2396"/>
      <c r="E3038" s="2406">
        <v>0</v>
      </c>
      <c r="F3038" s="2406">
        <v>0</v>
      </c>
      <c r="G3038" s="2466">
        <v>0</v>
      </c>
      <c r="H3038" s="2407">
        <v>0</v>
      </c>
      <c r="I3038" s="2413"/>
      <c r="J3038" s="2413"/>
      <c r="K3038" s="2672" t="s">
        <v>6864</v>
      </c>
      <c r="L3038" s="2408"/>
    </row>
    <row r="3039" spans="1:12" x14ac:dyDescent="0.3">
      <c r="A3039" s="81" t="s">
        <v>4403</v>
      </c>
      <c r="B3039" s="2445" t="s">
        <v>4404</v>
      </c>
      <c r="C3039" s="2406">
        <v>0</v>
      </c>
      <c r="D3039" s="2396"/>
      <c r="E3039" s="2406">
        <v>0</v>
      </c>
      <c r="F3039" s="2406">
        <v>0</v>
      </c>
      <c r="G3039" s="2466">
        <v>0</v>
      </c>
      <c r="H3039" s="2407">
        <v>0</v>
      </c>
      <c r="I3039" s="2413"/>
      <c r="J3039" s="2413"/>
      <c r="K3039" s="2672"/>
      <c r="L3039" s="2408"/>
    </row>
    <row r="3040" spans="1:12" x14ac:dyDescent="0.3">
      <c r="A3040" s="81" t="s">
        <v>4405</v>
      </c>
      <c r="B3040" s="2445" t="s">
        <v>4406</v>
      </c>
      <c r="C3040" s="2406">
        <v>0</v>
      </c>
      <c r="D3040" s="2396"/>
      <c r="E3040" s="2406">
        <v>0</v>
      </c>
      <c r="F3040" s="2406">
        <v>0</v>
      </c>
      <c r="G3040" s="2448">
        <v>0</v>
      </c>
      <c r="H3040" s="2407">
        <v>0</v>
      </c>
      <c r="I3040" s="2413"/>
      <c r="J3040" s="2413"/>
      <c r="K3040" s="2260"/>
      <c r="L3040" s="2408"/>
    </row>
    <row r="3041" spans="1:13" x14ac:dyDescent="0.3">
      <c r="A3041" s="81" t="s">
        <v>4407</v>
      </c>
      <c r="B3041" s="2445" t="s">
        <v>4408</v>
      </c>
      <c r="C3041" s="2406">
        <v>0</v>
      </c>
      <c r="D3041" s="2396"/>
      <c r="E3041" s="2406">
        <v>0</v>
      </c>
      <c r="F3041" s="2406">
        <v>0</v>
      </c>
      <c r="G3041" s="2448">
        <v>0</v>
      </c>
      <c r="H3041" s="2407">
        <v>0</v>
      </c>
      <c r="I3041" s="2413"/>
      <c r="J3041" s="2413"/>
      <c r="K3041" s="2260"/>
      <c r="L3041" s="2408"/>
    </row>
    <row r="3042" spans="1:13" x14ac:dyDescent="0.3">
      <c r="A3042" s="81" t="s">
        <v>4409</v>
      </c>
      <c r="B3042" s="2445" t="s">
        <v>4410</v>
      </c>
      <c r="C3042" s="2406">
        <v>0</v>
      </c>
      <c r="D3042" s="2396"/>
      <c r="E3042" s="2406">
        <v>0</v>
      </c>
      <c r="F3042" s="2406">
        <v>0</v>
      </c>
      <c r="G3042" s="2448">
        <v>0</v>
      </c>
      <c r="H3042" s="2407">
        <v>0</v>
      </c>
      <c r="I3042" s="2413"/>
      <c r="J3042" s="2413"/>
      <c r="K3042" s="2260"/>
      <c r="L3042" s="2408"/>
    </row>
    <row r="3043" spans="1:13" x14ac:dyDescent="0.3">
      <c r="A3043" s="81" t="s">
        <v>4411</v>
      </c>
      <c r="B3043" s="2445" t="s">
        <v>4412</v>
      </c>
      <c r="C3043" s="2406">
        <v>0</v>
      </c>
      <c r="D3043" s="2396"/>
      <c r="E3043" s="2406">
        <v>0</v>
      </c>
      <c r="F3043" s="2406">
        <v>0</v>
      </c>
      <c r="G3043" s="2448">
        <v>0</v>
      </c>
      <c r="H3043" s="2407">
        <v>0</v>
      </c>
      <c r="I3043" s="2413"/>
      <c r="J3043" s="2413"/>
      <c r="K3043" s="2260"/>
      <c r="L3043" s="2408"/>
    </row>
    <row r="3044" spans="1:13" x14ac:dyDescent="0.3">
      <c r="A3044" s="81" t="s">
        <v>4413</v>
      </c>
      <c r="B3044" s="2445" t="s">
        <v>4414</v>
      </c>
      <c r="C3044" s="2406">
        <v>0</v>
      </c>
      <c r="D3044" s="2396"/>
      <c r="E3044" s="2406">
        <v>0</v>
      </c>
      <c r="F3044" s="2406">
        <v>0</v>
      </c>
      <c r="G3044" s="2448">
        <v>0</v>
      </c>
      <c r="H3044" s="2407">
        <v>0</v>
      </c>
      <c r="I3044" s="2413"/>
      <c r="J3044" s="2413"/>
      <c r="K3044" s="2260"/>
      <c r="L3044" s="2408"/>
    </row>
    <row r="3045" spans="1:13" x14ac:dyDescent="0.3">
      <c r="A3045" s="81" t="s">
        <v>4415</v>
      </c>
      <c r="B3045" s="2445" t="s">
        <v>4416</v>
      </c>
      <c r="C3045" s="2406">
        <v>0</v>
      </c>
      <c r="D3045" s="2396"/>
      <c r="E3045" s="2406">
        <v>0</v>
      </c>
      <c r="F3045" s="2406">
        <v>0</v>
      </c>
      <c r="G3045" s="2448">
        <v>0</v>
      </c>
      <c r="H3045" s="2407">
        <v>0</v>
      </c>
      <c r="I3045" s="2413"/>
      <c r="J3045" s="2413"/>
      <c r="K3045" s="2260"/>
      <c r="L3045" s="2408"/>
    </row>
    <row r="3046" spans="1:13" x14ac:dyDescent="0.3">
      <c r="A3046" s="81" t="s">
        <v>4417</v>
      </c>
      <c r="B3046" s="2445" t="s">
        <v>4418</v>
      </c>
      <c r="C3046" s="2406">
        <v>0</v>
      </c>
      <c r="D3046" s="2396"/>
      <c r="E3046" s="2406">
        <v>0</v>
      </c>
      <c r="F3046" s="2406">
        <v>0</v>
      </c>
      <c r="G3046" s="2448">
        <v>0</v>
      </c>
      <c r="H3046" s="2407">
        <v>0</v>
      </c>
      <c r="I3046" s="2413"/>
      <c r="J3046" s="2413"/>
      <c r="K3046" s="2260"/>
      <c r="L3046" s="2408"/>
    </row>
    <row r="3047" spans="1:13" x14ac:dyDescent="0.3">
      <c r="A3047" s="81" t="s">
        <v>4419</v>
      </c>
      <c r="B3047" s="2445" t="s">
        <v>4420</v>
      </c>
      <c r="C3047" s="2406">
        <v>0</v>
      </c>
      <c r="D3047" s="2396"/>
      <c r="E3047" s="2406">
        <v>0</v>
      </c>
      <c r="F3047" s="2406">
        <v>0</v>
      </c>
      <c r="G3047" s="2448">
        <v>0</v>
      </c>
      <c r="H3047" s="2407">
        <v>0</v>
      </c>
      <c r="I3047" s="2413"/>
      <c r="J3047" s="2413"/>
      <c r="K3047" s="2260"/>
      <c r="L3047" s="2408"/>
    </row>
    <row r="3048" spans="1:13" x14ac:dyDescent="0.3">
      <c r="A3048" s="81" t="s">
        <v>4421</v>
      </c>
      <c r="B3048" s="2445" t="s">
        <v>4422</v>
      </c>
      <c r="C3048" s="2406">
        <v>0</v>
      </c>
      <c r="D3048" s="2396"/>
      <c r="E3048" s="2406">
        <v>0</v>
      </c>
      <c r="F3048" s="2406">
        <v>0</v>
      </c>
      <c r="G3048" s="2448">
        <v>0</v>
      </c>
      <c r="H3048" s="2407">
        <v>0</v>
      </c>
      <c r="I3048" s="2413"/>
      <c r="J3048" s="2413"/>
      <c r="K3048" s="2260"/>
      <c r="L3048" s="2408"/>
    </row>
    <row r="3049" spans="1:13" x14ac:dyDescent="0.3">
      <c r="A3049" s="81" t="s">
        <v>4423</v>
      </c>
      <c r="B3049" s="2445" t="s">
        <v>4424</v>
      </c>
      <c r="C3049" s="2406">
        <v>0</v>
      </c>
      <c r="D3049" s="2396"/>
      <c r="E3049" s="2406">
        <v>0</v>
      </c>
      <c r="F3049" s="2406">
        <v>0</v>
      </c>
      <c r="G3049" s="2448">
        <v>0</v>
      </c>
      <c r="H3049" s="2407">
        <v>0</v>
      </c>
      <c r="I3049" s="2413"/>
      <c r="J3049" s="2413"/>
      <c r="K3049" s="2260"/>
      <c r="L3049" s="2408"/>
    </row>
    <row r="3050" spans="1:13" x14ac:dyDescent="0.3">
      <c r="A3050" s="81" t="s">
        <v>4427</v>
      </c>
      <c r="B3050" s="2445" t="s">
        <v>4428</v>
      </c>
      <c r="C3050" s="2406">
        <v>0</v>
      </c>
      <c r="D3050" s="2396"/>
      <c r="E3050" s="2406">
        <v>0</v>
      </c>
      <c r="F3050" s="2406">
        <v>0</v>
      </c>
      <c r="G3050" s="2448">
        <v>0</v>
      </c>
      <c r="H3050" s="2407">
        <v>0</v>
      </c>
      <c r="I3050" s="2413"/>
      <c r="J3050" s="2413"/>
      <c r="K3050" s="2260"/>
      <c r="L3050" s="2408"/>
    </row>
    <row r="3051" spans="1:13" x14ac:dyDescent="0.3">
      <c r="A3051" s="81" t="s">
        <v>4429</v>
      </c>
      <c r="B3051" s="2445" t="s">
        <v>4430</v>
      </c>
      <c r="C3051" s="2406">
        <v>0</v>
      </c>
      <c r="D3051" s="2396"/>
      <c r="E3051" s="2406">
        <v>0</v>
      </c>
      <c r="F3051" s="2406">
        <v>0</v>
      </c>
      <c r="G3051" s="2448">
        <v>0</v>
      </c>
      <c r="H3051" s="2407">
        <v>0</v>
      </c>
      <c r="I3051" s="2413"/>
      <c r="J3051" s="2413"/>
      <c r="K3051" s="2260"/>
      <c r="L3051" s="2408"/>
    </row>
    <row r="3052" spans="1:13" x14ac:dyDescent="0.3">
      <c r="A3052" s="81" t="s">
        <v>4431</v>
      </c>
      <c r="B3052" s="2445" t="s">
        <v>4432</v>
      </c>
      <c r="C3052" s="2406">
        <v>0</v>
      </c>
      <c r="D3052" s="2396"/>
      <c r="E3052" s="2406">
        <v>0</v>
      </c>
      <c r="F3052" s="2406">
        <v>0</v>
      </c>
      <c r="G3052" s="2448">
        <v>0</v>
      </c>
      <c r="H3052" s="2407">
        <v>0</v>
      </c>
      <c r="I3052" s="2413"/>
      <c r="J3052" s="2413"/>
      <c r="K3052" s="2260"/>
      <c r="L3052" s="2408"/>
    </row>
    <row r="3053" spans="1:13" x14ac:dyDescent="0.3">
      <c r="A3053" s="81" t="s">
        <v>4433</v>
      </c>
      <c r="B3053" s="2445" t="s">
        <v>4422</v>
      </c>
      <c r="C3053" s="2406">
        <v>0</v>
      </c>
      <c r="D3053" s="2396"/>
      <c r="E3053" s="2406">
        <v>0</v>
      </c>
      <c r="F3053" s="2406">
        <v>0</v>
      </c>
      <c r="G3053" s="2448">
        <v>0</v>
      </c>
      <c r="H3053" s="2407">
        <v>0</v>
      </c>
      <c r="I3053" s="2413"/>
      <c r="J3053" s="2413"/>
      <c r="K3053" s="2260"/>
      <c r="L3053" s="2408"/>
    </row>
    <row r="3054" spans="1:13" x14ac:dyDescent="0.3">
      <c r="A3054" s="81" t="s">
        <v>4439</v>
      </c>
      <c r="B3054" s="2445" t="s">
        <v>4440</v>
      </c>
      <c r="C3054" s="2406">
        <v>0</v>
      </c>
      <c r="D3054" s="2396"/>
      <c r="E3054" s="2406">
        <v>0</v>
      </c>
      <c r="F3054" s="2406">
        <v>0</v>
      </c>
      <c r="G3054" s="2448">
        <v>0</v>
      </c>
      <c r="H3054" s="2407">
        <v>0</v>
      </c>
      <c r="I3054" s="2413"/>
      <c r="J3054" s="2413"/>
      <c r="K3054" s="2260"/>
      <c r="L3054" s="2408"/>
    </row>
    <row r="3055" spans="1:13" x14ac:dyDescent="0.3">
      <c r="A3055" s="81" t="s">
        <v>4444</v>
      </c>
      <c r="B3055" s="2445" t="s">
        <v>4445</v>
      </c>
      <c r="C3055" s="2406">
        <v>0</v>
      </c>
      <c r="D3055" s="2396"/>
      <c r="E3055" s="2406">
        <v>0</v>
      </c>
      <c r="F3055" s="2406">
        <v>0</v>
      </c>
      <c r="G3055" s="2448">
        <v>0</v>
      </c>
      <c r="H3055" s="2407">
        <v>0</v>
      </c>
      <c r="I3055" s="2413"/>
      <c r="J3055" s="2413"/>
      <c r="K3055" s="2260"/>
      <c r="L3055" s="2408"/>
    </row>
    <row r="3056" spans="1:13" x14ac:dyDescent="0.3">
      <c r="A3056" s="2452"/>
      <c r="B3056" s="2453"/>
      <c r="C3056" s="2451"/>
      <c r="D3056" s="2451"/>
      <c r="E3056" s="2451"/>
      <c r="F3056" s="2451"/>
      <c r="G3056" s="2451"/>
      <c r="H3056" s="2451"/>
      <c r="I3056" s="2413"/>
      <c r="J3056" s="2413"/>
      <c r="K3056" s="2260"/>
      <c r="L3056" s="2408"/>
      <c r="M3056" s="2413"/>
    </row>
    <row r="3057" spans="1:13" ht="14.5" x14ac:dyDescent="0.35">
      <c r="A3057" s="2452"/>
      <c r="B3057" s="2453"/>
      <c r="C3057" s="2451"/>
      <c r="D3057" t="s">
        <v>6574</v>
      </c>
      <c r="E3057" s="944">
        <v>2720209743.6599998</v>
      </c>
      <c r="F3057" s="944">
        <v>2720209743.6599998</v>
      </c>
      <c r="G3057" s="2451"/>
      <c r="H3057" s="2451"/>
      <c r="I3057" s="2413"/>
      <c r="J3057" s="2413"/>
      <c r="K3057" s="2260"/>
      <c r="L3057" s="2408"/>
      <c r="M3057" s="2413"/>
    </row>
    <row r="3058" spans="1:13" x14ac:dyDescent="0.3">
      <c r="A3058" s="2452"/>
      <c r="B3058" s="2453"/>
      <c r="C3058" s="2451"/>
      <c r="D3058" s="2451"/>
      <c r="E3058" s="2451"/>
      <c r="F3058" s="2451"/>
      <c r="G3058" s="2451"/>
      <c r="H3058" s="2451"/>
      <c r="I3058" s="2413"/>
      <c r="J3058" s="2413"/>
      <c r="K3058" s="2260"/>
      <c r="L3058" s="2408"/>
      <c r="M3058" s="2413"/>
    </row>
    <row r="3059" spans="1:13" x14ac:dyDescent="0.3">
      <c r="A3059" s="2452"/>
      <c r="B3059" s="2453"/>
      <c r="C3059" s="2451"/>
      <c r="D3059" s="2451"/>
      <c r="E3059" s="2451"/>
      <c r="F3059" s="2451"/>
      <c r="G3059" s="2451"/>
      <c r="H3059" s="2451"/>
      <c r="I3059" s="2413"/>
      <c r="J3059" s="2413"/>
      <c r="K3059" s="2260"/>
      <c r="L3059" s="2408"/>
      <c r="M3059" s="2413"/>
    </row>
    <row r="3060" spans="1:13" x14ac:dyDescent="0.3">
      <c r="A3060" s="2452"/>
      <c r="B3060" s="2453"/>
      <c r="C3060" s="2451"/>
      <c r="D3060" s="2451"/>
      <c r="E3060" s="2451"/>
      <c r="F3060" s="2451"/>
      <c r="G3060" s="2451"/>
      <c r="H3060" s="2451"/>
      <c r="I3060" s="2413"/>
      <c r="J3060" s="2413"/>
      <c r="K3060" s="2260"/>
      <c r="L3060" s="2408"/>
      <c r="M3060" s="2413"/>
    </row>
    <row r="3061" spans="1:13" x14ac:dyDescent="0.3">
      <c r="A3061" s="2452"/>
      <c r="B3061" s="2453"/>
      <c r="C3061" s="2451"/>
      <c r="D3061" s="2451"/>
      <c r="E3061" s="2451"/>
      <c r="F3061" s="2451"/>
      <c r="G3061" s="2451"/>
      <c r="H3061" s="2451"/>
      <c r="I3061" s="2413"/>
      <c r="J3061" s="2413"/>
      <c r="K3061" s="2260"/>
      <c r="L3061" s="2408"/>
      <c r="M3061" s="2413"/>
    </row>
    <row r="3062" spans="1:13" x14ac:dyDescent="0.3">
      <c r="A3062" s="2452"/>
      <c r="B3062" s="2453"/>
      <c r="C3062" s="2451"/>
      <c r="D3062" s="2451"/>
      <c r="E3062" s="2451"/>
      <c r="F3062" s="2451"/>
      <c r="G3062" s="2451"/>
      <c r="H3062" s="2451"/>
      <c r="I3062" s="2413"/>
      <c r="J3062" s="2413"/>
      <c r="K3062" s="2260"/>
      <c r="L3062" s="2408"/>
      <c r="M3062" s="2413"/>
    </row>
    <row r="3063" spans="1:13" x14ac:dyDescent="0.3">
      <c r="A3063" s="2452"/>
      <c r="B3063" s="2453"/>
      <c r="C3063" s="2451"/>
      <c r="D3063" s="2451"/>
      <c r="E3063" s="2451"/>
      <c r="F3063" s="2451"/>
      <c r="G3063" s="2451"/>
      <c r="H3063" s="2451"/>
      <c r="I3063" s="2413"/>
      <c r="J3063" s="2413"/>
      <c r="K3063" s="2260"/>
      <c r="L3063" s="2408"/>
      <c r="M3063" s="2413"/>
    </row>
    <row r="3064" spans="1:13" x14ac:dyDescent="0.3">
      <c r="A3064" s="2452"/>
      <c r="B3064" s="2453"/>
      <c r="C3064" s="2451"/>
      <c r="D3064" s="2451"/>
      <c r="E3064" s="2451"/>
      <c r="F3064" s="2451"/>
      <c r="G3064" s="2451"/>
      <c r="H3064" s="2451"/>
      <c r="I3064" s="2413"/>
      <c r="J3064" s="2413"/>
      <c r="K3064" s="2260"/>
      <c r="L3064" s="2408"/>
      <c r="M3064" s="2413"/>
    </row>
    <row r="3065" spans="1:13" x14ac:dyDescent="0.3">
      <c r="A3065" s="2452"/>
      <c r="B3065" s="2453"/>
      <c r="C3065" s="2451"/>
      <c r="D3065" s="2451"/>
      <c r="E3065" s="2451"/>
      <c r="F3065" s="2451"/>
      <c r="G3065" s="2451"/>
      <c r="H3065" s="2451"/>
      <c r="I3065" s="2413"/>
      <c r="J3065" s="2413"/>
      <c r="K3065" s="2260"/>
      <c r="L3065" s="2408"/>
      <c r="M3065" s="2413"/>
    </row>
    <row r="3066" spans="1:13" x14ac:dyDescent="0.3">
      <c r="A3066" s="2452"/>
      <c r="B3066" s="2453"/>
      <c r="C3066" s="2451"/>
      <c r="D3066" s="2451"/>
      <c r="E3066" s="2451"/>
      <c r="F3066" s="2451"/>
      <c r="G3066" s="2451"/>
      <c r="H3066" s="2451"/>
      <c r="I3066" s="2413"/>
      <c r="J3066" s="2413"/>
      <c r="K3066" s="2260"/>
      <c r="L3066" s="2408"/>
      <c r="M3066" s="2413"/>
    </row>
    <row r="3067" spans="1:13" x14ac:dyDescent="0.3">
      <c r="A3067" s="2452"/>
      <c r="B3067" s="2453"/>
      <c r="C3067" s="2451"/>
      <c r="D3067" s="2451"/>
      <c r="E3067" s="2451"/>
      <c r="F3067" s="2451"/>
      <c r="G3067" s="2451"/>
      <c r="H3067" s="2451"/>
      <c r="I3067" s="2413"/>
      <c r="J3067" s="2413"/>
      <c r="K3067" s="2260"/>
      <c r="L3067" s="2408"/>
      <c r="M3067" s="2413"/>
    </row>
    <row r="3068" spans="1:13" x14ac:dyDescent="0.3">
      <c r="A3068" s="2452"/>
      <c r="B3068" s="2453"/>
      <c r="C3068" s="2451"/>
      <c r="D3068" s="2451"/>
      <c r="E3068" s="2451"/>
      <c r="F3068" s="2451"/>
      <c r="G3068" s="2451"/>
      <c r="H3068" s="2451"/>
      <c r="I3068" s="2413"/>
      <c r="J3068" s="2413"/>
      <c r="K3068" s="2260"/>
      <c r="L3068" s="2408"/>
      <c r="M3068" s="2413"/>
    </row>
    <row r="3069" spans="1:13" x14ac:dyDescent="0.3">
      <c r="A3069" s="2452"/>
      <c r="B3069" s="2453"/>
      <c r="C3069" s="2451"/>
      <c r="D3069" s="2451"/>
      <c r="E3069" s="2451"/>
      <c r="F3069" s="2451"/>
      <c r="G3069" s="2451"/>
      <c r="H3069" s="2451"/>
      <c r="I3069" s="2413"/>
      <c r="J3069" s="2413"/>
      <c r="K3069" s="2260"/>
      <c r="L3069" s="2408"/>
      <c r="M3069" s="2413"/>
    </row>
    <row r="3070" spans="1:13" x14ac:dyDescent="0.3">
      <c r="A3070" s="2452"/>
      <c r="B3070" s="2453"/>
      <c r="C3070" s="2451"/>
      <c r="D3070" s="2451"/>
      <c r="E3070" s="2451"/>
      <c r="F3070" s="2451"/>
      <c r="G3070" s="2451"/>
      <c r="H3070" s="2451"/>
      <c r="I3070" s="2413"/>
      <c r="J3070" s="2413"/>
      <c r="K3070" s="2260"/>
      <c r="L3070" s="2408"/>
      <c r="M3070" s="2413"/>
    </row>
    <row r="3071" spans="1:13" x14ac:dyDescent="0.3">
      <c r="A3071" s="2452"/>
      <c r="B3071" s="2453"/>
      <c r="C3071" s="2451"/>
      <c r="D3071" s="2451"/>
      <c r="E3071" s="2451"/>
      <c r="F3071" s="2451"/>
      <c r="G3071" s="2451"/>
      <c r="H3071" s="2451"/>
      <c r="I3071" s="2413"/>
      <c r="J3071" s="2413"/>
      <c r="K3071" s="2260"/>
      <c r="L3071" s="2408"/>
      <c r="M3071" s="2413"/>
    </row>
    <row r="3072" spans="1:13" x14ac:dyDescent="0.3">
      <c r="A3072" s="2452"/>
      <c r="B3072" s="2453"/>
      <c r="C3072" s="2451"/>
      <c r="D3072" s="2451"/>
      <c r="E3072" s="2451"/>
      <c r="F3072" s="2451"/>
      <c r="G3072" s="2451"/>
      <c r="H3072" s="2451"/>
      <c r="I3072" s="2413"/>
      <c r="J3072" s="2413"/>
      <c r="K3072" s="2260"/>
      <c r="L3072" s="2408"/>
      <c r="M3072" s="2413"/>
    </row>
    <row r="3073" spans="1:13" x14ac:dyDescent="0.3">
      <c r="A3073" s="2452"/>
      <c r="B3073" s="2453"/>
      <c r="C3073" s="2451"/>
      <c r="D3073" s="2451"/>
      <c r="E3073" s="2451"/>
      <c r="F3073" s="2451"/>
      <c r="G3073" s="2451"/>
      <c r="H3073" s="2451"/>
      <c r="I3073" s="2413"/>
      <c r="J3073" s="2413"/>
      <c r="K3073" s="2260"/>
      <c r="L3073" s="2408"/>
      <c r="M3073" s="2413"/>
    </row>
    <row r="3074" spans="1:13" x14ac:dyDescent="0.3">
      <c r="A3074" s="2452"/>
      <c r="B3074" s="2453"/>
      <c r="C3074" s="2451"/>
      <c r="D3074" s="2451"/>
      <c r="E3074" s="2451"/>
      <c r="F3074" s="2451"/>
      <c r="G3074" s="2451"/>
      <c r="H3074" s="2451"/>
      <c r="I3074" s="2413"/>
      <c r="J3074" s="2413"/>
      <c r="K3074" s="2260"/>
      <c r="L3074" s="2408"/>
      <c r="M3074" s="2413"/>
    </row>
    <row r="3075" spans="1:13" x14ac:dyDescent="0.3">
      <c r="A3075" s="2452"/>
      <c r="B3075" s="2453"/>
      <c r="C3075" s="2451"/>
      <c r="D3075" s="2451"/>
      <c r="E3075" s="2451"/>
      <c r="F3075" s="2451"/>
      <c r="G3075" s="2451"/>
      <c r="H3075" s="2451"/>
      <c r="I3075" s="2413"/>
      <c r="J3075" s="2413"/>
      <c r="K3075" s="2260"/>
      <c r="L3075" s="2408"/>
      <c r="M3075" s="2413"/>
    </row>
    <row r="3076" spans="1:13" x14ac:dyDescent="0.3">
      <c r="A3076" s="2452"/>
      <c r="B3076" s="2453"/>
      <c r="C3076" s="2451"/>
      <c r="D3076" s="2451"/>
      <c r="E3076" s="2451"/>
      <c r="F3076" s="2451"/>
      <c r="G3076" s="2451"/>
      <c r="H3076" s="2451"/>
      <c r="I3076" s="2413"/>
      <c r="J3076" s="2413"/>
      <c r="K3076" s="2260"/>
      <c r="L3076" s="2408"/>
      <c r="M3076" s="2413"/>
    </row>
    <row r="3077" spans="1:13" x14ac:dyDescent="0.3">
      <c r="A3077" s="2452"/>
      <c r="B3077" s="2453"/>
      <c r="C3077" s="2451"/>
      <c r="D3077" s="2451"/>
      <c r="E3077" s="2451"/>
      <c r="F3077" s="2451"/>
      <c r="G3077" s="2451"/>
      <c r="H3077" s="2451"/>
      <c r="I3077" s="2413"/>
      <c r="J3077" s="2413"/>
      <c r="K3077" s="2260"/>
      <c r="L3077" s="2408"/>
      <c r="M3077" s="2413"/>
    </row>
    <row r="3078" spans="1:13" x14ac:dyDescent="0.3">
      <c r="A3078" s="2452"/>
      <c r="B3078" s="2453"/>
      <c r="C3078" s="2451"/>
      <c r="D3078" s="2451"/>
      <c r="E3078" s="2451"/>
      <c r="F3078" s="2451"/>
      <c r="G3078" s="2451"/>
      <c r="H3078" s="2451"/>
      <c r="I3078" s="2413"/>
      <c r="J3078" s="2413"/>
      <c r="K3078" s="2260"/>
      <c r="L3078" s="2408"/>
      <c r="M3078" s="2413"/>
    </row>
    <row r="3079" spans="1:13" x14ac:dyDescent="0.3">
      <c r="A3079" s="2452"/>
      <c r="B3079" s="2453"/>
      <c r="C3079" s="2451"/>
      <c r="D3079" s="2451"/>
      <c r="E3079" s="2451"/>
      <c r="F3079" s="2451"/>
      <c r="G3079" s="2451"/>
      <c r="H3079" s="2451"/>
      <c r="I3079" s="2413"/>
      <c r="J3079" s="2413"/>
      <c r="K3079" s="2260"/>
      <c r="L3079" s="2408"/>
      <c r="M3079" s="2413"/>
    </row>
    <row r="3080" spans="1:13" x14ac:dyDescent="0.3">
      <c r="A3080" s="2452"/>
      <c r="B3080" s="2453"/>
      <c r="C3080" s="2451"/>
      <c r="D3080" s="2451"/>
      <c r="E3080" s="2451"/>
      <c r="F3080" s="2451"/>
      <c r="G3080" s="2451"/>
      <c r="H3080" s="2451"/>
      <c r="I3080" s="2413"/>
      <c r="J3080" s="2413"/>
      <c r="K3080" s="2260"/>
      <c r="L3080" s="2408"/>
      <c r="M3080" s="2413"/>
    </row>
    <row r="3081" spans="1:13" x14ac:dyDescent="0.3">
      <c r="A3081" s="2452"/>
      <c r="B3081" s="2453"/>
      <c r="C3081" s="2451"/>
      <c r="D3081" s="2451"/>
      <c r="E3081" s="2451"/>
      <c r="F3081" s="2451"/>
      <c r="G3081" s="2451"/>
      <c r="H3081" s="2451"/>
      <c r="I3081" s="2413"/>
      <c r="J3081" s="2413"/>
      <c r="K3081" s="2260"/>
      <c r="L3081" s="2408"/>
      <c r="M3081" s="2413"/>
    </row>
    <row r="3082" spans="1:13" x14ac:dyDescent="0.3">
      <c r="A3082" s="2452"/>
      <c r="B3082" s="2453"/>
      <c r="C3082" s="2451"/>
      <c r="D3082" s="2451"/>
      <c r="E3082" s="2451"/>
      <c r="F3082" s="2451"/>
      <c r="G3082" s="2451"/>
      <c r="H3082" s="2451"/>
      <c r="I3082" s="2413"/>
      <c r="J3082" s="2413"/>
      <c r="K3082" s="2260"/>
      <c r="L3082" s="2408"/>
      <c r="M3082" s="2413"/>
    </row>
    <row r="3083" spans="1:13" x14ac:dyDescent="0.3">
      <c r="A3083" s="2452"/>
      <c r="B3083" s="2453"/>
      <c r="C3083" s="2451"/>
      <c r="D3083" s="2451"/>
      <c r="E3083" s="2451"/>
      <c r="F3083" s="2451"/>
      <c r="G3083" s="2451"/>
      <c r="H3083" s="2451"/>
      <c r="I3083" s="2413"/>
      <c r="J3083" s="2413"/>
      <c r="K3083" s="2260"/>
      <c r="L3083" s="2408"/>
      <c r="M3083" s="2413"/>
    </row>
    <row r="3084" spans="1:13" x14ac:dyDescent="0.3">
      <c r="A3084" s="2452"/>
      <c r="B3084" s="2453"/>
      <c r="C3084" s="2451"/>
      <c r="D3084" s="2451"/>
      <c r="E3084" s="2451"/>
      <c r="F3084" s="2451"/>
      <c r="G3084" s="2451"/>
      <c r="H3084" s="2451"/>
      <c r="I3084" s="2413"/>
      <c r="J3084" s="2413"/>
      <c r="K3084" s="2260"/>
      <c r="L3084" s="2408"/>
      <c r="M3084" s="2413"/>
    </row>
    <row r="3085" spans="1:13" x14ac:dyDescent="0.3">
      <c r="A3085" s="2452"/>
      <c r="B3085" s="2453"/>
      <c r="C3085" s="2451"/>
      <c r="D3085" s="2451"/>
      <c r="E3085" s="2451"/>
      <c r="F3085" s="2451"/>
      <c r="G3085" s="2451"/>
      <c r="H3085" s="2451"/>
      <c r="I3085" s="2413"/>
      <c r="J3085" s="2413"/>
      <c r="K3085" s="2260"/>
      <c r="L3085" s="2408"/>
      <c r="M3085" s="2413"/>
    </row>
    <row r="3086" spans="1:13" x14ac:dyDescent="0.3">
      <c r="A3086" s="2452"/>
      <c r="B3086" s="2453"/>
      <c r="C3086" s="2451"/>
      <c r="D3086" s="2451"/>
      <c r="E3086" s="2451"/>
      <c r="F3086" s="2451"/>
      <c r="G3086" s="2451"/>
      <c r="H3086" s="2451"/>
      <c r="I3086" s="2413"/>
      <c r="J3086" s="2413"/>
      <c r="K3086" s="2260"/>
      <c r="L3086" s="2408"/>
      <c r="M3086" s="2413"/>
    </row>
    <row r="3087" spans="1:13" x14ac:dyDescent="0.3">
      <c r="A3087" s="2452"/>
      <c r="B3087" s="2453"/>
      <c r="C3087" s="2451"/>
      <c r="D3087" s="2451"/>
      <c r="E3087" s="2451"/>
      <c r="F3087" s="2451"/>
      <c r="G3087" s="2451"/>
      <c r="H3087" s="2451"/>
      <c r="I3087" s="2413"/>
      <c r="J3087" s="2413"/>
      <c r="K3087" s="2260"/>
      <c r="L3087" s="2408"/>
      <c r="M3087" s="2413"/>
    </row>
    <row r="3088" spans="1:13" x14ac:dyDescent="0.3">
      <c r="A3088" s="2452"/>
      <c r="B3088" s="2453"/>
      <c r="C3088" s="2451"/>
      <c r="D3088" s="2451"/>
      <c r="E3088" s="2451"/>
      <c r="F3088" s="2451"/>
      <c r="G3088" s="2451"/>
      <c r="H3088" s="2451"/>
      <c r="I3088" s="2413"/>
      <c r="J3088" s="2413"/>
      <c r="K3088" s="2260"/>
      <c r="L3088" s="2408"/>
      <c r="M3088" s="2413"/>
    </row>
    <row r="3089" spans="1:13" x14ac:dyDescent="0.3">
      <c r="A3089" s="2452"/>
      <c r="B3089" s="2453"/>
      <c r="C3089" s="2451"/>
      <c r="D3089" s="2451"/>
      <c r="E3089" s="2451"/>
      <c r="F3089" s="2451"/>
      <c r="G3089" s="2451"/>
      <c r="H3089" s="2451"/>
      <c r="I3089" s="2413"/>
      <c r="J3089" s="2413"/>
      <c r="K3089" s="2260"/>
      <c r="L3089" s="2408"/>
      <c r="M3089" s="2413"/>
    </row>
    <row r="3090" spans="1:13" x14ac:dyDescent="0.3">
      <c r="A3090" s="2452"/>
      <c r="B3090" s="2453"/>
      <c r="C3090" s="2451"/>
      <c r="D3090" s="2451"/>
      <c r="E3090" s="2451"/>
      <c r="F3090" s="2451"/>
      <c r="G3090" s="2451"/>
      <c r="H3090" s="2451"/>
      <c r="I3090" s="2413"/>
      <c r="J3090" s="2413"/>
      <c r="K3090" s="2260"/>
      <c r="L3090" s="2408"/>
      <c r="M3090" s="2413"/>
    </row>
    <row r="3091" spans="1:13" x14ac:dyDescent="0.3">
      <c r="A3091" s="2452"/>
      <c r="B3091" s="2453"/>
      <c r="C3091" s="2451"/>
      <c r="D3091" s="2451"/>
      <c r="E3091" s="2451"/>
      <c r="F3091" s="2451"/>
      <c r="G3091" s="2451"/>
      <c r="H3091" s="2451"/>
      <c r="I3091" s="2413"/>
      <c r="J3091" s="2413"/>
      <c r="K3091" s="2260"/>
      <c r="L3091" s="2408"/>
      <c r="M3091" s="2413"/>
    </row>
    <row r="3092" spans="1:13" x14ac:dyDescent="0.3">
      <c r="A3092" s="2452"/>
      <c r="B3092" s="2453"/>
      <c r="C3092" s="2451"/>
      <c r="D3092" s="2451"/>
      <c r="E3092" s="2451"/>
      <c r="F3092" s="2451"/>
      <c r="G3092" s="2451"/>
      <c r="H3092" s="2451"/>
      <c r="I3092" s="2413"/>
      <c r="J3092" s="2413"/>
      <c r="K3092" s="2260"/>
      <c r="L3092" s="2408"/>
      <c r="M3092" s="2413"/>
    </row>
    <row r="3093" spans="1:13" x14ac:dyDescent="0.3">
      <c r="A3093" s="2452"/>
      <c r="B3093" s="2453"/>
      <c r="C3093" s="2451"/>
      <c r="D3093" s="2451"/>
      <c r="E3093" s="2451"/>
      <c r="F3093" s="2451"/>
      <c r="G3093" s="2451"/>
      <c r="H3093" s="2451"/>
      <c r="I3093" s="2413"/>
      <c r="J3093" s="2413"/>
      <c r="K3093" s="2260"/>
      <c r="L3093" s="2408"/>
      <c r="M3093" s="2413"/>
    </row>
    <row r="3094" spans="1:13" x14ac:dyDescent="0.3">
      <c r="A3094" s="2452"/>
      <c r="B3094" s="2453"/>
      <c r="C3094" s="2451"/>
      <c r="D3094" s="2451"/>
      <c r="E3094" s="2451"/>
      <c r="F3094" s="2451"/>
      <c r="G3094" s="2451"/>
      <c r="H3094" s="2451"/>
      <c r="I3094" s="2413"/>
      <c r="J3094" s="2413"/>
      <c r="K3094" s="2260"/>
      <c r="L3094" s="2408"/>
      <c r="M3094" s="2413"/>
    </row>
    <row r="3095" spans="1:13" x14ac:dyDescent="0.3">
      <c r="A3095" s="2452"/>
      <c r="B3095" s="2453"/>
      <c r="C3095" s="2451"/>
      <c r="D3095" s="2451"/>
      <c r="E3095" s="2451"/>
      <c r="F3095" s="2451"/>
      <c r="G3095" s="2451"/>
      <c r="H3095" s="2451"/>
      <c r="I3095" s="2413"/>
      <c r="J3095" s="2413"/>
      <c r="K3095" s="2260"/>
      <c r="L3095" s="2408"/>
      <c r="M3095" s="2413"/>
    </row>
    <row r="3096" spans="1:13" x14ac:dyDescent="0.3">
      <c r="A3096" s="2452"/>
      <c r="B3096" s="2453"/>
      <c r="C3096" s="2451"/>
      <c r="D3096" s="2451"/>
      <c r="E3096" s="2451"/>
      <c r="F3096" s="2451"/>
      <c r="G3096" s="2451"/>
      <c r="H3096" s="2451"/>
      <c r="I3096" s="2413"/>
      <c r="J3096" s="2413"/>
      <c r="K3096" s="2260"/>
      <c r="L3096" s="2408"/>
      <c r="M3096" s="2413"/>
    </row>
    <row r="3097" spans="1:13" x14ac:dyDescent="0.3">
      <c r="A3097" s="2452"/>
      <c r="B3097" s="2453"/>
      <c r="C3097" s="2451"/>
      <c r="D3097" s="2451"/>
      <c r="E3097" s="2451"/>
      <c r="F3097" s="2451"/>
      <c r="G3097" s="2451"/>
      <c r="H3097" s="2451"/>
      <c r="I3097" s="2413"/>
      <c r="J3097" s="2413"/>
      <c r="K3097" s="2260"/>
      <c r="L3097" s="2408"/>
      <c r="M3097" s="2413"/>
    </row>
    <row r="3098" spans="1:13" x14ac:dyDescent="0.3">
      <c r="A3098" s="2452"/>
      <c r="B3098" s="2453"/>
      <c r="C3098" s="2451"/>
      <c r="D3098" s="2451"/>
      <c r="E3098" s="2451"/>
      <c r="F3098" s="2451"/>
      <c r="G3098" s="2451"/>
      <c r="H3098" s="2451"/>
      <c r="I3098" s="2413"/>
      <c r="J3098" s="2413"/>
      <c r="K3098" s="2260"/>
      <c r="L3098" s="2408"/>
      <c r="M3098" s="2413"/>
    </row>
    <row r="3099" spans="1:13" x14ac:dyDescent="0.3">
      <c r="A3099" s="2452"/>
      <c r="B3099" s="2453"/>
      <c r="C3099" s="2451"/>
      <c r="D3099" s="2451"/>
      <c r="E3099" s="2451"/>
      <c r="F3099" s="2451"/>
      <c r="G3099" s="2451"/>
      <c r="H3099" s="2451"/>
      <c r="I3099" s="2413"/>
      <c r="J3099" s="2413"/>
      <c r="K3099" s="2260"/>
      <c r="L3099" s="2408"/>
      <c r="M3099" s="2413"/>
    </row>
    <row r="3100" spans="1:13" x14ac:dyDescent="0.3">
      <c r="A3100" s="2452"/>
      <c r="B3100" s="2453"/>
      <c r="C3100" s="2451"/>
      <c r="D3100" s="2451"/>
      <c r="E3100" s="2451"/>
      <c r="F3100" s="2451"/>
      <c r="G3100" s="2451"/>
      <c r="H3100" s="2451"/>
      <c r="I3100" s="2413"/>
      <c r="J3100" s="2413"/>
      <c r="K3100" s="2260"/>
      <c r="L3100" s="2408"/>
      <c r="M3100" s="2413"/>
    </row>
    <row r="3101" spans="1:13" x14ac:dyDescent="0.3">
      <c r="A3101" s="2452"/>
      <c r="B3101" s="2453"/>
      <c r="C3101" s="2451"/>
      <c r="D3101" s="2451"/>
      <c r="E3101" s="2451"/>
      <c r="F3101" s="2451"/>
      <c r="G3101" s="2451"/>
      <c r="H3101" s="2451"/>
      <c r="I3101" s="2413"/>
      <c r="J3101" s="2413"/>
      <c r="K3101" s="2260"/>
      <c r="L3101" s="2408"/>
      <c r="M3101" s="2413"/>
    </row>
    <row r="3102" spans="1:13" x14ac:dyDescent="0.3">
      <c r="A3102" s="2452"/>
      <c r="B3102" s="2453"/>
      <c r="C3102" s="2451"/>
      <c r="D3102" s="2451"/>
      <c r="E3102" s="2451"/>
      <c r="F3102" s="2451"/>
      <c r="G3102" s="2451"/>
      <c r="H3102" s="2451"/>
      <c r="I3102" s="2413"/>
      <c r="J3102" s="2413"/>
      <c r="K3102" s="2260"/>
      <c r="L3102" s="2408"/>
      <c r="M3102" s="2413"/>
    </row>
    <row r="3103" spans="1:13" x14ac:dyDescent="0.3">
      <c r="A3103" s="2452"/>
      <c r="B3103" s="2453"/>
      <c r="C3103" s="2451"/>
      <c r="D3103" s="2451"/>
      <c r="E3103" s="2451"/>
      <c r="F3103" s="2451"/>
      <c r="G3103" s="2451"/>
      <c r="H3103" s="2451"/>
      <c r="I3103" s="2413"/>
      <c r="J3103" s="2413"/>
      <c r="K3103" s="2260"/>
      <c r="L3103" s="2408"/>
      <c r="M3103" s="2413"/>
    </row>
    <row r="3104" spans="1:13" x14ac:dyDescent="0.3">
      <c r="A3104" s="2452"/>
      <c r="B3104" s="2453"/>
      <c r="C3104" s="2451"/>
      <c r="D3104" s="2451"/>
      <c r="E3104" s="2451"/>
      <c r="F3104" s="2451"/>
      <c r="G3104" s="2451"/>
      <c r="H3104" s="2451"/>
      <c r="I3104" s="2413"/>
      <c r="J3104" s="2413"/>
      <c r="K3104" s="2260"/>
      <c r="L3104" s="2408"/>
      <c r="M3104" s="2413"/>
    </row>
    <row r="3105" spans="1:13" x14ac:dyDescent="0.3">
      <c r="A3105" s="2452"/>
      <c r="B3105" s="2453"/>
      <c r="C3105" s="2451"/>
      <c r="D3105" s="2451"/>
      <c r="E3105" s="2451"/>
      <c r="F3105" s="2451"/>
      <c r="G3105" s="2451"/>
      <c r="H3105" s="2451"/>
      <c r="I3105" s="2413"/>
      <c r="J3105" s="2413"/>
      <c r="K3105" s="2260"/>
      <c r="L3105" s="2408"/>
      <c r="M3105" s="2413"/>
    </row>
    <row r="3106" spans="1:13" x14ac:dyDescent="0.3">
      <c r="A3106" s="2452"/>
      <c r="B3106" s="2453"/>
      <c r="C3106" s="2451"/>
      <c r="D3106" s="2451"/>
      <c r="E3106" s="2451"/>
      <c r="F3106" s="2451"/>
      <c r="G3106" s="2451"/>
      <c r="H3106" s="2451"/>
      <c r="I3106" s="2413"/>
      <c r="J3106" s="2413"/>
      <c r="K3106" s="2260"/>
      <c r="L3106" s="2408"/>
      <c r="M3106" s="2413"/>
    </row>
    <row r="3107" spans="1:13" x14ac:dyDescent="0.3">
      <c r="A3107" s="2452"/>
      <c r="B3107" s="2453"/>
      <c r="C3107" s="2451"/>
      <c r="D3107" s="2451"/>
      <c r="E3107" s="2451"/>
      <c r="F3107" s="2451"/>
      <c r="G3107" s="2451"/>
      <c r="H3107" s="2451"/>
      <c r="I3107" s="2413"/>
      <c r="J3107" s="2413"/>
      <c r="K3107" s="2260"/>
      <c r="L3107" s="2408"/>
      <c r="M3107" s="2413"/>
    </row>
    <row r="3108" spans="1:13" x14ac:dyDescent="0.3">
      <c r="A3108" s="2452"/>
      <c r="B3108" s="2453"/>
      <c r="C3108" s="2451"/>
      <c r="D3108" s="2451"/>
      <c r="E3108" s="2451"/>
      <c r="F3108" s="2451"/>
      <c r="G3108" s="2451"/>
      <c r="H3108" s="2451"/>
      <c r="I3108" s="2413"/>
      <c r="J3108" s="2413"/>
      <c r="K3108" s="2260"/>
      <c r="L3108" s="2408"/>
      <c r="M3108" s="2413"/>
    </row>
    <row r="3109" spans="1:13" x14ac:dyDescent="0.3">
      <c r="A3109" s="2452"/>
      <c r="B3109" s="2453"/>
      <c r="C3109" s="2451"/>
      <c r="D3109" s="2451"/>
      <c r="E3109" s="2451"/>
      <c r="F3109" s="2451"/>
      <c r="G3109" s="2451"/>
      <c r="H3109" s="2451"/>
      <c r="I3109" s="2413"/>
      <c r="J3109" s="2413"/>
      <c r="K3109" s="2260"/>
      <c r="L3109" s="2408"/>
      <c r="M3109" s="2413"/>
    </row>
    <row r="3110" spans="1:13" x14ac:dyDescent="0.3">
      <c r="A3110" s="2452"/>
      <c r="B3110" s="2453"/>
      <c r="C3110" s="2451"/>
      <c r="D3110" s="2451"/>
      <c r="E3110" s="2451"/>
      <c r="F3110" s="2451"/>
      <c r="G3110" s="2451"/>
      <c r="H3110" s="2451"/>
      <c r="I3110" s="2413"/>
      <c r="J3110" s="2413"/>
      <c r="K3110" s="2260"/>
      <c r="L3110" s="2408"/>
      <c r="M3110" s="2413"/>
    </row>
    <row r="3111" spans="1:13" x14ac:dyDescent="0.3">
      <c r="A3111" s="2452"/>
      <c r="B3111" s="2453"/>
      <c r="C3111" s="2451"/>
      <c r="D3111" s="2451"/>
      <c r="E3111" s="2451"/>
      <c r="F3111" s="2451"/>
      <c r="G3111" s="2451"/>
      <c r="H3111" s="2451"/>
      <c r="I3111" s="2413"/>
      <c r="J3111" s="2413"/>
      <c r="K3111" s="2260"/>
      <c r="L3111" s="2408"/>
      <c r="M3111" s="2413"/>
    </row>
    <row r="3112" spans="1:13" x14ac:dyDescent="0.3">
      <c r="A3112" s="2452"/>
      <c r="B3112" s="2453"/>
      <c r="C3112" s="2451"/>
      <c r="D3112" s="2451"/>
      <c r="E3112" s="2451"/>
      <c r="F3112" s="2451"/>
      <c r="G3112" s="2451"/>
      <c r="H3112" s="2451"/>
      <c r="I3112" s="2413"/>
      <c r="J3112" s="2413"/>
      <c r="K3112" s="2260"/>
      <c r="L3112" s="2408"/>
      <c r="M3112" s="2413"/>
    </row>
    <row r="3113" spans="1:13" x14ac:dyDescent="0.3">
      <c r="A3113" s="2452"/>
      <c r="B3113" s="2453"/>
      <c r="C3113" s="2451"/>
      <c r="D3113" s="2451"/>
      <c r="E3113" s="2451"/>
      <c r="F3113" s="2451"/>
      <c r="G3113" s="2451"/>
      <c r="H3113" s="2451"/>
      <c r="I3113" s="2413"/>
      <c r="J3113" s="2413"/>
      <c r="K3113" s="2260"/>
      <c r="L3113" s="2408"/>
      <c r="M3113" s="2413"/>
    </row>
    <row r="3114" spans="1:13" x14ac:dyDescent="0.3">
      <c r="A3114" s="2452"/>
      <c r="B3114" s="2453"/>
      <c r="C3114" s="2451"/>
      <c r="D3114" s="2451"/>
      <c r="E3114" s="2451"/>
      <c r="F3114" s="2451"/>
      <c r="G3114" s="2451"/>
      <c r="H3114" s="2451"/>
      <c r="I3114" s="2413"/>
      <c r="J3114" s="2413"/>
      <c r="K3114" s="2260"/>
      <c r="L3114" s="2408"/>
      <c r="M3114" s="2413"/>
    </row>
    <row r="3115" spans="1:13" x14ac:dyDescent="0.3">
      <c r="A3115" s="2452"/>
      <c r="B3115" s="2453"/>
      <c r="C3115" s="2451"/>
      <c r="D3115" s="2451"/>
      <c r="E3115" s="2451"/>
      <c r="F3115" s="2451"/>
      <c r="G3115" s="2451"/>
      <c r="H3115" s="2451"/>
      <c r="I3115" s="2413"/>
      <c r="J3115" s="2413"/>
      <c r="K3115" s="2260"/>
      <c r="L3115" s="2408"/>
      <c r="M3115" s="2413"/>
    </row>
    <row r="3116" spans="1:13" x14ac:dyDescent="0.3">
      <c r="A3116" s="2452"/>
      <c r="B3116" s="2453"/>
      <c r="C3116" s="2451"/>
      <c r="D3116" s="2451"/>
      <c r="E3116" s="2451"/>
      <c r="F3116" s="2451"/>
      <c r="G3116" s="2451"/>
      <c r="H3116" s="2451"/>
      <c r="I3116" s="2413"/>
      <c r="J3116" s="2413"/>
      <c r="K3116" s="2260"/>
      <c r="L3116" s="2408"/>
      <c r="M3116" s="2413"/>
    </row>
    <row r="3117" spans="1:13" x14ac:dyDescent="0.3">
      <c r="A3117" s="2452"/>
      <c r="B3117" s="2453"/>
      <c r="C3117" s="2451"/>
      <c r="D3117" s="2451"/>
      <c r="E3117" s="2451"/>
      <c r="F3117" s="2451"/>
      <c r="G3117" s="2451"/>
      <c r="H3117" s="2451"/>
      <c r="I3117" s="2413"/>
      <c r="J3117" s="2413"/>
      <c r="K3117" s="2260"/>
      <c r="L3117" s="2408"/>
      <c r="M3117" s="2413"/>
    </row>
    <row r="3118" spans="1:13" x14ac:dyDescent="0.3">
      <c r="A3118" s="2452"/>
      <c r="B3118" s="2453"/>
      <c r="C3118" s="2451"/>
      <c r="D3118" s="2451"/>
      <c r="E3118" s="2451"/>
      <c r="F3118" s="2451"/>
      <c r="G3118" s="2451"/>
      <c r="H3118" s="2451"/>
      <c r="I3118" s="2413"/>
      <c r="J3118" s="2413"/>
      <c r="K3118" s="2260"/>
      <c r="L3118" s="2408"/>
      <c r="M3118" s="2413"/>
    </row>
    <row r="3119" spans="1:13" x14ac:dyDescent="0.3">
      <c r="A3119" s="2452"/>
      <c r="B3119" s="2453"/>
      <c r="C3119" s="2451"/>
      <c r="D3119" s="2451"/>
      <c r="E3119" s="2451"/>
      <c r="F3119" s="2451"/>
      <c r="G3119" s="2451"/>
      <c r="H3119" s="2451"/>
      <c r="I3119" s="2413"/>
      <c r="J3119" s="2413"/>
      <c r="K3119" s="2260"/>
      <c r="L3119" s="2408"/>
      <c r="M3119" s="2413"/>
    </row>
    <row r="3120" spans="1:13" x14ac:dyDescent="0.3">
      <c r="A3120" s="2452"/>
      <c r="B3120" s="2453"/>
      <c r="C3120" s="2451"/>
      <c r="D3120" s="2451"/>
      <c r="E3120" s="2451"/>
      <c r="F3120" s="2451"/>
      <c r="G3120" s="2451"/>
      <c r="H3120" s="2451"/>
      <c r="I3120" s="2413"/>
      <c r="J3120" s="2413"/>
      <c r="K3120" s="2260"/>
      <c r="L3120" s="2408"/>
      <c r="M3120" s="2413"/>
    </row>
    <row r="3121" spans="1:13" x14ac:dyDescent="0.3">
      <c r="A3121" s="2452"/>
      <c r="B3121" s="2453"/>
      <c r="C3121" s="2451"/>
      <c r="D3121" s="2451"/>
      <c r="E3121" s="2451"/>
      <c r="F3121" s="2451"/>
      <c r="G3121" s="2451"/>
      <c r="H3121" s="2451"/>
      <c r="I3121" s="2413"/>
      <c r="J3121" s="2413"/>
      <c r="K3121" s="2260"/>
      <c r="L3121" s="2408"/>
      <c r="M3121" s="2413"/>
    </row>
    <row r="3122" spans="1:13" x14ac:dyDescent="0.3">
      <c r="A3122" s="2452"/>
      <c r="B3122" s="2453"/>
      <c r="C3122" s="2451"/>
      <c r="D3122" s="2451"/>
      <c r="E3122" s="2451"/>
      <c r="F3122" s="2451"/>
      <c r="G3122" s="2451"/>
      <c r="H3122" s="2451"/>
      <c r="I3122" s="2413"/>
      <c r="J3122" s="2413"/>
      <c r="K3122" s="2260"/>
      <c r="L3122" s="2408"/>
      <c r="M3122" s="2413"/>
    </row>
    <row r="3123" spans="1:13" x14ac:dyDescent="0.3">
      <c r="A3123" s="2452"/>
      <c r="B3123" s="2453"/>
      <c r="C3123" s="2451"/>
      <c r="D3123" s="2451"/>
      <c r="E3123" s="2451"/>
      <c r="F3123" s="2451"/>
      <c r="G3123" s="2451"/>
      <c r="H3123" s="2451"/>
      <c r="I3123" s="2413"/>
      <c r="J3123" s="2413"/>
      <c r="K3123" s="2260"/>
      <c r="L3123" s="2408"/>
      <c r="M3123" s="2413"/>
    </row>
    <row r="3124" spans="1:13" x14ac:dyDescent="0.3">
      <c r="A3124" s="2452"/>
      <c r="B3124" s="2453"/>
      <c r="C3124" s="2451"/>
      <c r="D3124" s="2451"/>
      <c r="E3124" s="2451"/>
      <c r="F3124" s="2451"/>
      <c r="G3124" s="2451"/>
      <c r="H3124" s="2451"/>
      <c r="I3124" s="2413"/>
      <c r="J3124" s="2413"/>
      <c r="K3124" s="2260"/>
      <c r="L3124" s="2408"/>
      <c r="M3124" s="2413"/>
    </row>
    <row r="3125" spans="1:13" x14ac:dyDescent="0.3">
      <c r="A3125" s="2452"/>
      <c r="B3125" s="2453"/>
      <c r="C3125" s="2451"/>
      <c r="D3125" s="2451"/>
      <c r="E3125" s="2451"/>
      <c r="F3125" s="2451"/>
      <c r="G3125" s="2451"/>
      <c r="H3125" s="2451"/>
      <c r="I3125" s="2413"/>
      <c r="J3125" s="2413"/>
      <c r="K3125" s="2260"/>
      <c r="L3125" s="2408"/>
      <c r="M3125" s="2413"/>
    </row>
    <row r="3126" spans="1:13" x14ac:dyDescent="0.3">
      <c r="A3126" s="2452"/>
      <c r="B3126" s="2453"/>
      <c r="C3126" s="2451"/>
      <c r="D3126" s="2451"/>
      <c r="E3126" s="2451"/>
      <c r="F3126" s="2451"/>
      <c r="G3126" s="2451"/>
      <c r="H3126" s="2451"/>
      <c r="I3126" s="2413"/>
      <c r="J3126" s="2413"/>
      <c r="K3126" s="2260"/>
      <c r="L3126" s="2408"/>
      <c r="M3126" s="2413"/>
    </row>
    <row r="3127" spans="1:13" x14ac:dyDescent="0.3">
      <c r="A3127" s="2452"/>
      <c r="B3127" s="2453"/>
      <c r="C3127" s="2451"/>
      <c r="D3127" s="2451"/>
      <c r="E3127" s="2451"/>
      <c r="F3127" s="2451"/>
      <c r="G3127" s="2451"/>
      <c r="H3127" s="2451"/>
      <c r="I3127" s="2413"/>
      <c r="J3127" s="2413"/>
      <c r="K3127" s="2260"/>
      <c r="L3127" s="2408"/>
      <c r="M3127" s="2413"/>
    </row>
    <row r="3128" spans="1:13" x14ac:dyDescent="0.3">
      <c r="A3128" s="2452"/>
      <c r="B3128" s="2453"/>
      <c r="C3128" s="2451"/>
      <c r="D3128" s="2451"/>
      <c r="E3128" s="2451"/>
      <c r="F3128" s="2451"/>
      <c r="G3128" s="2451"/>
      <c r="H3128" s="2451"/>
      <c r="I3128" s="2413"/>
      <c r="J3128" s="2413"/>
      <c r="K3128" s="2260"/>
      <c r="L3128" s="2408"/>
      <c r="M3128" s="2413"/>
    </row>
    <row r="3129" spans="1:13" x14ac:dyDescent="0.3">
      <c r="A3129" s="2452"/>
      <c r="B3129" s="2453"/>
      <c r="C3129" s="2451"/>
      <c r="D3129" s="2451"/>
      <c r="E3129" s="2451"/>
      <c r="F3129" s="2451"/>
      <c r="G3129" s="2451"/>
      <c r="H3129" s="2451"/>
      <c r="I3129" s="2413"/>
      <c r="J3129" s="2413"/>
      <c r="K3129" s="2260"/>
      <c r="L3129" s="2408"/>
      <c r="M3129" s="2413"/>
    </row>
    <row r="3130" spans="1:13" x14ac:dyDescent="0.3">
      <c r="A3130" s="2452"/>
      <c r="B3130" s="2453"/>
      <c r="C3130" s="2451"/>
      <c r="D3130" s="2451"/>
      <c r="E3130" s="2451"/>
      <c r="F3130" s="2451"/>
      <c r="G3130" s="2451"/>
      <c r="H3130" s="2451"/>
      <c r="I3130" s="2413"/>
      <c r="J3130" s="2413"/>
      <c r="K3130" s="2260"/>
      <c r="L3130" s="2408"/>
      <c r="M3130" s="2413"/>
    </row>
    <row r="3131" spans="1:13" x14ac:dyDescent="0.3">
      <c r="A3131" s="2452"/>
      <c r="B3131" s="2453"/>
      <c r="C3131" s="2451"/>
      <c r="D3131" s="2451"/>
      <c r="E3131" s="2451"/>
      <c r="F3131" s="2451"/>
      <c r="G3131" s="2451"/>
      <c r="H3131" s="2451"/>
      <c r="I3131" s="2413"/>
      <c r="J3131" s="2413"/>
      <c r="K3131" s="2260"/>
      <c r="L3131" s="2408"/>
      <c r="M3131" s="2413"/>
    </row>
    <row r="3132" spans="1:13" x14ac:dyDescent="0.3">
      <c r="A3132" s="2452"/>
      <c r="B3132" s="2453"/>
      <c r="C3132" s="2451"/>
      <c r="D3132" s="2451"/>
      <c r="E3132" s="2451"/>
      <c r="F3132" s="2451"/>
      <c r="G3132" s="2451"/>
      <c r="H3132" s="2451"/>
      <c r="I3132" s="2413"/>
      <c r="J3132" s="2413"/>
      <c r="K3132" s="2260"/>
      <c r="L3132" s="2408"/>
      <c r="M3132" s="2413"/>
    </row>
    <row r="3133" spans="1:13" x14ac:dyDescent="0.3">
      <c r="A3133" s="2452"/>
      <c r="B3133" s="2453"/>
      <c r="C3133" s="2451"/>
      <c r="D3133" s="2451"/>
      <c r="E3133" s="2451"/>
      <c r="F3133" s="2451"/>
      <c r="G3133" s="2451"/>
      <c r="H3133" s="2451"/>
      <c r="I3133" s="2413"/>
      <c r="J3133" s="2413"/>
      <c r="K3133" s="2260"/>
      <c r="L3133" s="2408"/>
      <c r="M3133" s="2413"/>
    </row>
    <row r="3134" spans="1:13" x14ac:dyDescent="0.3">
      <c r="A3134" s="2452"/>
      <c r="B3134" s="2453"/>
      <c r="C3134" s="2451"/>
      <c r="D3134" s="2451"/>
      <c r="E3134" s="2451"/>
      <c r="F3134" s="2451"/>
      <c r="G3134" s="2451"/>
      <c r="H3134" s="2451"/>
      <c r="I3134" s="2413"/>
      <c r="J3134" s="2413"/>
      <c r="K3134" s="2260"/>
      <c r="L3134" s="2408"/>
      <c r="M3134" s="2413"/>
    </row>
    <row r="3135" spans="1:13" x14ac:dyDescent="0.3">
      <c r="A3135" s="2452"/>
      <c r="B3135" s="2453"/>
      <c r="C3135" s="2451"/>
      <c r="D3135" s="2451"/>
      <c r="E3135" s="2451"/>
      <c r="F3135" s="2451"/>
      <c r="G3135" s="2451"/>
      <c r="H3135" s="2451"/>
      <c r="I3135" s="2413"/>
      <c r="J3135" s="2413"/>
      <c r="K3135" s="2260"/>
      <c r="L3135" s="2408"/>
      <c r="M3135" s="2413"/>
    </row>
    <row r="3136" spans="1:13" x14ac:dyDescent="0.3">
      <c r="A3136" s="2452"/>
      <c r="B3136" s="2453"/>
      <c r="C3136" s="2451"/>
      <c r="D3136" s="2451"/>
      <c r="E3136" s="2451"/>
      <c r="F3136" s="2451"/>
      <c r="G3136" s="2451"/>
      <c r="H3136" s="2451"/>
      <c r="I3136" s="2413"/>
      <c r="J3136" s="2413"/>
      <c r="K3136" s="2260"/>
      <c r="L3136" s="2408"/>
      <c r="M3136" s="2413"/>
    </row>
    <row r="3137" spans="1:13" x14ac:dyDescent="0.3">
      <c r="A3137" s="2452"/>
      <c r="B3137" s="2453"/>
      <c r="C3137" s="2451"/>
      <c r="D3137" s="2451"/>
      <c r="E3137" s="2451"/>
      <c r="F3137" s="2451"/>
      <c r="G3137" s="2451"/>
      <c r="H3137" s="2451"/>
      <c r="I3137" s="2413"/>
      <c r="J3137" s="2413"/>
      <c r="K3137" s="2260"/>
      <c r="L3137" s="2408"/>
      <c r="M3137" s="2413"/>
    </row>
    <row r="3138" spans="1:13" x14ac:dyDescent="0.3">
      <c r="A3138" s="2452"/>
      <c r="B3138" s="2453"/>
      <c r="C3138" s="2451"/>
      <c r="D3138" s="2451"/>
      <c r="E3138" s="2451"/>
      <c r="F3138" s="2451"/>
      <c r="G3138" s="2451"/>
      <c r="H3138" s="2451"/>
      <c r="I3138" s="2413"/>
      <c r="J3138" s="2413"/>
      <c r="K3138" s="2260"/>
      <c r="L3138" s="2408"/>
      <c r="M3138" s="2413"/>
    </row>
    <row r="3139" spans="1:13" x14ac:dyDescent="0.3">
      <c r="A3139" s="2452"/>
      <c r="B3139" s="2453"/>
      <c r="C3139" s="2451"/>
      <c r="D3139" s="2451"/>
      <c r="E3139" s="2451"/>
      <c r="F3139" s="2451"/>
      <c r="G3139" s="2451"/>
      <c r="H3139" s="2451"/>
      <c r="I3139" s="2413"/>
      <c r="J3139" s="2413"/>
      <c r="K3139" s="2260"/>
      <c r="L3139" s="2408"/>
      <c r="M3139" s="2413"/>
    </row>
    <row r="3140" spans="1:13" x14ac:dyDescent="0.3">
      <c r="A3140" s="2452"/>
      <c r="B3140" s="2453"/>
      <c r="C3140" s="2451"/>
      <c r="D3140" s="2451"/>
      <c r="E3140" s="2451"/>
      <c r="F3140" s="2451"/>
      <c r="G3140" s="2451"/>
      <c r="H3140" s="2451"/>
      <c r="I3140" s="2413"/>
      <c r="J3140" s="2413"/>
      <c r="K3140" s="2260"/>
      <c r="L3140" s="2408"/>
      <c r="M3140" s="2413"/>
    </row>
    <row r="3141" spans="1:13" x14ac:dyDescent="0.3">
      <c r="A3141" s="2452"/>
      <c r="B3141" s="2453"/>
      <c r="C3141" s="2451"/>
      <c r="D3141" s="2451"/>
      <c r="E3141" s="2451"/>
      <c r="F3141" s="2451"/>
      <c r="G3141" s="2451"/>
      <c r="H3141" s="2451"/>
      <c r="I3141" s="2413"/>
      <c r="J3141" s="2413"/>
      <c r="K3141" s="2260"/>
      <c r="L3141" s="2408"/>
      <c r="M3141" s="2413"/>
    </row>
    <row r="3142" spans="1:13" x14ac:dyDescent="0.3">
      <c r="A3142" s="2452"/>
      <c r="B3142" s="2453"/>
      <c r="C3142" s="2451"/>
      <c r="D3142" s="2451"/>
      <c r="E3142" s="2451"/>
      <c r="F3142" s="2451"/>
      <c r="G3142" s="2451"/>
      <c r="H3142" s="2451"/>
      <c r="I3142" s="2413"/>
      <c r="J3142" s="2413"/>
      <c r="K3142" s="2260"/>
      <c r="L3142" s="2408"/>
      <c r="M3142" s="2413"/>
    </row>
    <row r="3143" spans="1:13" x14ac:dyDescent="0.3">
      <c r="A3143" s="2452"/>
      <c r="B3143" s="2453"/>
      <c r="C3143" s="2451"/>
      <c r="D3143" s="2451"/>
      <c r="E3143" s="2451"/>
      <c r="F3143" s="2451"/>
      <c r="G3143" s="2451"/>
      <c r="H3143" s="2451"/>
      <c r="I3143" s="2413"/>
      <c r="J3143" s="2413"/>
      <c r="K3143" s="2260"/>
      <c r="L3143" s="2408"/>
      <c r="M3143" s="2413"/>
    </row>
    <row r="3144" spans="1:13" x14ac:dyDescent="0.3">
      <c r="A3144" s="2452"/>
      <c r="B3144" s="2453"/>
      <c r="C3144" s="2451"/>
      <c r="D3144" s="2451"/>
      <c r="E3144" s="2451"/>
      <c r="F3144" s="2451"/>
      <c r="G3144" s="2451"/>
      <c r="H3144" s="2451"/>
      <c r="I3144" s="2413"/>
      <c r="J3144" s="2413"/>
      <c r="K3144" s="2260"/>
      <c r="L3144" s="2408"/>
      <c r="M3144" s="2413"/>
    </row>
    <row r="3145" spans="1:13" x14ac:dyDescent="0.3">
      <c r="A3145" s="2452"/>
      <c r="B3145" s="2453"/>
      <c r="C3145" s="2451"/>
      <c r="D3145" s="2451"/>
      <c r="E3145" s="2451"/>
      <c r="F3145" s="2451"/>
      <c r="G3145" s="2451"/>
      <c r="H3145" s="2451"/>
      <c r="I3145" s="2413"/>
      <c r="J3145" s="2413"/>
      <c r="K3145" s="2260"/>
      <c r="L3145" s="2408"/>
      <c r="M3145" s="2413"/>
    </row>
    <row r="3146" spans="1:13" x14ac:dyDescent="0.3">
      <c r="A3146" s="2452"/>
      <c r="B3146" s="2453"/>
      <c r="C3146" s="2451"/>
      <c r="D3146" s="2451"/>
      <c r="E3146" s="2451"/>
      <c r="F3146" s="2451"/>
      <c r="G3146" s="2451"/>
      <c r="H3146" s="2451"/>
      <c r="I3146" s="2413"/>
      <c r="J3146" s="2413"/>
      <c r="K3146" s="2260"/>
      <c r="L3146" s="2408"/>
      <c r="M3146" s="2413"/>
    </row>
    <row r="3147" spans="1:13" x14ac:dyDescent="0.3">
      <c r="A3147" s="2452"/>
      <c r="B3147" s="2453"/>
      <c r="C3147" s="2451"/>
      <c r="D3147" s="2451"/>
      <c r="E3147" s="2451"/>
      <c r="F3147" s="2451"/>
      <c r="G3147" s="2451"/>
      <c r="H3147" s="2451"/>
      <c r="I3147" s="2413"/>
      <c r="J3147" s="2413"/>
      <c r="K3147" s="2260"/>
      <c r="L3147" s="2408"/>
      <c r="M3147" s="2413"/>
    </row>
    <row r="3148" spans="1:13" x14ac:dyDescent="0.3">
      <c r="A3148" s="2452"/>
      <c r="B3148" s="2453"/>
      <c r="C3148" s="2451"/>
      <c r="D3148" s="2451"/>
      <c r="E3148" s="2451"/>
      <c r="F3148" s="2451"/>
      <c r="G3148" s="2451"/>
      <c r="H3148" s="2451"/>
      <c r="I3148" s="2413"/>
      <c r="J3148" s="2413"/>
      <c r="K3148" s="2260"/>
      <c r="L3148" s="2408"/>
      <c r="M3148" s="2413"/>
    </row>
    <row r="3149" spans="1:13" x14ac:dyDescent="0.3">
      <c r="A3149" s="2452"/>
      <c r="B3149" s="2453"/>
      <c r="C3149" s="2451"/>
      <c r="D3149" s="2451"/>
      <c r="E3149" s="2451"/>
      <c r="F3149" s="2451"/>
      <c r="G3149" s="2451"/>
      <c r="H3149" s="2451"/>
      <c r="I3149" s="2413"/>
      <c r="J3149" s="2413"/>
      <c r="K3149" s="2260"/>
      <c r="L3149" s="2408"/>
      <c r="M3149" s="2413"/>
    </row>
    <row r="3150" spans="1:13" x14ac:dyDescent="0.3">
      <c r="A3150" s="2452"/>
      <c r="B3150" s="2453"/>
      <c r="C3150" s="2451"/>
      <c r="D3150" s="2451"/>
      <c r="E3150" s="2451"/>
      <c r="F3150" s="2451"/>
      <c r="G3150" s="2451"/>
      <c r="H3150" s="2451"/>
      <c r="I3150" s="2413"/>
      <c r="J3150" s="2413"/>
      <c r="K3150" s="2260"/>
      <c r="L3150" s="2408"/>
      <c r="M3150" s="2413"/>
    </row>
    <row r="3151" spans="1:13" x14ac:dyDescent="0.3">
      <c r="A3151" s="2452"/>
      <c r="B3151" s="2453"/>
      <c r="C3151" s="2451"/>
      <c r="D3151" s="2451"/>
      <c r="E3151" s="2451"/>
      <c r="F3151" s="2451"/>
      <c r="G3151" s="2451"/>
      <c r="H3151" s="2451"/>
      <c r="I3151" s="2413"/>
      <c r="J3151" s="2413"/>
      <c r="K3151" s="2260"/>
      <c r="L3151" s="2408"/>
      <c r="M3151" s="2413"/>
    </row>
    <row r="3152" spans="1:13" x14ac:dyDescent="0.3">
      <c r="A3152" s="2452"/>
      <c r="B3152" s="2453"/>
      <c r="C3152" s="2451"/>
      <c r="D3152" s="2451"/>
      <c r="E3152" s="2451"/>
      <c r="F3152" s="2451"/>
      <c r="G3152" s="2451"/>
      <c r="H3152" s="2451"/>
      <c r="I3152" s="2413"/>
      <c r="J3152" s="2413"/>
      <c r="K3152" s="2260"/>
      <c r="L3152" s="2408"/>
      <c r="M3152" s="2413"/>
    </row>
    <row r="3153" spans="1:13" x14ac:dyDescent="0.3">
      <c r="A3153" s="2452"/>
      <c r="B3153" s="2453"/>
      <c r="C3153" s="2451"/>
      <c r="D3153" s="2451"/>
      <c r="E3153" s="2451"/>
      <c r="F3153" s="2451"/>
      <c r="G3153" s="2451"/>
      <c r="H3153" s="2451"/>
      <c r="I3153" s="2413"/>
      <c r="J3153" s="2413"/>
      <c r="K3153" s="2260"/>
      <c r="L3153" s="2408"/>
      <c r="M3153" s="2413"/>
    </row>
    <row r="3154" spans="1:13" x14ac:dyDescent="0.3">
      <c r="A3154" s="2452"/>
      <c r="B3154" s="2453"/>
      <c r="C3154" s="2451"/>
      <c r="D3154" s="2451"/>
      <c r="E3154" s="2451"/>
      <c r="F3154" s="2451"/>
      <c r="G3154" s="2451"/>
      <c r="H3154" s="2451"/>
      <c r="I3154" s="2413"/>
      <c r="J3154" s="2413"/>
      <c r="K3154" s="2260"/>
      <c r="L3154" s="2408"/>
      <c r="M3154" s="2413"/>
    </row>
    <row r="3155" spans="1:13" x14ac:dyDescent="0.3">
      <c r="A3155" s="2452"/>
      <c r="B3155" s="2453"/>
      <c r="C3155" s="2451"/>
      <c r="D3155" s="2451"/>
      <c r="E3155" s="2451"/>
      <c r="F3155" s="2451"/>
      <c r="G3155" s="2451"/>
      <c r="H3155" s="2451"/>
      <c r="I3155" s="2413"/>
      <c r="J3155" s="2413"/>
      <c r="K3155" s="2260"/>
      <c r="L3155" s="2408"/>
      <c r="M3155" s="2413"/>
    </row>
    <row r="3156" spans="1:13" x14ac:dyDescent="0.3">
      <c r="A3156" s="2452"/>
      <c r="B3156" s="2453"/>
      <c r="C3156" s="2451"/>
      <c r="D3156" s="2451"/>
      <c r="E3156" s="2451"/>
      <c r="F3156" s="2451"/>
      <c r="G3156" s="2451"/>
      <c r="H3156" s="2451"/>
      <c r="I3156" s="2413"/>
      <c r="J3156" s="2413"/>
      <c r="K3156" s="2260"/>
      <c r="L3156" s="2408"/>
      <c r="M3156" s="2413"/>
    </row>
    <row r="3157" spans="1:13" x14ac:dyDescent="0.3">
      <c r="A3157" s="2452"/>
      <c r="B3157" s="2453"/>
      <c r="C3157" s="2451"/>
      <c r="D3157" s="2451"/>
      <c r="E3157" s="2451"/>
      <c r="F3157" s="2451"/>
      <c r="G3157" s="2451"/>
      <c r="H3157" s="2451"/>
      <c r="I3157" s="2413"/>
      <c r="J3157" s="2413"/>
      <c r="K3157" s="2260"/>
      <c r="L3157" s="2408"/>
      <c r="M3157" s="2413"/>
    </row>
    <row r="3158" spans="1:13" x14ac:dyDescent="0.3">
      <c r="A3158" s="2452"/>
      <c r="B3158" s="2453"/>
      <c r="C3158" s="2451"/>
      <c r="D3158" s="2451"/>
      <c r="E3158" s="2451"/>
      <c r="F3158" s="2451"/>
      <c r="G3158" s="2451"/>
      <c r="H3158" s="2451"/>
      <c r="I3158" s="2413"/>
      <c r="J3158" s="2413"/>
      <c r="K3158" s="2260"/>
      <c r="L3158" s="2408"/>
      <c r="M3158" s="2413"/>
    </row>
    <row r="3159" spans="1:13" x14ac:dyDescent="0.3">
      <c r="A3159" s="2452"/>
      <c r="B3159" s="2453"/>
      <c r="C3159" s="2451"/>
      <c r="D3159" s="2451"/>
      <c r="E3159" s="2451"/>
      <c r="F3159" s="2451"/>
      <c r="G3159" s="2451"/>
      <c r="H3159" s="2451"/>
      <c r="I3159" s="2413"/>
      <c r="J3159" s="2413"/>
      <c r="K3159" s="2260"/>
      <c r="L3159" s="2408"/>
      <c r="M3159" s="2413"/>
    </row>
    <row r="3160" spans="1:13" x14ac:dyDescent="0.3">
      <c r="A3160" s="2452"/>
      <c r="B3160" s="2453"/>
      <c r="C3160" s="2451"/>
      <c r="D3160" s="2451"/>
      <c r="E3160" s="2451"/>
      <c r="F3160" s="2451"/>
      <c r="G3160" s="2451"/>
      <c r="H3160" s="2451"/>
      <c r="I3160" s="2413"/>
      <c r="J3160" s="2413"/>
      <c r="K3160" s="2260"/>
      <c r="L3160" s="2408"/>
      <c r="M3160" s="2413"/>
    </row>
    <row r="3161" spans="1:13" x14ac:dyDescent="0.3">
      <c r="A3161" s="2452"/>
      <c r="B3161" s="2453"/>
      <c r="C3161" s="2451"/>
      <c r="D3161" s="2451"/>
      <c r="E3161" s="2451"/>
      <c r="F3161" s="2451"/>
      <c r="G3161" s="2451"/>
      <c r="H3161" s="2451"/>
      <c r="I3161" s="2413"/>
      <c r="J3161" s="2413"/>
      <c r="K3161" s="2260"/>
      <c r="L3161" s="2408"/>
      <c r="M3161" s="2413"/>
    </row>
    <row r="3162" spans="1:13" x14ac:dyDescent="0.3">
      <c r="A3162" s="2452"/>
      <c r="B3162" s="2453"/>
      <c r="C3162" s="2451"/>
      <c r="D3162" s="2451"/>
      <c r="E3162" s="2451"/>
      <c r="F3162" s="2451"/>
      <c r="G3162" s="2451"/>
      <c r="H3162" s="2451"/>
      <c r="I3162" s="2413"/>
      <c r="J3162" s="2413"/>
      <c r="K3162" s="2260"/>
      <c r="L3162" s="2408"/>
      <c r="M3162" s="2413"/>
    </row>
    <row r="3163" spans="1:13" x14ac:dyDescent="0.3">
      <c r="A3163" s="2452"/>
      <c r="B3163" s="2453"/>
      <c r="C3163" s="2451"/>
      <c r="D3163" s="2451"/>
      <c r="E3163" s="2451"/>
      <c r="F3163" s="2451"/>
      <c r="G3163" s="2451"/>
      <c r="H3163" s="2451"/>
      <c r="I3163" s="2413"/>
      <c r="J3163" s="2413"/>
      <c r="K3163" s="2260"/>
      <c r="L3163" s="2408"/>
      <c r="M3163" s="2413"/>
    </row>
    <row r="3164" spans="1:13" x14ac:dyDescent="0.3">
      <c r="A3164" s="2452"/>
      <c r="B3164" s="2453"/>
      <c r="C3164" s="2451"/>
      <c r="D3164" s="2451"/>
      <c r="E3164" s="2451"/>
      <c r="F3164" s="2451"/>
      <c r="G3164" s="2451"/>
      <c r="H3164" s="2451"/>
      <c r="I3164" s="2413"/>
      <c r="J3164" s="2413"/>
      <c r="K3164" s="2260"/>
      <c r="L3164" s="2408"/>
      <c r="M3164" s="2413"/>
    </row>
    <row r="3165" spans="1:13" x14ac:dyDescent="0.3">
      <c r="A3165" s="2452"/>
      <c r="B3165" s="2453"/>
      <c r="C3165" s="2451"/>
      <c r="D3165" s="2451"/>
      <c r="E3165" s="2451"/>
      <c r="F3165" s="2451"/>
      <c r="G3165" s="2451"/>
      <c r="H3165" s="2451"/>
      <c r="I3165" s="2413"/>
      <c r="J3165" s="2413"/>
      <c r="K3165" s="2260"/>
      <c r="L3165" s="2408"/>
      <c r="M3165" s="2413"/>
    </row>
    <row r="3166" spans="1:13" x14ac:dyDescent="0.3">
      <c r="A3166" s="2452"/>
      <c r="B3166" s="2453"/>
      <c r="C3166" s="2451"/>
      <c r="D3166" s="2451"/>
      <c r="E3166" s="2451"/>
      <c r="F3166" s="2451"/>
      <c r="G3166" s="2451"/>
      <c r="H3166" s="2451"/>
      <c r="I3166" s="2413"/>
      <c r="J3166" s="2413"/>
      <c r="K3166" s="2260"/>
      <c r="L3166" s="2408"/>
      <c r="M3166" s="2413"/>
    </row>
    <row r="3167" spans="1:13" x14ac:dyDescent="0.3">
      <c r="A3167" s="2452"/>
      <c r="B3167" s="2453"/>
      <c r="C3167" s="2451"/>
      <c r="D3167" s="2451"/>
      <c r="E3167" s="2451"/>
      <c r="F3167" s="2451"/>
      <c r="G3167" s="2451"/>
      <c r="H3167" s="2451"/>
      <c r="I3167" s="2413"/>
      <c r="J3167" s="2413"/>
      <c r="K3167" s="2260"/>
      <c r="L3167" s="2408"/>
      <c r="M3167" s="2413"/>
    </row>
    <row r="3168" spans="1:13" x14ac:dyDescent="0.3">
      <c r="A3168" s="2452"/>
      <c r="B3168" s="2453"/>
      <c r="C3168" s="2451"/>
      <c r="D3168" s="2451"/>
      <c r="E3168" s="2451"/>
      <c r="F3168" s="2451"/>
      <c r="G3168" s="2451"/>
      <c r="H3168" s="2451"/>
      <c r="I3168" s="2413"/>
      <c r="J3168" s="2413"/>
      <c r="K3168" s="2260"/>
      <c r="L3168" s="2408"/>
      <c r="M3168" s="2413"/>
    </row>
    <row r="3169" spans="1:13" x14ac:dyDescent="0.3">
      <c r="A3169" s="2452"/>
      <c r="B3169" s="2453"/>
      <c r="C3169" s="2451"/>
      <c r="D3169" s="2451"/>
      <c r="E3169" s="2451"/>
      <c r="F3169" s="2451"/>
      <c r="G3169" s="2451"/>
      <c r="H3169" s="2451"/>
      <c r="I3169" s="2413"/>
      <c r="J3169" s="2413"/>
      <c r="K3169" s="2260"/>
      <c r="L3169" s="2408"/>
      <c r="M3169" s="2413"/>
    </row>
    <row r="3170" spans="1:13" x14ac:dyDescent="0.3">
      <c r="A3170" s="2452"/>
      <c r="B3170" s="2453"/>
      <c r="C3170" s="2451"/>
      <c r="D3170" s="2451"/>
      <c r="E3170" s="2451"/>
      <c r="F3170" s="2451"/>
      <c r="G3170" s="2451"/>
      <c r="H3170" s="2451"/>
      <c r="I3170" s="2413"/>
      <c r="J3170" s="2413"/>
      <c r="K3170" s="2260"/>
      <c r="L3170" s="2408"/>
      <c r="M3170" s="2413"/>
    </row>
    <row r="3171" spans="1:13" x14ac:dyDescent="0.3">
      <c r="A3171" s="2452"/>
      <c r="B3171" s="2453"/>
      <c r="C3171" s="2451"/>
      <c r="D3171" s="2451"/>
      <c r="E3171" s="2451"/>
      <c r="F3171" s="2451"/>
      <c r="G3171" s="2451"/>
      <c r="H3171" s="2451"/>
      <c r="I3171" s="2413"/>
      <c r="J3171" s="2413"/>
      <c r="K3171" s="2260"/>
      <c r="L3171" s="2408"/>
      <c r="M3171" s="2413"/>
    </row>
    <row r="3172" spans="1:13" x14ac:dyDescent="0.3">
      <c r="A3172" s="2452"/>
      <c r="B3172" s="2453"/>
      <c r="C3172" s="2451"/>
      <c r="D3172" s="2451"/>
      <c r="E3172" s="2451"/>
      <c r="F3172" s="2451"/>
      <c r="G3172" s="2451"/>
      <c r="H3172" s="2451"/>
      <c r="I3172" s="2413"/>
      <c r="J3172" s="2413"/>
      <c r="K3172" s="2260"/>
      <c r="L3172" s="2408"/>
      <c r="M3172" s="2413"/>
    </row>
    <row r="3173" spans="1:13" x14ac:dyDescent="0.3">
      <c r="A3173" s="2452"/>
      <c r="B3173" s="2453"/>
      <c r="C3173" s="2451"/>
      <c r="D3173" s="2451"/>
      <c r="E3173" s="2451"/>
      <c r="F3173" s="2451"/>
      <c r="G3173" s="2451"/>
      <c r="H3173" s="2451"/>
      <c r="I3173" s="2413"/>
      <c r="J3173" s="2413"/>
      <c r="K3173" s="2260"/>
      <c r="L3173" s="2408"/>
      <c r="M3173" s="2413"/>
    </row>
    <row r="3174" spans="1:13" x14ac:dyDescent="0.3">
      <c r="A3174" s="2452"/>
      <c r="B3174" s="2453"/>
      <c r="C3174" s="2451"/>
      <c r="D3174" s="2451"/>
      <c r="E3174" s="2451"/>
      <c r="F3174" s="2451"/>
      <c r="G3174" s="2451"/>
      <c r="H3174" s="2451"/>
      <c r="I3174" s="2413"/>
      <c r="J3174" s="2413"/>
      <c r="K3174" s="2260"/>
      <c r="L3174" s="2408"/>
      <c r="M3174" s="2413"/>
    </row>
    <row r="3175" spans="1:13" x14ac:dyDescent="0.3">
      <c r="A3175" s="2452"/>
      <c r="B3175" s="2453"/>
      <c r="C3175" s="2451"/>
      <c r="D3175" s="2451"/>
      <c r="E3175" s="2451"/>
      <c r="F3175" s="2451"/>
      <c r="G3175" s="2451"/>
      <c r="H3175" s="2451"/>
      <c r="I3175" s="2413"/>
      <c r="J3175" s="2413"/>
      <c r="K3175" s="2260"/>
      <c r="L3175" s="2408"/>
      <c r="M3175" s="2413"/>
    </row>
    <row r="3176" spans="1:13" x14ac:dyDescent="0.3">
      <c r="A3176" s="2452"/>
      <c r="B3176" s="2453"/>
      <c r="C3176" s="2451"/>
      <c r="D3176" s="2451"/>
      <c r="E3176" s="2451"/>
      <c r="F3176" s="2451"/>
      <c r="G3176" s="2451"/>
      <c r="H3176" s="2451"/>
      <c r="I3176" s="2413"/>
      <c r="J3176" s="2413"/>
      <c r="K3176" s="2260"/>
      <c r="L3176" s="2408"/>
      <c r="M3176" s="2413"/>
    </row>
    <row r="3177" spans="1:13" x14ac:dyDescent="0.3">
      <c r="A3177" s="2452"/>
      <c r="B3177" s="2453"/>
      <c r="C3177" s="2451"/>
      <c r="D3177" s="2451"/>
      <c r="E3177" s="2451"/>
      <c r="F3177" s="2451"/>
      <c r="G3177" s="2451"/>
      <c r="H3177" s="2451"/>
      <c r="I3177" s="2413"/>
      <c r="J3177" s="2413"/>
      <c r="K3177" s="2260"/>
      <c r="L3177" s="2408"/>
      <c r="M3177" s="2413"/>
    </row>
    <row r="3178" spans="1:13" x14ac:dyDescent="0.3">
      <c r="A3178" s="2452"/>
      <c r="B3178" s="2453"/>
      <c r="C3178" s="2451"/>
      <c r="D3178" s="2451"/>
      <c r="E3178" s="2451"/>
      <c r="F3178" s="2451"/>
      <c r="G3178" s="2451"/>
      <c r="H3178" s="2451"/>
      <c r="I3178" s="2413"/>
      <c r="J3178" s="2413"/>
      <c r="K3178" s="2260"/>
      <c r="L3178" s="2408"/>
      <c r="M3178" s="2413"/>
    </row>
    <row r="3179" spans="1:13" x14ac:dyDescent="0.3">
      <c r="A3179" s="2452"/>
      <c r="B3179" s="2453"/>
      <c r="C3179" s="2451"/>
      <c r="D3179" s="2451"/>
      <c r="E3179" s="2451"/>
      <c r="F3179" s="2451"/>
      <c r="G3179" s="2451"/>
      <c r="H3179" s="2451"/>
      <c r="I3179" s="2413"/>
      <c r="J3179" s="2413"/>
      <c r="K3179" s="2260"/>
      <c r="L3179" s="2408"/>
      <c r="M3179" s="2413"/>
    </row>
    <row r="3180" spans="1:13" x14ac:dyDescent="0.3">
      <c r="A3180" s="2452"/>
      <c r="B3180" s="2453"/>
      <c r="C3180" s="2451"/>
      <c r="D3180" s="2451"/>
      <c r="E3180" s="2451"/>
      <c r="F3180" s="2451"/>
      <c r="G3180" s="2451"/>
      <c r="H3180" s="2451"/>
      <c r="I3180" s="2413"/>
      <c r="J3180" s="2413"/>
      <c r="K3180" s="2260"/>
      <c r="L3180" s="2408"/>
      <c r="M3180" s="2413"/>
    </row>
    <row r="3181" spans="1:13" x14ac:dyDescent="0.3">
      <c r="A3181" s="2452"/>
      <c r="B3181" s="2453"/>
      <c r="C3181" s="2451"/>
      <c r="D3181" s="2451"/>
      <c r="E3181" s="2451"/>
      <c r="F3181" s="2451"/>
      <c r="G3181" s="2451"/>
      <c r="H3181" s="2451"/>
      <c r="I3181" s="2413"/>
      <c r="J3181" s="2413"/>
      <c r="K3181" s="2260"/>
      <c r="L3181" s="2408"/>
      <c r="M3181" s="2413"/>
    </row>
    <row r="3182" spans="1:13" x14ac:dyDescent="0.3">
      <c r="A3182" s="2452"/>
      <c r="B3182" s="2453"/>
      <c r="C3182" s="2451"/>
      <c r="D3182" s="2451"/>
      <c r="E3182" s="2451"/>
      <c r="F3182" s="2451"/>
      <c r="G3182" s="2451"/>
      <c r="H3182" s="2451"/>
      <c r="I3182" s="2413"/>
      <c r="J3182" s="2413"/>
      <c r="K3182" s="2260"/>
      <c r="L3182" s="2408"/>
      <c r="M3182" s="2413"/>
    </row>
    <row r="3183" spans="1:13" x14ac:dyDescent="0.3">
      <c r="A3183" s="2452"/>
      <c r="B3183" s="2453"/>
      <c r="C3183" s="2451"/>
      <c r="D3183" s="2451"/>
      <c r="E3183" s="2451"/>
      <c r="F3183" s="2451"/>
      <c r="G3183" s="2451"/>
      <c r="H3183" s="2451"/>
      <c r="I3183" s="2413"/>
      <c r="J3183" s="2413"/>
      <c r="K3183" s="2260"/>
      <c r="L3183" s="2408"/>
      <c r="M3183" s="2413"/>
    </row>
    <row r="3184" spans="1:13" x14ac:dyDescent="0.3">
      <c r="A3184" s="2452"/>
      <c r="B3184" s="2453"/>
      <c r="C3184" s="2451"/>
      <c r="D3184" s="2451"/>
      <c r="E3184" s="2451"/>
      <c r="F3184" s="2451"/>
      <c r="G3184" s="2451"/>
      <c r="H3184" s="2451"/>
      <c r="I3184" s="2413"/>
      <c r="J3184" s="2413"/>
      <c r="K3184" s="2260"/>
      <c r="L3184" s="2408"/>
      <c r="M3184" s="2413"/>
    </row>
    <row r="3185" spans="1:13" x14ac:dyDescent="0.3">
      <c r="A3185" s="2452"/>
      <c r="B3185" s="2453"/>
      <c r="C3185" s="2451"/>
      <c r="D3185" s="2451"/>
      <c r="E3185" s="2451"/>
      <c r="F3185" s="2451"/>
      <c r="G3185" s="2451"/>
      <c r="H3185" s="2451"/>
      <c r="I3185" s="2413"/>
      <c r="J3185" s="2413"/>
      <c r="K3185" s="2260"/>
      <c r="L3185" s="2408"/>
      <c r="M3185" s="2413"/>
    </row>
    <row r="3186" spans="1:13" x14ac:dyDescent="0.3">
      <c r="A3186" s="2452"/>
      <c r="B3186" s="2453"/>
      <c r="C3186" s="2451"/>
      <c r="D3186" s="2451"/>
      <c r="E3186" s="2451"/>
      <c r="F3186" s="2451"/>
      <c r="G3186" s="2451"/>
      <c r="H3186" s="2451"/>
      <c r="I3186" s="2413"/>
      <c r="J3186" s="2413"/>
      <c r="K3186" s="2260"/>
      <c r="L3186" s="2408"/>
      <c r="M3186" s="2413"/>
    </row>
    <row r="3187" spans="1:13" x14ac:dyDescent="0.3">
      <c r="A3187" s="2452"/>
      <c r="B3187" s="2453"/>
      <c r="C3187" s="2451"/>
      <c r="D3187" s="2451"/>
      <c r="E3187" s="2451"/>
      <c r="F3187" s="2451"/>
      <c r="G3187" s="2451"/>
      <c r="H3187" s="2451"/>
      <c r="I3187" s="2413"/>
      <c r="J3187" s="2413"/>
      <c r="K3187" s="2260"/>
      <c r="L3187" s="2408"/>
      <c r="M3187" s="2413"/>
    </row>
    <row r="3188" spans="1:13" x14ac:dyDescent="0.3">
      <c r="A3188" s="2452"/>
      <c r="B3188" s="2453"/>
      <c r="C3188" s="2451"/>
      <c r="D3188" s="2451"/>
      <c r="E3188" s="2451"/>
      <c r="F3188" s="2451"/>
      <c r="G3188" s="2451"/>
      <c r="H3188" s="2451"/>
      <c r="I3188" s="2413"/>
      <c r="J3188" s="2413"/>
      <c r="K3188" s="2260"/>
      <c r="L3188" s="2408"/>
      <c r="M3188" s="2413"/>
    </row>
    <row r="3189" spans="1:13" x14ac:dyDescent="0.3">
      <c r="A3189" s="2452"/>
      <c r="B3189" s="2453"/>
      <c r="C3189" s="2451"/>
      <c r="D3189" s="2451"/>
      <c r="E3189" s="2451"/>
      <c r="F3189" s="2451"/>
      <c r="G3189" s="2451"/>
      <c r="H3189" s="2451"/>
      <c r="I3189" s="2413"/>
      <c r="J3189" s="2413"/>
      <c r="K3189" s="2260"/>
      <c r="L3189" s="2408"/>
      <c r="M3189" s="2413"/>
    </row>
    <row r="3190" spans="1:13" x14ac:dyDescent="0.3">
      <c r="A3190" s="2452"/>
      <c r="B3190" s="2453"/>
      <c r="C3190" s="2451"/>
      <c r="D3190" s="2451"/>
      <c r="E3190" s="2451"/>
      <c r="F3190" s="2451"/>
      <c r="G3190" s="2451"/>
      <c r="H3190" s="2451"/>
      <c r="I3190" s="2413"/>
      <c r="J3190" s="2413"/>
      <c r="K3190" s="2260"/>
      <c r="L3190" s="2408"/>
      <c r="M3190" s="2413"/>
    </row>
    <row r="3191" spans="1:13" x14ac:dyDescent="0.3">
      <c r="A3191" s="2452"/>
      <c r="B3191" s="2453"/>
      <c r="C3191" s="2451"/>
      <c r="D3191" s="2451"/>
      <c r="E3191" s="2451"/>
      <c r="F3191" s="2451"/>
      <c r="G3191" s="2451"/>
      <c r="H3191" s="2451"/>
      <c r="I3191" s="2413"/>
      <c r="J3191" s="2413"/>
      <c r="K3191" s="2260"/>
      <c r="L3191" s="2408"/>
      <c r="M3191" s="2413"/>
    </row>
    <row r="3192" spans="1:13" x14ac:dyDescent="0.3">
      <c r="A3192" s="2452"/>
      <c r="B3192" s="2453"/>
      <c r="C3192" s="2451"/>
      <c r="D3192" s="2451"/>
      <c r="E3192" s="2451"/>
      <c r="F3192" s="2451"/>
      <c r="G3192" s="2451"/>
      <c r="H3192" s="2451"/>
      <c r="I3192" s="2413"/>
      <c r="J3192" s="2413"/>
      <c r="K3192" s="2260"/>
      <c r="L3192" s="2408"/>
      <c r="M3192" s="2413"/>
    </row>
    <row r="3193" spans="1:13" x14ac:dyDescent="0.3">
      <c r="A3193" s="2452"/>
      <c r="B3193" s="2453"/>
      <c r="C3193" s="2451"/>
      <c r="D3193" s="2451"/>
      <c r="E3193" s="2451"/>
      <c r="F3193" s="2451"/>
      <c r="G3193" s="2451"/>
      <c r="H3193" s="2451"/>
      <c r="I3193" s="2413"/>
      <c r="J3193" s="2413"/>
      <c r="K3193" s="2260"/>
      <c r="L3193" s="2408"/>
      <c r="M3193" s="2413"/>
    </row>
    <row r="3194" spans="1:13" x14ac:dyDescent="0.3">
      <c r="A3194" s="2452"/>
      <c r="B3194" s="2453"/>
      <c r="C3194" s="2451"/>
      <c r="D3194" s="2451"/>
      <c r="E3194" s="2451"/>
      <c r="F3194" s="2451"/>
      <c r="G3194" s="2451"/>
      <c r="H3194" s="2451"/>
      <c r="I3194" s="2413"/>
      <c r="J3194" s="2413"/>
      <c r="K3194" s="2260"/>
      <c r="L3194" s="2408"/>
      <c r="M3194" s="2413"/>
    </row>
    <row r="3195" spans="1:13" x14ac:dyDescent="0.3">
      <c r="A3195" s="2452"/>
      <c r="B3195" s="2453"/>
      <c r="C3195" s="2451"/>
      <c r="D3195" s="2451"/>
      <c r="E3195" s="2451"/>
      <c r="F3195" s="2451"/>
      <c r="G3195" s="2451"/>
      <c r="H3195" s="2451"/>
      <c r="I3195" s="2413"/>
      <c r="J3195" s="2413"/>
      <c r="K3195" s="2260"/>
      <c r="L3195" s="2408"/>
      <c r="M3195" s="2413"/>
    </row>
    <row r="3196" spans="1:13" x14ac:dyDescent="0.3">
      <c r="A3196" s="2452"/>
      <c r="B3196" s="2453"/>
      <c r="C3196" s="2451"/>
      <c r="D3196" s="2451"/>
      <c r="E3196" s="2451"/>
      <c r="F3196" s="2451"/>
      <c r="G3196" s="2451"/>
      <c r="H3196" s="2451"/>
      <c r="I3196" s="2413"/>
      <c r="J3196" s="2413"/>
      <c r="K3196" s="2260"/>
      <c r="L3196" s="2408"/>
      <c r="M3196" s="2413"/>
    </row>
    <row r="3197" spans="1:13" x14ac:dyDescent="0.3">
      <c r="A3197" s="2452"/>
      <c r="B3197" s="2453"/>
      <c r="C3197" s="2451"/>
      <c r="D3197" s="2451"/>
      <c r="E3197" s="2451"/>
      <c r="F3197" s="2451"/>
      <c r="G3197" s="2451"/>
      <c r="H3197" s="2451"/>
      <c r="I3197" s="2413"/>
      <c r="J3197" s="2413"/>
      <c r="K3197" s="2260"/>
      <c r="L3197" s="2408"/>
      <c r="M3197" s="2413"/>
    </row>
    <row r="3198" spans="1:13" x14ac:dyDescent="0.3">
      <c r="A3198" s="2452"/>
      <c r="B3198" s="2453"/>
      <c r="C3198" s="2451"/>
      <c r="D3198" s="2451"/>
      <c r="E3198" s="2451"/>
      <c r="F3198" s="2451"/>
      <c r="G3198" s="2451"/>
      <c r="H3198" s="2451"/>
      <c r="I3198" s="2413"/>
      <c r="J3198" s="2413"/>
      <c r="K3198" s="2260"/>
      <c r="L3198" s="2408"/>
      <c r="M3198" s="2413"/>
    </row>
    <row r="3199" spans="1:13" x14ac:dyDescent="0.3">
      <c r="A3199" s="2452"/>
      <c r="B3199" s="2453"/>
      <c r="C3199" s="2451"/>
      <c r="D3199" s="2451"/>
      <c r="E3199" s="2451"/>
      <c r="F3199" s="2451"/>
      <c r="G3199" s="2451"/>
      <c r="H3199" s="2451"/>
      <c r="I3199" s="2413"/>
      <c r="J3199" s="2413"/>
      <c r="K3199" s="2260"/>
      <c r="L3199" s="2408"/>
      <c r="M3199" s="2413"/>
    </row>
    <row r="3200" spans="1:13" x14ac:dyDescent="0.3">
      <c r="A3200" s="2452"/>
      <c r="B3200" s="2453"/>
      <c r="C3200" s="2451"/>
      <c r="D3200" s="2451"/>
      <c r="E3200" s="2451"/>
      <c r="F3200" s="2451"/>
      <c r="G3200" s="2451"/>
      <c r="H3200" s="2451"/>
      <c r="I3200" s="2413"/>
      <c r="J3200" s="2413"/>
      <c r="K3200" s="2260"/>
      <c r="L3200" s="2408"/>
      <c r="M3200" s="2413"/>
    </row>
    <row r="3201" spans="1:13" x14ac:dyDescent="0.3">
      <c r="A3201" s="2452"/>
      <c r="B3201" s="2453"/>
      <c r="C3201" s="2451"/>
      <c r="D3201" s="2451"/>
      <c r="E3201" s="2451"/>
      <c r="F3201" s="2451"/>
      <c r="G3201" s="2451"/>
      <c r="H3201" s="2451"/>
      <c r="I3201" s="2413"/>
      <c r="J3201" s="2413"/>
      <c r="K3201" s="2260"/>
      <c r="L3201" s="2408"/>
      <c r="M3201" s="2413"/>
    </row>
    <row r="3202" spans="1:13" x14ac:dyDescent="0.3">
      <c r="A3202" s="2452"/>
      <c r="B3202" s="2453"/>
      <c r="C3202" s="2451"/>
      <c r="D3202" s="2451"/>
      <c r="E3202" s="2451"/>
      <c r="F3202" s="2451"/>
      <c r="G3202" s="2451"/>
      <c r="H3202" s="2451"/>
      <c r="I3202" s="2413"/>
      <c r="J3202" s="2413"/>
      <c r="K3202" s="2260"/>
      <c r="L3202" s="2408"/>
      <c r="M3202" s="2413"/>
    </row>
    <row r="3203" spans="1:13" x14ac:dyDescent="0.3">
      <c r="A3203" s="2452"/>
      <c r="B3203" s="2453"/>
      <c r="C3203" s="2451"/>
      <c r="D3203" s="2451"/>
      <c r="E3203" s="2451"/>
      <c r="F3203" s="2451"/>
      <c r="G3203" s="2451"/>
      <c r="H3203" s="2451"/>
      <c r="I3203" s="2413"/>
      <c r="J3203" s="2413"/>
      <c r="K3203" s="2260"/>
      <c r="L3203" s="2408"/>
      <c r="M3203" s="2413"/>
    </row>
    <row r="3204" spans="1:13" x14ac:dyDescent="0.3">
      <c r="A3204" s="2452"/>
      <c r="B3204" s="2453"/>
      <c r="C3204" s="2451"/>
      <c r="D3204" s="2451"/>
      <c r="E3204" s="2451"/>
      <c r="F3204" s="2451"/>
      <c r="G3204" s="2451"/>
      <c r="H3204" s="2451"/>
      <c r="I3204" s="2413"/>
      <c r="J3204" s="2413"/>
      <c r="K3204" s="2260"/>
      <c r="L3204" s="2408"/>
      <c r="M3204" s="2413"/>
    </row>
    <row r="3205" spans="1:13" x14ac:dyDescent="0.3">
      <c r="A3205" s="2452"/>
      <c r="B3205" s="2453"/>
      <c r="C3205" s="2451"/>
      <c r="D3205" s="2451"/>
      <c r="E3205" s="2451"/>
      <c r="F3205" s="2451"/>
      <c r="G3205" s="2451"/>
      <c r="H3205" s="2451"/>
      <c r="I3205" s="2413"/>
      <c r="J3205" s="2413"/>
      <c r="K3205" s="2260"/>
      <c r="L3205" s="2408"/>
      <c r="M3205" s="2413"/>
    </row>
    <row r="3206" spans="1:13" x14ac:dyDescent="0.3">
      <c r="A3206" s="2452"/>
      <c r="B3206" s="2453"/>
      <c r="C3206" s="2451"/>
      <c r="D3206" s="2451"/>
      <c r="E3206" s="2451"/>
      <c r="F3206" s="2451"/>
      <c r="G3206" s="2451"/>
      <c r="H3206" s="2451"/>
      <c r="I3206" s="2413"/>
      <c r="J3206" s="2413"/>
      <c r="K3206" s="2260"/>
      <c r="L3206" s="2408"/>
      <c r="M3206" s="2413"/>
    </row>
    <row r="3207" spans="1:13" x14ac:dyDescent="0.3">
      <c r="A3207" s="2452"/>
      <c r="B3207" s="2453"/>
      <c r="C3207" s="2451"/>
      <c r="D3207" s="2451"/>
      <c r="E3207" s="2451"/>
      <c r="F3207" s="2451"/>
      <c r="G3207" s="2451"/>
      <c r="H3207" s="2451"/>
      <c r="I3207" s="2413"/>
      <c r="J3207" s="2413"/>
      <c r="K3207" s="2260"/>
      <c r="L3207" s="2408"/>
      <c r="M3207" s="2413"/>
    </row>
    <row r="3208" spans="1:13" x14ac:dyDescent="0.3">
      <c r="A3208" s="2452"/>
      <c r="B3208" s="2453"/>
      <c r="C3208" s="2451"/>
      <c r="D3208" s="2451"/>
      <c r="E3208" s="2451"/>
      <c r="F3208" s="2451"/>
      <c r="G3208" s="2451"/>
      <c r="H3208" s="2451"/>
      <c r="I3208" s="2413"/>
      <c r="J3208" s="2413"/>
      <c r="K3208" s="2260"/>
      <c r="L3208" s="2408"/>
      <c r="M3208" s="2413"/>
    </row>
    <row r="3209" spans="1:13" x14ac:dyDescent="0.3">
      <c r="A3209" s="2452"/>
      <c r="B3209" s="2453"/>
      <c r="C3209" s="2451"/>
      <c r="D3209" s="2451"/>
      <c r="E3209" s="2451"/>
      <c r="F3209" s="2451"/>
      <c r="G3209" s="2451"/>
      <c r="H3209" s="2451"/>
      <c r="I3209" s="2413"/>
      <c r="J3209" s="2413"/>
      <c r="K3209" s="2260"/>
      <c r="L3209" s="2408"/>
      <c r="M3209" s="2413"/>
    </row>
    <row r="3210" spans="1:13" x14ac:dyDescent="0.3">
      <c r="A3210" s="2452"/>
      <c r="B3210" s="2453"/>
      <c r="C3210" s="2451"/>
      <c r="D3210" s="2451"/>
      <c r="E3210" s="2451"/>
      <c r="F3210" s="2451"/>
      <c r="G3210" s="2451"/>
      <c r="H3210" s="2451"/>
      <c r="I3210" s="2413"/>
      <c r="J3210" s="2413"/>
      <c r="K3210" s="2260"/>
      <c r="L3210" s="2408"/>
      <c r="M3210" s="2413"/>
    </row>
    <row r="3211" spans="1:13" x14ac:dyDescent="0.3">
      <c r="A3211" s="2452"/>
      <c r="B3211" s="2453"/>
      <c r="C3211" s="2451"/>
      <c r="D3211" s="2451"/>
      <c r="E3211" s="2451"/>
      <c r="F3211" s="2451"/>
      <c r="G3211" s="2451"/>
      <c r="H3211" s="2451"/>
      <c r="I3211" s="2413"/>
      <c r="J3211" s="2413"/>
      <c r="K3211" s="2260"/>
      <c r="L3211" s="2408"/>
      <c r="M3211" s="2413"/>
    </row>
    <row r="3212" spans="1:13" x14ac:dyDescent="0.3">
      <c r="A3212" s="2452"/>
      <c r="B3212" s="2453"/>
      <c r="C3212" s="2451"/>
      <c r="D3212" s="2451"/>
      <c r="E3212" s="2451"/>
      <c r="F3212" s="2451"/>
      <c r="G3212" s="2451"/>
      <c r="H3212" s="2451"/>
      <c r="I3212" s="2413"/>
      <c r="J3212" s="2413"/>
      <c r="K3212" s="2260"/>
      <c r="L3212" s="2408"/>
      <c r="M3212" s="2413"/>
    </row>
    <row r="3213" spans="1:13" x14ac:dyDescent="0.3">
      <c r="A3213" s="2452"/>
      <c r="B3213" s="2453"/>
      <c r="C3213" s="2451"/>
      <c r="D3213" s="2451"/>
      <c r="E3213" s="2451"/>
      <c r="F3213" s="2451"/>
      <c r="G3213" s="2451"/>
      <c r="H3213" s="2451"/>
      <c r="I3213" s="2413"/>
      <c r="J3213" s="2413"/>
      <c r="K3213" s="2260"/>
      <c r="L3213" s="2408"/>
      <c r="M3213" s="2413"/>
    </row>
    <row r="3214" spans="1:13" x14ac:dyDescent="0.3">
      <c r="A3214" s="2452"/>
      <c r="B3214" s="2453"/>
      <c r="C3214" s="2451"/>
      <c r="D3214" s="2451"/>
      <c r="E3214" s="2451"/>
      <c r="F3214" s="2451"/>
      <c r="G3214" s="2451"/>
      <c r="H3214" s="2451"/>
      <c r="I3214" s="2413"/>
      <c r="J3214" s="2413"/>
      <c r="K3214" s="2260"/>
      <c r="L3214" s="2408"/>
      <c r="M3214" s="2413"/>
    </row>
    <row r="3215" spans="1:13" x14ac:dyDescent="0.3">
      <c r="A3215" s="2452"/>
      <c r="B3215" s="2453"/>
      <c r="C3215" s="2451"/>
      <c r="D3215" s="2451"/>
      <c r="E3215" s="2451"/>
      <c r="F3215" s="2451"/>
      <c r="G3215" s="2451"/>
      <c r="H3215" s="2451"/>
      <c r="I3215" s="2413"/>
      <c r="J3215" s="2413"/>
      <c r="K3215" s="2260"/>
      <c r="L3215" s="2408"/>
      <c r="M3215" s="2413"/>
    </row>
    <row r="3216" spans="1:13" x14ac:dyDescent="0.3">
      <c r="A3216" s="2452"/>
      <c r="B3216" s="2453"/>
      <c r="C3216" s="2451"/>
      <c r="D3216" s="2451"/>
      <c r="E3216" s="2451"/>
      <c r="F3216" s="2451"/>
      <c r="G3216" s="2451"/>
      <c r="H3216" s="2451"/>
      <c r="I3216" s="2413"/>
      <c r="J3216" s="2413"/>
      <c r="K3216" s="2260"/>
      <c r="L3216" s="2408"/>
      <c r="M3216" s="2413"/>
    </row>
    <row r="3217" spans="1:13" x14ac:dyDescent="0.3">
      <c r="A3217" s="2452"/>
      <c r="B3217" s="2453"/>
      <c r="C3217" s="2451"/>
      <c r="D3217" s="2451"/>
      <c r="E3217" s="2451"/>
      <c r="F3217" s="2451"/>
      <c r="G3217" s="2451"/>
      <c r="H3217" s="2451"/>
      <c r="I3217" s="2413"/>
      <c r="J3217" s="2413"/>
      <c r="K3217" s="2260"/>
      <c r="L3217" s="2408"/>
      <c r="M3217" s="2413"/>
    </row>
    <row r="3218" spans="1:13" x14ac:dyDescent="0.3">
      <c r="A3218" s="2452"/>
      <c r="B3218" s="2453"/>
      <c r="C3218" s="2451"/>
      <c r="D3218" s="2451"/>
      <c r="E3218" s="2451"/>
      <c r="F3218" s="2451"/>
      <c r="G3218" s="2451"/>
      <c r="H3218" s="2451"/>
      <c r="I3218" s="2413"/>
      <c r="J3218" s="2413"/>
      <c r="K3218" s="2260"/>
      <c r="L3218" s="2408"/>
      <c r="M3218" s="2413"/>
    </row>
    <row r="3219" spans="1:13" x14ac:dyDescent="0.3">
      <c r="A3219" s="2452"/>
      <c r="B3219" s="2453"/>
      <c r="C3219" s="2451"/>
      <c r="D3219" s="2451"/>
      <c r="E3219" s="2451"/>
      <c r="F3219" s="2451"/>
      <c r="G3219" s="2451"/>
      <c r="H3219" s="2451"/>
      <c r="I3219" s="2413"/>
      <c r="J3219" s="2413"/>
      <c r="K3219" s="2260"/>
      <c r="L3219" s="2408"/>
      <c r="M3219" s="2413"/>
    </row>
    <row r="3220" spans="1:13" x14ac:dyDescent="0.3">
      <c r="A3220" s="2452"/>
      <c r="B3220" s="2453"/>
      <c r="C3220" s="2451"/>
      <c r="D3220" s="2451"/>
      <c r="E3220" s="2451"/>
      <c r="F3220" s="2451"/>
      <c r="G3220" s="2451"/>
      <c r="H3220" s="2451"/>
      <c r="I3220" s="2413"/>
      <c r="J3220" s="2413"/>
      <c r="K3220" s="2260"/>
      <c r="L3220" s="2408"/>
      <c r="M3220" s="2413"/>
    </row>
    <row r="3221" spans="1:13" x14ac:dyDescent="0.3">
      <c r="A3221" s="2452"/>
      <c r="B3221" s="2453"/>
      <c r="C3221" s="2451"/>
      <c r="D3221" s="2451"/>
      <c r="E3221" s="2451"/>
      <c r="F3221" s="2451"/>
      <c r="G3221" s="2451"/>
      <c r="H3221" s="2451"/>
      <c r="I3221" s="2413"/>
      <c r="J3221" s="2413"/>
      <c r="K3221" s="2260"/>
      <c r="L3221" s="2408"/>
      <c r="M3221" s="2413"/>
    </row>
    <row r="3222" spans="1:13" x14ac:dyDescent="0.3">
      <c r="A3222" s="2452"/>
      <c r="B3222" s="2453"/>
      <c r="C3222" s="2451"/>
      <c r="D3222" s="2451"/>
      <c r="E3222" s="2451"/>
      <c r="F3222" s="2451"/>
      <c r="G3222" s="2451"/>
      <c r="H3222" s="2451"/>
      <c r="I3222" s="2413"/>
      <c r="J3222" s="2413"/>
      <c r="K3222" s="2260"/>
      <c r="L3222" s="2408"/>
      <c r="M3222" s="2413"/>
    </row>
    <row r="3223" spans="1:13" x14ac:dyDescent="0.3">
      <c r="A3223" s="2452"/>
      <c r="B3223" s="2453"/>
      <c r="C3223" s="2451"/>
      <c r="D3223" s="2451"/>
      <c r="E3223" s="2451"/>
      <c r="F3223" s="2451"/>
      <c r="G3223" s="2451"/>
      <c r="H3223" s="2451"/>
      <c r="I3223" s="2413"/>
      <c r="J3223" s="2413"/>
      <c r="K3223" s="2260"/>
      <c r="L3223" s="2408"/>
      <c r="M3223" s="2413"/>
    </row>
    <row r="3224" spans="1:13" x14ac:dyDescent="0.3">
      <c r="A3224" s="2452"/>
      <c r="B3224" s="2453"/>
      <c r="C3224" s="2451"/>
      <c r="D3224" s="2451"/>
      <c r="E3224" s="2451"/>
      <c r="F3224" s="2451"/>
      <c r="G3224" s="2451"/>
      <c r="H3224" s="2451"/>
      <c r="I3224" s="2413"/>
      <c r="J3224" s="2413"/>
      <c r="K3224" s="2260"/>
      <c r="L3224" s="2408"/>
      <c r="M3224" s="2413"/>
    </row>
    <row r="3225" spans="1:13" x14ac:dyDescent="0.3">
      <c r="A3225" s="2452"/>
      <c r="B3225" s="2453"/>
      <c r="C3225" s="2451"/>
      <c r="D3225" s="2451"/>
      <c r="E3225" s="2451"/>
      <c r="F3225" s="2451"/>
      <c r="G3225" s="2451"/>
      <c r="H3225" s="2451"/>
      <c r="I3225" s="2413"/>
      <c r="J3225" s="2413"/>
      <c r="K3225" s="2260"/>
      <c r="L3225" s="2408"/>
      <c r="M3225" s="2413"/>
    </row>
    <row r="3226" spans="1:13" x14ac:dyDescent="0.3">
      <c r="A3226" s="2452"/>
      <c r="B3226" s="2453"/>
      <c r="C3226" s="2451"/>
      <c r="D3226" s="2451"/>
      <c r="E3226" s="2451"/>
      <c r="F3226" s="2451"/>
      <c r="G3226" s="2451"/>
      <c r="H3226" s="2451"/>
      <c r="I3226" s="2413"/>
      <c r="J3226" s="2413"/>
      <c r="K3226" s="2260"/>
      <c r="L3226" s="2408"/>
      <c r="M3226" s="2413"/>
    </row>
    <row r="3227" spans="1:13" x14ac:dyDescent="0.3">
      <c r="A3227" s="2452"/>
      <c r="B3227" s="2453"/>
      <c r="C3227" s="2451"/>
      <c r="D3227" s="2451"/>
      <c r="E3227" s="2451"/>
      <c r="F3227" s="2451"/>
      <c r="G3227" s="2451"/>
      <c r="H3227" s="2451"/>
      <c r="I3227" s="2413"/>
      <c r="J3227" s="2413"/>
      <c r="K3227" s="2260"/>
      <c r="L3227" s="2408"/>
      <c r="M3227" s="2413"/>
    </row>
    <row r="3228" spans="1:13" x14ac:dyDescent="0.3">
      <c r="A3228" s="2452"/>
      <c r="B3228" s="2453"/>
      <c r="C3228" s="2451"/>
      <c r="D3228" s="2451"/>
      <c r="E3228" s="2451"/>
      <c r="F3228" s="2451"/>
      <c r="G3228" s="2451"/>
      <c r="H3228" s="2451"/>
      <c r="I3228" s="2413"/>
      <c r="J3228" s="2413"/>
      <c r="K3228" s="2260"/>
      <c r="L3228" s="2408"/>
      <c r="M3228" s="2413"/>
    </row>
    <row r="3229" spans="1:13" x14ac:dyDescent="0.3">
      <c r="A3229" s="2452"/>
      <c r="B3229" s="2453"/>
      <c r="C3229" s="2451"/>
      <c r="D3229" s="2451"/>
      <c r="E3229" s="2451"/>
      <c r="F3229" s="2451"/>
      <c r="G3229" s="2451"/>
      <c r="H3229" s="2451"/>
      <c r="I3229" s="2413"/>
      <c r="J3229" s="2413"/>
      <c r="K3229" s="2260"/>
      <c r="L3229" s="2408"/>
      <c r="M3229" s="2413"/>
    </row>
    <row r="3230" spans="1:13" x14ac:dyDescent="0.3">
      <c r="A3230" s="2452"/>
      <c r="B3230" s="2453"/>
      <c r="C3230" s="2451"/>
      <c r="D3230" s="2451"/>
      <c r="E3230" s="2451"/>
      <c r="F3230" s="2451"/>
      <c r="G3230" s="2451"/>
      <c r="H3230" s="2451"/>
      <c r="I3230" s="2413"/>
      <c r="J3230" s="2413"/>
      <c r="K3230" s="2260"/>
      <c r="L3230" s="2408"/>
      <c r="M3230" s="2413"/>
    </row>
    <row r="3231" spans="1:13" x14ac:dyDescent="0.3">
      <c r="A3231" s="2452"/>
      <c r="B3231" s="2453"/>
      <c r="C3231" s="2451"/>
      <c r="D3231" s="2451"/>
      <c r="E3231" s="2451"/>
      <c r="F3231" s="2451"/>
      <c r="G3231" s="2451"/>
      <c r="H3231" s="2451"/>
      <c r="I3231" s="2413"/>
      <c r="J3231" s="2413"/>
      <c r="K3231" s="2260"/>
      <c r="L3231" s="2408"/>
      <c r="M3231" s="2413"/>
    </row>
    <row r="3232" spans="1:13" x14ac:dyDescent="0.3">
      <c r="A3232" s="2452"/>
      <c r="B3232" s="2453"/>
      <c r="C3232" s="2451"/>
      <c r="D3232" s="2451"/>
      <c r="E3232" s="2451"/>
      <c r="F3232" s="2451"/>
      <c r="G3232" s="2451"/>
      <c r="H3232" s="2451"/>
      <c r="I3232" s="2413"/>
      <c r="J3232" s="2413"/>
      <c r="K3232" s="2260"/>
      <c r="L3232" s="2408"/>
      <c r="M3232" s="2413"/>
    </row>
    <row r="3233" spans="1:13" x14ac:dyDescent="0.3">
      <c r="A3233" s="2452"/>
      <c r="B3233" s="2453"/>
      <c r="C3233" s="2451"/>
      <c r="D3233" s="2451"/>
      <c r="E3233" s="2451"/>
      <c r="F3233" s="2451"/>
      <c r="G3233" s="2451"/>
      <c r="H3233" s="2451"/>
      <c r="I3233" s="2413"/>
      <c r="J3233" s="2413"/>
      <c r="K3233" s="2260"/>
      <c r="L3233" s="2408"/>
      <c r="M3233" s="2413"/>
    </row>
    <row r="3234" spans="1:13" x14ac:dyDescent="0.3">
      <c r="A3234" s="2452"/>
      <c r="B3234" s="2453"/>
      <c r="C3234" s="2451"/>
      <c r="D3234" s="2451"/>
      <c r="E3234" s="2451"/>
      <c r="F3234" s="2451"/>
      <c r="G3234" s="2451"/>
      <c r="H3234" s="2451"/>
      <c r="I3234" s="2413"/>
      <c r="J3234" s="2413"/>
      <c r="K3234" s="2260"/>
      <c r="L3234" s="2408"/>
      <c r="M3234" s="2413"/>
    </row>
    <row r="3235" spans="1:13" x14ac:dyDescent="0.3">
      <c r="A3235" s="2452"/>
      <c r="B3235" s="2453"/>
      <c r="C3235" s="2451"/>
      <c r="D3235" s="2451"/>
      <c r="E3235" s="2451"/>
      <c r="F3235" s="2451"/>
      <c r="G3235" s="2451"/>
      <c r="H3235" s="2451"/>
      <c r="I3235" s="2413"/>
      <c r="J3235" s="2413"/>
      <c r="K3235" s="2408"/>
      <c r="L3235" s="2408"/>
      <c r="M3235" s="2413"/>
    </row>
    <row r="3236" spans="1:13" x14ac:dyDescent="0.3">
      <c r="A3236" s="2452"/>
      <c r="B3236" s="2453"/>
      <c r="C3236" s="2451"/>
      <c r="D3236" s="2451"/>
      <c r="E3236" s="2451"/>
      <c r="F3236" s="2451"/>
      <c r="G3236" s="2451"/>
      <c r="H3236" s="2451"/>
      <c r="I3236" s="2413"/>
      <c r="J3236" s="2413"/>
      <c r="K3236" s="2408"/>
      <c r="L3236" s="2408"/>
      <c r="M3236" s="2413"/>
    </row>
    <row r="3237" spans="1:13" x14ac:dyDescent="0.3">
      <c r="A3237" s="2452"/>
      <c r="B3237" s="2453"/>
      <c r="C3237" s="2451"/>
      <c r="D3237" s="2451"/>
      <c r="E3237" s="2451"/>
      <c r="F3237" s="2451"/>
      <c r="G3237" s="2451"/>
      <c r="H3237" s="2451"/>
      <c r="I3237" s="2413"/>
      <c r="J3237" s="2413"/>
      <c r="K3237" s="2408"/>
      <c r="L3237" s="2408"/>
      <c r="M3237" s="2413"/>
    </row>
    <row r="3238" spans="1:13" x14ac:dyDescent="0.3">
      <c r="A3238" s="2452"/>
      <c r="B3238" s="2453"/>
      <c r="C3238" s="2451"/>
      <c r="D3238" s="2451"/>
      <c r="E3238" s="2451"/>
      <c r="F3238" s="2451"/>
      <c r="G3238" s="2451"/>
      <c r="H3238" s="2451"/>
      <c r="I3238" s="2413"/>
      <c r="J3238" s="2413"/>
      <c r="K3238" s="2408"/>
      <c r="L3238" s="2408"/>
      <c r="M3238" s="2413"/>
    </row>
    <row r="3239" spans="1:13" x14ac:dyDescent="0.3">
      <c r="A3239" s="2452"/>
      <c r="B3239" s="2453"/>
      <c r="C3239" s="2451"/>
      <c r="D3239" s="2451"/>
      <c r="E3239" s="2451"/>
      <c r="F3239" s="2451"/>
      <c r="G3239" s="2451"/>
      <c r="H3239" s="2451"/>
      <c r="I3239" s="2413"/>
      <c r="J3239" s="2413"/>
      <c r="K3239" s="2408"/>
      <c r="L3239" s="2408"/>
      <c r="M3239" s="2413"/>
    </row>
    <row r="3240" spans="1:13" x14ac:dyDescent="0.3">
      <c r="A3240" s="2452"/>
      <c r="B3240" s="2453"/>
      <c r="C3240" s="2451"/>
      <c r="D3240" s="2451"/>
      <c r="E3240" s="2451"/>
      <c r="F3240" s="2451"/>
      <c r="G3240" s="2451"/>
      <c r="H3240" s="2451"/>
      <c r="I3240" s="2413"/>
      <c r="J3240" s="2413"/>
      <c r="K3240" s="2408"/>
      <c r="L3240" s="2408"/>
      <c r="M3240" s="2413"/>
    </row>
    <row r="3241" spans="1:13" x14ac:dyDescent="0.3">
      <c r="A3241" s="2452"/>
      <c r="B3241" s="2453"/>
      <c r="C3241" s="2451"/>
      <c r="D3241" s="2451"/>
      <c r="E3241" s="2451"/>
      <c r="F3241" s="2451"/>
      <c r="G3241" s="2451"/>
      <c r="H3241" s="2451"/>
      <c r="I3241" s="2413"/>
      <c r="J3241" s="2413"/>
      <c r="K3241" s="2408"/>
      <c r="L3241" s="2408"/>
      <c r="M3241" s="2413"/>
    </row>
    <row r="3242" spans="1:13" x14ac:dyDescent="0.3">
      <c r="A3242" s="2452"/>
      <c r="B3242" s="2453"/>
      <c r="C3242" s="2451"/>
      <c r="D3242" s="2451"/>
      <c r="E3242" s="2451"/>
      <c r="F3242" s="2451"/>
      <c r="G3242" s="2451"/>
      <c r="H3242" s="2451"/>
      <c r="I3242" s="2413"/>
      <c r="J3242" s="2413"/>
      <c r="K3242" s="2408"/>
      <c r="L3242" s="2408"/>
      <c r="M3242" s="2413"/>
    </row>
    <row r="3243" spans="1:13" x14ac:dyDescent="0.3">
      <c r="A3243" s="2452"/>
      <c r="B3243" s="2453"/>
      <c r="C3243" s="2451"/>
      <c r="D3243" s="2451"/>
      <c r="E3243" s="2451"/>
      <c r="F3243" s="2451"/>
      <c r="G3243" s="2451"/>
      <c r="H3243" s="2451"/>
      <c r="I3243" s="2413"/>
      <c r="J3243" s="2413"/>
      <c r="K3243" s="2408"/>
      <c r="L3243" s="2408"/>
      <c r="M3243" s="2413"/>
    </row>
    <row r="3244" spans="1:13" x14ac:dyDescent="0.3">
      <c r="A3244" s="2452"/>
      <c r="B3244" s="2453"/>
      <c r="C3244" s="2451"/>
      <c r="D3244" s="2451"/>
      <c r="E3244" s="2451"/>
      <c r="F3244" s="2451"/>
      <c r="G3244" s="2451"/>
      <c r="H3244" s="2451"/>
      <c r="I3244" s="2413"/>
      <c r="J3244" s="2413"/>
      <c r="K3244" s="2408"/>
      <c r="L3244" s="2408"/>
      <c r="M3244" s="2413"/>
    </row>
    <row r="3245" spans="1:13" x14ac:dyDescent="0.3">
      <c r="A3245" s="2452"/>
      <c r="B3245" s="2453"/>
      <c r="C3245" s="2451"/>
      <c r="D3245" s="2451"/>
      <c r="E3245" s="2451"/>
      <c r="F3245" s="2451"/>
      <c r="G3245" s="2451"/>
      <c r="H3245" s="2451"/>
      <c r="I3245" s="2413"/>
      <c r="J3245" s="2413"/>
      <c r="K3245" s="2408"/>
      <c r="L3245" s="2408"/>
      <c r="M3245" s="2413"/>
    </row>
    <row r="3246" spans="1:13" x14ac:dyDescent="0.3">
      <c r="A3246" s="2452"/>
      <c r="B3246" s="2453"/>
      <c r="C3246" s="2451"/>
      <c r="D3246" s="2451"/>
      <c r="E3246" s="2451"/>
      <c r="F3246" s="2451"/>
      <c r="G3246" s="2451"/>
      <c r="H3246" s="2451"/>
      <c r="I3246" s="2413"/>
      <c r="J3246" s="2413"/>
      <c r="K3246" s="2408"/>
      <c r="L3246" s="2408"/>
      <c r="M3246" s="2413"/>
    </row>
    <row r="3247" spans="1:13" x14ac:dyDescent="0.3">
      <c r="A3247" s="2452"/>
      <c r="B3247" s="2453"/>
      <c r="C3247" s="2451"/>
      <c r="D3247" s="2451"/>
      <c r="E3247" s="2451"/>
      <c r="F3247" s="2451"/>
      <c r="G3247" s="2451"/>
      <c r="H3247" s="2451"/>
      <c r="I3247" s="2413"/>
      <c r="J3247" s="2413"/>
      <c r="K3247" s="2408"/>
      <c r="L3247" s="2408"/>
      <c r="M3247" s="2413"/>
    </row>
    <row r="3248" spans="1:13" x14ac:dyDescent="0.3">
      <c r="A3248" s="2452"/>
      <c r="B3248" s="2453"/>
      <c r="C3248" s="2451"/>
      <c r="D3248" s="2451"/>
      <c r="E3248" s="2451"/>
      <c r="F3248" s="2451"/>
      <c r="G3248" s="2451"/>
      <c r="H3248" s="2451"/>
      <c r="I3248" s="2413"/>
      <c r="J3248" s="2413"/>
      <c r="K3248" s="2408"/>
      <c r="L3248" s="2408"/>
      <c r="M3248" s="2413"/>
    </row>
    <row r="3249" spans="1:13" x14ac:dyDescent="0.3">
      <c r="A3249" s="2452"/>
      <c r="B3249" s="2453"/>
      <c r="C3249" s="2451"/>
      <c r="D3249" s="2451"/>
      <c r="E3249" s="2451"/>
      <c r="F3249" s="2451"/>
      <c r="G3249" s="2451"/>
      <c r="H3249" s="2451"/>
      <c r="I3249" s="2413"/>
      <c r="J3249" s="2413"/>
      <c r="K3249" s="2408"/>
      <c r="L3249" s="2408"/>
      <c r="M3249" s="2413"/>
    </row>
    <row r="3250" spans="1:13" x14ac:dyDescent="0.3">
      <c r="A3250" s="2452"/>
      <c r="B3250" s="2453"/>
      <c r="C3250" s="2451"/>
      <c r="D3250" s="2451"/>
      <c r="E3250" s="2451"/>
      <c r="F3250" s="2451"/>
      <c r="G3250" s="2451"/>
      <c r="H3250" s="2451"/>
      <c r="I3250" s="2413"/>
      <c r="J3250" s="2413"/>
      <c r="K3250" s="2408"/>
      <c r="L3250" s="2408"/>
      <c r="M3250" s="2413"/>
    </row>
    <row r="3251" spans="1:13" x14ac:dyDescent="0.3">
      <c r="A3251" s="2452"/>
      <c r="B3251" s="2453"/>
      <c r="C3251" s="2451"/>
      <c r="D3251" s="2451"/>
      <c r="E3251" s="2451"/>
      <c r="F3251" s="2451"/>
      <c r="G3251" s="2451"/>
      <c r="H3251" s="2451"/>
      <c r="I3251" s="2413"/>
      <c r="J3251" s="2413"/>
      <c r="K3251" s="2408"/>
      <c r="L3251" s="2408"/>
      <c r="M3251" s="2413"/>
    </row>
    <row r="3252" spans="1:13" x14ac:dyDescent="0.3">
      <c r="A3252" s="2452"/>
      <c r="B3252" s="2453"/>
      <c r="C3252" s="2451"/>
      <c r="D3252" s="2451"/>
      <c r="E3252" s="2451"/>
      <c r="F3252" s="2451"/>
      <c r="G3252" s="2451"/>
      <c r="H3252" s="2451"/>
      <c r="I3252" s="2413"/>
      <c r="J3252" s="2413"/>
      <c r="K3252" s="2408"/>
      <c r="L3252" s="2408"/>
      <c r="M3252" s="2413"/>
    </row>
    <row r="3253" spans="1:13" x14ac:dyDescent="0.3">
      <c r="A3253" s="2452"/>
      <c r="B3253" s="2453"/>
      <c r="C3253" s="2451"/>
      <c r="D3253" s="2451"/>
      <c r="E3253" s="2451"/>
      <c r="F3253" s="2451"/>
      <c r="G3253" s="2451"/>
      <c r="H3253" s="2451"/>
      <c r="I3253" s="2413"/>
      <c r="J3253" s="2413"/>
      <c r="K3253" s="2408"/>
      <c r="L3253" s="2408"/>
      <c r="M3253" s="2413"/>
    </row>
    <row r="3254" spans="1:13" x14ac:dyDescent="0.3">
      <c r="A3254" s="2452"/>
      <c r="B3254" s="2453"/>
      <c r="C3254" s="2451"/>
      <c r="D3254" s="2451"/>
      <c r="E3254" s="2451"/>
      <c r="F3254" s="2451"/>
      <c r="G3254" s="2451"/>
      <c r="H3254" s="2451"/>
      <c r="I3254" s="2413"/>
      <c r="J3254" s="2413"/>
      <c r="K3254" s="2408"/>
      <c r="L3254" s="2408"/>
      <c r="M3254" s="2413"/>
    </row>
    <row r="3255" spans="1:13" x14ac:dyDescent="0.3">
      <c r="A3255" s="2452"/>
      <c r="B3255" s="2453"/>
      <c r="C3255" s="2451"/>
      <c r="D3255" s="2451"/>
      <c r="E3255" s="2451"/>
      <c r="F3255" s="2451"/>
      <c r="G3255" s="2451"/>
      <c r="H3255" s="2451"/>
      <c r="I3255" s="2413"/>
      <c r="J3255" s="2413"/>
      <c r="K3255" s="2408"/>
      <c r="L3255" s="2408"/>
      <c r="M3255" s="2413"/>
    </row>
    <row r="3256" spans="1:13" x14ac:dyDescent="0.3">
      <c r="A3256" s="2452"/>
      <c r="B3256" s="2453"/>
      <c r="C3256" s="2451"/>
      <c r="D3256" s="2451"/>
      <c r="E3256" s="2451"/>
      <c r="F3256" s="2451"/>
      <c r="G3256" s="2451"/>
      <c r="H3256" s="2451"/>
      <c r="I3256" s="2413"/>
      <c r="J3256" s="2413"/>
      <c r="K3256" s="2408"/>
      <c r="L3256" s="2408"/>
      <c r="M3256" s="2413"/>
    </row>
    <row r="3257" spans="1:13" x14ac:dyDescent="0.3">
      <c r="A3257" s="2452"/>
      <c r="B3257" s="2453"/>
      <c r="C3257" s="2451"/>
      <c r="D3257" s="2451"/>
      <c r="E3257" s="2451"/>
      <c r="F3257" s="2451"/>
      <c r="G3257" s="2451"/>
      <c r="H3257" s="2451"/>
      <c r="I3257" s="2413"/>
      <c r="J3257" s="2413"/>
      <c r="K3257" s="2408"/>
      <c r="L3257" s="2408"/>
      <c r="M3257" s="2413"/>
    </row>
    <row r="3258" spans="1:13" x14ac:dyDescent="0.3">
      <c r="A3258" s="2452"/>
      <c r="B3258" s="2453"/>
      <c r="C3258" s="2451"/>
      <c r="D3258" s="2451"/>
      <c r="E3258" s="2451"/>
      <c r="F3258" s="2451"/>
      <c r="G3258" s="2451"/>
      <c r="H3258" s="2451"/>
      <c r="I3258" s="2413"/>
      <c r="J3258" s="2413"/>
      <c r="K3258" s="2408"/>
      <c r="L3258" s="2408"/>
      <c r="M3258" s="2413"/>
    </row>
  </sheetData>
  <autoFilter ref="K11:K3041"/>
  <phoneticPr fontId="174" type="noConversion"/>
  <pageMargins left="0.7" right="0.7" top="0.75" bottom="0.75" header="0.3" footer="0.3"/>
  <pageSetup paperSize="9" orientation="portrait" horizontalDpi="0" verticalDpi="0"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115"/>
  <sheetViews>
    <sheetView zoomScale="90" zoomScaleNormal="90" workbookViewId="0">
      <pane ySplit="11" topLeftCell="A48" activePane="bottomLeft" state="frozen"/>
      <selection activeCell="I81" sqref="I81"/>
      <selection pane="bottomLeft" activeCell="I58" sqref="I58"/>
    </sheetView>
  </sheetViews>
  <sheetFormatPr defaultRowHeight="14.5" x14ac:dyDescent="0.35"/>
  <cols>
    <col min="1" max="1" width="13.7265625" style="943" customWidth="1"/>
    <col min="2" max="2" width="13.26953125" style="3052" customWidth="1"/>
    <col min="3" max="3" width="24.453125" style="943" customWidth="1"/>
    <col min="4" max="4" width="9.1796875" style="943" customWidth="1"/>
    <col min="5" max="5" width="28.1796875" bestFit="1" customWidth="1"/>
    <col min="6" max="6" width="16.1796875" style="2898" bestFit="1" customWidth="1"/>
    <col min="7" max="7" width="17.26953125" style="2898" customWidth="1"/>
    <col min="8" max="8" width="5.26953125" customWidth="1"/>
  </cols>
  <sheetData>
    <row r="2" spans="1:9" x14ac:dyDescent="0.35">
      <c r="A2" s="943" t="s">
        <v>7326</v>
      </c>
      <c r="E2" t="s">
        <v>452</v>
      </c>
      <c r="F2" s="2898" t="s">
        <v>453</v>
      </c>
    </row>
    <row r="3" spans="1:9" x14ac:dyDescent="0.35">
      <c r="A3" s="943" t="s">
        <v>7327</v>
      </c>
      <c r="E3" t="s">
        <v>454</v>
      </c>
      <c r="F3" s="2898" t="s">
        <v>456</v>
      </c>
    </row>
    <row r="4" spans="1:9" x14ac:dyDescent="0.35">
      <c r="A4" s="943" t="s">
        <v>7328</v>
      </c>
      <c r="E4" t="s">
        <v>457</v>
      </c>
      <c r="F4" s="2898" t="s">
        <v>459</v>
      </c>
    </row>
    <row r="5" spans="1:9" x14ac:dyDescent="0.35">
      <c r="E5" t="s">
        <v>241</v>
      </c>
      <c r="F5" s="2898" t="s">
        <v>461</v>
      </c>
    </row>
    <row r="6" spans="1:9" x14ac:dyDescent="0.35">
      <c r="B6" s="3052" t="s">
        <v>6676</v>
      </c>
      <c r="E6" t="s">
        <v>462</v>
      </c>
      <c r="F6" s="2898" t="s">
        <v>464</v>
      </c>
    </row>
    <row r="7" spans="1:9" x14ac:dyDescent="0.35">
      <c r="E7" t="s">
        <v>465</v>
      </c>
      <c r="F7" s="2898" t="s">
        <v>467</v>
      </c>
    </row>
    <row r="8" spans="1:9" x14ac:dyDescent="0.35">
      <c r="A8" s="943" t="s">
        <v>8319</v>
      </c>
    </row>
    <row r="9" spans="1:9" x14ac:dyDescent="0.35">
      <c r="A9" s="943" t="s">
        <v>8320</v>
      </c>
      <c r="B9" s="3052" t="s">
        <v>6575</v>
      </c>
    </row>
    <row r="10" spans="1:9" x14ac:dyDescent="0.35">
      <c r="A10" s="943" t="s">
        <v>8321</v>
      </c>
    </row>
    <row r="11" spans="1:9" x14ac:dyDescent="0.35">
      <c r="A11" s="2479"/>
      <c r="B11" s="3053"/>
      <c r="C11" s="2479" t="s">
        <v>6677</v>
      </c>
      <c r="D11" s="2479" t="s">
        <v>6492</v>
      </c>
      <c r="E11" s="2478" t="s">
        <v>6493</v>
      </c>
      <c r="F11" s="2899" t="s">
        <v>6678</v>
      </c>
      <c r="G11" s="2899" t="s">
        <v>6679</v>
      </c>
      <c r="H11" s="2478" t="s">
        <v>6680</v>
      </c>
      <c r="I11" s="2478" t="s">
        <v>6681</v>
      </c>
    </row>
    <row r="12" spans="1:9" x14ac:dyDescent="0.35">
      <c r="A12" s="943" t="s">
        <v>8322</v>
      </c>
      <c r="B12" s="3052" t="s">
        <v>8323</v>
      </c>
      <c r="C12" s="943" t="s">
        <v>8324</v>
      </c>
    </row>
    <row r="13" spans="1:9" x14ac:dyDescent="0.35">
      <c r="C13" s="943" t="s">
        <v>8325</v>
      </c>
      <c r="D13" s="943" t="s">
        <v>585</v>
      </c>
      <c r="E13" t="s">
        <v>1060</v>
      </c>
      <c r="F13" s="2898">
        <v>200000</v>
      </c>
    </row>
    <row r="14" spans="1:9" x14ac:dyDescent="0.35">
      <c r="C14" s="943" t="s">
        <v>8325</v>
      </c>
      <c r="D14" s="943" t="s">
        <v>5725</v>
      </c>
      <c r="E14" t="s">
        <v>3605</v>
      </c>
      <c r="G14" s="2898">
        <v>200000</v>
      </c>
      <c r="I14" t="s">
        <v>467</v>
      </c>
    </row>
    <row r="16" spans="1:9" x14ac:dyDescent="0.35">
      <c r="A16" s="943" t="s">
        <v>8322</v>
      </c>
      <c r="B16" s="3052" t="s">
        <v>8234</v>
      </c>
      <c r="C16" s="943" t="s">
        <v>8326</v>
      </c>
    </row>
    <row r="17" spans="1:9" x14ac:dyDescent="0.35">
      <c r="C17" s="943" t="s">
        <v>8327</v>
      </c>
      <c r="D17" s="943" t="s">
        <v>585</v>
      </c>
      <c r="E17" t="s">
        <v>1060</v>
      </c>
      <c r="F17" s="2898">
        <v>4125000</v>
      </c>
    </row>
    <row r="18" spans="1:9" x14ac:dyDescent="0.35">
      <c r="C18" s="943" t="s">
        <v>8327</v>
      </c>
      <c r="D18" s="943" t="s">
        <v>4499</v>
      </c>
      <c r="E18" t="s">
        <v>3511</v>
      </c>
      <c r="G18" s="2898">
        <v>25000</v>
      </c>
      <c r="I18" t="s">
        <v>467</v>
      </c>
    </row>
    <row r="19" spans="1:9" x14ac:dyDescent="0.35">
      <c r="C19" s="943" t="s">
        <v>8327</v>
      </c>
      <c r="D19" s="943" t="s">
        <v>1071</v>
      </c>
      <c r="E19" t="s">
        <v>1072</v>
      </c>
      <c r="G19" s="2898">
        <v>700000</v>
      </c>
      <c r="I19" t="s">
        <v>453</v>
      </c>
    </row>
    <row r="20" spans="1:9" x14ac:dyDescent="0.35">
      <c r="C20" s="943" t="s">
        <v>8327</v>
      </c>
      <c r="D20" s="943" t="s">
        <v>1071</v>
      </c>
      <c r="E20" t="s">
        <v>1072</v>
      </c>
      <c r="G20" s="2898">
        <v>1700000</v>
      </c>
      <c r="I20" t="s">
        <v>453</v>
      </c>
    </row>
    <row r="21" spans="1:9" x14ac:dyDescent="0.35">
      <c r="C21" s="943" t="s">
        <v>8327</v>
      </c>
      <c r="D21" s="943" t="s">
        <v>1071</v>
      </c>
      <c r="E21" t="s">
        <v>1072</v>
      </c>
      <c r="F21" s="2903"/>
      <c r="G21" s="2903">
        <v>1700000</v>
      </c>
      <c r="I21" t="s">
        <v>453</v>
      </c>
    </row>
    <row r="22" spans="1:9" x14ac:dyDescent="0.35">
      <c r="F22" s="2903"/>
      <c r="G22" s="2903"/>
    </row>
    <row r="23" spans="1:9" x14ac:dyDescent="0.35">
      <c r="A23" s="943" t="s">
        <v>8322</v>
      </c>
      <c r="B23" s="3052" t="s">
        <v>8235</v>
      </c>
      <c r="C23" s="943" t="s">
        <v>8328</v>
      </c>
      <c r="F23" s="2903"/>
      <c r="G23" s="2903"/>
    </row>
    <row r="24" spans="1:9" x14ac:dyDescent="0.35">
      <c r="C24" s="943" t="s">
        <v>8329</v>
      </c>
      <c r="D24" s="943" t="s">
        <v>585</v>
      </c>
      <c r="E24" t="s">
        <v>1060</v>
      </c>
      <c r="F24" s="2903">
        <v>21133800</v>
      </c>
      <c r="G24" s="2903"/>
    </row>
    <row r="25" spans="1:9" x14ac:dyDescent="0.35">
      <c r="C25" s="943" t="s">
        <v>8329</v>
      </c>
      <c r="D25" s="943" t="s">
        <v>4499</v>
      </c>
      <c r="E25" t="s">
        <v>3511</v>
      </c>
      <c r="F25" s="2903"/>
      <c r="G25" s="2903">
        <v>25000</v>
      </c>
      <c r="I25" t="s">
        <v>467</v>
      </c>
    </row>
    <row r="26" spans="1:9" x14ac:dyDescent="0.35">
      <c r="C26" s="943" t="s">
        <v>8329</v>
      </c>
      <c r="D26" s="943" t="s">
        <v>593</v>
      </c>
      <c r="E26" t="s">
        <v>7177</v>
      </c>
      <c r="F26" s="2903"/>
      <c r="G26" s="2903">
        <v>1106800</v>
      </c>
    </row>
    <row r="27" spans="1:9" x14ac:dyDescent="0.35">
      <c r="C27" s="943" t="s">
        <v>8329</v>
      </c>
      <c r="D27" s="943" t="s">
        <v>593</v>
      </c>
      <c r="E27" t="s">
        <v>7177</v>
      </c>
      <c r="F27" s="2903"/>
      <c r="G27" s="2903">
        <v>20002000</v>
      </c>
    </row>
    <row r="28" spans="1:9" x14ac:dyDescent="0.35">
      <c r="F28" s="2903"/>
      <c r="G28" s="2903"/>
    </row>
    <row r="29" spans="1:9" x14ac:dyDescent="0.35">
      <c r="A29" s="943" t="s">
        <v>8322</v>
      </c>
      <c r="B29" s="3052" t="s">
        <v>8330</v>
      </c>
      <c r="C29" s="943" t="s">
        <v>8331</v>
      </c>
      <c r="F29" s="2903"/>
      <c r="G29" s="2903"/>
    </row>
    <row r="30" spans="1:9" x14ac:dyDescent="0.35">
      <c r="C30" s="943" t="s">
        <v>8332</v>
      </c>
      <c r="D30" s="943" t="s">
        <v>585</v>
      </c>
      <c r="E30" t="s">
        <v>1060</v>
      </c>
      <c r="F30" s="2903">
        <v>1200000</v>
      </c>
      <c r="G30" s="2903"/>
    </row>
    <row r="31" spans="1:9" x14ac:dyDescent="0.35">
      <c r="C31" s="943" t="s">
        <v>8332</v>
      </c>
      <c r="D31" s="943" t="s">
        <v>1071</v>
      </c>
      <c r="E31" t="s">
        <v>1072</v>
      </c>
      <c r="F31" s="2903"/>
      <c r="G31" s="2903">
        <v>1200000</v>
      </c>
      <c r="I31" t="s">
        <v>453</v>
      </c>
    </row>
    <row r="32" spans="1:9" x14ac:dyDescent="0.35">
      <c r="F32" s="2903"/>
      <c r="G32" s="2903"/>
    </row>
    <row r="33" spans="1:9" x14ac:dyDescent="0.35">
      <c r="A33" s="943" t="s">
        <v>8322</v>
      </c>
      <c r="B33" s="3052" t="s">
        <v>8333</v>
      </c>
      <c r="C33" s="943" t="s">
        <v>8334</v>
      </c>
    </row>
    <row r="34" spans="1:9" x14ac:dyDescent="0.35">
      <c r="C34" s="943" t="s">
        <v>8335</v>
      </c>
      <c r="D34" s="943" t="s">
        <v>585</v>
      </c>
      <c r="E34" t="s">
        <v>1060</v>
      </c>
      <c r="F34" s="2898">
        <v>5002000</v>
      </c>
    </row>
    <row r="35" spans="1:9" x14ac:dyDescent="0.35">
      <c r="C35" s="943" t="s">
        <v>8335</v>
      </c>
      <c r="D35" s="943" t="s">
        <v>593</v>
      </c>
      <c r="E35" t="s">
        <v>7177</v>
      </c>
      <c r="G35" s="2898">
        <v>5002000</v>
      </c>
    </row>
    <row r="37" spans="1:9" x14ac:dyDescent="0.35">
      <c r="A37" s="943" t="s">
        <v>8322</v>
      </c>
      <c r="B37" s="3052" t="s">
        <v>8336</v>
      </c>
      <c r="C37" s="943" t="s">
        <v>8337</v>
      </c>
    </row>
    <row r="38" spans="1:9" x14ac:dyDescent="0.35">
      <c r="C38" s="943" t="s">
        <v>8338</v>
      </c>
      <c r="D38" s="943" t="s">
        <v>585</v>
      </c>
      <c r="E38" t="s">
        <v>1060</v>
      </c>
      <c r="F38" s="2898">
        <v>700000</v>
      </c>
    </row>
    <row r="39" spans="1:9" x14ac:dyDescent="0.35">
      <c r="C39" s="943" t="s">
        <v>8338</v>
      </c>
      <c r="D39" s="943" t="s">
        <v>1071</v>
      </c>
      <c r="E39" t="s">
        <v>1072</v>
      </c>
      <c r="G39" s="2898">
        <v>700000</v>
      </c>
      <c r="I39" t="s">
        <v>453</v>
      </c>
    </row>
    <row r="41" spans="1:9" x14ac:dyDescent="0.35">
      <c r="A41" s="943" t="s">
        <v>8322</v>
      </c>
      <c r="B41" s="3052" t="s">
        <v>8336</v>
      </c>
      <c r="C41" s="943" t="s">
        <v>8339</v>
      </c>
    </row>
    <row r="42" spans="1:9" x14ac:dyDescent="0.35">
      <c r="C42" s="943" t="s">
        <v>8340</v>
      </c>
      <c r="D42" s="943" t="s">
        <v>585</v>
      </c>
      <c r="E42" t="s">
        <v>1060</v>
      </c>
      <c r="F42" s="2898">
        <v>1866000</v>
      </c>
    </row>
    <row r="43" spans="1:9" x14ac:dyDescent="0.35">
      <c r="C43" s="943" t="s">
        <v>8340</v>
      </c>
      <c r="D43" s="943" t="s">
        <v>1071</v>
      </c>
      <c r="E43" t="s">
        <v>1072</v>
      </c>
      <c r="G43" s="2898">
        <v>1866000</v>
      </c>
      <c r="I43" t="s">
        <v>453</v>
      </c>
    </row>
    <row r="45" spans="1:9" x14ac:dyDescent="0.35">
      <c r="A45" s="943" t="s">
        <v>8322</v>
      </c>
      <c r="B45" s="3052" t="s">
        <v>8341</v>
      </c>
      <c r="C45" s="943" t="s">
        <v>8342</v>
      </c>
    </row>
    <row r="46" spans="1:9" x14ac:dyDescent="0.35">
      <c r="C46" s="943" t="s">
        <v>8343</v>
      </c>
      <c r="D46" s="943" t="s">
        <v>585</v>
      </c>
      <c r="E46" t="s">
        <v>1060</v>
      </c>
      <c r="F46" s="2898">
        <v>300000</v>
      </c>
    </row>
    <row r="47" spans="1:9" x14ac:dyDescent="0.35">
      <c r="C47" s="943" t="s">
        <v>8343</v>
      </c>
      <c r="D47" s="943" t="s">
        <v>1987</v>
      </c>
      <c r="E47" t="s">
        <v>1988</v>
      </c>
      <c r="G47" s="2898">
        <v>300000</v>
      </c>
      <c r="I47" t="s">
        <v>453</v>
      </c>
    </row>
    <row r="49" spans="1:9" x14ac:dyDescent="0.35">
      <c r="A49" s="943" t="s">
        <v>8322</v>
      </c>
      <c r="B49" s="3052" t="s">
        <v>8341</v>
      </c>
      <c r="C49" s="943" t="s">
        <v>8344</v>
      </c>
    </row>
    <row r="50" spans="1:9" x14ac:dyDescent="0.35">
      <c r="C50" s="943" t="s">
        <v>8343</v>
      </c>
      <c r="D50" s="943" t="s">
        <v>585</v>
      </c>
      <c r="E50" t="s">
        <v>1060</v>
      </c>
      <c r="F50" s="2898">
        <v>11620600</v>
      </c>
    </row>
    <row r="51" spans="1:9" x14ac:dyDescent="0.35">
      <c r="C51" s="943" t="s">
        <v>8343</v>
      </c>
      <c r="D51" s="943" t="s">
        <v>593</v>
      </c>
      <c r="E51" t="s">
        <v>7177</v>
      </c>
      <c r="G51" s="2898">
        <v>674550</v>
      </c>
    </row>
    <row r="52" spans="1:9" x14ac:dyDescent="0.35">
      <c r="C52" s="943" t="s">
        <v>8343</v>
      </c>
      <c r="D52" s="943" t="s">
        <v>593</v>
      </c>
      <c r="E52" t="s">
        <v>7177</v>
      </c>
      <c r="G52" s="2898">
        <v>674550</v>
      </c>
    </row>
    <row r="53" spans="1:9" x14ac:dyDescent="0.35">
      <c r="C53" s="943" t="s">
        <v>8343</v>
      </c>
      <c r="D53" s="943" t="s">
        <v>593</v>
      </c>
      <c r="E53" t="s">
        <v>7177</v>
      </c>
      <c r="G53" s="2898">
        <v>269400</v>
      </c>
    </row>
    <row r="54" spans="1:9" x14ac:dyDescent="0.35">
      <c r="C54" s="943" t="s">
        <v>8343</v>
      </c>
      <c r="D54" s="943" t="s">
        <v>4457</v>
      </c>
      <c r="E54" t="s">
        <v>3456</v>
      </c>
      <c r="G54" s="2898">
        <v>100</v>
      </c>
      <c r="I54" t="s">
        <v>467</v>
      </c>
    </row>
    <row r="55" spans="1:9" x14ac:dyDescent="0.35">
      <c r="C55" s="943" t="s">
        <v>8343</v>
      </c>
      <c r="D55" s="943" t="s">
        <v>593</v>
      </c>
      <c r="E55" t="s">
        <v>7177</v>
      </c>
      <c r="G55" s="2898">
        <v>5002000</v>
      </c>
    </row>
    <row r="56" spans="1:9" x14ac:dyDescent="0.35">
      <c r="C56" s="943" t="s">
        <v>8343</v>
      </c>
      <c r="D56" s="943" t="s">
        <v>593</v>
      </c>
      <c r="E56" t="s">
        <v>7177</v>
      </c>
      <c r="F56" s="2903"/>
      <c r="G56" s="2903">
        <v>5000000</v>
      </c>
    </row>
    <row r="57" spans="1:9" x14ac:dyDescent="0.35">
      <c r="F57" s="2903"/>
      <c r="G57" s="2903"/>
    </row>
    <row r="59" spans="1:9" x14ac:dyDescent="0.35">
      <c r="E59" t="s">
        <v>8345</v>
      </c>
      <c r="F59" s="2903">
        <v>46147400</v>
      </c>
      <c r="G59" s="2903">
        <v>46147400</v>
      </c>
    </row>
    <row r="60" spans="1:9" x14ac:dyDescent="0.35">
      <c r="F60" s="2903"/>
      <c r="G60" s="2903"/>
    </row>
    <row r="61" spans="1:9" x14ac:dyDescent="0.35">
      <c r="F61" s="2903"/>
      <c r="G61" s="2903"/>
    </row>
    <row r="63" spans="1:9" x14ac:dyDescent="0.35">
      <c r="F63" s="2903"/>
      <c r="G63" s="2903"/>
    </row>
    <row r="64" spans="1:9" x14ac:dyDescent="0.35">
      <c r="F64" s="2903"/>
      <c r="G64" s="2903"/>
    </row>
    <row r="65" spans="6:7" x14ac:dyDescent="0.35">
      <c r="F65" s="2903"/>
      <c r="G65" s="2903"/>
    </row>
    <row r="66" spans="6:7" x14ac:dyDescent="0.35">
      <c r="F66" s="2903"/>
      <c r="G66" s="2903"/>
    </row>
    <row r="67" spans="6:7" x14ac:dyDescent="0.35">
      <c r="F67" s="2903"/>
      <c r="G67" s="2903"/>
    </row>
    <row r="68" spans="6:7" x14ac:dyDescent="0.35">
      <c r="F68" s="2903"/>
      <c r="G68" s="2903"/>
    </row>
    <row r="70" spans="6:7" x14ac:dyDescent="0.35">
      <c r="F70" s="2903"/>
      <c r="G70" s="2903"/>
    </row>
    <row r="71" spans="6:7" x14ac:dyDescent="0.35">
      <c r="F71" s="2903"/>
      <c r="G71" s="2903"/>
    </row>
    <row r="72" spans="6:7" x14ac:dyDescent="0.35">
      <c r="F72" s="2903"/>
      <c r="G72" s="2903"/>
    </row>
    <row r="73" spans="6:7" x14ac:dyDescent="0.35">
      <c r="F73" s="2903"/>
      <c r="G73" s="2903"/>
    </row>
    <row r="74" spans="6:7" x14ac:dyDescent="0.35">
      <c r="F74" s="2903"/>
      <c r="G74" s="2903"/>
    </row>
    <row r="75" spans="6:7" x14ac:dyDescent="0.35">
      <c r="F75" s="2903"/>
      <c r="G75" s="2903"/>
    </row>
    <row r="76" spans="6:7" x14ac:dyDescent="0.35">
      <c r="F76" s="2903"/>
      <c r="G76" s="2903"/>
    </row>
    <row r="77" spans="6:7" x14ac:dyDescent="0.35">
      <c r="F77" s="2903"/>
      <c r="G77" s="2903"/>
    </row>
    <row r="78" spans="6:7" x14ac:dyDescent="0.35">
      <c r="F78" s="2903"/>
      <c r="G78" s="2903"/>
    </row>
    <row r="79" spans="6:7" x14ac:dyDescent="0.35">
      <c r="F79" s="2903"/>
      <c r="G79" s="2903"/>
    </row>
    <row r="80" spans="6:7" x14ac:dyDescent="0.35">
      <c r="F80" s="2903"/>
      <c r="G80" s="2903"/>
    </row>
    <row r="81" spans="6:7" x14ac:dyDescent="0.35">
      <c r="F81" s="2903"/>
      <c r="G81" s="2903"/>
    </row>
    <row r="82" spans="6:7" x14ac:dyDescent="0.35">
      <c r="F82" s="2903"/>
      <c r="G82" s="2903"/>
    </row>
    <row r="83" spans="6:7" x14ac:dyDescent="0.35">
      <c r="F83" s="2903"/>
      <c r="G83" s="2903"/>
    </row>
    <row r="84" spans="6:7" x14ac:dyDescent="0.35">
      <c r="F84" s="2903"/>
      <c r="G84" s="2903"/>
    </row>
    <row r="85" spans="6:7" x14ac:dyDescent="0.35">
      <c r="F85" s="2903"/>
      <c r="G85" s="2903"/>
    </row>
    <row r="86" spans="6:7" x14ac:dyDescent="0.35">
      <c r="F86" s="2903"/>
      <c r="G86" s="2903"/>
    </row>
    <row r="87" spans="6:7" x14ac:dyDescent="0.35">
      <c r="F87" s="2903"/>
      <c r="G87" s="2903"/>
    </row>
    <row r="88" spans="6:7" x14ac:dyDescent="0.35">
      <c r="F88" s="2903"/>
      <c r="G88" s="2903"/>
    </row>
    <row r="89" spans="6:7" x14ac:dyDescent="0.35">
      <c r="F89" s="2903"/>
      <c r="G89" s="2903"/>
    </row>
    <row r="90" spans="6:7" x14ac:dyDescent="0.35">
      <c r="F90" s="2903"/>
      <c r="G90" s="2903"/>
    </row>
    <row r="91" spans="6:7" x14ac:dyDescent="0.35">
      <c r="F91" s="2903"/>
      <c r="G91" s="2903"/>
    </row>
    <row r="102" spans="9:9" x14ac:dyDescent="0.35">
      <c r="I102" s="2863"/>
    </row>
    <row r="106" spans="9:9" x14ac:dyDescent="0.35">
      <c r="I106" s="2863"/>
    </row>
    <row r="110" spans="9:9" x14ac:dyDescent="0.35">
      <c r="I110" s="2863"/>
    </row>
    <row r="115" spans="9:9" x14ac:dyDescent="0.35">
      <c r="I115" s="2863"/>
    </row>
  </sheetData>
  <autoFilter ref="A11:I144"/>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32"/>
  <sheetViews>
    <sheetView zoomScale="80" zoomScaleNormal="80" workbookViewId="0">
      <pane ySplit="11" topLeftCell="A321" activePane="bottomLeft" state="frozen"/>
      <selection activeCell="I81" sqref="I81"/>
      <selection pane="bottomLeft" activeCell="I242" sqref="I242"/>
    </sheetView>
  </sheetViews>
  <sheetFormatPr defaultRowHeight="14.5" x14ac:dyDescent="0.35"/>
  <cols>
    <col min="1" max="1" width="11.26953125" style="943" customWidth="1"/>
    <col min="2" max="2" width="11.7265625" style="3052" customWidth="1"/>
    <col min="3" max="3" width="31.1796875" style="943" customWidth="1"/>
    <col min="4" max="4" width="9.1796875" style="943"/>
    <col min="5" max="5" width="31.7265625" customWidth="1"/>
    <col min="6" max="6" width="18.453125" style="2898" customWidth="1"/>
    <col min="7" max="7" width="16.7265625" style="2898" customWidth="1"/>
  </cols>
  <sheetData>
    <row r="1" spans="1:9" x14ac:dyDescent="0.35">
      <c r="E1" t="s">
        <v>470</v>
      </c>
      <c r="F1" s="2898" t="s">
        <v>472</v>
      </c>
    </row>
    <row r="2" spans="1:9" x14ac:dyDescent="0.35">
      <c r="A2" s="943" t="s">
        <v>7326</v>
      </c>
      <c r="E2" t="s">
        <v>473</v>
      </c>
      <c r="F2" s="2898" t="s">
        <v>475</v>
      </c>
    </row>
    <row r="3" spans="1:9" x14ac:dyDescent="0.35">
      <c r="A3" s="943" t="s">
        <v>7327</v>
      </c>
      <c r="E3" t="s">
        <v>476</v>
      </c>
      <c r="F3" s="2898" t="s">
        <v>478</v>
      </c>
    </row>
    <row r="4" spans="1:9" x14ac:dyDescent="0.35">
      <c r="A4" s="943" t="s">
        <v>7328</v>
      </c>
      <c r="E4" t="s">
        <v>479</v>
      </c>
    </row>
    <row r="5" spans="1:9" x14ac:dyDescent="0.35">
      <c r="E5" t="s">
        <v>481</v>
      </c>
      <c r="F5" s="2898" t="s">
        <v>483</v>
      </c>
    </row>
    <row r="6" spans="1:9" x14ac:dyDescent="0.35">
      <c r="B6" s="3052" t="s">
        <v>6682</v>
      </c>
      <c r="E6" t="s">
        <v>490</v>
      </c>
      <c r="F6" s="2898" t="s">
        <v>492</v>
      </c>
    </row>
    <row r="8" spans="1:9" x14ac:dyDescent="0.35">
      <c r="A8" s="943" t="s">
        <v>8319</v>
      </c>
    </row>
    <row r="9" spans="1:9" x14ac:dyDescent="0.35">
      <c r="A9" s="943" t="s">
        <v>8320</v>
      </c>
      <c r="B9" s="3052" t="s">
        <v>6575</v>
      </c>
    </row>
    <row r="10" spans="1:9" x14ac:dyDescent="0.35">
      <c r="A10" s="943" t="s">
        <v>8346</v>
      </c>
    </row>
    <row r="11" spans="1:9" x14ac:dyDescent="0.35">
      <c r="A11" s="2479"/>
      <c r="B11" s="3053"/>
      <c r="C11" s="2479" t="s">
        <v>6677</v>
      </c>
      <c r="D11" s="2479" t="s">
        <v>6492</v>
      </c>
      <c r="E11" s="2478" t="s">
        <v>6493</v>
      </c>
      <c r="F11" s="2899" t="s">
        <v>6678</v>
      </c>
      <c r="G11" s="2899" t="s">
        <v>6679</v>
      </c>
      <c r="H11" s="2478" t="s">
        <v>6680</v>
      </c>
      <c r="I11" s="2478" t="s">
        <v>6681</v>
      </c>
    </row>
    <row r="12" spans="1:9" x14ac:dyDescent="0.35">
      <c r="A12" s="943" t="s">
        <v>6683</v>
      </c>
      <c r="B12" s="3052" t="s">
        <v>8347</v>
      </c>
      <c r="C12" s="943" t="s">
        <v>8348</v>
      </c>
    </row>
    <row r="13" spans="1:9" x14ac:dyDescent="0.35">
      <c r="C13" s="943" t="s">
        <v>8349</v>
      </c>
      <c r="D13" s="943" t="s">
        <v>585</v>
      </c>
      <c r="E13" t="s">
        <v>1060</v>
      </c>
      <c r="G13" s="2898">
        <v>4190000</v>
      </c>
    </row>
    <row r="14" spans="1:9" x14ac:dyDescent="0.35">
      <c r="C14" s="943" t="s">
        <v>8349</v>
      </c>
      <c r="D14" s="943" t="s">
        <v>6379</v>
      </c>
      <c r="E14" t="s">
        <v>4365</v>
      </c>
      <c r="F14" s="2898">
        <v>190000</v>
      </c>
      <c r="I14" t="s">
        <v>472</v>
      </c>
    </row>
    <row r="15" spans="1:9" x14ac:dyDescent="0.35">
      <c r="C15" s="943" t="s">
        <v>8349</v>
      </c>
      <c r="D15" s="943" t="s">
        <v>1082</v>
      </c>
      <c r="E15" t="s">
        <v>1083</v>
      </c>
      <c r="F15" s="2898">
        <v>4000000</v>
      </c>
      <c r="I15" t="s">
        <v>475</v>
      </c>
    </row>
    <row r="17" spans="1:9" x14ac:dyDescent="0.35">
      <c r="A17" s="943" t="s">
        <v>6683</v>
      </c>
      <c r="B17" s="3052" t="s">
        <v>8350</v>
      </c>
      <c r="C17" s="943" t="s">
        <v>8351</v>
      </c>
    </row>
    <row r="18" spans="1:9" x14ac:dyDescent="0.35">
      <c r="C18" s="943" t="s">
        <v>8352</v>
      </c>
      <c r="D18" s="943" t="s">
        <v>585</v>
      </c>
      <c r="E18" t="s">
        <v>1060</v>
      </c>
      <c r="G18" s="2898">
        <v>280000</v>
      </c>
    </row>
    <row r="19" spans="1:9" x14ac:dyDescent="0.35">
      <c r="C19" s="943" t="s">
        <v>8352</v>
      </c>
      <c r="D19" s="943" t="s">
        <v>5803</v>
      </c>
      <c r="E19" t="s">
        <v>3648</v>
      </c>
      <c r="F19" s="2898">
        <v>280000</v>
      </c>
      <c r="I19" t="s">
        <v>472</v>
      </c>
    </row>
    <row r="21" spans="1:9" x14ac:dyDescent="0.35">
      <c r="A21" s="943" t="s">
        <v>6683</v>
      </c>
      <c r="B21" s="3052" t="s">
        <v>8350</v>
      </c>
      <c r="C21" s="943" t="s">
        <v>8353</v>
      </c>
    </row>
    <row r="22" spans="1:9" x14ac:dyDescent="0.35">
      <c r="C22" s="943" t="s">
        <v>8354</v>
      </c>
      <c r="D22" s="943" t="s">
        <v>585</v>
      </c>
      <c r="E22" t="s">
        <v>1060</v>
      </c>
      <c r="G22" s="2898">
        <v>114000</v>
      </c>
    </row>
    <row r="23" spans="1:9" x14ac:dyDescent="0.35">
      <c r="C23" s="943" t="s">
        <v>8354</v>
      </c>
      <c r="D23" s="943" t="s">
        <v>6379</v>
      </c>
      <c r="E23" t="s">
        <v>4365</v>
      </c>
      <c r="F23" s="2898">
        <v>114000</v>
      </c>
      <c r="I23" t="s">
        <v>472</v>
      </c>
    </row>
    <row r="25" spans="1:9" x14ac:dyDescent="0.35">
      <c r="A25" s="943" t="s">
        <v>6683</v>
      </c>
      <c r="B25" s="3052" t="s">
        <v>8350</v>
      </c>
      <c r="C25" s="943" t="s">
        <v>8355</v>
      </c>
    </row>
    <row r="26" spans="1:9" x14ac:dyDescent="0.35">
      <c r="C26" s="943" t="s">
        <v>8356</v>
      </c>
      <c r="D26" s="943" t="s">
        <v>585</v>
      </c>
      <c r="E26" t="s">
        <v>1060</v>
      </c>
      <c r="G26" s="2898">
        <v>587500</v>
      </c>
    </row>
    <row r="27" spans="1:9" x14ac:dyDescent="0.35">
      <c r="C27" s="943" t="s">
        <v>8356</v>
      </c>
      <c r="D27" s="943" t="s">
        <v>5264</v>
      </c>
      <c r="E27" t="s">
        <v>3250</v>
      </c>
      <c r="F27" s="2898">
        <v>577500</v>
      </c>
      <c r="I27" t="s">
        <v>472</v>
      </c>
    </row>
    <row r="28" spans="1:9" x14ac:dyDescent="0.35">
      <c r="C28" s="943" t="s">
        <v>8356</v>
      </c>
      <c r="D28" s="943" t="s">
        <v>5818</v>
      </c>
      <c r="E28" t="s">
        <v>4115</v>
      </c>
      <c r="F28" s="2898">
        <v>10000</v>
      </c>
      <c r="I28" t="s">
        <v>472</v>
      </c>
    </row>
    <row r="30" spans="1:9" x14ac:dyDescent="0.35">
      <c r="A30" s="943" t="s">
        <v>6683</v>
      </c>
      <c r="B30" s="3052" t="s">
        <v>8357</v>
      </c>
      <c r="C30" s="943" t="s">
        <v>8358</v>
      </c>
    </row>
    <row r="31" spans="1:9" x14ac:dyDescent="0.35">
      <c r="C31" s="943" t="s">
        <v>8359</v>
      </c>
      <c r="D31" s="943" t="s">
        <v>585</v>
      </c>
      <c r="E31" t="s">
        <v>1060</v>
      </c>
      <c r="G31" s="2898">
        <v>198000</v>
      </c>
    </row>
    <row r="32" spans="1:9" x14ac:dyDescent="0.35">
      <c r="C32" s="943" t="s">
        <v>8359</v>
      </c>
      <c r="D32" s="943" t="s">
        <v>5756</v>
      </c>
      <c r="E32" t="s">
        <v>3664</v>
      </c>
      <c r="F32" s="2898">
        <v>198000</v>
      </c>
      <c r="I32" t="s">
        <v>472</v>
      </c>
    </row>
    <row r="34" spans="1:9" x14ac:dyDescent="0.35">
      <c r="A34" s="943" t="s">
        <v>6683</v>
      </c>
      <c r="B34" s="3052" t="s">
        <v>8357</v>
      </c>
      <c r="C34" s="943" t="s">
        <v>8360</v>
      </c>
    </row>
    <row r="35" spans="1:9" x14ac:dyDescent="0.35">
      <c r="C35" s="943" t="s">
        <v>8361</v>
      </c>
      <c r="D35" s="943" t="s">
        <v>585</v>
      </c>
      <c r="E35" t="s">
        <v>1060</v>
      </c>
      <c r="G35" s="2898">
        <v>759000</v>
      </c>
    </row>
    <row r="36" spans="1:9" x14ac:dyDescent="0.35">
      <c r="C36" s="943" t="s">
        <v>8361</v>
      </c>
      <c r="D36" s="943" t="s">
        <v>5777</v>
      </c>
      <c r="E36" t="s">
        <v>4073</v>
      </c>
      <c r="F36" s="2898">
        <v>90000</v>
      </c>
      <c r="I36" t="s">
        <v>472</v>
      </c>
    </row>
    <row r="37" spans="1:9" x14ac:dyDescent="0.35">
      <c r="C37" s="943" t="s">
        <v>8361</v>
      </c>
      <c r="D37" s="943" t="s">
        <v>5756</v>
      </c>
      <c r="E37" t="s">
        <v>3664</v>
      </c>
      <c r="F37" s="2898">
        <v>615000</v>
      </c>
      <c r="I37" t="s">
        <v>472</v>
      </c>
    </row>
    <row r="38" spans="1:9" x14ac:dyDescent="0.35">
      <c r="C38" s="943" t="s">
        <v>8361</v>
      </c>
      <c r="D38" s="943" t="s">
        <v>5756</v>
      </c>
      <c r="E38" t="s">
        <v>3664</v>
      </c>
      <c r="F38" s="2898">
        <v>45000</v>
      </c>
      <c r="I38" t="s">
        <v>472</v>
      </c>
    </row>
    <row r="39" spans="1:9" x14ac:dyDescent="0.35">
      <c r="C39" s="943" t="s">
        <v>8361</v>
      </c>
      <c r="D39" s="943" t="s">
        <v>5756</v>
      </c>
      <c r="E39" t="s">
        <v>3664</v>
      </c>
      <c r="F39" s="2898">
        <v>9000</v>
      </c>
      <c r="I39" t="s">
        <v>472</v>
      </c>
    </row>
    <row r="41" spans="1:9" x14ac:dyDescent="0.35">
      <c r="A41" s="943" t="s">
        <v>6683</v>
      </c>
      <c r="B41" s="3052" t="s">
        <v>8357</v>
      </c>
      <c r="C41" s="943" t="s">
        <v>8355</v>
      </c>
    </row>
    <row r="42" spans="1:9" x14ac:dyDescent="0.35">
      <c r="C42" s="943" t="s">
        <v>8362</v>
      </c>
      <c r="D42" s="943" t="s">
        <v>585</v>
      </c>
      <c r="E42" t="s">
        <v>1060</v>
      </c>
      <c r="G42" s="2898">
        <v>797200</v>
      </c>
    </row>
    <row r="43" spans="1:9" x14ac:dyDescent="0.35">
      <c r="C43" s="943" t="s">
        <v>8362</v>
      </c>
      <c r="D43" s="943" t="s">
        <v>5264</v>
      </c>
      <c r="E43" t="s">
        <v>3250</v>
      </c>
      <c r="F43" s="2898">
        <v>797200</v>
      </c>
      <c r="I43" t="s">
        <v>472</v>
      </c>
    </row>
    <row r="45" spans="1:9" x14ac:dyDescent="0.35">
      <c r="A45" s="943" t="s">
        <v>6683</v>
      </c>
      <c r="B45" s="3052" t="s">
        <v>8357</v>
      </c>
      <c r="C45" s="943" t="s">
        <v>8363</v>
      </c>
    </row>
    <row r="46" spans="1:9" x14ac:dyDescent="0.35">
      <c r="C46" s="943" t="s">
        <v>8364</v>
      </c>
      <c r="D46" s="943" t="s">
        <v>585</v>
      </c>
      <c r="E46" t="s">
        <v>1060</v>
      </c>
      <c r="G46" s="2898">
        <v>280000</v>
      </c>
    </row>
    <row r="47" spans="1:9" x14ac:dyDescent="0.35">
      <c r="C47" s="943" t="s">
        <v>8364</v>
      </c>
      <c r="D47" s="943" t="s">
        <v>5803</v>
      </c>
      <c r="E47" t="s">
        <v>3648</v>
      </c>
      <c r="F47" s="2898">
        <v>280000</v>
      </c>
      <c r="I47" t="s">
        <v>472</v>
      </c>
    </row>
    <row r="49" spans="1:9" x14ac:dyDescent="0.35">
      <c r="A49" s="943" t="s">
        <v>6683</v>
      </c>
      <c r="B49" s="3052" t="s">
        <v>8357</v>
      </c>
      <c r="C49" s="943" t="s">
        <v>8365</v>
      </c>
    </row>
    <row r="50" spans="1:9" x14ac:dyDescent="0.35">
      <c r="C50" s="943" t="s">
        <v>8366</v>
      </c>
      <c r="D50" s="943" t="s">
        <v>585</v>
      </c>
      <c r="E50" t="s">
        <v>1060</v>
      </c>
      <c r="G50" s="2898">
        <v>95000</v>
      </c>
    </row>
    <row r="51" spans="1:9" x14ac:dyDescent="0.35">
      <c r="C51" s="943" t="s">
        <v>8366</v>
      </c>
      <c r="D51" s="943" t="s">
        <v>6379</v>
      </c>
      <c r="E51" t="s">
        <v>4365</v>
      </c>
      <c r="F51" s="2898">
        <v>95000</v>
      </c>
      <c r="I51" t="s">
        <v>472</v>
      </c>
    </row>
    <row r="53" spans="1:9" x14ac:dyDescent="0.35">
      <c r="A53" s="943" t="s">
        <v>6683</v>
      </c>
      <c r="B53" s="3052" t="s">
        <v>8357</v>
      </c>
      <c r="C53" s="943" t="s">
        <v>8367</v>
      </c>
    </row>
    <row r="54" spans="1:9" x14ac:dyDescent="0.35">
      <c r="C54" s="943" t="s">
        <v>8368</v>
      </c>
      <c r="D54" s="943" t="s">
        <v>585</v>
      </c>
      <c r="E54" t="s">
        <v>1060</v>
      </c>
      <c r="G54" s="2898">
        <v>303000</v>
      </c>
    </row>
    <row r="55" spans="1:9" x14ac:dyDescent="0.35">
      <c r="C55" s="943" t="s">
        <v>8368</v>
      </c>
      <c r="D55" s="943" t="s">
        <v>593</v>
      </c>
      <c r="E55" t="s">
        <v>7177</v>
      </c>
      <c r="F55" s="2898">
        <v>302120</v>
      </c>
    </row>
    <row r="56" spans="1:9" x14ac:dyDescent="0.35">
      <c r="C56" s="943" t="s">
        <v>8368</v>
      </c>
      <c r="D56" s="943" t="s">
        <v>5723</v>
      </c>
      <c r="E56" t="s">
        <v>4098</v>
      </c>
      <c r="F56" s="2898">
        <v>880</v>
      </c>
      <c r="I56" t="s">
        <v>472</v>
      </c>
    </row>
    <row r="58" spans="1:9" x14ac:dyDescent="0.35">
      <c r="A58" s="943" t="s">
        <v>6683</v>
      </c>
      <c r="B58" s="3052" t="s">
        <v>8369</v>
      </c>
      <c r="C58" s="943" t="s">
        <v>8370</v>
      </c>
    </row>
    <row r="59" spans="1:9" x14ac:dyDescent="0.35">
      <c r="C59" s="943" t="s">
        <v>8371</v>
      </c>
      <c r="D59" s="943" t="s">
        <v>585</v>
      </c>
      <c r="E59" t="s">
        <v>1060</v>
      </c>
      <c r="G59" s="2898">
        <v>60000</v>
      </c>
    </row>
    <row r="60" spans="1:9" x14ac:dyDescent="0.35">
      <c r="C60" s="943" t="s">
        <v>8371</v>
      </c>
      <c r="D60" s="943" t="s">
        <v>5433</v>
      </c>
      <c r="E60" t="s">
        <v>3718</v>
      </c>
      <c r="F60" s="2898">
        <v>60000</v>
      </c>
      <c r="I60" t="s">
        <v>472</v>
      </c>
    </row>
    <row r="62" spans="1:9" x14ac:dyDescent="0.35">
      <c r="A62" s="943" t="s">
        <v>6683</v>
      </c>
      <c r="B62" s="3052" t="s">
        <v>8369</v>
      </c>
      <c r="C62" s="943" t="s">
        <v>8372</v>
      </c>
    </row>
    <row r="63" spans="1:9" x14ac:dyDescent="0.35">
      <c r="C63" s="943" t="s">
        <v>8373</v>
      </c>
      <c r="D63" s="943" t="s">
        <v>585</v>
      </c>
      <c r="E63" t="s">
        <v>1060</v>
      </c>
      <c r="G63" s="2898">
        <v>190000</v>
      </c>
    </row>
    <row r="64" spans="1:9" x14ac:dyDescent="0.35">
      <c r="C64" s="943" t="s">
        <v>8373</v>
      </c>
      <c r="D64" s="943" t="s">
        <v>6379</v>
      </c>
      <c r="E64" t="s">
        <v>4365</v>
      </c>
      <c r="F64" s="2898">
        <v>190000</v>
      </c>
      <c r="I64" t="s">
        <v>472</v>
      </c>
    </row>
    <row r="66" spans="1:9" x14ac:dyDescent="0.35">
      <c r="A66" s="943" t="s">
        <v>6683</v>
      </c>
      <c r="B66" s="3052" t="s">
        <v>8369</v>
      </c>
      <c r="C66" s="943" t="s">
        <v>8374</v>
      </c>
    </row>
    <row r="67" spans="1:9" x14ac:dyDescent="0.35">
      <c r="C67" s="943" t="s">
        <v>8375</v>
      </c>
      <c r="D67" s="943" t="s">
        <v>585</v>
      </c>
      <c r="E67" t="s">
        <v>1060</v>
      </c>
      <c r="G67" s="2898">
        <v>90000</v>
      </c>
    </row>
    <row r="68" spans="1:9" x14ac:dyDescent="0.35">
      <c r="C68" s="943" t="s">
        <v>8375</v>
      </c>
      <c r="D68" s="943" t="s">
        <v>5777</v>
      </c>
      <c r="E68" t="s">
        <v>4073</v>
      </c>
      <c r="F68" s="2898">
        <v>90000</v>
      </c>
      <c r="I68" t="s">
        <v>472</v>
      </c>
    </row>
    <row r="70" spans="1:9" x14ac:dyDescent="0.35">
      <c r="A70" s="943" t="s">
        <v>6683</v>
      </c>
      <c r="B70" s="3052" t="s">
        <v>8323</v>
      </c>
      <c r="C70" s="943" t="s">
        <v>8351</v>
      </c>
    </row>
    <row r="71" spans="1:9" x14ac:dyDescent="0.35">
      <c r="C71" s="943" t="s">
        <v>8376</v>
      </c>
      <c r="D71" s="943" t="s">
        <v>585</v>
      </c>
      <c r="E71" t="s">
        <v>1060</v>
      </c>
      <c r="G71" s="2898">
        <v>280000</v>
      </c>
    </row>
    <row r="72" spans="1:9" x14ac:dyDescent="0.35">
      <c r="C72" s="943" t="s">
        <v>8376</v>
      </c>
      <c r="D72" s="943" t="s">
        <v>5803</v>
      </c>
      <c r="E72" t="s">
        <v>3648</v>
      </c>
      <c r="F72" s="2898">
        <v>280000</v>
      </c>
      <c r="I72" t="s">
        <v>472</v>
      </c>
    </row>
    <row r="74" spans="1:9" x14ac:dyDescent="0.35">
      <c r="A74" s="943" t="s">
        <v>6683</v>
      </c>
      <c r="B74" s="3052" t="s">
        <v>8323</v>
      </c>
      <c r="C74" s="943" t="s">
        <v>8355</v>
      </c>
    </row>
    <row r="75" spans="1:9" x14ac:dyDescent="0.35">
      <c r="C75" s="943" t="s">
        <v>8377</v>
      </c>
      <c r="D75" s="943" t="s">
        <v>585</v>
      </c>
      <c r="E75" t="s">
        <v>1060</v>
      </c>
      <c r="G75" s="2898">
        <v>200000</v>
      </c>
    </row>
    <row r="76" spans="1:9" x14ac:dyDescent="0.35">
      <c r="C76" s="943" t="s">
        <v>8377</v>
      </c>
      <c r="D76" s="943" t="s">
        <v>5264</v>
      </c>
      <c r="E76" t="s">
        <v>3250</v>
      </c>
      <c r="F76" s="2898">
        <v>200000</v>
      </c>
      <c r="I76" t="s">
        <v>472</v>
      </c>
    </row>
    <row r="78" spans="1:9" x14ac:dyDescent="0.35">
      <c r="A78" s="943" t="s">
        <v>6683</v>
      </c>
      <c r="B78" s="3052" t="s">
        <v>8234</v>
      </c>
      <c r="C78" s="943" t="s">
        <v>8351</v>
      </c>
    </row>
    <row r="79" spans="1:9" x14ac:dyDescent="0.35">
      <c r="C79" s="943" t="s">
        <v>8378</v>
      </c>
      <c r="D79" s="943" t="s">
        <v>585</v>
      </c>
      <c r="E79" t="s">
        <v>1060</v>
      </c>
      <c r="G79" s="2898">
        <v>280000</v>
      </c>
    </row>
    <row r="80" spans="1:9" x14ac:dyDescent="0.35">
      <c r="C80" s="943" t="s">
        <v>8378</v>
      </c>
      <c r="D80" s="943" t="s">
        <v>5803</v>
      </c>
      <c r="E80" t="s">
        <v>3648</v>
      </c>
      <c r="F80" s="2898">
        <v>280000</v>
      </c>
      <c r="I80" t="s">
        <v>472</v>
      </c>
    </row>
    <row r="82" spans="1:9" x14ac:dyDescent="0.35">
      <c r="A82" s="943" t="s">
        <v>6683</v>
      </c>
      <c r="B82" s="3052" t="s">
        <v>8234</v>
      </c>
      <c r="C82" s="943" t="s">
        <v>8379</v>
      </c>
    </row>
    <row r="83" spans="1:9" x14ac:dyDescent="0.35">
      <c r="C83" s="943" t="s">
        <v>8380</v>
      </c>
      <c r="D83" s="943" t="s">
        <v>585</v>
      </c>
      <c r="E83" t="s">
        <v>1060</v>
      </c>
      <c r="G83" s="2898">
        <v>375000</v>
      </c>
    </row>
    <row r="84" spans="1:9" x14ac:dyDescent="0.35">
      <c r="C84" s="943" t="s">
        <v>8380</v>
      </c>
      <c r="D84" s="943" t="s">
        <v>6466</v>
      </c>
      <c r="E84" t="s">
        <v>3648</v>
      </c>
      <c r="F84" s="2898">
        <v>375000</v>
      </c>
      <c r="I84" t="s">
        <v>472</v>
      </c>
    </row>
    <row r="86" spans="1:9" x14ac:dyDescent="0.35">
      <c r="A86" s="943" t="s">
        <v>6683</v>
      </c>
      <c r="B86" s="3052" t="s">
        <v>8234</v>
      </c>
      <c r="C86" s="943" t="s">
        <v>8381</v>
      </c>
    </row>
    <row r="87" spans="1:9" x14ac:dyDescent="0.35">
      <c r="C87" s="943" t="s">
        <v>8382</v>
      </c>
      <c r="D87" s="943" t="s">
        <v>585</v>
      </c>
      <c r="E87" t="s">
        <v>1060</v>
      </c>
      <c r="G87" s="2898">
        <v>400000</v>
      </c>
    </row>
    <row r="88" spans="1:9" x14ac:dyDescent="0.35">
      <c r="C88" s="943" t="s">
        <v>8382</v>
      </c>
      <c r="D88" s="943" t="s">
        <v>5816</v>
      </c>
      <c r="E88" t="s">
        <v>3662</v>
      </c>
      <c r="F88" s="2898">
        <v>400000</v>
      </c>
      <c r="I88" t="s">
        <v>472</v>
      </c>
    </row>
    <row r="90" spans="1:9" x14ac:dyDescent="0.35">
      <c r="A90" s="943" t="s">
        <v>6683</v>
      </c>
      <c r="B90" s="3052" t="s">
        <v>8234</v>
      </c>
      <c r="C90" s="943" t="s">
        <v>8372</v>
      </c>
    </row>
    <row r="91" spans="1:9" x14ac:dyDescent="0.35">
      <c r="C91" s="943" t="s">
        <v>8383</v>
      </c>
      <c r="D91" s="943" t="s">
        <v>585</v>
      </c>
      <c r="E91" t="s">
        <v>1060</v>
      </c>
      <c r="G91" s="2898">
        <v>190000</v>
      </c>
    </row>
    <row r="92" spans="1:9" x14ac:dyDescent="0.35">
      <c r="C92" s="943" t="s">
        <v>8383</v>
      </c>
      <c r="D92" s="943" t="s">
        <v>6379</v>
      </c>
      <c r="E92" t="s">
        <v>4365</v>
      </c>
      <c r="F92" s="2898">
        <v>190000</v>
      </c>
      <c r="I92" t="s">
        <v>472</v>
      </c>
    </row>
    <row r="94" spans="1:9" x14ac:dyDescent="0.35">
      <c r="A94" s="943" t="s">
        <v>6683</v>
      </c>
      <c r="B94" s="3052" t="s">
        <v>8234</v>
      </c>
      <c r="C94" s="943" t="s">
        <v>8384</v>
      </c>
    </row>
    <row r="95" spans="1:9" x14ac:dyDescent="0.35">
      <c r="C95" s="943" t="s">
        <v>8385</v>
      </c>
      <c r="D95" s="943" t="s">
        <v>585</v>
      </c>
      <c r="E95" t="s">
        <v>1060</v>
      </c>
      <c r="G95" s="2898">
        <v>4000000</v>
      </c>
    </row>
    <row r="96" spans="1:9" x14ac:dyDescent="0.35">
      <c r="C96" s="943" t="s">
        <v>8385</v>
      </c>
      <c r="D96" s="943" t="s">
        <v>1082</v>
      </c>
      <c r="E96" t="s">
        <v>1083</v>
      </c>
      <c r="F96" s="2898">
        <v>4000000</v>
      </c>
      <c r="I96" t="s">
        <v>475</v>
      </c>
    </row>
    <row r="98" spans="1:9" x14ac:dyDescent="0.35">
      <c r="A98" s="943" t="s">
        <v>6683</v>
      </c>
      <c r="B98" s="3052" t="s">
        <v>8386</v>
      </c>
      <c r="C98" s="943" t="s">
        <v>8387</v>
      </c>
    </row>
    <row r="99" spans="1:9" x14ac:dyDescent="0.35">
      <c r="C99" s="943" t="s">
        <v>8388</v>
      </c>
      <c r="D99" s="943" t="s">
        <v>585</v>
      </c>
      <c r="E99" t="s">
        <v>1060</v>
      </c>
      <c r="G99" s="2898">
        <v>90000</v>
      </c>
    </row>
    <row r="100" spans="1:9" x14ac:dyDescent="0.35">
      <c r="C100" s="943" t="s">
        <v>8388</v>
      </c>
      <c r="D100" s="943" t="s">
        <v>5777</v>
      </c>
      <c r="E100" t="s">
        <v>4073</v>
      </c>
      <c r="F100" s="2898">
        <v>90000</v>
      </c>
      <c r="I100" t="s">
        <v>472</v>
      </c>
    </row>
    <row r="102" spans="1:9" x14ac:dyDescent="0.35">
      <c r="A102" s="943" t="s">
        <v>6683</v>
      </c>
      <c r="B102" s="3052" t="s">
        <v>8386</v>
      </c>
      <c r="C102" s="943" t="s">
        <v>8355</v>
      </c>
    </row>
    <row r="103" spans="1:9" x14ac:dyDescent="0.35">
      <c r="C103" s="943" t="s">
        <v>8389</v>
      </c>
      <c r="D103" s="943" t="s">
        <v>585</v>
      </c>
      <c r="E103" t="s">
        <v>1060</v>
      </c>
      <c r="G103" s="2898">
        <v>202300</v>
      </c>
    </row>
    <row r="104" spans="1:9" x14ac:dyDescent="0.35">
      <c r="C104" s="943" t="s">
        <v>8389</v>
      </c>
      <c r="D104" s="943" t="s">
        <v>5264</v>
      </c>
      <c r="E104" t="s">
        <v>3250</v>
      </c>
      <c r="F104" s="2898">
        <v>202300</v>
      </c>
      <c r="I104" t="s">
        <v>472</v>
      </c>
    </row>
    <row r="106" spans="1:9" x14ac:dyDescent="0.35">
      <c r="A106" s="943" t="s">
        <v>6683</v>
      </c>
      <c r="B106" s="3052" t="s">
        <v>8386</v>
      </c>
      <c r="C106" s="943" t="s">
        <v>8390</v>
      </c>
    </row>
    <row r="107" spans="1:9" x14ac:dyDescent="0.35">
      <c r="C107" s="943" t="s">
        <v>8391</v>
      </c>
      <c r="D107" s="943" t="s">
        <v>585</v>
      </c>
      <c r="E107" t="s">
        <v>1060</v>
      </c>
      <c r="G107" s="2898">
        <v>285000</v>
      </c>
    </row>
    <row r="108" spans="1:9" x14ac:dyDescent="0.35">
      <c r="C108" s="943" t="s">
        <v>8391</v>
      </c>
      <c r="D108" s="943" t="s">
        <v>6379</v>
      </c>
      <c r="E108" t="s">
        <v>4365</v>
      </c>
      <c r="F108" s="2898">
        <v>285000</v>
      </c>
      <c r="I108" t="s">
        <v>472</v>
      </c>
    </row>
    <row r="110" spans="1:9" x14ac:dyDescent="0.35">
      <c r="A110" s="943" t="s">
        <v>6683</v>
      </c>
      <c r="B110" s="3052" t="s">
        <v>8386</v>
      </c>
      <c r="C110" s="943" t="s">
        <v>8392</v>
      </c>
    </row>
    <row r="111" spans="1:9" x14ac:dyDescent="0.35">
      <c r="C111" s="943" t="s">
        <v>8393</v>
      </c>
      <c r="D111" s="943" t="s">
        <v>585</v>
      </c>
      <c r="E111" t="s">
        <v>1060</v>
      </c>
      <c r="G111" s="2898">
        <v>1680200</v>
      </c>
    </row>
    <row r="112" spans="1:9" x14ac:dyDescent="0.35">
      <c r="C112" s="943" t="s">
        <v>8393</v>
      </c>
      <c r="D112" s="943" t="s">
        <v>5106</v>
      </c>
      <c r="E112" t="s">
        <v>3650</v>
      </c>
      <c r="F112" s="2898">
        <v>380200</v>
      </c>
      <c r="I112" t="s">
        <v>472</v>
      </c>
    </row>
    <row r="113" spans="1:9" x14ac:dyDescent="0.35">
      <c r="C113" s="943" t="s">
        <v>8393</v>
      </c>
      <c r="D113" s="943" t="s">
        <v>6467</v>
      </c>
      <c r="E113" t="s">
        <v>4024</v>
      </c>
      <c r="F113" s="2898">
        <v>1300000</v>
      </c>
      <c r="I113" t="s">
        <v>472</v>
      </c>
    </row>
    <row r="115" spans="1:9" x14ac:dyDescent="0.35">
      <c r="A115" s="943" t="s">
        <v>6683</v>
      </c>
      <c r="B115" s="3052" t="s">
        <v>8235</v>
      </c>
      <c r="C115" s="943" t="s">
        <v>8351</v>
      </c>
    </row>
    <row r="116" spans="1:9" x14ac:dyDescent="0.35">
      <c r="C116" s="943" t="s">
        <v>8394</v>
      </c>
      <c r="D116" s="943" t="s">
        <v>585</v>
      </c>
      <c r="E116" t="s">
        <v>1060</v>
      </c>
      <c r="G116" s="2898">
        <v>280000</v>
      </c>
    </row>
    <row r="117" spans="1:9" x14ac:dyDescent="0.35">
      <c r="C117" s="943" t="s">
        <v>8394</v>
      </c>
      <c r="D117" s="943" t="s">
        <v>5803</v>
      </c>
      <c r="E117" t="s">
        <v>3648</v>
      </c>
      <c r="F117" s="2898">
        <v>280000</v>
      </c>
      <c r="I117" t="s">
        <v>472</v>
      </c>
    </row>
    <row r="119" spans="1:9" x14ac:dyDescent="0.35">
      <c r="A119" s="943" t="s">
        <v>6683</v>
      </c>
      <c r="B119" s="3052" t="s">
        <v>8235</v>
      </c>
      <c r="C119" s="943" t="s">
        <v>8395</v>
      </c>
    </row>
    <row r="120" spans="1:9" x14ac:dyDescent="0.35">
      <c r="C120" s="943" t="s">
        <v>8396</v>
      </c>
      <c r="D120" s="943" t="s">
        <v>585</v>
      </c>
      <c r="E120" t="s">
        <v>1060</v>
      </c>
      <c r="G120" s="2898">
        <v>80000</v>
      </c>
    </row>
    <row r="121" spans="1:9" x14ac:dyDescent="0.35">
      <c r="C121" s="943" t="s">
        <v>8396</v>
      </c>
      <c r="D121" s="943" t="s">
        <v>6096</v>
      </c>
      <c r="E121" t="s">
        <v>4240</v>
      </c>
      <c r="F121" s="2898">
        <v>80000</v>
      </c>
      <c r="I121" t="s">
        <v>472</v>
      </c>
    </row>
    <row r="123" spans="1:9" x14ac:dyDescent="0.35">
      <c r="A123" s="943" t="s">
        <v>6683</v>
      </c>
      <c r="B123" s="3052" t="s">
        <v>8235</v>
      </c>
      <c r="C123" s="943" t="s">
        <v>8397</v>
      </c>
    </row>
    <row r="124" spans="1:9" x14ac:dyDescent="0.35">
      <c r="C124" s="943" t="s">
        <v>8398</v>
      </c>
      <c r="D124" s="943" t="s">
        <v>585</v>
      </c>
      <c r="E124" t="s">
        <v>1060</v>
      </c>
      <c r="G124" s="2898">
        <v>12320500</v>
      </c>
    </row>
    <row r="125" spans="1:9" x14ac:dyDescent="0.35">
      <c r="C125" s="943" t="s">
        <v>8398</v>
      </c>
      <c r="D125" s="943" t="s">
        <v>5736</v>
      </c>
      <c r="E125" t="s">
        <v>8399</v>
      </c>
      <c r="F125" s="2898">
        <v>12318000</v>
      </c>
      <c r="I125" t="s">
        <v>475</v>
      </c>
    </row>
    <row r="126" spans="1:9" x14ac:dyDescent="0.35">
      <c r="C126" s="943" t="s">
        <v>8398</v>
      </c>
      <c r="D126" s="943" t="s">
        <v>5723</v>
      </c>
      <c r="E126" t="s">
        <v>4098</v>
      </c>
      <c r="F126" s="2898">
        <v>2500</v>
      </c>
      <c r="I126" t="s">
        <v>472</v>
      </c>
    </row>
    <row r="128" spans="1:9" x14ac:dyDescent="0.35">
      <c r="A128" s="943" t="s">
        <v>6683</v>
      </c>
      <c r="B128" s="3052" t="s">
        <v>8235</v>
      </c>
      <c r="C128" s="943" t="s">
        <v>8400</v>
      </c>
    </row>
    <row r="129" spans="1:9" x14ac:dyDescent="0.35">
      <c r="C129" s="943" t="s">
        <v>8401</v>
      </c>
      <c r="D129" s="943" t="s">
        <v>585</v>
      </c>
      <c r="E129" t="s">
        <v>1060</v>
      </c>
      <c r="G129" s="2898">
        <v>114000</v>
      </c>
    </row>
    <row r="130" spans="1:9" x14ac:dyDescent="0.35">
      <c r="C130" s="943" t="s">
        <v>8401</v>
      </c>
      <c r="D130" s="943" t="s">
        <v>6379</v>
      </c>
      <c r="E130" t="s">
        <v>4365</v>
      </c>
      <c r="F130" s="2898">
        <v>114000</v>
      </c>
      <c r="I130" t="s">
        <v>472</v>
      </c>
    </row>
    <row r="132" spans="1:9" x14ac:dyDescent="0.35">
      <c r="A132" s="943" t="s">
        <v>6683</v>
      </c>
      <c r="B132" s="3052" t="s">
        <v>8235</v>
      </c>
      <c r="C132" s="943" t="s">
        <v>8351</v>
      </c>
    </row>
    <row r="133" spans="1:9" x14ac:dyDescent="0.35">
      <c r="C133" s="943" t="s">
        <v>8402</v>
      </c>
      <c r="D133" s="943" t="s">
        <v>585</v>
      </c>
      <c r="E133" t="s">
        <v>1060</v>
      </c>
      <c r="G133" s="2898">
        <v>280000</v>
      </c>
    </row>
    <row r="134" spans="1:9" x14ac:dyDescent="0.35">
      <c r="C134" s="943" t="s">
        <v>8402</v>
      </c>
      <c r="D134" s="943" t="s">
        <v>5803</v>
      </c>
      <c r="E134" t="s">
        <v>3648</v>
      </c>
      <c r="F134" s="2898">
        <v>280000</v>
      </c>
      <c r="I134" t="s">
        <v>472</v>
      </c>
    </row>
    <row r="136" spans="1:9" x14ac:dyDescent="0.35">
      <c r="A136" s="943" t="s">
        <v>6683</v>
      </c>
      <c r="B136" s="3052" t="s">
        <v>8330</v>
      </c>
      <c r="C136" s="943" t="s">
        <v>8403</v>
      </c>
    </row>
    <row r="137" spans="1:9" x14ac:dyDescent="0.35">
      <c r="C137" s="943" t="s">
        <v>8404</v>
      </c>
      <c r="D137" s="943" t="s">
        <v>585</v>
      </c>
      <c r="E137" t="s">
        <v>1060</v>
      </c>
      <c r="G137" s="2898">
        <v>3200200</v>
      </c>
    </row>
    <row r="138" spans="1:9" x14ac:dyDescent="0.35">
      <c r="C138" s="943" t="s">
        <v>8404</v>
      </c>
      <c r="D138" s="943" t="s">
        <v>6102</v>
      </c>
      <c r="E138" t="s">
        <v>4246</v>
      </c>
      <c r="F138" s="2898">
        <v>32000</v>
      </c>
      <c r="I138" t="s">
        <v>472</v>
      </c>
    </row>
    <row r="139" spans="1:9" x14ac:dyDescent="0.35">
      <c r="C139" s="943" t="s">
        <v>8404</v>
      </c>
      <c r="D139" s="943" t="s">
        <v>6102</v>
      </c>
      <c r="E139" t="s">
        <v>4246</v>
      </c>
      <c r="F139" s="2898">
        <v>23000</v>
      </c>
      <c r="I139" t="s">
        <v>472</v>
      </c>
    </row>
    <row r="140" spans="1:9" x14ac:dyDescent="0.35">
      <c r="C140" s="943" t="s">
        <v>8404</v>
      </c>
      <c r="D140" s="943" t="s">
        <v>4671</v>
      </c>
      <c r="E140" t="s">
        <v>3718</v>
      </c>
      <c r="F140" s="2898">
        <v>100000</v>
      </c>
      <c r="I140" t="s">
        <v>472</v>
      </c>
    </row>
    <row r="141" spans="1:9" x14ac:dyDescent="0.35">
      <c r="C141" s="943" t="s">
        <v>8404</v>
      </c>
      <c r="D141" s="943" t="s">
        <v>4669</v>
      </c>
      <c r="E141" t="s">
        <v>3720</v>
      </c>
      <c r="F141" s="2898">
        <v>40000</v>
      </c>
      <c r="I141" t="s">
        <v>472</v>
      </c>
    </row>
    <row r="142" spans="1:9" x14ac:dyDescent="0.35">
      <c r="C142" s="943" t="s">
        <v>8404</v>
      </c>
      <c r="D142" s="943" t="s">
        <v>6374</v>
      </c>
      <c r="E142" t="s">
        <v>4361</v>
      </c>
      <c r="F142" s="2898">
        <v>26700</v>
      </c>
      <c r="I142" t="s">
        <v>472</v>
      </c>
    </row>
    <row r="143" spans="1:9" x14ac:dyDescent="0.35">
      <c r="C143" s="943" t="s">
        <v>8404</v>
      </c>
      <c r="D143" s="943" t="s">
        <v>5971</v>
      </c>
      <c r="E143" t="s">
        <v>3662</v>
      </c>
      <c r="F143" s="2898">
        <v>100000</v>
      </c>
      <c r="I143" t="s">
        <v>472</v>
      </c>
    </row>
    <row r="144" spans="1:9" x14ac:dyDescent="0.35">
      <c r="C144" s="943" t="s">
        <v>8404</v>
      </c>
      <c r="D144" s="943" t="s">
        <v>5816</v>
      </c>
      <c r="E144" t="s">
        <v>3662</v>
      </c>
      <c r="F144" s="2898">
        <v>330000</v>
      </c>
      <c r="I144" t="s">
        <v>472</v>
      </c>
    </row>
    <row r="145" spans="3:9" x14ac:dyDescent="0.35">
      <c r="C145" s="943" t="s">
        <v>8404</v>
      </c>
      <c r="D145" s="943" t="s">
        <v>5816</v>
      </c>
      <c r="E145" t="s">
        <v>3662</v>
      </c>
      <c r="F145" s="2898">
        <v>20000</v>
      </c>
      <c r="I145" t="s">
        <v>472</v>
      </c>
    </row>
    <row r="146" spans="3:9" x14ac:dyDescent="0.35">
      <c r="C146" s="943" t="s">
        <v>8404</v>
      </c>
      <c r="D146" s="943" t="s">
        <v>5971</v>
      </c>
      <c r="E146" t="s">
        <v>3662</v>
      </c>
      <c r="F146" s="2898">
        <v>7000</v>
      </c>
      <c r="I146" t="s">
        <v>472</v>
      </c>
    </row>
    <row r="147" spans="3:9" x14ac:dyDescent="0.35">
      <c r="C147" s="943" t="s">
        <v>8404</v>
      </c>
      <c r="D147" s="943" t="s">
        <v>6126</v>
      </c>
      <c r="E147" t="s">
        <v>4268</v>
      </c>
      <c r="F147" s="2898">
        <v>280000</v>
      </c>
      <c r="I147" t="s">
        <v>472</v>
      </c>
    </row>
    <row r="148" spans="3:9" x14ac:dyDescent="0.35">
      <c r="C148" s="943" t="s">
        <v>8404</v>
      </c>
      <c r="D148" s="943" t="s">
        <v>6121</v>
      </c>
      <c r="E148" t="s">
        <v>4257</v>
      </c>
      <c r="F148" s="2898">
        <v>81000</v>
      </c>
      <c r="I148" t="s">
        <v>472</v>
      </c>
    </row>
    <row r="149" spans="3:9" x14ac:dyDescent="0.35">
      <c r="C149" s="943" t="s">
        <v>8404</v>
      </c>
      <c r="D149" s="943" t="s">
        <v>5806</v>
      </c>
      <c r="E149" t="s">
        <v>3654</v>
      </c>
      <c r="F149" s="2898">
        <v>61000</v>
      </c>
      <c r="I149" t="s">
        <v>472</v>
      </c>
    </row>
    <row r="150" spans="3:9" x14ac:dyDescent="0.35">
      <c r="C150" s="943" t="s">
        <v>8404</v>
      </c>
      <c r="D150" s="943" t="s">
        <v>5992</v>
      </c>
      <c r="E150" t="s">
        <v>4136</v>
      </c>
      <c r="F150" s="2898">
        <v>63000</v>
      </c>
      <c r="I150" t="s">
        <v>472</v>
      </c>
    </row>
    <row r="151" spans="3:9" x14ac:dyDescent="0.35">
      <c r="C151" s="943" t="s">
        <v>8404</v>
      </c>
      <c r="D151" s="943" t="s">
        <v>6000</v>
      </c>
      <c r="E151" t="s">
        <v>4142</v>
      </c>
      <c r="F151" s="2898">
        <v>15000</v>
      </c>
      <c r="I151" t="s">
        <v>472</v>
      </c>
    </row>
    <row r="152" spans="3:9" x14ac:dyDescent="0.35">
      <c r="C152" s="943" t="s">
        <v>8404</v>
      </c>
      <c r="D152" s="943" t="s">
        <v>6367</v>
      </c>
      <c r="E152" t="s">
        <v>4355</v>
      </c>
      <c r="F152" s="2898">
        <v>25000</v>
      </c>
      <c r="I152" t="s">
        <v>472</v>
      </c>
    </row>
    <row r="153" spans="3:9" x14ac:dyDescent="0.35">
      <c r="C153" s="943" t="s">
        <v>8404</v>
      </c>
      <c r="D153" s="943" t="s">
        <v>5806</v>
      </c>
      <c r="E153" t="s">
        <v>3654</v>
      </c>
      <c r="F153" s="2898">
        <v>37500</v>
      </c>
      <c r="I153" t="s">
        <v>472</v>
      </c>
    </row>
    <row r="154" spans="3:9" x14ac:dyDescent="0.35">
      <c r="C154" s="943" t="s">
        <v>8404</v>
      </c>
      <c r="D154" s="943" t="s">
        <v>6466</v>
      </c>
      <c r="E154" t="s">
        <v>3648</v>
      </c>
      <c r="F154" s="2898">
        <v>1112000</v>
      </c>
      <c r="I154" t="s">
        <v>472</v>
      </c>
    </row>
    <row r="155" spans="3:9" x14ac:dyDescent="0.35">
      <c r="C155" s="943" t="s">
        <v>8404</v>
      </c>
      <c r="D155" s="943" t="s">
        <v>6467</v>
      </c>
      <c r="E155" t="s">
        <v>4024</v>
      </c>
      <c r="F155" s="2898">
        <v>240000</v>
      </c>
      <c r="I155" t="s">
        <v>472</v>
      </c>
    </row>
    <row r="156" spans="3:9" x14ac:dyDescent="0.35">
      <c r="C156" s="943" t="s">
        <v>8404</v>
      </c>
      <c r="D156" s="943" t="s">
        <v>6099</v>
      </c>
      <c r="E156" t="s">
        <v>4243</v>
      </c>
      <c r="F156" s="2898">
        <v>65000</v>
      </c>
      <c r="I156" t="s">
        <v>472</v>
      </c>
    </row>
    <row r="157" spans="3:9" x14ac:dyDescent="0.35">
      <c r="C157" s="943" t="s">
        <v>8404</v>
      </c>
      <c r="D157" s="943" t="s">
        <v>6382</v>
      </c>
      <c r="E157" t="s">
        <v>4368</v>
      </c>
      <c r="F157" s="2898">
        <v>15000</v>
      </c>
      <c r="I157" t="s">
        <v>472</v>
      </c>
    </row>
    <row r="158" spans="3:9" x14ac:dyDescent="0.35">
      <c r="C158" s="943" t="s">
        <v>8404</v>
      </c>
      <c r="D158" s="943" t="s">
        <v>6095</v>
      </c>
      <c r="E158" t="s">
        <v>4239</v>
      </c>
      <c r="F158" s="2898">
        <v>75000</v>
      </c>
      <c r="I158" t="s">
        <v>472</v>
      </c>
    </row>
    <row r="159" spans="3:9" x14ac:dyDescent="0.35">
      <c r="C159" s="943" t="s">
        <v>8404</v>
      </c>
      <c r="D159" s="943" t="s">
        <v>5803</v>
      </c>
      <c r="E159" t="s">
        <v>3648</v>
      </c>
      <c r="F159" s="2898">
        <v>175000</v>
      </c>
      <c r="I159" t="s">
        <v>472</v>
      </c>
    </row>
    <row r="160" spans="3:9" x14ac:dyDescent="0.35">
      <c r="C160" s="943" t="s">
        <v>8404</v>
      </c>
      <c r="D160" s="943" t="s">
        <v>5804</v>
      </c>
      <c r="E160" t="s">
        <v>3650</v>
      </c>
      <c r="F160" s="2898">
        <v>260000</v>
      </c>
      <c r="I160" t="s">
        <v>472</v>
      </c>
    </row>
    <row r="161" spans="1:9" x14ac:dyDescent="0.35">
      <c r="C161" s="943" t="s">
        <v>8404</v>
      </c>
      <c r="D161" s="943" t="s">
        <v>5817</v>
      </c>
      <c r="E161" t="s">
        <v>4114</v>
      </c>
      <c r="F161" s="2898">
        <v>2000</v>
      </c>
      <c r="I161" t="s">
        <v>472</v>
      </c>
    </row>
    <row r="162" spans="1:9" x14ac:dyDescent="0.35">
      <c r="C162" s="943" t="s">
        <v>8404</v>
      </c>
      <c r="D162" s="943" t="s">
        <v>5818</v>
      </c>
      <c r="E162" t="s">
        <v>4115</v>
      </c>
      <c r="F162" s="2898">
        <v>15000</v>
      </c>
      <c r="I162" t="s">
        <v>472</v>
      </c>
    </row>
    <row r="164" spans="1:9" x14ac:dyDescent="0.35">
      <c r="A164" s="943" t="s">
        <v>6683</v>
      </c>
      <c r="B164" s="3052" t="s">
        <v>8330</v>
      </c>
      <c r="C164" s="943" t="s">
        <v>8355</v>
      </c>
    </row>
    <row r="165" spans="1:9" x14ac:dyDescent="0.35">
      <c r="C165" s="943" t="s">
        <v>8405</v>
      </c>
      <c r="D165" s="943" t="s">
        <v>585</v>
      </c>
      <c r="E165" t="s">
        <v>1060</v>
      </c>
      <c r="G165" s="2898">
        <v>203800</v>
      </c>
    </row>
    <row r="166" spans="1:9" x14ac:dyDescent="0.35">
      <c r="C166" s="943" t="s">
        <v>8405</v>
      </c>
      <c r="D166" s="943" t="s">
        <v>5264</v>
      </c>
      <c r="E166" t="s">
        <v>3250</v>
      </c>
      <c r="F166" s="2898">
        <v>203800</v>
      </c>
      <c r="I166" t="s">
        <v>472</v>
      </c>
    </row>
    <row r="168" spans="1:9" x14ac:dyDescent="0.35">
      <c r="A168" s="943" t="s">
        <v>6683</v>
      </c>
      <c r="B168" s="3052" t="s">
        <v>8330</v>
      </c>
      <c r="C168" s="943" t="s">
        <v>8406</v>
      </c>
    </row>
    <row r="169" spans="1:9" x14ac:dyDescent="0.35">
      <c r="C169" s="943" t="s">
        <v>8407</v>
      </c>
      <c r="D169" s="943" t="s">
        <v>585</v>
      </c>
      <c r="E169" t="s">
        <v>1060</v>
      </c>
      <c r="G169" s="2898">
        <v>120000</v>
      </c>
    </row>
    <row r="170" spans="1:9" x14ac:dyDescent="0.35">
      <c r="C170" s="943" t="s">
        <v>8407</v>
      </c>
      <c r="D170" s="943" t="s">
        <v>5756</v>
      </c>
      <c r="E170" t="s">
        <v>3664</v>
      </c>
      <c r="F170" s="2898">
        <v>120000</v>
      </c>
      <c r="I170" t="s">
        <v>472</v>
      </c>
    </row>
    <row r="172" spans="1:9" x14ac:dyDescent="0.35">
      <c r="A172" s="943" t="s">
        <v>6683</v>
      </c>
      <c r="B172" s="3052" t="s">
        <v>8330</v>
      </c>
      <c r="C172" s="943" t="s">
        <v>8353</v>
      </c>
    </row>
    <row r="173" spans="1:9" x14ac:dyDescent="0.35">
      <c r="C173" s="943" t="s">
        <v>8408</v>
      </c>
      <c r="D173" s="943" t="s">
        <v>585</v>
      </c>
      <c r="E173" t="s">
        <v>1060</v>
      </c>
      <c r="G173" s="2898">
        <v>114000</v>
      </c>
    </row>
    <row r="174" spans="1:9" x14ac:dyDescent="0.35">
      <c r="C174" s="943" t="s">
        <v>8408</v>
      </c>
      <c r="D174" s="943" t="s">
        <v>6379</v>
      </c>
      <c r="E174" t="s">
        <v>4365</v>
      </c>
      <c r="F174" s="2898">
        <v>114000</v>
      </c>
      <c r="I174" t="s">
        <v>472</v>
      </c>
    </row>
    <row r="176" spans="1:9" x14ac:dyDescent="0.35">
      <c r="A176" s="943" t="s">
        <v>6683</v>
      </c>
      <c r="B176" s="3052" t="s">
        <v>8330</v>
      </c>
      <c r="C176" s="943" t="s">
        <v>8409</v>
      </c>
    </row>
    <row r="177" spans="1:9" x14ac:dyDescent="0.35">
      <c r="C177" s="943" t="s">
        <v>8410</v>
      </c>
      <c r="D177" s="943" t="s">
        <v>585</v>
      </c>
      <c r="E177" t="s">
        <v>1060</v>
      </c>
      <c r="G177" s="2898">
        <v>202000</v>
      </c>
    </row>
    <row r="178" spans="1:9" x14ac:dyDescent="0.35">
      <c r="C178" s="943" t="s">
        <v>8410</v>
      </c>
      <c r="D178" s="943" t="s">
        <v>5697</v>
      </c>
      <c r="E178" t="s">
        <v>8411</v>
      </c>
      <c r="F178" s="2898">
        <v>112000</v>
      </c>
      <c r="I178" t="s">
        <v>472</v>
      </c>
    </row>
    <row r="179" spans="1:9" x14ac:dyDescent="0.35">
      <c r="C179" s="943" t="s">
        <v>8410</v>
      </c>
      <c r="D179" s="943" t="s">
        <v>5777</v>
      </c>
      <c r="E179" t="s">
        <v>4073</v>
      </c>
      <c r="F179" s="2898">
        <v>90000</v>
      </c>
      <c r="I179" t="s">
        <v>472</v>
      </c>
    </row>
    <row r="181" spans="1:9" x14ac:dyDescent="0.35">
      <c r="A181" s="943" t="s">
        <v>6683</v>
      </c>
      <c r="B181" s="3052" t="s">
        <v>8330</v>
      </c>
      <c r="C181" s="943" t="s">
        <v>8412</v>
      </c>
    </row>
    <row r="182" spans="1:9" x14ac:dyDescent="0.35">
      <c r="C182" s="943" t="s">
        <v>8413</v>
      </c>
      <c r="D182" s="943" t="s">
        <v>585</v>
      </c>
      <c r="E182" t="s">
        <v>1060</v>
      </c>
      <c r="G182" s="2898">
        <v>2765000</v>
      </c>
    </row>
    <row r="183" spans="1:9" x14ac:dyDescent="0.35">
      <c r="C183" s="943" t="s">
        <v>8413</v>
      </c>
      <c r="D183" s="943" t="s">
        <v>5427</v>
      </c>
      <c r="E183" t="s">
        <v>350</v>
      </c>
      <c r="F183" s="2898">
        <v>2765000</v>
      </c>
      <c r="I183" t="s">
        <v>472</v>
      </c>
    </row>
    <row r="185" spans="1:9" x14ac:dyDescent="0.35">
      <c r="A185" s="943" t="s">
        <v>6683</v>
      </c>
      <c r="B185" s="3052" t="s">
        <v>8414</v>
      </c>
      <c r="C185" s="943" t="s">
        <v>8353</v>
      </c>
    </row>
    <row r="186" spans="1:9" x14ac:dyDescent="0.35">
      <c r="C186" s="943" t="s">
        <v>8415</v>
      </c>
      <c r="D186" s="943" t="s">
        <v>585</v>
      </c>
      <c r="E186" t="s">
        <v>1060</v>
      </c>
      <c r="G186" s="2898">
        <v>114000</v>
      </c>
    </row>
    <row r="187" spans="1:9" x14ac:dyDescent="0.35">
      <c r="C187" s="943" t="s">
        <v>8415</v>
      </c>
      <c r="D187" s="943" t="s">
        <v>6379</v>
      </c>
      <c r="E187" t="s">
        <v>4365</v>
      </c>
      <c r="F187" s="2898">
        <v>114000</v>
      </c>
      <c r="I187" t="s">
        <v>472</v>
      </c>
    </row>
    <row r="189" spans="1:9" x14ac:dyDescent="0.35">
      <c r="A189" s="943" t="s">
        <v>6683</v>
      </c>
      <c r="B189" s="3052" t="s">
        <v>8416</v>
      </c>
      <c r="C189" s="943" t="s">
        <v>8351</v>
      </c>
    </row>
    <row r="190" spans="1:9" x14ac:dyDescent="0.35">
      <c r="C190" s="943" t="s">
        <v>8417</v>
      </c>
      <c r="D190" s="943" t="s">
        <v>585</v>
      </c>
      <c r="E190" t="s">
        <v>1060</v>
      </c>
      <c r="G190" s="2898">
        <v>280000</v>
      </c>
    </row>
    <row r="191" spans="1:9" x14ac:dyDescent="0.35">
      <c r="C191" s="943" t="s">
        <v>8417</v>
      </c>
      <c r="D191" s="943" t="s">
        <v>5803</v>
      </c>
      <c r="E191" t="s">
        <v>3648</v>
      </c>
      <c r="F191" s="2898">
        <v>280000</v>
      </c>
      <c r="I191" t="s">
        <v>472</v>
      </c>
    </row>
    <row r="193" spans="1:9" x14ac:dyDescent="0.35">
      <c r="A193" s="943" t="s">
        <v>6683</v>
      </c>
      <c r="B193" s="3052" t="s">
        <v>8418</v>
      </c>
      <c r="C193" s="943" t="s">
        <v>8419</v>
      </c>
    </row>
    <row r="194" spans="1:9" x14ac:dyDescent="0.35">
      <c r="C194" s="943" t="s">
        <v>8420</v>
      </c>
      <c r="D194" s="943" t="s">
        <v>585</v>
      </c>
      <c r="E194" t="s">
        <v>1060</v>
      </c>
      <c r="G194" s="2898">
        <v>50000</v>
      </c>
    </row>
    <row r="195" spans="1:9" x14ac:dyDescent="0.35">
      <c r="C195" s="943" t="s">
        <v>8420</v>
      </c>
      <c r="D195" s="943" t="s">
        <v>5756</v>
      </c>
      <c r="E195" t="s">
        <v>3664</v>
      </c>
      <c r="F195" s="2898">
        <v>50000</v>
      </c>
      <c r="I195" t="s">
        <v>472</v>
      </c>
    </row>
    <row r="197" spans="1:9" x14ac:dyDescent="0.35">
      <c r="A197" s="943" t="s">
        <v>6683</v>
      </c>
      <c r="B197" s="3052" t="s">
        <v>8418</v>
      </c>
      <c r="C197" s="943" t="s">
        <v>8351</v>
      </c>
    </row>
    <row r="198" spans="1:9" x14ac:dyDescent="0.35">
      <c r="C198" s="943" t="s">
        <v>8421</v>
      </c>
      <c r="D198" s="943" t="s">
        <v>585</v>
      </c>
      <c r="E198" t="s">
        <v>1060</v>
      </c>
      <c r="G198" s="2898">
        <v>280000</v>
      </c>
    </row>
    <row r="199" spans="1:9" x14ac:dyDescent="0.35">
      <c r="C199" s="943" t="s">
        <v>8421</v>
      </c>
      <c r="D199" s="943" t="s">
        <v>5803</v>
      </c>
      <c r="E199" t="s">
        <v>3648</v>
      </c>
      <c r="F199" s="2898">
        <v>280000</v>
      </c>
      <c r="I199" t="s">
        <v>472</v>
      </c>
    </row>
    <row r="201" spans="1:9" x14ac:dyDescent="0.35">
      <c r="A201" s="943" t="s">
        <v>6683</v>
      </c>
      <c r="B201" s="3052" t="s">
        <v>8418</v>
      </c>
      <c r="C201" s="943" t="s">
        <v>8422</v>
      </c>
    </row>
    <row r="202" spans="1:9" x14ac:dyDescent="0.35">
      <c r="C202" s="943" t="s">
        <v>8423</v>
      </c>
      <c r="D202" s="943" t="s">
        <v>585</v>
      </c>
      <c r="E202" t="s">
        <v>1060</v>
      </c>
      <c r="G202" s="2898">
        <v>209000</v>
      </c>
    </row>
    <row r="203" spans="1:9" x14ac:dyDescent="0.35">
      <c r="C203" s="943" t="s">
        <v>8423</v>
      </c>
      <c r="D203" s="943" t="s">
        <v>6379</v>
      </c>
      <c r="E203" t="s">
        <v>4365</v>
      </c>
      <c r="F203" s="2898">
        <v>209000</v>
      </c>
      <c r="I203" t="s">
        <v>472</v>
      </c>
    </row>
    <row r="205" spans="1:9" x14ac:dyDescent="0.35">
      <c r="A205" s="943" t="s">
        <v>6683</v>
      </c>
      <c r="B205" s="3052" t="s">
        <v>8418</v>
      </c>
      <c r="C205" s="943" t="s">
        <v>8355</v>
      </c>
    </row>
    <row r="206" spans="1:9" x14ac:dyDescent="0.35">
      <c r="C206" s="943" t="s">
        <v>8424</v>
      </c>
      <c r="D206" s="943" t="s">
        <v>585</v>
      </c>
      <c r="E206" t="s">
        <v>1060</v>
      </c>
      <c r="G206" s="2898">
        <v>271300</v>
      </c>
    </row>
    <row r="207" spans="1:9" x14ac:dyDescent="0.35">
      <c r="C207" s="943" t="s">
        <v>8424</v>
      </c>
      <c r="D207" s="943" t="s">
        <v>5264</v>
      </c>
      <c r="E207" t="s">
        <v>3250</v>
      </c>
      <c r="F207" s="2898">
        <v>271300</v>
      </c>
      <c r="I207" t="s">
        <v>472</v>
      </c>
    </row>
    <row r="209" spans="1:9" x14ac:dyDescent="0.35">
      <c r="A209" s="943" t="s">
        <v>6683</v>
      </c>
      <c r="B209" s="3052" t="s">
        <v>8418</v>
      </c>
      <c r="C209" s="943" t="s">
        <v>8425</v>
      </c>
    </row>
    <row r="210" spans="1:9" x14ac:dyDescent="0.35">
      <c r="C210" s="943" t="s">
        <v>8426</v>
      </c>
      <c r="D210" s="943" t="s">
        <v>585</v>
      </c>
      <c r="E210" t="s">
        <v>1060</v>
      </c>
      <c r="G210" s="2898">
        <v>100000</v>
      </c>
    </row>
    <row r="211" spans="1:9" x14ac:dyDescent="0.35">
      <c r="C211" s="943" t="s">
        <v>8426</v>
      </c>
      <c r="D211" s="943" t="s">
        <v>5971</v>
      </c>
      <c r="E211" t="s">
        <v>3662</v>
      </c>
      <c r="F211" s="2898">
        <v>100000</v>
      </c>
      <c r="I211" t="s">
        <v>472</v>
      </c>
    </row>
    <row r="213" spans="1:9" x14ac:dyDescent="0.35">
      <c r="A213" s="943" t="s">
        <v>6683</v>
      </c>
      <c r="B213" s="3052" t="s">
        <v>8418</v>
      </c>
      <c r="C213" s="943" t="s">
        <v>8427</v>
      </c>
    </row>
    <row r="214" spans="1:9" x14ac:dyDescent="0.35">
      <c r="C214" s="943" t="s">
        <v>8428</v>
      </c>
      <c r="D214" s="943" t="s">
        <v>585</v>
      </c>
      <c r="E214" t="s">
        <v>1060</v>
      </c>
      <c r="G214" s="2898">
        <v>1000000</v>
      </c>
    </row>
    <row r="215" spans="1:9" x14ac:dyDescent="0.35">
      <c r="C215" s="943" t="s">
        <v>8428</v>
      </c>
      <c r="D215" s="943" t="s">
        <v>5756</v>
      </c>
      <c r="E215" t="s">
        <v>3664</v>
      </c>
      <c r="F215" s="2898">
        <v>1000000</v>
      </c>
      <c r="I215" t="s">
        <v>472</v>
      </c>
    </row>
    <row r="217" spans="1:9" x14ac:dyDescent="0.35">
      <c r="A217" s="943" t="s">
        <v>6683</v>
      </c>
      <c r="B217" s="3052" t="s">
        <v>8333</v>
      </c>
      <c r="C217" s="943" t="s">
        <v>8429</v>
      </c>
    </row>
    <row r="218" spans="1:9" x14ac:dyDescent="0.35">
      <c r="C218" s="943" t="s">
        <v>8430</v>
      </c>
      <c r="D218" s="943" t="s">
        <v>585</v>
      </c>
      <c r="E218" t="s">
        <v>1060</v>
      </c>
      <c r="G218" s="2898">
        <v>266000</v>
      </c>
    </row>
    <row r="219" spans="1:9" x14ac:dyDescent="0.35">
      <c r="C219" s="943" t="s">
        <v>8430</v>
      </c>
      <c r="D219" s="943" t="s">
        <v>6379</v>
      </c>
      <c r="E219" t="s">
        <v>4365</v>
      </c>
      <c r="F219" s="2898">
        <v>266000</v>
      </c>
      <c r="I219" t="s">
        <v>472</v>
      </c>
    </row>
    <row r="221" spans="1:9" x14ac:dyDescent="0.35">
      <c r="A221" s="943" t="s">
        <v>6683</v>
      </c>
      <c r="B221" s="3052" t="s">
        <v>8333</v>
      </c>
      <c r="C221" s="943" t="s">
        <v>8351</v>
      </c>
    </row>
    <row r="222" spans="1:9" x14ac:dyDescent="0.35">
      <c r="C222" s="943" t="s">
        <v>8431</v>
      </c>
      <c r="D222" s="943" t="s">
        <v>585</v>
      </c>
      <c r="E222" t="s">
        <v>1060</v>
      </c>
      <c r="G222" s="2898">
        <v>280000</v>
      </c>
    </row>
    <row r="223" spans="1:9" x14ac:dyDescent="0.35">
      <c r="C223" s="943" t="s">
        <v>8431</v>
      </c>
      <c r="D223" s="943" t="s">
        <v>5803</v>
      </c>
      <c r="E223" t="s">
        <v>3648</v>
      </c>
      <c r="F223" s="2898">
        <v>280000</v>
      </c>
      <c r="I223" t="s">
        <v>472</v>
      </c>
    </row>
    <row r="225" spans="1:9" x14ac:dyDescent="0.35">
      <c r="A225" s="943" t="s">
        <v>6683</v>
      </c>
      <c r="B225" s="3052" t="s">
        <v>8333</v>
      </c>
      <c r="C225" s="943" t="s">
        <v>8432</v>
      </c>
    </row>
    <row r="226" spans="1:9" x14ac:dyDescent="0.35">
      <c r="C226" s="943" t="s">
        <v>8433</v>
      </c>
      <c r="D226" s="943" t="s">
        <v>585</v>
      </c>
      <c r="E226" t="s">
        <v>1060</v>
      </c>
      <c r="G226" s="2898">
        <v>344000</v>
      </c>
    </row>
    <row r="227" spans="1:9" x14ac:dyDescent="0.35">
      <c r="C227" s="943" t="s">
        <v>8433</v>
      </c>
      <c r="D227" s="943" t="s">
        <v>5697</v>
      </c>
      <c r="E227" t="s">
        <v>8411</v>
      </c>
      <c r="F227" s="2898">
        <v>344000</v>
      </c>
      <c r="I227" t="s">
        <v>472</v>
      </c>
    </row>
    <row r="229" spans="1:9" x14ac:dyDescent="0.35">
      <c r="A229" s="943" t="s">
        <v>6683</v>
      </c>
      <c r="B229" s="3052" t="s">
        <v>8333</v>
      </c>
      <c r="C229" s="943" t="s">
        <v>8434</v>
      </c>
    </row>
    <row r="230" spans="1:9" x14ac:dyDescent="0.35">
      <c r="C230" s="943" t="s">
        <v>8435</v>
      </c>
      <c r="D230" s="943" t="s">
        <v>585</v>
      </c>
      <c r="E230" t="s">
        <v>1060</v>
      </c>
      <c r="G230" s="2898">
        <v>1266000</v>
      </c>
    </row>
    <row r="231" spans="1:9" x14ac:dyDescent="0.35">
      <c r="C231" s="943" t="s">
        <v>8435</v>
      </c>
      <c r="D231" s="943" t="s">
        <v>5424</v>
      </c>
      <c r="E231" t="s">
        <v>3718</v>
      </c>
      <c r="F231" s="2898">
        <v>40000</v>
      </c>
      <c r="I231" t="s">
        <v>472</v>
      </c>
    </row>
    <row r="232" spans="1:9" x14ac:dyDescent="0.35">
      <c r="C232" s="943" t="s">
        <v>8435</v>
      </c>
      <c r="D232" s="943" t="s">
        <v>5424</v>
      </c>
      <c r="E232" t="s">
        <v>3718</v>
      </c>
      <c r="F232" s="2898">
        <v>90000</v>
      </c>
      <c r="I232" t="s">
        <v>472</v>
      </c>
    </row>
    <row r="233" spans="1:9" x14ac:dyDescent="0.35">
      <c r="C233" s="943" t="s">
        <v>8435</v>
      </c>
      <c r="D233" s="943" t="s">
        <v>5424</v>
      </c>
      <c r="E233" t="s">
        <v>3718</v>
      </c>
      <c r="F233" s="2898">
        <v>90000</v>
      </c>
      <c r="I233" t="s">
        <v>472</v>
      </c>
    </row>
    <row r="234" spans="1:9" x14ac:dyDescent="0.35">
      <c r="C234" s="943" t="s">
        <v>8435</v>
      </c>
      <c r="D234" s="943" t="s">
        <v>5424</v>
      </c>
      <c r="E234" t="s">
        <v>3718</v>
      </c>
      <c r="F234" s="2898">
        <v>14000</v>
      </c>
      <c r="I234" t="s">
        <v>472</v>
      </c>
    </row>
    <row r="235" spans="1:9" x14ac:dyDescent="0.35">
      <c r="C235" s="943" t="s">
        <v>8435</v>
      </c>
      <c r="D235" s="943" t="s">
        <v>5419</v>
      </c>
      <c r="E235" t="s">
        <v>3720</v>
      </c>
      <c r="F235" s="2898">
        <v>42500</v>
      </c>
      <c r="I235" t="s">
        <v>472</v>
      </c>
    </row>
    <row r="236" spans="1:9" x14ac:dyDescent="0.35">
      <c r="C236" s="943" t="s">
        <v>8435</v>
      </c>
      <c r="D236" s="943" t="s">
        <v>5421</v>
      </c>
      <c r="E236" t="s">
        <v>4024</v>
      </c>
      <c r="F236" s="2898">
        <v>115800</v>
      </c>
      <c r="I236" t="s">
        <v>472</v>
      </c>
    </row>
    <row r="237" spans="1:9" x14ac:dyDescent="0.35">
      <c r="C237" s="943" t="s">
        <v>8435</v>
      </c>
      <c r="D237" s="943" t="s">
        <v>5421</v>
      </c>
      <c r="E237" t="s">
        <v>4024</v>
      </c>
      <c r="F237" s="2898">
        <v>12000</v>
      </c>
      <c r="I237" t="s">
        <v>472</v>
      </c>
    </row>
    <row r="238" spans="1:9" x14ac:dyDescent="0.35">
      <c r="C238" s="943" t="s">
        <v>8435</v>
      </c>
      <c r="D238" s="943" t="s">
        <v>5421</v>
      </c>
      <c r="E238" t="s">
        <v>4024</v>
      </c>
      <c r="F238" s="2898">
        <v>86000</v>
      </c>
      <c r="I238" t="s">
        <v>472</v>
      </c>
    </row>
    <row r="239" spans="1:9" x14ac:dyDescent="0.35">
      <c r="C239" s="943" t="s">
        <v>8435</v>
      </c>
      <c r="D239" s="943" t="s">
        <v>5433</v>
      </c>
      <c r="E239" t="s">
        <v>3718</v>
      </c>
      <c r="F239" s="2898">
        <v>100000</v>
      </c>
      <c r="I239" t="s">
        <v>472</v>
      </c>
    </row>
    <row r="240" spans="1:9" x14ac:dyDescent="0.35">
      <c r="C240" s="943" t="s">
        <v>8435</v>
      </c>
      <c r="D240" s="943" t="s">
        <v>5465</v>
      </c>
      <c r="E240" t="s">
        <v>3718</v>
      </c>
      <c r="F240" s="2898">
        <v>100000</v>
      </c>
      <c r="I240" t="s">
        <v>472</v>
      </c>
    </row>
    <row r="241" spans="1:9" x14ac:dyDescent="0.35">
      <c r="C241" s="943" t="s">
        <v>8435</v>
      </c>
      <c r="D241" s="943" t="s">
        <v>5449</v>
      </c>
      <c r="E241" t="s">
        <v>3718</v>
      </c>
      <c r="F241" s="2898">
        <v>100000</v>
      </c>
      <c r="I241" t="s">
        <v>472</v>
      </c>
    </row>
    <row r="242" spans="1:9" x14ac:dyDescent="0.35">
      <c r="C242" s="943" t="s">
        <v>8435</v>
      </c>
      <c r="D242" s="943" t="s">
        <v>5482</v>
      </c>
      <c r="E242" t="s">
        <v>3718</v>
      </c>
      <c r="F242" s="2898">
        <v>50000</v>
      </c>
      <c r="I242" t="s">
        <v>472</v>
      </c>
    </row>
    <row r="243" spans="1:9" x14ac:dyDescent="0.35">
      <c r="C243" s="943" t="s">
        <v>8435</v>
      </c>
      <c r="D243" s="943" t="s">
        <v>5479</v>
      </c>
      <c r="E243" t="s">
        <v>3934</v>
      </c>
      <c r="F243" s="2898">
        <v>200000</v>
      </c>
      <c r="I243" t="s">
        <v>472</v>
      </c>
    </row>
    <row r="244" spans="1:9" x14ac:dyDescent="0.35">
      <c r="C244" s="943" t="s">
        <v>8435</v>
      </c>
      <c r="D244" s="943" t="s">
        <v>5490</v>
      </c>
      <c r="E244" t="s">
        <v>3718</v>
      </c>
      <c r="F244" s="2898">
        <v>40000</v>
      </c>
      <c r="I244" t="s">
        <v>472</v>
      </c>
    </row>
    <row r="245" spans="1:9" x14ac:dyDescent="0.35">
      <c r="C245" s="943" t="s">
        <v>8435</v>
      </c>
      <c r="D245" s="943" t="s">
        <v>5487</v>
      </c>
      <c r="E245" t="s">
        <v>3934</v>
      </c>
      <c r="F245" s="2898">
        <v>22800</v>
      </c>
      <c r="I245" t="s">
        <v>472</v>
      </c>
    </row>
    <row r="246" spans="1:9" x14ac:dyDescent="0.35">
      <c r="C246" s="943" t="s">
        <v>8435</v>
      </c>
      <c r="D246" s="943" t="s">
        <v>5486</v>
      </c>
      <c r="E246" t="s">
        <v>3720</v>
      </c>
      <c r="F246" s="2898">
        <v>100000</v>
      </c>
      <c r="I246" t="s">
        <v>472</v>
      </c>
    </row>
    <row r="247" spans="1:9" x14ac:dyDescent="0.35">
      <c r="C247" s="943" t="s">
        <v>8435</v>
      </c>
      <c r="D247" s="943" t="s">
        <v>5486</v>
      </c>
      <c r="E247" t="s">
        <v>3720</v>
      </c>
      <c r="F247" s="2898">
        <v>39000</v>
      </c>
      <c r="I247" t="s">
        <v>472</v>
      </c>
    </row>
    <row r="248" spans="1:9" x14ac:dyDescent="0.35">
      <c r="C248" s="943" t="s">
        <v>8435</v>
      </c>
      <c r="D248" s="943" t="s">
        <v>5487</v>
      </c>
      <c r="E248" t="s">
        <v>3934</v>
      </c>
      <c r="F248" s="2898">
        <v>23900</v>
      </c>
      <c r="I248" t="s">
        <v>472</v>
      </c>
    </row>
    <row r="250" spans="1:9" x14ac:dyDescent="0.35">
      <c r="A250" s="943" t="s">
        <v>6683</v>
      </c>
      <c r="B250" s="3052" t="s">
        <v>8436</v>
      </c>
      <c r="C250" s="943" t="s">
        <v>8351</v>
      </c>
    </row>
    <row r="251" spans="1:9" x14ac:dyDescent="0.35">
      <c r="C251" s="943" t="s">
        <v>8437</v>
      </c>
      <c r="D251" s="943" t="s">
        <v>585</v>
      </c>
      <c r="E251" t="s">
        <v>1060</v>
      </c>
      <c r="G251" s="2898">
        <v>280000</v>
      </c>
    </row>
    <row r="252" spans="1:9" x14ac:dyDescent="0.35">
      <c r="C252" s="943" t="s">
        <v>8437</v>
      </c>
      <c r="D252" s="943" t="s">
        <v>5803</v>
      </c>
      <c r="E252" t="s">
        <v>3648</v>
      </c>
      <c r="F252" s="2898">
        <v>280000</v>
      </c>
      <c r="I252" t="s">
        <v>472</v>
      </c>
    </row>
    <row r="254" spans="1:9" x14ac:dyDescent="0.35">
      <c r="A254" s="943" t="s">
        <v>6683</v>
      </c>
      <c r="B254" s="3052" t="s">
        <v>8436</v>
      </c>
      <c r="C254" s="943" t="s">
        <v>8438</v>
      </c>
    </row>
    <row r="255" spans="1:9" x14ac:dyDescent="0.35">
      <c r="C255" s="943" t="s">
        <v>8439</v>
      </c>
      <c r="D255" s="943" t="s">
        <v>585</v>
      </c>
      <c r="E255" t="s">
        <v>1060</v>
      </c>
      <c r="G255" s="2898">
        <v>178000</v>
      </c>
    </row>
    <row r="256" spans="1:9" x14ac:dyDescent="0.35">
      <c r="C256" s="943" t="s">
        <v>8439</v>
      </c>
      <c r="D256" s="943" t="s">
        <v>5433</v>
      </c>
      <c r="E256" t="s">
        <v>3718</v>
      </c>
      <c r="F256" s="2898">
        <v>178000</v>
      </c>
      <c r="I256" t="s">
        <v>472</v>
      </c>
    </row>
    <row r="258" spans="1:9" x14ac:dyDescent="0.35">
      <c r="A258" s="943" t="s">
        <v>6683</v>
      </c>
      <c r="B258" s="3052" t="s">
        <v>8436</v>
      </c>
      <c r="C258" s="943" t="s">
        <v>8440</v>
      </c>
    </row>
    <row r="259" spans="1:9" x14ac:dyDescent="0.35">
      <c r="C259" s="943" t="s">
        <v>8441</v>
      </c>
      <c r="D259" s="943" t="s">
        <v>585</v>
      </c>
      <c r="E259" t="s">
        <v>1060</v>
      </c>
      <c r="G259" s="2898">
        <v>1460000</v>
      </c>
    </row>
    <row r="260" spans="1:9" x14ac:dyDescent="0.35">
      <c r="C260" s="943" t="s">
        <v>8441</v>
      </c>
      <c r="D260" s="943" t="s">
        <v>5105</v>
      </c>
      <c r="E260" t="s">
        <v>3648</v>
      </c>
      <c r="F260" s="2898">
        <v>1410000</v>
      </c>
      <c r="I260" t="s">
        <v>472</v>
      </c>
    </row>
    <row r="261" spans="1:9" x14ac:dyDescent="0.35">
      <c r="C261" s="943" t="s">
        <v>8441</v>
      </c>
      <c r="D261" s="943" t="s">
        <v>5818</v>
      </c>
      <c r="E261" t="s">
        <v>4115</v>
      </c>
      <c r="F261" s="2898">
        <v>50000</v>
      </c>
      <c r="I261" t="s">
        <v>472</v>
      </c>
    </row>
    <row r="263" spans="1:9" x14ac:dyDescent="0.35">
      <c r="A263" s="943" t="s">
        <v>6683</v>
      </c>
      <c r="B263" s="3052" t="s">
        <v>8436</v>
      </c>
      <c r="C263" s="943" t="s">
        <v>8372</v>
      </c>
    </row>
    <row r="264" spans="1:9" x14ac:dyDescent="0.35">
      <c r="C264" s="943" t="s">
        <v>8442</v>
      </c>
      <c r="D264" s="943" t="s">
        <v>585</v>
      </c>
      <c r="E264" t="s">
        <v>1060</v>
      </c>
      <c r="G264" s="2898">
        <v>190000</v>
      </c>
    </row>
    <row r="265" spans="1:9" x14ac:dyDescent="0.35">
      <c r="C265" s="943" t="s">
        <v>8442</v>
      </c>
      <c r="D265" s="943" t="s">
        <v>6379</v>
      </c>
      <c r="E265" t="s">
        <v>4365</v>
      </c>
      <c r="F265" s="2898">
        <v>190000</v>
      </c>
      <c r="I265" t="s">
        <v>472</v>
      </c>
    </row>
    <row r="267" spans="1:9" x14ac:dyDescent="0.35">
      <c r="A267" s="943" t="s">
        <v>6683</v>
      </c>
      <c r="B267" s="3052" t="s">
        <v>8443</v>
      </c>
      <c r="C267" s="943" t="s">
        <v>8353</v>
      </c>
    </row>
    <row r="268" spans="1:9" x14ac:dyDescent="0.35">
      <c r="C268" s="943" t="s">
        <v>8444</v>
      </c>
      <c r="D268" s="943" t="s">
        <v>585</v>
      </c>
      <c r="E268" t="s">
        <v>1060</v>
      </c>
      <c r="G268" s="2898">
        <v>114000</v>
      </c>
    </row>
    <row r="269" spans="1:9" x14ac:dyDescent="0.35">
      <c r="C269" s="943" t="s">
        <v>8444</v>
      </c>
      <c r="D269" s="943" t="s">
        <v>6379</v>
      </c>
      <c r="E269" t="s">
        <v>4365</v>
      </c>
      <c r="F269" s="2898">
        <v>114000</v>
      </c>
      <c r="I269" t="s">
        <v>472</v>
      </c>
    </row>
    <row r="271" spans="1:9" x14ac:dyDescent="0.35">
      <c r="A271" s="943" t="s">
        <v>6683</v>
      </c>
      <c r="B271" s="3052" t="s">
        <v>8443</v>
      </c>
      <c r="C271" s="943" t="s">
        <v>8445</v>
      </c>
    </row>
    <row r="272" spans="1:9" x14ac:dyDescent="0.35">
      <c r="C272" s="943" t="s">
        <v>8446</v>
      </c>
      <c r="D272" s="943" t="s">
        <v>585</v>
      </c>
      <c r="E272" t="s">
        <v>1060</v>
      </c>
      <c r="G272" s="2898">
        <v>60000</v>
      </c>
    </row>
    <row r="273" spans="1:9" x14ac:dyDescent="0.35">
      <c r="C273" s="943" t="s">
        <v>8446</v>
      </c>
      <c r="D273" s="943" t="s">
        <v>5816</v>
      </c>
      <c r="E273" t="s">
        <v>3662</v>
      </c>
      <c r="F273" s="2898">
        <v>60000</v>
      </c>
      <c r="I273" t="s">
        <v>472</v>
      </c>
    </row>
    <row r="275" spans="1:9" x14ac:dyDescent="0.35">
      <c r="A275" s="943" t="s">
        <v>6683</v>
      </c>
      <c r="B275" s="3052" t="s">
        <v>8443</v>
      </c>
      <c r="C275" s="943" t="s">
        <v>8447</v>
      </c>
    </row>
    <row r="276" spans="1:9" x14ac:dyDescent="0.35">
      <c r="C276" s="943" t="s">
        <v>8448</v>
      </c>
      <c r="D276" s="943" t="s">
        <v>585</v>
      </c>
      <c r="E276" t="s">
        <v>1060</v>
      </c>
      <c r="G276" s="2898">
        <v>126500</v>
      </c>
    </row>
    <row r="277" spans="1:9" x14ac:dyDescent="0.35">
      <c r="C277" s="943" t="s">
        <v>8448</v>
      </c>
      <c r="D277" s="943" t="s">
        <v>5105</v>
      </c>
      <c r="E277" t="s">
        <v>3648</v>
      </c>
      <c r="F277" s="2898">
        <v>126500</v>
      </c>
      <c r="I277" t="s">
        <v>472</v>
      </c>
    </row>
    <row r="279" spans="1:9" x14ac:dyDescent="0.35">
      <c r="A279" s="943" t="s">
        <v>6683</v>
      </c>
      <c r="B279" s="3052" t="s">
        <v>8443</v>
      </c>
      <c r="C279" s="943" t="s">
        <v>8449</v>
      </c>
    </row>
    <row r="280" spans="1:9" x14ac:dyDescent="0.35">
      <c r="C280" s="943" t="s">
        <v>8450</v>
      </c>
      <c r="D280" s="943" t="s">
        <v>585</v>
      </c>
      <c r="E280" t="s">
        <v>1060</v>
      </c>
      <c r="G280" s="2898">
        <v>1996000</v>
      </c>
    </row>
    <row r="281" spans="1:9" x14ac:dyDescent="0.35">
      <c r="C281" s="943" t="s">
        <v>8450</v>
      </c>
      <c r="D281" s="943" t="s">
        <v>5427</v>
      </c>
      <c r="E281" t="s">
        <v>350</v>
      </c>
      <c r="F281" s="2898">
        <v>1996000</v>
      </c>
      <c r="I281" t="s">
        <v>472</v>
      </c>
    </row>
    <row r="283" spans="1:9" x14ac:dyDescent="0.35">
      <c r="A283" s="943" t="s">
        <v>6683</v>
      </c>
      <c r="B283" s="3052" t="s">
        <v>8451</v>
      </c>
      <c r="C283" s="943" t="s">
        <v>8351</v>
      </c>
    </row>
    <row r="284" spans="1:9" x14ac:dyDescent="0.35">
      <c r="C284" s="943" t="s">
        <v>8452</v>
      </c>
      <c r="D284" s="943" t="s">
        <v>585</v>
      </c>
      <c r="E284" t="s">
        <v>1060</v>
      </c>
      <c r="G284" s="2898">
        <v>280000</v>
      </c>
    </row>
    <row r="285" spans="1:9" x14ac:dyDescent="0.35">
      <c r="C285" s="943" t="s">
        <v>8452</v>
      </c>
      <c r="D285" s="943" t="s">
        <v>5803</v>
      </c>
      <c r="E285" t="s">
        <v>3648</v>
      </c>
      <c r="F285" s="2898">
        <v>280000</v>
      </c>
      <c r="I285" t="s">
        <v>472</v>
      </c>
    </row>
    <row r="287" spans="1:9" x14ac:dyDescent="0.35">
      <c r="A287" s="943" t="s">
        <v>6683</v>
      </c>
      <c r="B287" s="3052" t="s">
        <v>8451</v>
      </c>
      <c r="C287" s="943" t="s">
        <v>8353</v>
      </c>
    </row>
    <row r="288" spans="1:9" x14ac:dyDescent="0.35">
      <c r="C288" s="943" t="s">
        <v>8453</v>
      </c>
      <c r="D288" s="943" t="s">
        <v>585</v>
      </c>
      <c r="E288" t="s">
        <v>1060</v>
      </c>
      <c r="G288" s="2898">
        <v>114000</v>
      </c>
    </row>
    <row r="289" spans="1:9" x14ac:dyDescent="0.35">
      <c r="C289" s="943" t="s">
        <v>8453</v>
      </c>
      <c r="D289" s="943" t="s">
        <v>6379</v>
      </c>
      <c r="E289" t="s">
        <v>4365</v>
      </c>
      <c r="F289" s="2898">
        <v>114000</v>
      </c>
      <c r="I289" t="s">
        <v>472</v>
      </c>
    </row>
    <row r="291" spans="1:9" x14ac:dyDescent="0.35">
      <c r="A291" s="943" t="s">
        <v>6683</v>
      </c>
      <c r="B291" s="3052" t="s">
        <v>8451</v>
      </c>
      <c r="C291" s="943" t="s">
        <v>8454</v>
      </c>
    </row>
    <row r="292" spans="1:9" x14ac:dyDescent="0.35">
      <c r="C292" s="943" t="s">
        <v>8455</v>
      </c>
      <c r="D292" s="943" t="s">
        <v>585</v>
      </c>
      <c r="E292" t="s">
        <v>1060</v>
      </c>
      <c r="G292" s="2898">
        <v>124000</v>
      </c>
    </row>
    <row r="293" spans="1:9" x14ac:dyDescent="0.35">
      <c r="C293" s="943" t="s">
        <v>8455</v>
      </c>
      <c r="D293" s="943" t="s">
        <v>1725</v>
      </c>
      <c r="E293" t="s">
        <v>1726</v>
      </c>
      <c r="F293" s="2898">
        <v>124000</v>
      </c>
      <c r="I293" t="s">
        <v>472</v>
      </c>
    </row>
    <row r="295" spans="1:9" x14ac:dyDescent="0.35">
      <c r="A295" s="943" t="s">
        <v>6683</v>
      </c>
      <c r="B295" s="3052" t="s">
        <v>8451</v>
      </c>
      <c r="C295" s="943" t="s">
        <v>8456</v>
      </c>
    </row>
    <row r="296" spans="1:9" x14ac:dyDescent="0.35">
      <c r="C296" s="943" t="s">
        <v>8457</v>
      </c>
      <c r="D296" s="943" t="s">
        <v>585</v>
      </c>
      <c r="E296" t="s">
        <v>1060</v>
      </c>
      <c r="G296" s="2898">
        <v>772000</v>
      </c>
    </row>
    <row r="297" spans="1:9" x14ac:dyDescent="0.35">
      <c r="C297" s="943" t="s">
        <v>8457</v>
      </c>
      <c r="D297" s="943" t="s">
        <v>6375</v>
      </c>
      <c r="E297" t="s">
        <v>3325</v>
      </c>
      <c r="F297" s="2898">
        <v>772000</v>
      </c>
      <c r="I297" t="s">
        <v>472</v>
      </c>
    </row>
    <row r="299" spans="1:9" x14ac:dyDescent="0.35">
      <c r="A299" s="943" t="s">
        <v>6683</v>
      </c>
      <c r="B299" s="3052" t="s">
        <v>8336</v>
      </c>
      <c r="C299" s="943" t="s">
        <v>8351</v>
      </c>
    </row>
    <row r="300" spans="1:9" x14ac:dyDescent="0.35">
      <c r="C300" s="943" t="s">
        <v>8458</v>
      </c>
      <c r="D300" s="943" t="s">
        <v>585</v>
      </c>
      <c r="E300" t="s">
        <v>1060</v>
      </c>
      <c r="G300" s="2898">
        <v>280000</v>
      </c>
    </row>
    <row r="301" spans="1:9" x14ac:dyDescent="0.35">
      <c r="C301" s="943" t="s">
        <v>8458</v>
      </c>
      <c r="D301" s="943" t="s">
        <v>5803</v>
      </c>
      <c r="E301" t="s">
        <v>3648</v>
      </c>
      <c r="F301" s="2898">
        <v>280000</v>
      </c>
      <c r="I301" t="s">
        <v>472</v>
      </c>
    </row>
    <row r="303" spans="1:9" x14ac:dyDescent="0.35">
      <c r="A303" s="943" t="s">
        <v>6683</v>
      </c>
      <c r="B303" s="3052" t="s">
        <v>8336</v>
      </c>
      <c r="C303" s="943" t="s">
        <v>8409</v>
      </c>
    </row>
    <row r="304" spans="1:9" x14ac:dyDescent="0.35">
      <c r="C304" s="943" t="s">
        <v>8459</v>
      </c>
      <c r="D304" s="943" t="s">
        <v>585</v>
      </c>
      <c r="E304" t="s">
        <v>1060</v>
      </c>
      <c r="G304" s="2898">
        <v>394000</v>
      </c>
    </row>
    <row r="305" spans="1:9" x14ac:dyDescent="0.35">
      <c r="C305" s="943" t="s">
        <v>8459</v>
      </c>
      <c r="D305" s="943" t="s">
        <v>5697</v>
      </c>
      <c r="E305" t="s">
        <v>8411</v>
      </c>
      <c r="F305" s="2898">
        <v>304000</v>
      </c>
      <c r="I305" t="s">
        <v>472</v>
      </c>
    </row>
    <row r="306" spans="1:9" x14ac:dyDescent="0.35">
      <c r="C306" s="943" t="s">
        <v>8459</v>
      </c>
      <c r="D306" s="943" t="s">
        <v>5777</v>
      </c>
      <c r="E306" t="s">
        <v>4073</v>
      </c>
      <c r="F306" s="2898">
        <v>90000</v>
      </c>
      <c r="I306" t="s">
        <v>472</v>
      </c>
    </row>
    <row r="308" spans="1:9" x14ac:dyDescent="0.35">
      <c r="A308" s="943" t="s">
        <v>6683</v>
      </c>
      <c r="B308" s="3052" t="s">
        <v>8336</v>
      </c>
      <c r="C308" s="943" t="s">
        <v>8460</v>
      </c>
    </row>
    <row r="309" spans="1:9" x14ac:dyDescent="0.35">
      <c r="C309" s="943" t="s">
        <v>8461</v>
      </c>
      <c r="D309" s="943" t="s">
        <v>585</v>
      </c>
      <c r="E309" t="s">
        <v>1060</v>
      </c>
      <c r="G309" s="2898">
        <v>57000</v>
      </c>
    </row>
    <row r="310" spans="1:9" x14ac:dyDescent="0.35">
      <c r="C310" s="943" t="s">
        <v>8461</v>
      </c>
      <c r="D310" s="943" t="s">
        <v>6379</v>
      </c>
      <c r="E310" t="s">
        <v>4365</v>
      </c>
      <c r="F310" s="2898">
        <v>57000</v>
      </c>
      <c r="I310" t="s">
        <v>472</v>
      </c>
    </row>
    <row r="312" spans="1:9" x14ac:dyDescent="0.35">
      <c r="A312" s="943" t="s">
        <v>6683</v>
      </c>
      <c r="B312" s="3052" t="s">
        <v>8462</v>
      </c>
      <c r="C312" s="943" t="s">
        <v>8463</v>
      </c>
    </row>
    <row r="313" spans="1:9" x14ac:dyDescent="0.35">
      <c r="C313" s="943" t="s">
        <v>8464</v>
      </c>
      <c r="D313" s="943" t="s">
        <v>585</v>
      </c>
      <c r="E313" t="s">
        <v>1060</v>
      </c>
      <c r="G313" s="2898">
        <v>150000</v>
      </c>
    </row>
    <row r="314" spans="1:9" x14ac:dyDescent="0.35">
      <c r="C314" s="943" t="s">
        <v>8464</v>
      </c>
      <c r="D314" s="943" t="s">
        <v>5806</v>
      </c>
      <c r="E314" t="s">
        <v>3654</v>
      </c>
      <c r="F314" s="2898">
        <v>150000</v>
      </c>
      <c r="I314" t="s">
        <v>472</v>
      </c>
    </row>
    <row r="316" spans="1:9" x14ac:dyDescent="0.35">
      <c r="A316" s="943" t="s">
        <v>6683</v>
      </c>
      <c r="B316" s="3052" t="s">
        <v>8462</v>
      </c>
      <c r="C316" s="943" t="s">
        <v>8465</v>
      </c>
    </row>
    <row r="317" spans="1:9" x14ac:dyDescent="0.35">
      <c r="C317" s="943" t="s">
        <v>8466</v>
      </c>
      <c r="D317" s="943" t="s">
        <v>585</v>
      </c>
      <c r="E317" t="s">
        <v>1060</v>
      </c>
      <c r="G317" s="2898">
        <v>90000</v>
      </c>
    </row>
    <row r="318" spans="1:9" x14ac:dyDescent="0.35">
      <c r="C318" s="943" t="s">
        <v>8466</v>
      </c>
      <c r="D318" s="943" t="s">
        <v>5777</v>
      </c>
      <c r="E318" t="s">
        <v>4073</v>
      </c>
      <c r="F318" s="2898">
        <v>90000</v>
      </c>
      <c r="I318" t="s">
        <v>472</v>
      </c>
    </row>
    <row r="320" spans="1:9" x14ac:dyDescent="0.35">
      <c r="A320" s="943" t="s">
        <v>6683</v>
      </c>
      <c r="B320" s="3052" t="s">
        <v>8462</v>
      </c>
      <c r="C320" s="943" t="s">
        <v>8467</v>
      </c>
    </row>
    <row r="321" spans="1:9" x14ac:dyDescent="0.35">
      <c r="C321" s="943" t="s">
        <v>8468</v>
      </c>
      <c r="D321" s="943" t="s">
        <v>585</v>
      </c>
      <c r="E321" t="s">
        <v>1060</v>
      </c>
      <c r="G321" s="2898">
        <v>102000</v>
      </c>
    </row>
    <row r="322" spans="1:9" x14ac:dyDescent="0.35">
      <c r="C322" s="943" t="s">
        <v>8468</v>
      </c>
      <c r="D322" s="943" t="s">
        <v>6379</v>
      </c>
      <c r="E322" t="s">
        <v>4365</v>
      </c>
      <c r="F322" s="2898">
        <v>102000</v>
      </c>
      <c r="I322" t="s">
        <v>472</v>
      </c>
    </row>
    <row r="324" spans="1:9" x14ac:dyDescent="0.35">
      <c r="A324" s="943" t="s">
        <v>6683</v>
      </c>
      <c r="B324" s="3052" t="s">
        <v>8341</v>
      </c>
      <c r="C324" s="943" t="s">
        <v>8351</v>
      </c>
    </row>
    <row r="325" spans="1:9" x14ac:dyDescent="0.35">
      <c r="C325" s="943" t="s">
        <v>8469</v>
      </c>
      <c r="D325" s="943" t="s">
        <v>585</v>
      </c>
      <c r="E325" t="s">
        <v>1060</v>
      </c>
      <c r="G325" s="2898">
        <v>280000</v>
      </c>
    </row>
    <row r="326" spans="1:9" x14ac:dyDescent="0.35">
      <c r="C326" s="943" t="s">
        <v>8469</v>
      </c>
      <c r="D326" s="943" t="s">
        <v>5803</v>
      </c>
      <c r="E326" t="s">
        <v>3648</v>
      </c>
      <c r="F326" s="2898">
        <v>280000</v>
      </c>
      <c r="I326" t="s">
        <v>472</v>
      </c>
    </row>
    <row r="329" spans="1:9" x14ac:dyDescent="0.35">
      <c r="E329" t="s">
        <v>8345</v>
      </c>
      <c r="F329" s="2898">
        <v>47113500</v>
      </c>
      <c r="G329" s="2898">
        <v>47113500</v>
      </c>
    </row>
    <row r="530" spans="1:3" x14ac:dyDescent="0.35">
      <c r="A530" s="3054"/>
      <c r="B530" s="3055"/>
      <c r="C530" s="3054"/>
    </row>
    <row r="531" spans="1:3" x14ac:dyDescent="0.35">
      <c r="A531" s="3054"/>
      <c r="B531" s="3055"/>
      <c r="C531" s="3054"/>
    </row>
    <row r="532" spans="1:3" x14ac:dyDescent="0.35">
      <c r="A532" s="3054"/>
      <c r="B532" s="3055"/>
      <c r="C532" s="3054"/>
    </row>
  </sheetData>
  <autoFilter ref="A11:I628"/>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J301"/>
  <sheetViews>
    <sheetView zoomScale="90" zoomScaleNormal="90" workbookViewId="0">
      <pane ySplit="11" topLeftCell="A295" activePane="bottomLeft" state="frozen"/>
      <selection activeCell="I81" sqref="I81"/>
      <selection pane="bottomLeft" activeCell="I302" sqref="I302"/>
    </sheetView>
  </sheetViews>
  <sheetFormatPr defaultRowHeight="14.5" x14ac:dyDescent="0.35"/>
  <cols>
    <col min="1" max="1" width="13.26953125" style="943" customWidth="1"/>
    <col min="2" max="2" width="15" style="2982" bestFit="1" customWidth="1"/>
    <col min="3" max="3" width="28.54296875" style="943" customWidth="1"/>
    <col min="4" max="4" width="9.1796875" style="943"/>
    <col min="5" max="5" width="39.81640625" customWidth="1"/>
    <col min="6" max="6" width="19" style="2898" customWidth="1"/>
    <col min="7" max="7" width="19.1796875" style="2898" customWidth="1"/>
    <col min="8" max="8" width="5.54296875" customWidth="1"/>
    <col min="9" max="9" width="11" customWidth="1"/>
  </cols>
  <sheetData>
    <row r="2" spans="1:9" x14ac:dyDescent="0.35">
      <c r="A2" s="943" t="s">
        <v>7326</v>
      </c>
      <c r="E2" t="s">
        <v>452</v>
      </c>
      <c r="F2" s="2898" t="s">
        <v>453</v>
      </c>
      <c r="G2" s="2898" t="s">
        <v>470</v>
      </c>
      <c r="H2" t="s">
        <v>472</v>
      </c>
    </row>
    <row r="3" spans="1:9" x14ac:dyDescent="0.35">
      <c r="A3" s="943" t="s">
        <v>7327</v>
      </c>
      <c r="E3" t="s">
        <v>454</v>
      </c>
      <c r="F3" s="2898" t="s">
        <v>456</v>
      </c>
      <c r="G3" s="2898" t="s">
        <v>473</v>
      </c>
      <c r="H3" t="s">
        <v>475</v>
      </c>
    </row>
    <row r="4" spans="1:9" x14ac:dyDescent="0.35">
      <c r="A4" s="943" t="s">
        <v>7328</v>
      </c>
      <c r="E4" t="s">
        <v>457</v>
      </c>
      <c r="F4" s="2898" t="s">
        <v>459</v>
      </c>
      <c r="G4" s="2898" t="s">
        <v>476</v>
      </c>
      <c r="H4" t="s">
        <v>478</v>
      </c>
    </row>
    <row r="5" spans="1:9" x14ac:dyDescent="0.35">
      <c r="E5" t="s">
        <v>241</v>
      </c>
      <c r="F5" s="2898" t="s">
        <v>461</v>
      </c>
      <c r="G5" s="2898" t="s">
        <v>479</v>
      </c>
    </row>
    <row r="6" spans="1:9" x14ac:dyDescent="0.35">
      <c r="B6" s="2982" t="s">
        <v>6685</v>
      </c>
      <c r="E6" t="s">
        <v>462</v>
      </c>
      <c r="F6" s="2898" t="s">
        <v>464</v>
      </c>
      <c r="G6" s="2898" t="s">
        <v>481</v>
      </c>
      <c r="H6" t="s">
        <v>483</v>
      </c>
    </row>
    <row r="7" spans="1:9" x14ac:dyDescent="0.35">
      <c r="E7" t="s">
        <v>465</v>
      </c>
      <c r="F7" s="2898" t="s">
        <v>467</v>
      </c>
      <c r="G7" s="2898" t="s">
        <v>490</v>
      </c>
      <c r="H7" t="s">
        <v>492</v>
      </c>
    </row>
    <row r="8" spans="1:9" x14ac:dyDescent="0.35">
      <c r="A8" s="943" t="s">
        <v>8319</v>
      </c>
    </row>
    <row r="9" spans="1:9" x14ac:dyDescent="0.35">
      <c r="A9" s="943" t="s">
        <v>8320</v>
      </c>
      <c r="B9" s="2982" t="s">
        <v>6575</v>
      </c>
    </row>
    <row r="10" spans="1:9" x14ac:dyDescent="0.35">
      <c r="A10" s="943" t="s">
        <v>8470</v>
      </c>
    </row>
    <row r="11" spans="1:9" x14ac:dyDescent="0.35">
      <c r="A11" s="2479"/>
      <c r="B11" s="2983"/>
      <c r="C11" s="2479" t="s">
        <v>6677</v>
      </c>
      <c r="D11" s="2479" t="s">
        <v>6492</v>
      </c>
      <c r="E11" s="2478" t="s">
        <v>6493</v>
      </c>
      <c r="F11" s="2899" t="s">
        <v>6678</v>
      </c>
      <c r="G11" s="2899" t="s">
        <v>6679</v>
      </c>
      <c r="H11" s="2478" t="s">
        <v>6680</v>
      </c>
      <c r="I11" s="2478" t="s">
        <v>6686</v>
      </c>
    </row>
    <row r="12" spans="1:9" x14ac:dyDescent="0.35">
      <c r="A12" s="943" t="s">
        <v>8471</v>
      </c>
      <c r="B12" s="2982" t="s">
        <v>8347</v>
      </c>
      <c r="C12" s="943" t="s">
        <v>8472</v>
      </c>
    </row>
    <row r="13" spans="1:9" x14ac:dyDescent="0.35">
      <c r="C13" s="943" t="s">
        <v>8473</v>
      </c>
      <c r="D13" s="943" t="s">
        <v>1071</v>
      </c>
      <c r="E13" t="s">
        <v>1072</v>
      </c>
      <c r="F13" s="2903">
        <v>256700000</v>
      </c>
      <c r="G13" s="2903"/>
    </row>
    <row r="14" spans="1:9" x14ac:dyDescent="0.35">
      <c r="C14" s="943" t="s">
        <v>8473</v>
      </c>
      <c r="D14" s="943" t="s">
        <v>3375</v>
      </c>
      <c r="E14" t="s">
        <v>3376</v>
      </c>
      <c r="F14" s="2903"/>
      <c r="G14" s="2903">
        <v>256700000</v>
      </c>
    </row>
    <row r="15" spans="1:9" x14ac:dyDescent="0.35">
      <c r="C15" s="943" t="s">
        <v>8473</v>
      </c>
      <c r="D15" s="943" t="s">
        <v>1075</v>
      </c>
      <c r="E15" t="s">
        <v>1076</v>
      </c>
      <c r="F15" s="2903">
        <v>23800000</v>
      </c>
      <c r="G15" s="2903"/>
    </row>
    <row r="16" spans="1:9" x14ac:dyDescent="0.35">
      <c r="C16" s="943" t="s">
        <v>8473</v>
      </c>
      <c r="D16" s="943" t="s">
        <v>3412</v>
      </c>
      <c r="E16" t="s">
        <v>3413</v>
      </c>
      <c r="F16" s="2903"/>
      <c r="G16" s="2903">
        <v>23800000</v>
      </c>
    </row>
    <row r="17" spans="1:7" x14ac:dyDescent="0.35">
      <c r="C17" s="943" t="s">
        <v>8473</v>
      </c>
      <c r="D17" s="943" t="s">
        <v>1073</v>
      </c>
      <c r="E17" t="s">
        <v>1074</v>
      </c>
      <c r="F17" s="2903">
        <v>266900000</v>
      </c>
      <c r="G17" s="2903"/>
    </row>
    <row r="18" spans="1:7" x14ac:dyDescent="0.35">
      <c r="C18" s="943" t="s">
        <v>8473</v>
      </c>
      <c r="D18" s="943" t="s">
        <v>3412</v>
      </c>
      <c r="E18" t="s">
        <v>3413</v>
      </c>
      <c r="F18" s="2903"/>
      <c r="G18" s="2903">
        <v>266900000</v>
      </c>
    </row>
    <row r="19" spans="1:7" x14ac:dyDescent="0.35">
      <c r="C19" s="943" t="s">
        <v>8473</v>
      </c>
      <c r="D19" s="943" t="s">
        <v>4543</v>
      </c>
      <c r="E19" t="s">
        <v>3583</v>
      </c>
      <c r="F19" s="2903">
        <v>3400000</v>
      </c>
      <c r="G19" s="2903"/>
    </row>
    <row r="20" spans="1:7" x14ac:dyDescent="0.35">
      <c r="C20" s="943" t="s">
        <v>8473</v>
      </c>
      <c r="D20" s="943" t="s">
        <v>1071</v>
      </c>
      <c r="E20" t="s">
        <v>1072</v>
      </c>
      <c r="F20" s="2903"/>
      <c r="G20" s="2903">
        <v>3400000</v>
      </c>
    </row>
    <row r="21" spans="1:7" x14ac:dyDescent="0.35">
      <c r="C21" s="943" t="s">
        <v>8473</v>
      </c>
      <c r="D21" s="943" t="s">
        <v>4544</v>
      </c>
      <c r="E21" t="s">
        <v>3584</v>
      </c>
      <c r="F21" s="2903">
        <v>550000</v>
      </c>
      <c r="G21" s="2903"/>
    </row>
    <row r="22" spans="1:7" x14ac:dyDescent="0.35">
      <c r="C22" s="943" t="s">
        <v>8473</v>
      </c>
      <c r="D22" s="943" t="s">
        <v>1073</v>
      </c>
      <c r="E22" t="s">
        <v>1074</v>
      </c>
      <c r="F22" s="2903"/>
      <c r="G22" s="2903">
        <v>550000</v>
      </c>
    </row>
    <row r="23" spans="1:7" x14ac:dyDescent="0.35">
      <c r="F23" s="2903"/>
      <c r="G23" s="2903"/>
    </row>
    <row r="24" spans="1:7" x14ac:dyDescent="0.35">
      <c r="A24" s="943" t="s">
        <v>8471</v>
      </c>
      <c r="B24" s="2982" t="s">
        <v>8347</v>
      </c>
      <c r="C24" s="943" t="s">
        <v>8474</v>
      </c>
      <c r="F24" s="2903"/>
      <c r="G24" s="2903"/>
    </row>
    <row r="25" spans="1:7" x14ac:dyDescent="0.35">
      <c r="C25" s="943" t="s">
        <v>8475</v>
      </c>
      <c r="D25" s="943" t="s">
        <v>1234</v>
      </c>
      <c r="E25" t="s">
        <v>8476</v>
      </c>
      <c r="F25" s="2903">
        <v>70750000</v>
      </c>
      <c r="G25" s="2903"/>
    </row>
    <row r="26" spans="1:7" x14ac:dyDescent="0.35">
      <c r="C26" s="943" t="s">
        <v>8475</v>
      </c>
      <c r="D26" s="943" t="s">
        <v>1071</v>
      </c>
      <c r="E26" t="s">
        <v>1072</v>
      </c>
      <c r="F26" s="2903"/>
      <c r="G26" s="2903">
        <v>23750000</v>
      </c>
    </row>
    <row r="27" spans="1:7" x14ac:dyDescent="0.35">
      <c r="C27" s="943" t="s">
        <v>8475</v>
      </c>
      <c r="D27" s="943" t="s">
        <v>1075</v>
      </c>
      <c r="E27" t="s">
        <v>1076</v>
      </c>
      <c r="F27" s="2903"/>
      <c r="G27" s="2903">
        <v>3400000</v>
      </c>
    </row>
    <row r="28" spans="1:7" x14ac:dyDescent="0.35">
      <c r="C28" s="943" t="s">
        <v>8475</v>
      </c>
      <c r="D28" s="943" t="s">
        <v>1073</v>
      </c>
      <c r="E28" t="s">
        <v>1074</v>
      </c>
      <c r="F28" s="2903"/>
      <c r="G28" s="2903">
        <v>43600000</v>
      </c>
    </row>
    <row r="29" spans="1:7" x14ac:dyDescent="0.35">
      <c r="C29" s="943" t="s">
        <v>8475</v>
      </c>
      <c r="D29" s="943" t="s">
        <v>1125</v>
      </c>
      <c r="E29" t="s">
        <v>1126</v>
      </c>
      <c r="F29" s="2903">
        <v>38800000</v>
      </c>
      <c r="G29" s="2903"/>
    </row>
    <row r="30" spans="1:7" x14ac:dyDescent="0.35">
      <c r="C30" s="943" t="s">
        <v>8475</v>
      </c>
      <c r="D30" s="943" t="s">
        <v>1071</v>
      </c>
      <c r="E30" t="s">
        <v>1072</v>
      </c>
      <c r="F30" s="2903"/>
      <c r="G30" s="2903">
        <v>38800000</v>
      </c>
    </row>
    <row r="31" spans="1:7" x14ac:dyDescent="0.35">
      <c r="C31" s="943" t="s">
        <v>8475</v>
      </c>
      <c r="D31" s="943" t="s">
        <v>1125</v>
      </c>
      <c r="E31" t="s">
        <v>1126</v>
      </c>
      <c r="F31" s="2903">
        <v>37801000</v>
      </c>
      <c r="G31" s="2903"/>
    </row>
    <row r="32" spans="1:7" x14ac:dyDescent="0.35">
      <c r="C32" s="943" t="s">
        <v>8475</v>
      </c>
      <c r="D32" s="943" t="s">
        <v>1073</v>
      </c>
      <c r="E32" t="s">
        <v>1074</v>
      </c>
      <c r="F32" s="2903"/>
      <c r="G32" s="2903">
        <v>37801000</v>
      </c>
    </row>
    <row r="33" spans="1:9" x14ac:dyDescent="0.35">
      <c r="F33" s="2903"/>
      <c r="G33" s="2903"/>
    </row>
    <row r="34" spans="1:9" x14ac:dyDescent="0.35">
      <c r="A34" s="943" t="s">
        <v>8471</v>
      </c>
      <c r="B34" s="2982" t="s">
        <v>8477</v>
      </c>
      <c r="C34" s="943" t="s">
        <v>8478</v>
      </c>
      <c r="F34" s="2903"/>
      <c r="G34" s="2903"/>
    </row>
    <row r="35" spans="1:9" x14ac:dyDescent="0.35">
      <c r="C35" s="943" t="s">
        <v>8479</v>
      </c>
      <c r="D35" s="943" t="s">
        <v>1062</v>
      </c>
      <c r="E35" t="s">
        <v>7135</v>
      </c>
      <c r="F35" s="2903">
        <v>183166000</v>
      </c>
      <c r="G35" s="2903"/>
    </row>
    <row r="36" spans="1:9" x14ac:dyDescent="0.35">
      <c r="C36" s="943" t="s">
        <v>8479</v>
      </c>
      <c r="D36" s="943" t="s">
        <v>1071</v>
      </c>
      <c r="E36" t="s">
        <v>1072</v>
      </c>
      <c r="F36" s="2903"/>
      <c r="G36" s="2903">
        <v>183166000</v>
      </c>
      <c r="I36" t="s">
        <v>453</v>
      </c>
    </row>
    <row r="37" spans="1:9" x14ac:dyDescent="0.35">
      <c r="C37" s="943" t="s">
        <v>8479</v>
      </c>
      <c r="D37" s="943" t="s">
        <v>1062</v>
      </c>
      <c r="E37" t="s">
        <v>7135</v>
      </c>
      <c r="F37" s="2903">
        <v>21400000</v>
      </c>
      <c r="G37" s="2903"/>
    </row>
    <row r="38" spans="1:9" x14ac:dyDescent="0.35">
      <c r="C38" s="943" t="s">
        <v>8479</v>
      </c>
      <c r="D38" s="943" t="s">
        <v>1075</v>
      </c>
      <c r="E38" t="s">
        <v>1076</v>
      </c>
      <c r="F38" s="2903"/>
      <c r="G38" s="2903">
        <v>21400000</v>
      </c>
      <c r="I38" t="s">
        <v>453</v>
      </c>
    </row>
    <row r="39" spans="1:9" x14ac:dyDescent="0.35">
      <c r="C39" s="943" t="s">
        <v>8479</v>
      </c>
      <c r="D39" s="943" t="s">
        <v>1062</v>
      </c>
      <c r="E39" t="s">
        <v>7135</v>
      </c>
      <c r="F39" s="2903">
        <v>164399000</v>
      </c>
      <c r="G39" s="2903"/>
    </row>
    <row r="40" spans="1:9" x14ac:dyDescent="0.35">
      <c r="C40" s="943" t="s">
        <v>8479</v>
      </c>
      <c r="D40" s="943" t="s">
        <v>1073</v>
      </c>
      <c r="E40" t="s">
        <v>1074</v>
      </c>
      <c r="F40" s="2903"/>
      <c r="G40" s="2903">
        <v>164399000</v>
      </c>
      <c r="I40" t="s">
        <v>453</v>
      </c>
    </row>
    <row r="41" spans="1:9" x14ac:dyDescent="0.35">
      <c r="C41" s="943" t="s">
        <v>8479</v>
      </c>
      <c r="D41" s="943" t="s">
        <v>1062</v>
      </c>
      <c r="E41" t="s">
        <v>7135</v>
      </c>
      <c r="F41" s="2903">
        <v>65551000</v>
      </c>
      <c r="G41" s="2903"/>
    </row>
    <row r="42" spans="1:9" x14ac:dyDescent="0.35">
      <c r="C42" s="943" t="s">
        <v>8479</v>
      </c>
      <c r="D42" s="943" t="s">
        <v>1125</v>
      </c>
      <c r="E42" t="s">
        <v>1126</v>
      </c>
      <c r="F42" s="2903"/>
      <c r="G42" s="2903">
        <v>65551000</v>
      </c>
      <c r="I42" t="s">
        <v>453</v>
      </c>
    </row>
    <row r="43" spans="1:9" x14ac:dyDescent="0.35">
      <c r="C43" s="943" t="s">
        <v>8479</v>
      </c>
      <c r="D43" s="943" t="s">
        <v>1062</v>
      </c>
      <c r="E43" t="s">
        <v>7135</v>
      </c>
      <c r="F43" s="2903">
        <v>72570000</v>
      </c>
      <c r="G43" s="2903"/>
    </row>
    <row r="44" spans="1:9" x14ac:dyDescent="0.35">
      <c r="C44" s="943" t="s">
        <v>8479</v>
      </c>
      <c r="D44" s="943" t="s">
        <v>1844</v>
      </c>
      <c r="E44" t="s">
        <v>1845</v>
      </c>
      <c r="F44" s="2903"/>
      <c r="G44" s="2903">
        <v>72570000</v>
      </c>
      <c r="I44" t="s">
        <v>453</v>
      </c>
    </row>
    <row r="45" spans="1:9" x14ac:dyDescent="0.35">
      <c r="C45" s="943" t="s">
        <v>8479</v>
      </c>
      <c r="D45" s="943" t="s">
        <v>1062</v>
      </c>
      <c r="E45" t="s">
        <v>7135</v>
      </c>
      <c r="F45" s="2903">
        <v>300000</v>
      </c>
      <c r="G45" s="2903"/>
    </row>
    <row r="46" spans="1:9" x14ac:dyDescent="0.35">
      <c r="C46" s="943" t="s">
        <v>8479</v>
      </c>
      <c r="D46" s="943" t="s">
        <v>1987</v>
      </c>
      <c r="E46" t="s">
        <v>1988</v>
      </c>
      <c r="F46" s="2903"/>
      <c r="G46" s="2903">
        <v>300000</v>
      </c>
      <c r="I46" t="s">
        <v>453</v>
      </c>
    </row>
    <row r="47" spans="1:9" x14ac:dyDescent="0.35">
      <c r="C47" s="943" t="s">
        <v>8479</v>
      </c>
      <c r="D47" s="943" t="s">
        <v>1062</v>
      </c>
      <c r="E47" t="s">
        <v>7135</v>
      </c>
      <c r="F47" s="2903">
        <v>2000000</v>
      </c>
      <c r="G47" s="2903"/>
    </row>
    <row r="48" spans="1:9" x14ac:dyDescent="0.35">
      <c r="C48" s="943" t="s">
        <v>8479</v>
      </c>
      <c r="D48" s="943" t="s">
        <v>1858</v>
      </c>
      <c r="E48" t="s">
        <v>1859</v>
      </c>
      <c r="F48" s="2903"/>
      <c r="G48" s="2903">
        <v>2000000</v>
      </c>
      <c r="I48" t="s">
        <v>453</v>
      </c>
    </row>
    <row r="49" spans="1:9" x14ac:dyDescent="0.35">
      <c r="C49" s="943" t="s">
        <v>8479</v>
      </c>
      <c r="D49" s="943" t="s">
        <v>1062</v>
      </c>
      <c r="E49" t="s">
        <v>7135</v>
      </c>
      <c r="F49" s="2903">
        <v>500000</v>
      </c>
      <c r="G49" s="2903"/>
    </row>
    <row r="50" spans="1:9" x14ac:dyDescent="0.35">
      <c r="C50" s="943" t="s">
        <v>8479</v>
      </c>
      <c r="D50" s="943" t="s">
        <v>2129</v>
      </c>
      <c r="E50" t="s">
        <v>2130</v>
      </c>
      <c r="F50" s="2903"/>
      <c r="G50" s="2903">
        <v>500000</v>
      </c>
      <c r="I50" t="s">
        <v>453</v>
      </c>
    </row>
    <row r="51" spans="1:9" x14ac:dyDescent="0.35">
      <c r="C51" s="943" t="s">
        <v>8479</v>
      </c>
      <c r="D51" s="943" t="s">
        <v>1062</v>
      </c>
      <c r="E51" t="s">
        <v>7135</v>
      </c>
      <c r="F51" s="2903">
        <v>70750000</v>
      </c>
      <c r="G51" s="2903"/>
    </row>
    <row r="52" spans="1:9" x14ac:dyDescent="0.35">
      <c r="C52" s="943" t="s">
        <v>8479</v>
      </c>
      <c r="D52" s="943" t="s">
        <v>1234</v>
      </c>
      <c r="E52" t="s">
        <v>8476</v>
      </c>
      <c r="F52" s="2903"/>
      <c r="G52" s="2903">
        <v>70750000</v>
      </c>
      <c r="I52" t="s">
        <v>453</v>
      </c>
    </row>
    <row r="53" spans="1:9" x14ac:dyDescent="0.35">
      <c r="C53" s="943" t="s">
        <v>8479</v>
      </c>
      <c r="D53" s="943" t="s">
        <v>1062</v>
      </c>
      <c r="E53" t="s">
        <v>7135</v>
      </c>
      <c r="F53" s="2903">
        <v>80036000</v>
      </c>
      <c r="G53" s="2903"/>
    </row>
    <row r="54" spans="1:9" x14ac:dyDescent="0.35">
      <c r="C54" s="943" t="s">
        <v>8479</v>
      </c>
      <c r="D54" s="943" t="s">
        <v>1834</v>
      </c>
      <c r="E54" t="s">
        <v>7638</v>
      </c>
      <c r="F54" s="2903"/>
      <c r="G54" s="2903">
        <v>80036000</v>
      </c>
      <c r="I54" t="s">
        <v>461</v>
      </c>
    </row>
    <row r="55" spans="1:9" x14ac:dyDescent="0.35">
      <c r="F55" s="2903"/>
      <c r="G55" s="2903"/>
    </row>
    <row r="56" spans="1:9" x14ac:dyDescent="0.35">
      <c r="A56" s="943" t="s">
        <v>8471</v>
      </c>
      <c r="B56" s="2982" t="s">
        <v>8477</v>
      </c>
      <c r="C56" s="943" t="s">
        <v>8480</v>
      </c>
      <c r="F56" s="2903"/>
      <c r="G56" s="2903"/>
    </row>
    <row r="57" spans="1:9" x14ac:dyDescent="0.35">
      <c r="C57" s="943" t="s">
        <v>8481</v>
      </c>
      <c r="D57" s="943" t="s">
        <v>593</v>
      </c>
      <c r="E57" t="s">
        <v>7177</v>
      </c>
      <c r="F57" s="2903">
        <v>2000000</v>
      </c>
      <c r="G57" s="2903"/>
    </row>
    <row r="58" spans="1:9" x14ac:dyDescent="0.35">
      <c r="C58" s="943" t="s">
        <v>8481</v>
      </c>
      <c r="D58" s="943" t="s">
        <v>1082</v>
      </c>
      <c r="E58" t="s">
        <v>1083</v>
      </c>
      <c r="F58" s="2903"/>
      <c r="G58" s="2903">
        <v>2000000</v>
      </c>
      <c r="I58" t="s">
        <v>464</v>
      </c>
    </row>
    <row r="59" spans="1:9" x14ac:dyDescent="0.35">
      <c r="C59" s="943" t="s">
        <v>8481</v>
      </c>
      <c r="D59" s="943" t="s">
        <v>593</v>
      </c>
      <c r="E59" t="s">
        <v>7177</v>
      </c>
      <c r="F59" s="2903">
        <v>1700000</v>
      </c>
      <c r="G59" s="2903"/>
    </row>
    <row r="60" spans="1:9" x14ac:dyDescent="0.35">
      <c r="C60" s="943" t="s">
        <v>8481</v>
      </c>
      <c r="D60" s="943" t="s">
        <v>1073</v>
      </c>
      <c r="E60" t="s">
        <v>1074</v>
      </c>
      <c r="F60" s="2903"/>
      <c r="G60" s="2903">
        <v>1700000</v>
      </c>
      <c r="I60" t="s">
        <v>453</v>
      </c>
    </row>
    <row r="61" spans="1:9" x14ac:dyDescent="0.35">
      <c r="F61" s="2903"/>
      <c r="G61" s="2903"/>
    </row>
    <row r="62" spans="1:9" x14ac:dyDescent="0.35">
      <c r="A62" s="943" t="s">
        <v>8471</v>
      </c>
      <c r="B62" s="2982" t="s">
        <v>8477</v>
      </c>
      <c r="C62" s="943" t="s">
        <v>8482</v>
      </c>
      <c r="F62" s="2903"/>
      <c r="G62" s="2903"/>
    </row>
    <row r="63" spans="1:9" x14ac:dyDescent="0.35">
      <c r="C63" s="943" t="s">
        <v>8483</v>
      </c>
      <c r="D63" s="943" t="s">
        <v>588</v>
      </c>
      <c r="E63" t="s">
        <v>1061</v>
      </c>
      <c r="F63" s="2903">
        <v>21301100</v>
      </c>
      <c r="G63" s="2903"/>
    </row>
    <row r="64" spans="1:9" x14ac:dyDescent="0.35">
      <c r="C64" s="943" t="s">
        <v>8483</v>
      </c>
      <c r="D64" s="943" t="s">
        <v>1124</v>
      </c>
      <c r="E64" t="s">
        <v>1061</v>
      </c>
      <c r="F64" s="2903"/>
      <c r="G64" s="2903">
        <v>21301100</v>
      </c>
      <c r="I64" t="s">
        <v>461</v>
      </c>
    </row>
    <row r="65" spans="1:9" x14ac:dyDescent="0.35">
      <c r="C65" s="943" t="s">
        <v>8483</v>
      </c>
      <c r="D65" s="943" t="s">
        <v>1124</v>
      </c>
      <c r="E65" t="s">
        <v>1061</v>
      </c>
      <c r="F65" s="2903">
        <v>51094400</v>
      </c>
      <c r="G65" s="2903"/>
      <c r="I65" t="s">
        <v>478</v>
      </c>
    </row>
    <row r="66" spans="1:9" x14ac:dyDescent="0.35">
      <c r="C66" s="943" t="s">
        <v>8483</v>
      </c>
      <c r="D66" s="943" t="s">
        <v>588</v>
      </c>
      <c r="E66" t="s">
        <v>1061</v>
      </c>
      <c r="F66" s="2903"/>
      <c r="G66" s="2903">
        <v>51094400</v>
      </c>
    </row>
    <row r="67" spans="1:9" x14ac:dyDescent="0.35">
      <c r="C67" s="943" t="s">
        <v>8483</v>
      </c>
      <c r="D67" s="943" t="s">
        <v>1124</v>
      </c>
      <c r="E67" t="s">
        <v>1061</v>
      </c>
      <c r="F67" s="2903">
        <v>71228300</v>
      </c>
      <c r="G67" s="2903"/>
      <c r="I67" t="s">
        <v>478</v>
      </c>
    </row>
    <row r="68" spans="1:9" x14ac:dyDescent="0.35">
      <c r="C68" s="943" t="s">
        <v>8483</v>
      </c>
      <c r="D68" s="943" t="s">
        <v>588</v>
      </c>
      <c r="E68" t="s">
        <v>1061</v>
      </c>
      <c r="F68" s="2903"/>
      <c r="G68" s="2903">
        <v>71228300</v>
      </c>
    </row>
    <row r="69" spans="1:9" x14ac:dyDescent="0.35">
      <c r="F69" s="2903"/>
      <c r="G69" s="2903"/>
    </row>
    <row r="70" spans="1:9" x14ac:dyDescent="0.35">
      <c r="A70" s="943" t="s">
        <v>8471</v>
      </c>
      <c r="B70" s="2982" t="s">
        <v>8484</v>
      </c>
      <c r="C70" s="943" t="s">
        <v>8485</v>
      </c>
      <c r="F70" s="2903"/>
      <c r="G70" s="2903"/>
    </row>
    <row r="71" spans="1:9" x14ac:dyDescent="0.35">
      <c r="C71" s="943" t="s">
        <v>8486</v>
      </c>
      <c r="D71" s="943" t="s">
        <v>3783</v>
      </c>
      <c r="E71" t="s">
        <v>3648</v>
      </c>
      <c r="F71" s="2903">
        <v>49500</v>
      </c>
      <c r="G71" s="2903"/>
      <c r="I71" t="s">
        <v>472</v>
      </c>
    </row>
    <row r="72" spans="1:9" x14ac:dyDescent="0.35">
      <c r="C72" s="943" t="s">
        <v>8486</v>
      </c>
      <c r="D72" s="943" t="s">
        <v>3791</v>
      </c>
      <c r="E72" t="s">
        <v>3664</v>
      </c>
      <c r="F72" s="2903">
        <v>500000</v>
      </c>
      <c r="G72" s="2903"/>
      <c r="I72" t="s">
        <v>472</v>
      </c>
    </row>
    <row r="73" spans="1:9" x14ac:dyDescent="0.35">
      <c r="C73" s="943" t="s">
        <v>8486</v>
      </c>
      <c r="D73" s="943" t="s">
        <v>3838</v>
      </c>
      <c r="E73" t="s">
        <v>3752</v>
      </c>
      <c r="F73" s="2903">
        <v>959300</v>
      </c>
      <c r="G73" s="2903"/>
      <c r="I73" t="s">
        <v>472</v>
      </c>
    </row>
    <row r="74" spans="1:9" x14ac:dyDescent="0.35">
      <c r="C74" s="943" t="s">
        <v>8486</v>
      </c>
      <c r="D74" s="943" t="s">
        <v>3838</v>
      </c>
      <c r="E74" t="s">
        <v>3752</v>
      </c>
      <c r="F74" s="2903">
        <v>200000</v>
      </c>
      <c r="G74" s="2903"/>
      <c r="I74" t="s">
        <v>472</v>
      </c>
    </row>
    <row r="75" spans="1:9" x14ac:dyDescent="0.35">
      <c r="C75" s="943" t="s">
        <v>8486</v>
      </c>
      <c r="D75" s="943" t="s">
        <v>3784</v>
      </c>
      <c r="E75" t="s">
        <v>3650</v>
      </c>
      <c r="F75" s="2903">
        <v>40000</v>
      </c>
      <c r="G75" s="2903"/>
      <c r="I75" t="s">
        <v>472</v>
      </c>
    </row>
    <row r="76" spans="1:9" x14ac:dyDescent="0.35">
      <c r="C76" s="943" t="s">
        <v>8486</v>
      </c>
      <c r="D76" s="943" t="s">
        <v>3797</v>
      </c>
      <c r="E76" t="s">
        <v>3675</v>
      </c>
      <c r="F76" s="2903">
        <v>37500</v>
      </c>
      <c r="G76" s="2903"/>
      <c r="I76" t="s">
        <v>472</v>
      </c>
    </row>
    <row r="77" spans="1:9" x14ac:dyDescent="0.35">
      <c r="C77" s="943" t="s">
        <v>8486</v>
      </c>
      <c r="D77" s="943" t="s">
        <v>3784</v>
      </c>
      <c r="E77" t="s">
        <v>3650</v>
      </c>
      <c r="F77" s="2903">
        <v>200000</v>
      </c>
      <c r="G77" s="2903"/>
      <c r="I77" t="s">
        <v>472</v>
      </c>
    </row>
    <row r="78" spans="1:9" x14ac:dyDescent="0.35">
      <c r="C78" s="943" t="s">
        <v>8486</v>
      </c>
      <c r="D78" s="943" t="s">
        <v>3816</v>
      </c>
      <c r="E78" t="s">
        <v>3712</v>
      </c>
      <c r="F78" s="2903">
        <v>1790900</v>
      </c>
      <c r="G78" s="2903"/>
      <c r="I78" t="s">
        <v>472</v>
      </c>
    </row>
    <row r="79" spans="1:9" x14ac:dyDescent="0.35">
      <c r="C79" s="943" t="s">
        <v>8486</v>
      </c>
      <c r="D79" s="943" t="s">
        <v>3783</v>
      </c>
      <c r="E79" t="s">
        <v>3648</v>
      </c>
      <c r="F79" s="2903">
        <v>30000</v>
      </c>
      <c r="G79" s="2903"/>
      <c r="I79" t="s">
        <v>472</v>
      </c>
    </row>
    <row r="80" spans="1:9" x14ac:dyDescent="0.35">
      <c r="C80" s="943" t="s">
        <v>8486</v>
      </c>
      <c r="D80" s="943" t="s">
        <v>3783</v>
      </c>
      <c r="E80" t="s">
        <v>3648</v>
      </c>
      <c r="F80" s="2903">
        <v>80000</v>
      </c>
      <c r="G80" s="2903"/>
      <c r="I80" t="s">
        <v>472</v>
      </c>
    </row>
    <row r="81" spans="1:10" x14ac:dyDescent="0.35">
      <c r="C81" s="943" t="s">
        <v>8486</v>
      </c>
      <c r="D81" s="943" t="s">
        <v>3783</v>
      </c>
      <c r="E81" t="s">
        <v>3648</v>
      </c>
      <c r="F81" s="2903">
        <v>300000</v>
      </c>
      <c r="G81" s="2903"/>
      <c r="I81" t="s">
        <v>472</v>
      </c>
    </row>
    <row r="82" spans="1:10" x14ac:dyDescent="0.35">
      <c r="C82" s="943" t="s">
        <v>8486</v>
      </c>
      <c r="D82" s="943" t="s">
        <v>3796</v>
      </c>
      <c r="E82" t="s">
        <v>3673</v>
      </c>
      <c r="F82" s="2903">
        <v>2500000</v>
      </c>
      <c r="G82" s="2903"/>
      <c r="I82" t="s">
        <v>8535</v>
      </c>
    </row>
    <row r="83" spans="1:10" x14ac:dyDescent="0.35">
      <c r="C83" s="943" t="s">
        <v>8486</v>
      </c>
      <c r="D83" s="943" t="s">
        <v>3789</v>
      </c>
      <c r="E83" t="s">
        <v>3660</v>
      </c>
      <c r="F83" s="2903">
        <v>674600</v>
      </c>
      <c r="G83" s="2903"/>
      <c r="I83" t="s">
        <v>8535</v>
      </c>
    </row>
    <row r="84" spans="1:10" x14ac:dyDescent="0.35">
      <c r="C84" s="943" t="s">
        <v>8486</v>
      </c>
      <c r="D84" s="943" t="s">
        <v>1181</v>
      </c>
      <c r="E84" t="s">
        <v>1182</v>
      </c>
      <c r="F84" s="2901"/>
      <c r="G84" s="2903">
        <v>7361800</v>
      </c>
      <c r="J84" s="2984"/>
    </row>
    <row r="85" spans="1:10" x14ac:dyDescent="0.35">
      <c r="F85" s="2903"/>
      <c r="G85" s="2903"/>
    </row>
    <row r="86" spans="1:10" x14ac:dyDescent="0.35">
      <c r="A86" s="943" t="s">
        <v>8471</v>
      </c>
      <c r="B86" s="2982" t="s">
        <v>8484</v>
      </c>
      <c r="C86" s="943" t="s">
        <v>8487</v>
      </c>
      <c r="F86" s="2903"/>
      <c r="G86" s="2903"/>
    </row>
    <row r="87" spans="1:10" x14ac:dyDescent="0.35">
      <c r="C87" s="943" t="s">
        <v>8486</v>
      </c>
      <c r="D87" s="943" t="s">
        <v>3876</v>
      </c>
      <c r="E87" t="s">
        <v>3664</v>
      </c>
      <c r="F87" s="2903">
        <v>60000</v>
      </c>
      <c r="G87" s="2903"/>
      <c r="I87" t="s">
        <v>472</v>
      </c>
    </row>
    <row r="88" spans="1:10" x14ac:dyDescent="0.35">
      <c r="C88" s="943" t="s">
        <v>8486</v>
      </c>
      <c r="D88" s="943" t="s">
        <v>3922</v>
      </c>
      <c r="E88" t="s">
        <v>3750</v>
      </c>
      <c r="F88" s="2903">
        <v>20000</v>
      </c>
      <c r="G88" s="2903"/>
      <c r="I88" t="s">
        <v>472</v>
      </c>
    </row>
    <row r="89" spans="1:10" x14ac:dyDescent="0.35">
      <c r="C89" s="943" t="s">
        <v>8486</v>
      </c>
      <c r="D89" s="943" t="s">
        <v>3869</v>
      </c>
      <c r="E89" t="s">
        <v>3650</v>
      </c>
      <c r="F89" s="2903">
        <v>40000</v>
      </c>
      <c r="G89" s="2903"/>
      <c r="I89" t="s">
        <v>472</v>
      </c>
    </row>
    <row r="90" spans="1:10" x14ac:dyDescent="0.35">
      <c r="C90" s="943" t="s">
        <v>8486</v>
      </c>
      <c r="D90" s="943" t="s">
        <v>3866</v>
      </c>
      <c r="E90" t="s">
        <v>3644</v>
      </c>
      <c r="F90" s="2903">
        <v>37500</v>
      </c>
      <c r="G90" s="2903"/>
      <c r="I90" t="s">
        <v>472</v>
      </c>
    </row>
    <row r="91" spans="1:10" x14ac:dyDescent="0.35">
      <c r="C91" s="943" t="s">
        <v>8486</v>
      </c>
      <c r="D91" s="943" t="s">
        <v>3869</v>
      </c>
      <c r="E91" t="s">
        <v>3650</v>
      </c>
      <c r="F91" s="2903">
        <v>200000</v>
      </c>
      <c r="G91" s="2903"/>
      <c r="I91" t="s">
        <v>472</v>
      </c>
    </row>
    <row r="92" spans="1:10" x14ac:dyDescent="0.35">
      <c r="C92" s="943" t="s">
        <v>8486</v>
      </c>
      <c r="D92" s="943" t="s">
        <v>3901</v>
      </c>
      <c r="E92" t="s">
        <v>3712</v>
      </c>
      <c r="F92" s="2903">
        <v>2314300</v>
      </c>
      <c r="G92" s="2903"/>
      <c r="I92" t="s">
        <v>472</v>
      </c>
    </row>
    <row r="93" spans="1:10" x14ac:dyDescent="0.35">
      <c r="C93" s="943" t="s">
        <v>8486</v>
      </c>
      <c r="D93" s="943" t="s">
        <v>3868</v>
      </c>
      <c r="E93" t="s">
        <v>3648</v>
      </c>
      <c r="F93" s="2903">
        <v>30000</v>
      </c>
      <c r="G93" s="2903"/>
      <c r="I93" t="s">
        <v>472</v>
      </c>
    </row>
    <row r="94" spans="1:10" x14ac:dyDescent="0.35">
      <c r="C94" s="943" t="s">
        <v>8486</v>
      </c>
      <c r="D94" s="943" t="s">
        <v>3868</v>
      </c>
      <c r="E94" t="s">
        <v>3648</v>
      </c>
      <c r="F94" s="2903">
        <v>40000</v>
      </c>
      <c r="G94" s="2903"/>
      <c r="I94" t="s">
        <v>472</v>
      </c>
    </row>
    <row r="95" spans="1:10" x14ac:dyDescent="0.35">
      <c r="C95" s="943" t="s">
        <v>8486</v>
      </c>
      <c r="D95" s="943" t="s">
        <v>3868</v>
      </c>
      <c r="E95" t="s">
        <v>3648</v>
      </c>
      <c r="F95" s="2903">
        <v>300000</v>
      </c>
      <c r="G95" s="2903"/>
      <c r="I95" t="s">
        <v>472</v>
      </c>
    </row>
    <row r="96" spans="1:10" x14ac:dyDescent="0.35">
      <c r="C96" s="943" t="s">
        <v>8486</v>
      </c>
      <c r="D96" s="943" t="s">
        <v>3881</v>
      </c>
      <c r="E96" t="s">
        <v>3673</v>
      </c>
      <c r="F96" s="2903">
        <v>2500000</v>
      </c>
      <c r="G96" s="2903"/>
      <c r="I96" t="s">
        <v>472</v>
      </c>
    </row>
    <row r="97" spans="1:9" x14ac:dyDescent="0.35">
      <c r="C97" s="943" t="s">
        <v>8486</v>
      </c>
      <c r="D97" s="943" t="s">
        <v>3874</v>
      </c>
      <c r="E97" t="s">
        <v>3660</v>
      </c>
      <c r="F97" s="2903">
        <v>674600</v>
      </c>
      <c r="G97" s="2903"/>
      <c r="I97" t="s">
        <v>472</v>
      </c>
    </row>
    <row r="98" spans="1:9" x14ac:dyDescent="0.35">
      <c r="C98" s="943" t="s">
        <v>8486</v>
      </c>
      <c r="D98" s="943" t="s">
        <v>1183</v>
      </c>
      <c r="E98" t="s">
        <v>1184</v>
      </c>
      <c r="F98" s="2903"/>
      <c r="G98" s="2903">
        <v>6216400</v>
      </c>
    </row>
    <row r="99" spans="1:9" x14ac:dyDescent="0.35">
      <c r="A99" s="943" t="s">
        <v>8471</v>
      </c>
      <c r="B99" s="2982" t="s">
        <v>8484</v>
      </c>
      <c r="C99" s="943" t="s">
        <v>8488</v>
      </c>
      <c r="F99" s="2903"/>
      <c r="G99" s="2903"/>
    </row>
    <row r="100" spans="1:9" x14ac:dyDescent="0.35">
      <c r="C100" s="943" t="s">
        <v>8489</v>
      </c>
      <c r="D100" s="943" t="s">
        <v>6374</v>
      </c>
      <c r="E100" t="s">
        <v>4361</v>
      </c>
      <c r="F100" s="2903">
        <v>10079777</v>
      </c>
      <c r="G100" s="2903"/>
      <c r="I100" t="s">
        <v>472</v>
      </c>
    </row>
    <row r="101" spans="1:9" x14ac:dyDescent="0.35">
      <c r="C101" s="943" t="s">
        <v>8489</v>
      </c>
      <c r="D101" s="943" t="s">
        <v>6374</v>
      </c>
      <c r="E101" t="s">
        <v>4361</v>
      </c>
      <c r="F101" s="2903">
        <v>7559833</v>
      </c>
      <c r="G101" s="2903"/>
      <c r="I101" t="s">
        <v>472</v>
      </c>
    </row>
    <row r="102" spans="1:9" x14ac:dyDescent="0.35">
      <c r="C102" s="943" t="s">
        <v>8489</v>
      </c>
      <c r="D102" s="943" t="s">
        <v>6381</v>
      </c>
      <c r="E102" t="s">
        <v>4367</v>
      </c>
      <c r="F102" s="2903">
        <v>1553000</v>
      </c>
      <c r="G102" s="2903"/>
      <c r="I102" t="s">
        <v>472</v>
      </c>
    </row>
    <row r="103" spans="1:9" x14ac:dyDescent="0.35">
      <c r="C103" s="943" t="s">
        <v>8489</v>
      </c>
      <c r="D103" s="943" t="s">
        <v>6374</v>
      </c>
      <c r="E103" t="s">
        <v>4361</v>
      </c>
      <c r="F103" s="2903">
        <v>21612000</v>
      </c>
      <c r="G103" s="2901"/>
      <c r="I103" t="s">
        <v>472</v>
      </c>
    </row>
    <row r="104" spans="1:9" x14ac:dyDescent="0.35">
      <c r="C104" s="943" t="s">
        <v>8489</v>
      </c>
      <c r="D104" s="943" t="s">
        <v>6381</v>
      </c>
      <c r="E104" t="s">
        <v>4367</v>
      </c>
      <c r="F104" s="2903">
        <v>1885000</v>
      </c>
      <c r="G104" s="2903"/>
      <c r="I104" t="s">
        <v>472</v>
      </c>
    </row>
    <row r="105" spans="1:9" x14ac:dyDescent="0.35">
      <c r="C105" s="943" t="s">
        <v>8489</v>
      </c>
      <c r="D105" s="943" t="s">
        <v>6374</v>
      </c>
      <c r="E105" t="s">
        <v>4361</v>
      </c>
      <c r="F105" s="2903">
        <v>16218000</v>
      </c>
      <c r="G105" s="2903"/>
      <c r="I105" t="s">
        <v>472</v>
      </c>
    </row>
    <row r="106" spans="1:9" x14ac:dyDescent="0.35">
      <c r="C106" s="943" t="s">
        <v>8489</v>
      </c>
      <c r="D106" s="943" t="s">
        <v>6381</v>
      </c>
      <c r="E106" t="s">
        <v>4367</v>
      </c>
      <c r="F106" s="2903">
        <v>1005000</v>
      </c>
      <c r="G106" s="2903"/>
      <c r="I106" t="s">
        <v>472</v>
      </c>
    </row>
    <row r="107" spans="1:9" x14ac:dyDescent="0.35">
      <c r="C107" s="943" t="s">
        <v>8489</v>
      </c>
      <c r="D107" s="943" t="s">
        <v>6374</v>
      </c>
      <c r="E107" t="s">
        <v>4361</v>
      </c>
      <c r="F107" s="2903">
        <v>17858000</v>
      </c>
      <c r="G107" s="2903"/>
      <c r="I107" t="s">
        <v>472</v>
      </c>
    </row>
    <row r="108" spans="1:9" x14ac:dyDescent="0.35">
      <c r="C108" s="943" t="s">
        <v>8489</v>
      </c>
      <c r="D108" s="943" t="s">
        <v>593</v>
      </c>
      <c r="E108" t="s">
        <v>7177</v>
      </c>
      <c r="F108" s="2903"/>
      <c r="G108" s="2903">
        <v>77770610</v>
      </c>
    </row>
    <row r="109" spans="1:9" x14ac:dyDescent="0.35">
      <c r="F109" s="2903"/>
      <c r="G109" s="2903"/>
    </row>
    <row r="110" spans="1:9" x14ac:dyDescent="0.35">
      <c r="A110" s="943" t="s">
        <v>8471</v>
      </c>
      <c r="B110" s="2982" t="s">
        <v>8484</v>
      </c>
      <c r="C110" s="943" t="s">
        <v>473</v>
      </c>
      <c r="F110" s="2903"/>
      <c r="G110" s="2903"/>
    </row>
    <row r="111" spans="1:9" x14ac:dyDescent="0.35">
      <c r="C111" s="943" t="s">
        <v>8490</v>
      </c>
      <c r="D111" s="943" t="s">
        <v>1911</v>
      </c>
      <c r="E111" t="s">
        <v>1912</v>
      </c>
      <c r="F111" s="2903">
        <v>94570147</v>
      </c>
      <c r="G111" s="2903"/>
      <c r="I111" t="s">
        <v>475</v>
      </c>
    </row>
    <row r="112" spans="1:9" x14ac:dyDescent="0.35">
      <c r="C112" s="943" t="s">
        <v>8490</v>
      </c>
      <c r="D112" s="943" t="s">
        <v>5754</v>
      </c>
      <c r="E112" t="s">
        <v>3660</v>
      </c>
      <c r="F112" s="2903">
        <v>12000</v>
      </c>
      <c r="G112" s="2903"/>
      <c r="I112" t="s">
        <v>475</v>
      </c>
    </row>
    <row r="113" spans="1:9" x14ac:dyDescent="0.35">
      <c r="C113" s="943" t="s">
        <v>8490</v>
      </c>
      <c r="D113" s="943" t="s">
        <v>5734</v>
      </c>
      <c r="E113" t="s">
        <v>8491</v>
      </c>
      <c r="F113" s="2903">
        <v>8203104</v>
      </c>
      <c r="G113" s="2903"/>
      <c r="I113" t="s">
        <v>475</v>
      </c>
    </row>
    <row r="114" spans="1:9" x14ac:dyDescent="0.35">
      <c r="C114" s="943" t="s">
        <v>8490</v>
      </c>
      <c r="D114" s="943" t="s">
        <v>1082</v>
      </c>
      <c r="E114" t="s">
        <v>1083</v>
      </c>
      <c r="F114" s="2903">
        <v>3000000</v>
      </c>
      <c r="G114" s="2903"/>
      <c r="I114" t="s">
        <v>475</v>
      </c>
    </row>
    <row r="115" spans="1:9" x14ac:dyDescent="0.35">
      <c r="C115" s="943" t="s">
        <v>8490</v>
      </c>
      <c r="D115" s="943" t="s">
        <v>1082</v>
      </c>
      <c r="E115" t="s">
        <v>1083</v>
      </c>
      <c r="F115" s="2903">
        <v>3600000</v>
      </c>
      <c r="G115" s="2903"/>
      <c r="I115" t="s">
        <v>475</v>
      </c>
    </row>
    <row r="116" spans="1:9" x14ac:dyDescent="0.35">
      <c r="C116" s="943" t="s">
        <v>8490</v>
      </c>
      <c r="D116" s="943" t="s">
        <v>1082</v>
      </c>
      <c r="E116" t="s">
        <v>1083</v>
      </c>
      <c r="F116" s="2903">
        <v>7000000</v>
      </c>
      <c r="G116" s="2903"/>
      <c r="I116" t="s">
        <v>475</v>
      </c>
    </row>
    <row r="117" spans="1:9" x14ac:dyDescent="0.35">
      <c r="C117" s="943" t="s">
        <v>8490</v>
      </c>
      <c r="D117" s="943" t="s">
        <v>5740</v>
      </c>
      <c r="E117" t="s">
        <v>3635</v>
      </c>
      <c r="F117" s="2903">
        <v>500000</v>
      </c>
      <c r="G117" s="2903"/>
      <c r="I117" t="s">
        <v>475</v>
      </c>
    </row>
    <row r="118" spans="1:9" x14ac:dyDescent="0.35">
      <c r="C118" s="943" t="s">
        <v>8490</v>
      </c>
      <c r="D118" s="943" t="s">
        <v>593</v>
      </c>
      <c r="E118" t="s">
        <v>7177</v>
      </c>
      <c r="F118" s="2903"/>
      <c r="G118" s="2903">
        <v>116885251</v>
      </c>
    </row>
    <row r="119" spans="1:9" x14ac:dyDescent="0.35">
      <c r="F119" s="2903"/>
      <c r="G119" s="2903"/>
    </row>
    <row r="120" spans="1:9" x14ac:dyDescent="0.35">
      <c r="A120" s="943" t="s">
        <v>8471</v>
      </c>
      <c r="B120" s="2982" t="s">
        <v>8484</v>
      </c>
      <c r="C120" s="943" t="s">
        <v>8492</v>
      </c>
      <c r="F120" s="2903"/>
      <c r="G120" s="2903"/>
    </row>
    <row r="121" spans="1:9" x14ac:dyDescent="0.35">
      <c r="C121" s="943" t="s">
        <v>8250</v>
      </c>
      <c r="D121" s="943" t="s">
        <v>5999</v>
      </c>
      <c r="E121" t="s">
        <v>4141</v>
      </c>
      <c r="F121" s="2903">
        <v>4100000</v>
      </c>
      <c r="G121" s="2903"/>
      <c r="I121" t="s">
        <v>472</v>
      </c>
    </row>
    <row r="122" spans="1:9" x14ac:dyDescent="0.35">
      <c r="C122" s="943" t="s">
        <v>8250</v>
      </c>
      <c r="D122" s="943" t="s">
        <v>1584</v>
      </c>
      <c r="E122" t="s">
        <v>1585</v>
      </c>
      <c r="F122" s="2903">
        <v>1500000</v>
      </c>
      <c r="G122" s="2903"/>
      <c r="I122" t="s">
        <v>492</v>
      </c>
    </row>
    <row r="123" spans="1:9" x14ac:dyDescent="0.35">
      <c r="C123" s="943" t="s">
        <v>8250</v>
      </c>
      <c r="D123" s="943" t="s">
        <v>593</v>
      </c>
      <c r="E123" t="s">
        <v>7177</v>
      </c>
      <c r="F123" s="2903"/>
      <c r="G123" s="2903">
        <v>5600000</v>
      </c>
    </row>
    <row r="124" spans="1:9" x14ac:dyDescent="0.35">
      <c r="F124" s="2903"/>
      <c r="G124" s="2903"/>
    </row>
    <row r="125" spans="1:9" x14ac:dyDescent="0.35">
      <c r="A125" s="943" t="s">
        <v>8471</v>
      </c>
      <c r="B125" s="2982" t="s">
        <v>8484</v>
      </c>
      <c r="C125" s="943" t="s">
        <v>8493</v>
      </c>
      <c r="F125" s="2903"/>
      <c r="G125" s="2903"/>
    </row>
    <row r="126" spans="1:9" x14ac:dyDescent="0.35">
      <c r="C126" s="943" t="s">
        <v>8494</v>
      </c>
      <c r="D126" s="943" t="s">
        <v>6317</v>
      </c>
      <c r="E126" t="s">
        <v>4328</v>
      </c>
      <c r="F126" s="2903">
        <v>61850</v>
      </c>
      <c r="G126" s="2903"/>
      <c r="I126" t="s">
        <v>472</v>
      </c>
    </row>
    <row r="127" spans="1:9" x14ac:dyDescent="0.35">
      <c r="C127" s="943" t="s">
        <v>8494</v>
      </c>
      <c r="D127" s="943" t="s">
        <v>1125</v>
      </c>
      <c r="E127" t="s">
        <v>1126</v>
      </c>
      <c r="F127" s="2903">
        <v>1700000</v>
      </c>
      <c r="G127" s="2903"/>
      <c r="I127" t="s">
        <v>483</v>
      </c>
    </row>
    <row r="128" spans="1:9" x14ac:dyDescent="0.35">
      <c r="C128" s="943" t="s">
        <v>8494</v>
      </c>
      <c r="D128" s="943" t="s">
        <v>5806</v>
      </c>
      <c r="E128" t="s">
        <v>3654</v>
      </c>
      <c r="F128" s="2903">
        <v>141500</v>
      </c>
      <c r="G128" s="2903"/>
      <c r="I128" t="s">
        <v>472</v>
      </c>
    </row>
    <row r="129" spans="1:9" x14ac:dyDescent="0.35">
      <c r="C129" s="943" t="s">
        <v>8494</v>
      </c>
      <c r="D129" s="943" t="s">
        <v>1844</v>
      </c>
      <c r="E129" t="s">
        <v>1845</v>
      </c>
      <c r="F129" s="2903">
        <v>2500000</v>
      </c>
      <c r="G129" s="2903"/>
      <c r="I129" t="s">
        <v>483</v>
      </c>
    </row>
    <row r="130" spans="1:9" x14ac:dyDescent="0.35">
      <c r="C130" s="943" t="s">
        <v>8494</v>
      </c>
      <c r="D130" s="943" t="s">
        <v>593</v>
      </c>
      <c r="E130" t="s">
        <v>7177</v>
      </c>
      <c r="F130" s="2903"/>
      <c r="G130" s="2903">
        <v>4403350</v>
      </c>
    </row>
    <row r="131" spans="1:9" x14ac:dyDescent="0.35">
      <c r="F131" s="2903"/>
      <c r="G131" s="2903"/>
    </row>
    <row r="132" spans="1:9" x14ac:dyDescent="0.35">
      <c r="A132" s="943" t="s">
        <v>8471</v>
      </c>
      <c r="B132" s="2982" t="s">
        <v>8484</v>
      </c>
      <c r="C132" s="943" t="s">
        <v>8495</v>
      </c>
      <c r="F132" s="2903"/>
      <c r="G132" s="2903"/>
    </row>
    <row r="133" spans="1:9" x14ac:dyDescent="0.35">
      <c r="C133" s="943" t="s">
        <v>8496</v>
      </c>
      <c r="D133" s="943" t="s">
        <v>5701</v>
      </c>
      <c r="E133" t="s">
        <v>3660</v>
      </c>
      <c r="F133" s="2903">
        <v>300000</v>
      </c>
      <c r="G133" s="2903"/>
      <c r="I133" t="s">
        <v>472</v>
      </c>
    </row>
    <row r="134" spans="1:9" x14ac:dyDescent="0.35">
      <c r="C134" s="943" t="s">
        <v>8496</v>
      </c>
      <c r="D134" s="943" t="s">
        <v>5809</v>
      </c>
      <c r="E134" t="s">
        <v>4109</v>
      </c>
      <c r="F134" s="2903">
        <v>674550</v>
      </c>
      <c r="G134" s="2903"/>
      <c r="I134" t="s">
        <v>472</v>
      </c>
    </row>
    <row r="135" spans="1:9" x14ac:dyDescent="0.35">
      <c r="C135" s="943" t="s">
        <v>8496</v>
      </c>
      <c r="D135" s="943" t="s">
        <v>593</v>
      </c>
      <c r="E135" t="s">
        <v>7177</v>
      </c>
      <c r="F135" s="2903"/>
      <c r="G135" s="2903">
        <v>974550</v>
      </c>
    </row>
    <row r="136" spans="1:9" x14ac:dyDescent="0.35">
      <c r="F136" s="2903"/>
      <c r="G136" s="2903"/>
    </row>
    <row r="137" spans="1:9" x14ac:dyDescent="0.35">
      <c r="A137" s="943" t="s">
        <v>8471</v>
      </c>
      <c r="B137" s="2982" t="s">
        <v>8484</v>
      </c>
      <c r="C137" s="943" t="s">
        <v>8497</v>
      </c>
      <c r="F137" s="2903"/>
      <c r="G137" s="2903"/>
    </row>
    <row r="138" spans="1:9" x14ac:dyDescent="0.35">
      <c r="C138" s="943" t="s">
        <v>8498</v>
      </c>
      <c r="D138" s="943" t="s">
        <v>4799</v>
      </c>
      <c r="E138" t="s">
        <v>3970</v>
      </c>
      <c r="F138" s="2903">
        <v>1250000</v>
      </c>
      <c r="G138" s="2903"/>
      <c r="I138" t="s">
        <v>472</v>
      </c>
    </row>
    <row r="139" spans="1:9" x14ac:dyDescent="0.35">
      <c r="C139" s="943" t="s">
        <v>8498</v>
      </c>
      <c r="D139" s="943" t="s">
        <v>5756</v>
      </c>
      <c r="E139" t="s">
        <v>3664</v>
      </c>
      <c r="F139" s="2903">
        <v>899100</v>
      </c>
      <c r="G139" s="2903"/>
      <c r="I139" t="s">
        <v>472</v>
      </c>
    </row>
    <row r="140" spans="1:9" x14ac:dyDescent="0.35">
      <c r="C140" s="943" t="s">
        <v>8498</v>
      </c>
      <c r="D140" s="943" t="s">
        <v>5756</v>
      </c>
      <c r="E140" t="s">
        <v>3664</v>
      </c>
      <c r="F140" s="2903">
        <v>450000</v>
      </c>
      <c r="G140" s="2903"/>
      <c r="I140" t="s">
        <v>472</v>
      </c>
    </row>
    <row r="141" spans="1:9" x14ac:dyDescent="0.35">
      <c r="C141" s="943" t="s">
        <v>8498</v>
      </c>
      <c r="D141" s="943" t="s">
        <v>5774</v>
      </c>
      <c r="E141" t="s">
        <v>3963</v>
      </c>
      <c r="F141" s="2903">
        <v>2500000</v>
      </c>
      <c r="G141" s="2903"/>
      <c r="I141" t="s">
        <v>472</v>
      </c>
    </row>
    <row r="142" spans="1:9" x14ac:dyDescent="0.35">
      <c r="C142" s="943" t="s">
        <v>8498</v>
      </c>
      <c r="D142" s="943" t="s">
        <v>5774</v>
      </c>
      <c r="E142" t="s">
        <v>3963</v>
      </c>
      <c r="F142" s="2903">
        <v>844500</v>
      </c>
      <c r="G142" s="2903"/>
      <c r="I142" t="s">
        <v>472</v>
      </c>
    </row>
    <row r="143" spans="1:9" x14ac:dyDescent="0.35">
      <c r="C143" s="943" t="s">
        <v>8498</v>
      </c>
      <c r="D143" s="943" t="s">
        <v>5756</v>
      </c>
      <c r="E143" t="s">
        <v>3664</v>
      </c>
      <c r="F143" s="2903">
        <v>1975000</v>
      </c>
      <c r="G143" s="2903"/>
      <c r="I143" t="s">
        <v>472</v>
      </c>
    </row>
    <row r="144" spans="1:9" x14ac:dyDescent="0.35">
      <c r="C144" s="943" t="s">
        <v>8498</v>
      </c>
      <c r="D144" s="943" t="s">
        <v>5723</v>
      </c>
      <c r="E144" t="s">
        <v>4098</v>
      </c>
      <c r="F144" s="2903">
        <v>600000</v>
      </c>
      <c r="G144" s="2903"/>
      <c r="I144" t="s">
        <v>472</v>
      </c>
    </row>
    <row r="145" spans="1:9" x14ac:dyDescent="0.35">
      <c r="C145" s="943" t="s">
        <v>8498</v>
      </c>
      <c r="D145" s="943" t="s">
        <v>5723</v>
      </c>
      <c r="E145" t="s">
        <v>4098</v>
      </c>
      <c r="F145" s="2903">
        <v>148000</v>
      </c>
      <c r="G145" s="2903"/>
      <c r="I145" t="s">
        <v>472</v>
      </c>
    </row>
    <row r="146" spans="1:9" x14ac:dyDescent="0.35">
      <c r="C146" s="943" t="s">
        <v>8498</v>
      </c>
      <c r="D146" s="943" t="s">
        <v>593</v>
      </c>
      <c r="E146" t="s">
        <v>7177</v>
      </c>
      <c r="F146" s="2903"/>
      <c r="G146" s="2903">
        <v>8666600</v>
      </c>
    </row>
    <row r="147" spans="1:9" x14ac:dyDescent="0.35">
      <c r="F147" s="2903"/>
      <c r="G147" s="2903"/>
    </row>
    <row r="148" spans="1:9" x14ac:dyDescent="0.35">
      <c r="A148" s="943" t="s">
        <v>8471</v>
      </c>
      <c r="B148" s="2982" t="s">
        <v>8484</v>
      </c>
      <c r="C148" s="943" t="s">
        <v>8499</v>
      </c>
      <c r="F148" s="2903"/>
      <c r="G148" s="2903"/>
    </row>
    <row r="149" spans="1:9" x14ac:dyDescent="0.35">
      <c r="C149" s="943" t="s">
        <v>8500</v>
      </c>
      <c r="D149" s="943" t="s">
        <v>593</v>
      </c>
      <c r="E149" t="s">
        <v>7177</v>
      </c>
      <c r="F149" s="2903">
        <v>289373416</v>
      </c>
      <c r="G149" s="2903"/>
    </row>
    <row r="150" spans="1:9" x14ac:dyDescent="0.35">
      <c r="C150" s="943" t="s">
        <v>8500</v>
      </c>
      <c r="D150" s="943" t="s">
        <v>5723</v>
      </c>
      <c r="E150" t="s">
        <v>4098</v>
      </c>
      <c r="F150" s="2903">
        <v>1526000</v>
      </c>
      <c r="G150" s="2903"/>
      <c r="I150" t="s">
        <v>472</v>
      </c>
    </row>
    <row r="151" spans="1:9" x14ac:dyDescent="0.35">
      <c r="C151" s="943" t="s">
        <v>8500</v>
      </c>
      <c r="D151" s="943" t="s">
        <v>5723</v>
      </c>
      <c r="E151" t="s">
        <v>4098</v>
      </c>
      <c r="F151" s="2903">
        <v>15000</v>
      </c>
      <c r="G151" s="2903"/>
      <c r="I151" t="s">
        <v>472</v>
      </c>
    </row>
    <row r="152" spans="1:9" x14ac:dyDescent="0.35">
      <c r="C152" s="943" t="s">
        <v>8500</v>
      </c>
      <c r="D152" s="943" t="s">
        <v>1062</v>
      </c>
      <c r="E152" t="s">
        <v>7135</v>
      </c>
      <c r="F152" s="2903"/>
      <c r="G152" s="2903">
        <v>290914416</v>
      </c>
    </row>
    <row r="153" spans="1:9" x14ac:dyDescent="0.35">
      <c r="F153" s="2903"/>
      <c r="G153" s="2903"/>
    </row>
    <row r="154" spans="1:9" x14ac:dyDescent="0.35">
      <c r="A154" s="943" t="s">
        <v>8471</v>
      </c>
      <c r="B154" s="2982" t="s">
        <v>8484</v>
      </c>
      <c r="C154" s="943" t="s">
        <v>8501</v>
      </c>
      <c r="F154" s="2903"/>
      <c r="G154" s="2903"/>
    </row>
    <row r="155" spans="1:9" x14ac:dyDescent="0.35">
      <c r="C155" s="943" t="s">
        <v>8502</v>
      </c>
      <c r="D155" s="943" t="s">
        <v>1911</v>
      </c>
      <c r="E155" t="s">
        <v>1912</v>
      </c>
      <c r="F155" s="2903">
        <v>129478103</v>
      </c>
      <c r="G155" s="2903"/>
      <c r="I155" t="s">
        <v>475</v>
      </c>
    </row>
    <row r="156" spans="1:9" x14ac:dyDescent="0.35">
      <c r="C156" s="943" t="s">
        <v>8502</v>
      </c>
      <c r="D156" s="943" t="s">
        <v>593</v>
      </c>
      <c r="E156" t="s">
        <v>7177</v>
      </c>
      <c r="F156" s="2903">
        <v>47500</v>
      </c>
      <c r="G156" s="2903"/>
    </row>
    <row r="157" spans="1:9" x14ac:dyDescent="0.35">
      <c r="C157" s="943" t="s">
        <v>8502</v>
      </c>
      <c r="D157" s="943" t="s">
        <v>5723</v>
      </c>
      <c r="E157" t="s">
        <v>4098</v>
      </c>
      <c r="F157" s="2903">
        <v>27500</v>
      </c>
      <c r="G157" s="2903"/>
      <c r="I157" t="s">
        <v>472</v>
      </c>
    </row>
    <row r="158" spans="1:9" x14ac:dyDescent="0.35">
      <c r="C158" s="943" t="s">
        <v>8502</v>
      </c>
      <c r="D158" s="943" t="s">
        <v>1064</v>
      </c>
      <c r="E158" t="s">
        <v>7179</v>
      </c>
      <c r="F158" s="2903"/>
      <c r="G158" s="2903">
        <v>129553103</v>
      </c>
    </row>
    <row r="159" spans="1:9" x14ac:dyDescent="0.35">
      <c r="F159" s="2903"/>
      <c r="G159" s="2903"/>
    </row>
    <row r="160" spans="1:9" x14ac:dyDescent="0.35">
      <c r="A160" s="943" t="s">
        <v>8471</v>
      </c>
      <c r="B160" s="2982" t="s">
        <v>8484</v>
      </c>
      <c r="C160" s="943" t="s">
        <v>8503</v>
      </c>
      <c r="F160" s="2903"/>
      <c r="G160" s="2903"/>
    </row>
    <row r="161" spans="1:7" x14ac:dyDescent="0.35">
      <c r="C161" s="943" t="s">
        <v>8504</v>
      </c>
      <c r="D161" s="943" t="s">
        <v>1911</v>
      </c>
      <c r="E161" t="s">
        <v>1912</v>
      </c>
      <c r="F161" s="2903">
        <v>12603701</v>
      </c>
      <c r="G161" s="2903"/>
    </row>
    <row r="162" spans="1:7" x14ac:dyDescent="0.35">
      <c r="C162" s="943" t="s">
        <v>8504</v>
      </c>
      <c r="D162" s="943" t="s">
        <v>1082</v>
      </c>
      <c r="E162" t="s">
        <v>1083</v>
      </c>
      <c r="F162" s="2903"/>
      <c r="G162" s="2903">
        <v>12603701</v>
      </c>
    </row>
    <row r="163" spans="1:7" x14ac:dyDescent="0.35">
      <c r="C163" s="943" t="s">
        <v>8504</v>
      </c>
      <c r="D163" s="943" t="s">
        <v>5725</v>
      </c>
      <c r="E163" t="s">
        <v>3605</v>
      </c>
      <c r="F163" s="2903">
        <v>246688430</v>
      </c>
      <c r="G163" s="2903"/>
    </row>
    <row r="164" spans="1:7" x14ac:dyDescent="0.35">
      <c r="C164" s="943" t="s">
        <v>8504</v>
      </c>
      <c r="D164" s="943" t="s">
        <v>1911</v>
      </c>
      <c r="E164" t="s">
        <v>1912</v>
      </c>
      <c r="F164" s="2903"/>
      <c r="G164" s="2903">
        <v>246688430</v>
      </c>
    </row>
    <row r="165" spans="1:7" x14ac:dyDescent="0.35">
      <c r="C165" s="943" t="s">
        <v>8504</v>
      </c>
      <c r="D165" s="943" t="s">
        <v>5741</v>
      </c>
      <c r="E165" t="s">
        <v>3637</v>
      </c>
      <c r="F165" s="2903">
        <v>1666666.67</v>
      </c>
      <c r="G165" s="2903"/>
    </row>
    <row r="166" spans="1:7" x14ac:dyDescent="0.35">
      <c r="C166" s="943" t="s">
        <v>8504</v>
      </c>
      <c r="D166" s="943" t="s">
        <v>1483</v>
      </c>
      <c r="E166" t="s">
        <v>1484</v>
      </c>
      <c r="F166" s="2903"/>
      <c r="G166" s="2903">
        <v>1666666.67</v>
      </c>
    </row>
    <row r="167" spans="1:7" x14ac:dyDescent="0.35">
      <c r="F167" s="2903"/>
      <c r="G167" s="2903"/>
    </row>
    <row r="168" spans="1:7" x14ac:dyDescent="0.35">
      <c r="A168" s="943" t="s">
        <v>8471</v>
      </c>
      <c r="B168" s="2982" t="s">
        <v>8484</v>
      </c>
      <c r="C168" s="943" t="s">
        <v>8505</v>
      </c>
      <c r="F168" s="2903"/>
      <c r="G168" s="2903"/>
    </row>
    <row r="169" spans="1:7" x14ac:dyDescent="0.35">
      <c r="C169" s="943" t="s">
        <v>8506</v>
      </c>
      <c r="D169" s="943" t="s">
        <v>2241</v>
      </c>
      <c r="E169" t="s">
        <v>2242</v>
      </c>
      <c r="F169" s="2903">
        <v>6237200</v>
      </c>
      <c r="G169" s="2903"/>
    </row>
    <row r="170" spans="1:7" x14ac:dyDescent="0.35">
      <c r="C170" s="943" t="s">
        <v>8506</v>
      </c>
      <c r="D170" s="943" t="s">
        <v>4531</v>
      </c>
      <c r="E170" t="s">
        <v>3564</v>
      </c>
      <c r="F170" s="2903"/>
      <c r="G170" s="2903">
        <v>6237200</v>
      </c>
    </row>
    <row r="171" spans="1:7" x14ac:dyDescent="0.35">
      <c r="C171" s="943" t="s">
        <v>8506</v>
      </c>
      <c r="D171" s="943" t="s">
        <v>2243</v>
      </c>
      <c r="E171" t="s">
        <v>2244</v>
      </c>
      <c r="F171" s="2903">
        <v>5091800</v>
      </c>
      <c r="G171" s="2903"/>
    </row>
    <row r="172" spans="1:7" x14ac:dyDescent="0.35">
      <c r="C172" s="943" t="s">
        <v>8506</v>
      </c>
      <c r="D172" s="943" t="s">
        <v>4532</v>
      </c>
      <c r="E172" t="s">
        <v>3564</v>
      </c>
      <c r="F172" s="2903"/>
      <c r="G172" s="2903">
        <v>5091800</v>
      </c>
    </row>
    <row r="173" spans="1:7" x14ac:dyDescent="0.35">
      <c r="C173" s="943" t="s">
        <v>8506</v>
      </c>
      <c r="D173" s="943" t="s">
        <v>2250</v>
      </c>
      <c r="E173" t="s">
        <v>2251</v>
      </c>
      <c r="F173" s="2903">
        <v>500000</v>
      </c>
      <c r="G173" s="2903"/>
    </row>
    <row r="174" spans="1:7" x14ac:dyDescent="0.35">
      <c r="C174" s="943" t="s">
        <v>8506</v>
      </c>
      <c r="D174" s="943" t="s">
        <v>4533</v>
      </c>
      <c r="E174" t="s">
        <v>3565</v>
      </c>
      <c r="F174" s="2903"/>
      <c r="G174" s="2903">
        <v>500000</v>
      </c>
    </row>
    <row r="175" spans="1:7" x14ac:dyDescent="0.35">
      <c r="F175" s="2903"/>
      <c r="G175" s="2903"/>
    </row>
    <row r="176" spans="1:7" x14ac:dyDescent="0.35">
      <c r="A176" s="943" t="s">
        <v>8471</v>
      </c>
      <c r="B176" s="2982" t="s">
        <v>8484</v>
      </c>
      <c r="C176" s="943" t="s">
        <v>8507</v>
      </c>
      <c r="F176" s="2903"/>
      <c r="G176" s="2903"/>
    </row>
    <row r="177" spans="1:7" x14ac:dyDescent="0.35">
      <c r="C177" s="943" t="s">
        <v>8508</v>
      </c>
      <c r="D177" s="943" t="s">
        <v>1890</v>
      </c>
      <c r="E177" t="s">
        <v>1891</v>
      </c>
      <c r="F177" s="2903">
        <v>1000000</v>
      </c>
      <c r="G177" s="2903"/>
    </row>
    <row r="178" spans="1:7" x14ac:dyDescent="0.35">
      <c r="C178" s="943" t="s">
        <v>8508</v>
      </c>
      <c r="D178" s="943" t="s">
        <v>4456</v>
      </c>
      <c r="E178" t="s">
        <v>3455</v>
      </c>
      <c r="F178" s="2903"/>
      <c r="G178" s="2903">
        <v>1000000</v>
      </c>
    </row>
    <row r="179" spans="1:7" x14ac:dyDescent="0.35">
      <c r="F179" s="2903"/>
      <c r="G179" s="2903"/>
    </row>
    <row r="180" spans="1:7" x14ac:dyDescent="0.35">
      <c r="A180" s="943" t="s">
        <v>8471</v>
      </c>
      <c r="B180" s="2982" t="s">
        <v>8484</v>
      </c>
      <c r="C180" s="943" t="s">
        <v>217</v>
      </c>
      <c r="F180" s="2903"/>
      <c r="G180" s="2903"/>
    </row>
    <row r="181" spans="1:7" x14ac:dyDescent="0.35">
      <c r="C181" s="943" t="s">
        <v>8509</v>
      </c>
      <c r="D181" s="943" t="s">
        <v>6260</v>
      </c>
      <c r="E181" t="s">
        <v>3124</v>
      </c>
      <c r="F181" s="2903">
        <v>17403272.170000002</v>
      </c>
      <c r="G181" s="2903"/>
    </row>
    <row r="182" spans="1:7" x14ac:dyDescent="0.35">
      <c r="C182" s="943" t="s">
        <v>8509</v>
      </c>
      <c r="D182" s="943" t="s">
        <v>6261</v>
      </c>
      <c r="E182" t="s">
        <v>3125</v>
      </c>
      <c r="F182" s="2903">
        <v>13408750</v>
      </c>
      <c r="G182" s="2903"/>
    </row>
    <row r="183" spans="1:7" x14ac:dyDescent="0.35">
      <c r="C183" s="943" t="s">
        <v>8509</v>
      </c>
      <c r="D183" s="943" t="s">
        <v>6262</v>
      </c>
      <c r="E183" t="s">
        <v>3126</v>
      </c>
      <c r="F183" s="2903">
        <v>4352608.33</v>
      </c>
      <c r="G183" s="2903"/>
    </row>
    <row r="184" spans="1:7" x14ac:dyDescent="0.35">
      <c r="C184" s="943" t="s">
        <v>8509</v>
      </c>
      <c r="D184" s="943" t="s">
        <v>6263</v>
      </c>
      <c r="E184" t="s">
        <v>3127</v>
      </c>
      <c r="F184" s="2903">
        <v>13792294.74</v>
      </c>
      <c r="G184" s="2903"/>
    </row>
    <row r="185" spans="1:7" x14ac:dyDescent="0.35">
      <c r="C185" s="943" t="s">
        <v>8509</v>
      </c>
      <c r="D185" s="943" t="s">
        <v>6266</v>
      </c>
      <c r="E185" t="s">
        <v>3130</v>
      </c>
      <c r="F185" s="2903">
        <v>2336259.38</v>
      </c>
      <c r="G185" s="2903"/>
    </row>
    <row r="186" spans="1:7" x14ac:dyDescent="0.35">
      <c r="C186" s="943" t="s">
        <v>8509</v>
      </c>
      <c r="D186" s="943" t="s">
        <v>6267</v>
      </c>
      <c r="E186" t="s">
        <v>3131</v>
      </c>
      <c r="F186" s="2903">
        <v>50000</v>
      </c>
      <c r="G186" s="2903"/>
    </row>
    <row r="187" spans="1:7" x14ac:dyDescent="0.35">
      <c r="C187" s="943" t="s">
        <v>8509</v>
      </c>
      <c r="D187" s="943" t="s">
        <v>6269</v>
      </c>
      <c r="E187" t="s">
        <v>3132</v>
      </c>
      <c r="F187" s="2903">
        <v>584658.32999999996</v>
      </c>
      <c r="G187" s="2903"/>
    </row>
    <row r="188" spans="1:7" x14ac:dyDescent="0.35">
      <c r="C188" s="943" t="s">
        <v>8509</v>
      </c>
      <c r="D188" s="943" t="s">
        <v>6271</v>
      </c>
      <c r="E188" t="s">
        <v>3134</v>
      </c>
      <c r="F188" s="2903">
        <v>58333.33</v>
      </c>
      <c r="G188" s="2903"/>
    </row>
    <row r="189" spans="1:7" x14ac:dyDescent="0.35">
      <c r="C189" s="943" t="s">
        <v>8509</v>
      </c>
      <c r="D189" s="943" t="s">
        <v>6273</v>
      </c>
      <c r="E189" t="s">
        <v>3136</v>
      </c>
      <c r="F189" s="2903">
        <v>3299047.92</v>
      </c>
      <c r="G189" s="2903"/>
    </row>
    <row r="190" spans="1:7" x14ac:dyDescent="0.35">
      <c r="C190" s="943" t="s">
        <v>8509</v>
      </c>
      <c r="D190" s="943" t="s">
        <v>6275</v>
      </c>
      <c r="E190" t="s">
        <v>3138</v>
      </c>
      <c r="F190" s="2903">
        <v>1544154.51</v>
      </c>
      <c r="G190" s="2903"/>
    </row>
    <row r="191" spans="1:7" x14ac:dyDescent="0.35">
      <c r="C191" s="943" t="s">
        <v>8509</v>
      </c>
      <c r="D191" s="943" t="s">
        <v>6276</v>
      </c>
      <c r="E191" t="s">
        <v>3139</v>
      </c>
      <c r="F191" s="2903">
        <v>761404.33</v>
      </c>
      <c r="G191" s="2903"/>
    </row>
    <row r="192" spans="1:7" x14ac:dyDescent="0.35">
      <c r="C192" s="943" t="s">
        <v>8509</v>
      </c>
      <c r="D192" s="943" t="s">
        <v>6279</v>
      </c>
      <c r="E192" t="s">
        <v>3141</v>
      </c>
      <c r="F192" s="2903">
        <v>8777974.9000000004</v>
      </c>
      <c r="G192" s="2903"/>
    </row>
    <row r="193" spans="3:7" x14ac:dyDescent="0.35">
      <c r="C193" s="943" t="s">
        <v>8509</v>
      </c>
      <c r="D193" s="943" t="s">
        <v>6280</v>
      </c>
      <c r="E193" t="s">
        <v>3142</v>
      </c>
      <c r="F193" s="2903">
        <v>410890.8</v>
      </c>
      <c r="G193" s="2903"/>
    </row>
    <row r="194" spans="3:7" x14ac:dyDescent="0.35">
      <c r="C194" s="943" t="s">
        <v>8509</v>
      </c>
      <c r="D194" s="943" t="s">
        <v>6281</v>
      </c>
      <c r="E194" t="s">
        <v>3143</v>
      </c>
      <c r="F194" s="2903">
        <v>169513.17</v>
      </c>
      <c r="G194" s="2903"/>
    </row>
    <row r="195" spans="3:7" x14ac:dyDescent="0.35">
      <c r="C195" s="943" t="s">
        <v>8509</v>
      </c>
      <c r="D195" s="943" t="s">
        <v>6282</v>
      </c>
      <c r="E195" t="s">
        <v>3144</v>
      </c>
      <c r="F195" s="2903">
        <v>2808334.88</v>
      </c>
      <c r="G195" s="2903"/>
    </row>
    <row r="196" spans="3:7" x14ac:dyDescent="0.35">
      <c r="C196" s="943" t="s">
        <v>8509</v>
      </c>
      <c r="D196" s="943" t="s">
        <v>6284</v>
      </c>
      <c r="E196" t="s">
        <v>3146</v>
      </c>
      <c r="F196" s="2903">
        <v>715958.33</v>
      </c>
      <c r="G196" s="2903"/>
    </row>
    <row r="197" spans="3:7" x14ac:dyDescent="0.35">
      <c r="C197" s="943" t="s">
        <v>8509</v>
      </c>
      <c r="D197" s="943" t="s">
        <v>6288</v>
      </c>
      <c r="E197" t="s">
        <v>3149</v>
      </c>
      <c r="F197" s="2903">
        <v>1651771.68</v>
      </c>
      <c r="G197" s="2903"/>
    </row>
    <row r="198" spans="3:7" x14ac:dyDescent="0.35">
      <c r="C198" s="943" t="s">
        <v>8509</v>
      </c>
      <c r="D198" s="943" t="s">
        <v>6289</v>
      </c>
      <c r="E198" t="s">
        <v>3150</v>
      </c>
      <c r="F198" s="2903">
        <v>1435713.83</v>
      </c>
      <c r="G198" s="2903"/>
    </row>
    <row r="199" spans="3:7" x14ac:dyDescent="0.35">
      <c r="C199" s="943" t="s">
        <v>8509</v>
      </c>
      <c r="D199" s="943" t="s">
        <v>6290</v>
      </c>
      <c r="E199" t="s">
        <v>3151</v>
      </c>
      <c r="F199" s="2903">
        <v>9831774</v>
      </c>
      <c r="G199" s="2903"/>
    </row>
    <row r="200" spans="3:7" x14ac:dyDescent="0.35">
      <c r="C200" s="943" t="s">
        <v>8509</v>
      </c>
      <c r="D200" s="943" t="s">
        <v>6291</v>
      </c>
      <c r="E200" t="s">
        <v>3152</v>
      </c>
      <c r="F200" s="2903">
        <v>3629855.83</v>
      </c>
      <c r="G200" s="2903"/>
    </row>
    <row r="201" spans="3:7" x14ac:dyDescent="0.35">
      <c r="C201" s="943" t="s">
        <v>8509</v>
      </c>
      <c r="D201" s="943" t="s">
        <v>6292</v>
      </c>
      <c r="E201" t="s">
        <v>3153</v>
      </c>
      <c r="F201" s="2903">
        <v>475410.3</v>
      </c>
      <c r="G201" s="2903"/>
    </row>
    <row r="202" spans="3:7" x14ac:dyDescent="0.35">
      <c r="C202" s="943" t="s">
        <v>8509</v>
      </c>
      <c r="D202" s="943" t="s">
        <v>6293</v>
      </c>
      <c r="E202" t="s">
        <v>3154</v>
      </c>
      <c r="F202" s="2903">
        <v>634329.73</v>
      </c>
      <c r="G202" s="2903"/>
    </row>
    <row r="203" spans="3:7" x14ac:dyDescent="0.35">
      <c r="C203" s="943" t="s">
        <v>8509</v>
      </c>
      <c r="D203" s="943" t="s">
        <v>6294</v>
      </c>
      <c r="E203" t="s">
        <v>3155</v>
      </c>
      <c r="F203" s="2903">
        <v>285276.17</v>
      </c>
      <c r="G203" s="2903"/>
    </row>
    <row r="204" spans="3:7" x14ac:dyDescent="0.35">
      <c r="C204" s="943" t="s">
        <v>8509</v>
      </c>
      <c r="D204" s="943" t="s">
        <v>6295</v>
      </c>
      <c r="E204" t="s">
        <v>3156</v>
      </c>
      <c r="F204" s="2903">
        <v>972954.67</v>
      </c>
      <c r="G204" s="2903"/>
    </row>
    <row r="205" spans="3:7" x14ac:dyDescent="0.35">
      <c r="C205" s="943" t="s">
        <v>8509</v>
      </c>
      <c r="D205" s="943" t="s">
        <v>6298</v>
      </c>
      <c r="E205" t="s">
        <v>3158</v>
      </c>
      <c r="F205" s="2903">
        <v>2031250</v>
      </c>
      <c r="G205" s="2903"/>
    </row>
    <row r="206" spans="3:7" x14ac:dyDescent="0.35">
      <c r="C206" s="943" t="s">
        <v>8509</v>
      </c>
      <c r="D206" s="943" t="s">
        <v>6299</v>
      </c>
      <c r="E206" t="s">
        <v>3159</v>
      </c>
      <c r="F206" s="2903">
        <v>298958.33</v>
      </c>
      <c r="G206" s="2903"/>
    </row>
    <row r="207" spans="3:7" x14ac:dyDescent="0.35">
      <c r="C207" s="943" t="s">
        <v>8509</v>
      </c>
      <c r="D207" s="943" t="s">
        <v>1622</v>
      </c>
      <c r="E207" t="s">
        <v>1623</v>
      </c>
      <c r="F207" s="2903"/>
      <c r="G207" s="2903">
        <v>17403272.170000002</v>
      </c>
    </row>
    <row r="208" spans="3:7" x14ac:dyDescent="0.35">
      <c r="C208" s="943" t="s">
        <v>8509</v>
      </c>
      <c r="D208" s="943" t="s">
        <v>1624</v>
      </c>
      <c r="E208" t="s">
        <v>1625</v>
      </c>
      <c r="F208" s="2903"/>
      <c r="G208" s="2903">
        <v>13408750</v>
      </c>
    </row>
    <row r="209" spans="3:7" x14ac:dyDescent="0.35">
      <c r="C209" s="943" t="s">
        <v>8509</v>
      </c>
      <c r="D209" s="943" t="s">
        <v>1531</v>
      </c>
      <c r="E209" t="s">
        <v>1532</v>
      </c>
      <c r="F209" s="2903"/>
      <c r="G209" s="2903">
        <v>4352608.33</v>
      </c>
    </row>
    <row r="210" spans="3:7" x14ac:dyDescent="0.35">
      <c r="C210" s="943" t="s">
        <v>8509</v>
      </c>
      <c r="D210" s="943" t="s">
        <v>1628</v>
      </c>
      <c r="E210" t="s">
        <v>1629</v>
      </c>
      <c r="F210" s="2903"/>
      <c r="G210" s="2903">
        <v>13792294.74</v>
      </c>
    </row>
    <row r="211" spans="3:7" x14ac:dyDescent="0.35">
      <c r="C211" s="943" t="s">
        <v>8509</v>
      </c>
      <c r="D211" s="943" t="s">
        <v>1634</v>
      </c>
      <c r="E211" t="s">
        <v>1635</v>
      </c>
      <c r="F211" s="2903"/>
      <c r="G211" s="2903">
        <v>2336259.38</v>
      </c>
    </row>
    <row r="212" spans="3:7" x14ac:dyDescent="0.35">
      <c r="C212" s="943" t="s">
        <v>8509</v>
      </c>
      <c r="D212" s="943" t="s">
        <v>1636</v>
      </c>
      <c r="E212" t="s">
        <v>1637</v>
      </c>
      <c r="F212" s="2903"/>
      <c r="G212" s="2903">
        <v>50000</v>
      </c>
    </row>
    <row r="213" spans="3:7" x14ac:dyDescent="0.35">
      <c r="C213" s="943" t="s">
        <v>8509</v>
      </c>
      <c r="D213" s="943" t="s">
        <v>1640</v>
      </c>
      <c r="E213" t="s">
        <v>1641</v>
      </c>
      <c r="F213" s="2903"/>
      <c r="G213" s="2903">
        <v>584658.32999999996</v>
      </c>
    </row>
    <row r="214" spans="3:7" x14ac:dyDescent="0.35">
      <c r="C214" s="943" t="s">
        <v>8509</v>
      </c>
      <c r="D214" s="943" t="s">
        <v>1644</v>
      </c>
      <c r="E214" t="s">
        <v>1645</v>
      </c>
      <c r="F214" s="2903"/>
      <c r="G214" s="2903">
        <v>58333.33</v>
      </c>
    </row>
    <row r="215" spans="3:7" x14ac:dyDescent="0.35">
      <c r="C215" s="943" t="s">
        <v>8509</v>
      </c>
      <c r="D215" s="943" t="s">
        <v>1648</v>
      </c>
      <c r="E215" t="s">
        <v>1649</v>
      </c>
      <c r="F215" s="2903"/>
      <c r="G215" s="2903">
        <v>3299047.92</v>
      </c>
    </row>
    <row r="216" spans="3:7" x14ac:dyDescent="0.35">
      <c r="C216" s="943" t="s">
        <v>8509</v>
      </c>
      <c r="D216" s="943" t="s">
        <v>1652</v>
      </c>
      <c r="E216" t="s">
        <v>1653</v>
      </c>
      <c r="F216" s="2903"/>
      <c r="G216" s="2903">
        <v>1544154.51</v>
      </c>
    </row>
    <row r="217" spans="3:7" x14ac:dyDescent="0.35">
      <c r="C217" s="943" t="s">
        <v>8509</v>
      </c>
      <c r="D217" s="943" t="s">
        <v>1654</v>
      </c>
      <c r="E217" t="s">
        <v>1655</v>
      </c>
      <c r="F217" s="2903"/>
      <c r="G217" s="2903">
        <v>761404.33</v>
      </c>
    </row>
    <row r="218" spans="3:7" x14ac:dyDescent="0.35">
      <c r="C218" s="943" t="s">
        <v>8509</v>
      </c>
      <c r="D218" s="943" t="s">
        <v>1658</v>
      </c>
      <c r="E218" t="s">
        <v>1659</v>
      </c>
      <c r="F218" s="2903"/>
      <c r="G218" s="2903">
        <v>8777974.9000000004</v>
      </c>
    </row>
    <row r="219" spans="3:7" x14ac:dyDescent="0.35">
      <c r="C219" s="943" t="s">
        <v>8509</v>
      </c>
      <c r="D219" s="943" t="s">
        <v>1660</v>
      </c>
      <c r="E219" t="s">
        <v>1661</v>
      </c>
      <c r="F219" s="2903"/>
      <c r="G219" s="2903">
        <v>410890.8</v>
      </c>
    </row>
    <row r="220" spans="3:7" x14ac:dyDescent="0.35">
      <c r="C220" s="943" t="s">
        <v>8509</v>
      </c>
      <c r="D220" s="943" t="s">
        <v>1662</v>
      </c>
      <c r="E220" t="s">
        <v>1663</v>
      </c>
      <c r="F220" s="2903"/>
      <c r="G220" s="2903">
        <v>169513.17</v>
      </c>
    </row>
    <row r="221" spans="3:7" x14ac:dyDescent="0.35">
      <c r="C221" s="943" t="s">
        <v>8509</v>
      </c>
      <c r="D221" s="943" t="s">
        <v>1664</v>
      </c>
      <c r="E221" t="s">
        <v>1665</v>
      </c>
      <c r="F221" s="2903"/>
      <c r="G221" s="2903">
        <v>2808334.88</v>
      </c>
    </row>
    <row r="222" spans="3:7" x14ac:dyDescent="0.35">
      <c r="C222" s="943" t="s">
        <v>8509</v>
      </c>
      <c r="D222" s="943" t="s">
        <v>1668</v>
      </c>
      <c r="E222" t="s">
        <v>1669</v>
      </c>
      <c r="F222" s="2903"/>
      <c r="G222" s="2903">
        <v>715958.33</v>
      </c>
    </row>
    <row r="223" spans="3:7" x14ac:dyDescent="0.35">
      <c r="C223" s="943" t="s">
        <v>8509</v>
      </c>
      <c r="D223" s="943" t="s">
        <v>1675</v>
      </c>
      <c r="E223" t="s">
        <v>1676</v>
      </c>
      <c r="F223" s="2903"/>
      <c r="G223" s="2903">
        <v>1651771.68</v>
      </c>
    </row>
    <row r="224" spans="3:7" x14ac:dyDescent="0.35">
      <c r="C224" s="943" t="s">
        <v>8509</v>
      </c>
      <c r="D224" s="943" t="s">
        <v>1677</v>
      </c>
      <c r="E224" t="s">
        <v>1678</v>
      </c>
      <c r="F224" s="2903"/>
      <c r="G224" s="2903">
        <v>1435713.83</v>
      </c>
    </row>
    <row r="225" spans="1:7" x14ac:dyDescent="0.35">
      <c r="C225" s="943" t="s">
        <v>8509</v>
      </c>
      <c r="D225" s="943" t="s">
        <v>1679</v>
      </c>
      <c r="E225" t="s">
        <v>1680</v>
      </c>
      <c r="F225" s="2903"/>
      <c r="G225" s="2903">
        <v>9831774</v>
      </c>
    </row>
    <row r="226" spans="1:7" x14ac:dyDescent="0.35">
      <c r="C226" s="943" t="s">
        <v>8509</v>
      </c>
      <c r="D226" s="943" t="s">
        <v>1681</v>
      </c>
      <c r="E226" t="s">
        <v>1682</v>
      </c>
      <c r="F226" s="2903"/>
      <c r="G226" s="2903">
        <v>3629855.83</v>
      </c>
    </row>
    <row r="227" spans="1:7" x14ac:dyDescent="0.35">
      <c r="C227" s="943" t="s">
        <v>8509</v>
      </c>
      <c r="D227" s="943" t="s">
        <v>1683</v>
      </c>
      <c r="E227" t="s">
        <v>1684</v>
      </c>
      <c r="G227" s="2898">
        <v>475410.3</v>
      </c>
    </row>
    <row r="228" spans="1:7" x14ac:dyDescent="0.35">
      <c r="C228" s="943" t="s">
        <v>8509</v>
      </c>
      <c r="D228" s="943" t="s">
        <v>1685</v>
      </c>
      <c r="E228" t="s">
        <v>1686</v>
      </c>
      <c r="G228" s="2898">
        <v>634329.73</v>
      </c>
    </row>
    <row r="229" spans="1:7" x14ac:dyDescent="0.35">
      <c r="C229" s="943" t="s">
        <v>8509</v>
      </c>
      <c r="D229" s="943" t="s">
        <v>1687</v>
      </c>
      <c r="E229" t="s">
        <v>1688</v>
      </c>
      <c r="G229" s="2898">
        <v>285276.17</v>
      </c>
    </row>
    <row r="230" spans="1:7" x14ac:dyDescent="0.35">
      <c r="C230" s="943" t="s">
        <v>8509</v>
      </c>
      <c r="D230" s="943" t="s">
        <v>1689</v>
      </c>
      <c r="E230" t="s">
        <v>1690</v>
      </c>
      <c r="G230" s="2898">
        <v>972954.67</v>
      </c>
    </row>
    <row r="231" spans="1:7" x14ac:dyDescent="0.35">
      <c r="C231" s="943" t="s">
        <v>8509</v>
      </c>
      <c r="D231" s="943" t="s">
        <v>1693</v>
      </c>
      <c r="E231" t="s">
        <v>1694</v>
      </c>
      <c r="G231" s="2898">
        <v>2031250</v>
      </c>
    </row>
    <row r="232" spans="1:7" x14ac:dyDescent="0.35">
      <c r="C232" s="943" t="s">
        <v>8509</v>
      </c>
      <c r="D232" s="943" t="s">
        <v>1695</v>
      </c>
      <c r="E232" t="s">
        <v>1696</v>
      </c>
      <c r="G232" s="2898">
        <v>298958.33</v>
      </c>
    </row>
    <row r="234" spans="1:7" x14ac:dyDescent="0.35">
      <c r="A234" s="943" t="s">
        <v>8471</v>
      </c>
      <c r="B234" s="2982" t="s">
        <v>8484</v>
      </c>
      <c r="C234" s="943" t="s">
        <v>8528</v>
      </c>
    </row>
    <row r="235" spans="1:7" x14ac:dyDescent="0.35">
      <c r="C235" s="943" t="s">
        <v>8524</v>
      </c>
      <c r="D235" s="943" t="s">
        <v>6374</v>
      </c>
      <c r="E235" t="s">
        <v>4361</v>
      </c>
      <c r="F235" s="2903">
        <v>7317000</v>
      </c>
      <c r="G235" s="2903"/>
    </row>
    <row r="236" spans="1:7" x14ac:dyDescent="0.35">
      <c r="C236" s="943" t="s">
        <v>8524</v>
      </c>
      <c r="D236" s="943" t="s">
        <v>6378</v>
      </c>
      <c r="E236" t="s">
        <v>4364</v>
      </c>
      <c r="F236" s="2903">
        <v>3060000</v>
      </c>
      <c r="G236" s="2903"/>
    </row>
    <row r="237" spans="1:7" x14ac:dyDescent="0.35">
      <c r="C237" s="943" t="s">
        <v>8524</v>
      </c>
      <c r="D237" s="943" t="s">
        <v>5990</v>
      </c>
      <c r="E237" t="s">
        <v>4134</v>
      </c>
      <c r="F237" s="2903">
        <v>940000</v>
      </c>
      <c r="G237" s="2903"/>
    </row>
    <row r="238" spans="1:7" x14ac:dyDescent="0.35">
      <c r="C238" s="943" t="s">
        <v>8524</v>
      </c>
      <c r="D238" s="943" t="s">
        <v>6367</v>
      </c>
      <c r="E238" t="s">
        <v>4355</v>
      </c>
      <c r="F238" s="2903">
        <v>110000</v>
      </c>
      <c r="G238" s="2903"/>
    </row>
    <row r="239" spans="1:7" x14ac:dyDescent="0.35">
      <c r="C239" s="943" t="s">
        <v>8524</v>
      </c>
      <c r="D239" s="943" t="s">
        <v>6376</v>
      </c>
      <c r="E239" t="s">
        <v>4362</v>
      </c>
      <c r="F239" s="2903">
        <v>190000</v>
      </c>
      <c r="G239" s="2903"/>
    </row>
    <row r="240" spans="1:7" x14ac:dyDescent="0.35">
      <c r="C240" s="943" t="s">
        <v>8524</v>
      </c>
      <c r="D240" s="943" t="s">
        <v>5803</v>
      </c>
      <c r="E240" t="s">
        <v>3648</v>
      </c>
      <c r="F240" s="2903">
        <v>80000</v>
      </c>
      <c r="G240" s="2903"/>
    </row>
    <row r="241" spans="3:9" x14ac:dyDescent="0.35">
      <c r="C241" s="943" t="s">
        <v>8524</v>
      </c>
      <c r="D241" s="943" t="s">
        <v>5799</v>
      </c>
      <c r="E241" t="s">
        <v>3640</v>
      </c>
      <c r="F241" s="2903">
        <v>90000</v>
      </c>
      <c r="G241" s="2903"/>
    </row>
    <row r="242" spans="3:9" x14ac:dyDescent="0.35">
      <c r="C242" s="943" t="s">
        <v>8524</v>
      </c>
      <c r="D242" s="943" t="s">
        <v>5806</v>
      </c>
      <c r="E242" t="s">
        <v>3654</v>
      </c>
      <c r="F242" s="2903">
        <v>434000</v>
      </c>
      <c r="G242" s="2903"/>
    </row>
    <row r="243" spans="3:9" x14ac:dyDescent="0.35">
      <c r="C243" s="943" t="s">
        <v>8524</v>
      </c>
      <c r="D243" s="943" t="s">
        <v>6099</v>
      </c>
      <c r="E243" t="s">
        <v>4243</v>
      </c>
      <c r="F243" s="2903">
        <v>266000</v>
      </c>
      <c r="G243" s="2903"/>
    </row>
    <row r="244" spans="3:9" x14ac:dyDescent="0.35">
      <c r="C244" s="943" t="s">
        <v>8524</v>
      </c>
      <c r="D244" s="943" t="s">
        <v>6466</v>
      </c>
      <c r="E244" t="s">
        <v>3648</v>
      </c>
      <c r="F244" s="2903">
        <v>1552000</v>
      </c>
      <c r="G244" s="2903"/>
    </row>
    <row r="245" spans="3:9" x14ac:dyDescent="0.35">
      <c r="C245" s="943" t="s">
        <v>8524</v>
      </c>
      <c r="D245" s="943" t="s">
        <v>5990</v>
      </c>
      <c r="E245" t="s">
        <v>4134</v>
      </c>
      <c r="F245" s="2903">
        <v>3715000</v>
      </c>
      <c r="G245" s="2903"/>
    </row>
    <row r="246" spans="3:9" x14ac:dyDescent="0.35">
      <c r="C246" s="943" t="s">
        <v>8524</v>
      </c>
      <c r="D246" s="943" t="s">
        <v>1725</v>
      </c>
      <c r="E246" t="s">
        <v>1726</v>
      </c>
      <c r="F246" s="2903">
        <v>107500</v>
      </c>
      <c r="G246" s="2903"/>
    </row>
    <row r="247" spans="3:9" x14ac:dyDescent="0.35">
      <c r="C247" s="943" t="s">
        <v>8524</v>
      </c>
      <c r="D247" s="943" t="s">
        <v>6142</v>
      </c>
      <c r="E247" t="s">
        <v>4281</v>
      </c>
      <c r="F247" s="2903">
        <v>1009000</v>
      </c>
      <c r="G247" s="2903"/>
    </row>
    <row r="248" spans="3:9" x14ac:dyDescent="0.35">
      <c r="C248" s="943" t="s">
        <v>8524</v>
      </c>
      <c r="D248" s="943" t="s">
        <v>6140</v>
      </c>
      <c r="E248" s="2984" t="s">
        <v>8529</v>
      </c>
      <c r="F248" s="2985">
        <v>1009000</v>
      </c>
      <c r="G248" s="2985"/>
      <c r="H248" s="2984"/>
      <c r="I248" s="2984"/>
    </row>
    <row r="249" spans="3:9" x14ac:dyDescent="0.35">
      <c r="C249" s="943" t="s">
        <v>8524</v>
      </c>
      <c r="D249" s="943" t="s">
        <v>6139</v>
      </c>
      <c r="E249" t="s">
        <v>8530</v>
      </c>
      <c r="F249" s="2903">
        <v>5551600</v>
      </c>
      <c r="G249" s="2903"/>
    </row>
    <row r="250" spans="3:9" x14ac:dyDescent="0.35">
      <c r="C250" s="943" t="s">
        <v>8524</v>
      </c>
      <c r="D250" s="943" t="s">
        <v>6138</v>
      </c>
      <c r="E250" t="s">
        <v>8531</v>
      </c>
      <c r="F250" s="2903">
        <v>504500</v>
      </c>
      <c r="G250" s="2903"/>
    </row>
    <row r="251" spans="3:9" x14ac:dyDescent="0.35">
      <c r="C251" s="943" t="s">
        <v>8524</v>
      </c>
      <c r="D251" s="943" t="s">
        <v>5132</v>
      </c>
      <c r="E251" t="s">
        <v>8532</v>
      </c>
      <c r="F251" s="2903">
        <v>188500</v>
      </c>
      <c r="G251" s="2903"/>
    </row>
    <row r="252" spans="3:9" x14ac:dyDescent="0.35">
      <c r="C252" s="943" t="s">
        <v>8524</v>
      </c>
      <c r="D252" s="943" t="s">
        <v>5867</v>
      </c>
      <c r="E252" t="s">
        <v>3660</v>
      </c>
      <c r="F252" s="2903">
        <v>60000</v>
      </c>
      <c r="G252" s="2903"/>
    </row>
    <row r="253" spans="3:9" x14ac:dyDescent="0.35">
      <c r="C253" s="943" t="s">
        <v>8524</v>
      </c>
      <c r="D253" s="943" t="s">
        <v>5756</v>
      </c>
      <c r="E253" t="s">
        <v>3664</v>
      </c>
      <c r="F253" s="2903">
        <v>3182500</v>
      </c>
      <c r="G253" s="2903"/>
    </row>
    <row r="254" spans="3:9" x14ac:dyDescent="0.35">
      <c r="C254" s="943" t="s">
        <v>8524</v>
      </c>
      <c r="D254" s="943" t="s">
        <v>5999</v>
      </c>
      <c r="E254" t="s">
        <v>4141</v>
      </c>
      <c r="F254" s="2903">
        <v>6995000</v>
      </c>
      <c r="G254" s="2903"/>
    </row>
    <row r="255" spans="3:9" x14ac:dyDescent="0.35">
      <c r="C255" s="943" t="s">
        <v>8524</v>
      </c>
      <c r="D255" s="943" t="s">
        <v>1097</v>
      </c>
      <c r="E255" t="s">
        <v>1098</v>
      </c>
      <c r="F255" s="2903">
        <v>5999000</v>
      </c>
      <c r="G255" s="2903"/>
    </row>
    <row r="256" spans="3:9" x14ac:dyDescent="0.35">
      <c r="C256" s="943" t="s">
        <v>8524</v>
      </c>
      <c r="D256" s="943" t="s">
        <v>5756</v>
      </c>
      <c r="E256" t="s">
        <v>3664</v>
      </c>
      <c r="F256" s="2903">
        <v>203000</v>
      </c>
      <c r="G256" s="2903"/>
    </row>
    <row r="257" spans="3:7" x14ac:dyDescent="0.35">
      <c r="C257" s="943" t="s">
        <v>8524</v>
      </c>
      <c r="D257" s="943" t="s">
        <v>5999</v>
      </c>
      <c r="E257" t="s">
        <v>4141</v>
      </c>
      <c r="F257" s="2903">
        <v>1494000</v>
      </c>
      <c r="G257" s="2903"/>
    </row>
    <row r="258" spans="3:7" x14ac:dyDescent="0.35">
      <c r="C258" s="943" t="s">
        <v>8524</v>
      </c>
      <c r="D258" s="943" t="s">
        <v>6466</v>
      </c>
      <c r="E258" t="s">
        <v>3648</v>
      </c>
      <c r="F258" s="2903">
        <v>643000</v>
      </c>
      <c r="G258" s="2903"/>
    </row>
    <row r="259" spans="3:7" x14ac:dyDescent="0.35">
      <c r="C259" s="943" t="s">
        <v>8524</v>
      </c>
      <c r="D259" s="943" t="s">
        <v>5816</v>
      </c>
      <c r="E259" t="s">
        <v>3662</v>
      </c>
      <c r="F259" s="2903">
        <v>20000</v>
      </c>
      <c r="G259" s="2903"/>
    </row>
    <row r="260" spans="3:7" x14ac:dyDescent="0.35">
      <c r="C260" s="943" t="s">
        <v>8524</v>
      </c>
      <c r="D260" s="943" t="s">
        <v>5816</v>
      </c>
      <c r="E260" t="s">
        <v>3662</v>
      </c>
      <c r="F260" s="2903">
        <v>150000</v>
      </c>
      <c r="G260" s="2903"/>
    </row>
    <row r="261" spans="3:7" x14ac:dyDescent="0.35">
      <c r="C261" s="943" t="s">
        <v>8524</v>
      </c>
      <c r="D261" s="943" t="s">
        <v>5971</v>
      </c>
      <c r="E261" t="s">
        <v>3662</v>
      </c>
      <c r="F261" s="2903">
        <v>100000</v>
      </c>
      <c r="G261" s="2903"/>
    </row>
    <row r="262" spans="3:7" x14ac:dyDescent="0.35">
      <c r="C262" s="943" t="s">
        <v>8524</v>
      </c>
      <c r="D262" s="943" t="s">
        <v>6126</v>
      </c>
      <c r="E262" t="s">
        <v>4268</v>
      </c>
      <c r="F262" s="2903">
        <v>46000</v>
      </c>
      <c r="G262" s="2903"/>
    </row>
    <row r="263" spans="3:7" x14ac:dyDescent="0.35">
      <c r="C263" s="943" t="s">
        <v>8524</v>
      </c>
      <c r="D263" s="943" t="s">
        <v>6127</v>
      </c>
      <c r="E263" t="s">
        <v>4269</v>
      </c>
      <c r="F263" s="2903">
        <v>45000</v>
      </c>
      <c r="G263" s="2903"/>
    </row>
    <row r="264" spans="3:7" x14ac:dyDescent="0.35">
      <c r="C264" s="943" t="s">
        <v>8524</v>
      </c>
      <c r="D264" s="943" t="s">
        <v>6367</v>
      </c>
      <c r="E264" t="s">
        <v>4355</v>
      </c>
      <c r="F264" s="2903">
        <v>75000</v>
      </c>
      <c r="G264" s="2903"/>
    </row>
    <row r="265" spans="3:7" x14ac:dyDescent="0.35">
      <c r="C265" s="943" t="s">
        <v>8524</v>
      </c>
      <c r="D265" s="943" t="s">
        <v>6367</v>
      </c>
      <c r="E265" t="s">
        <v>4355</v>
      </c>
      <c r="F265" s="2903">
        <v>50000</v>
      </c>
      <c r="G265" s="2903"/>
    </row>
    <row r="266" spans="3:7" x14ac:dyDescent="0.35">
      <c r="C266" s="943" t="s">
        <v>8524</v>
      </c>
      <c r="D266" s="943" t="s">
        <v>5804</v>
      </c>
      <c r="E266" t="s">
        <v>3650</v>
      </c>
      <c r="F266" s="2903">
        <v>1203500</v>
      </c>
      <c r="G266" s="2903"/>
    </row>
    <row r="267" spans="3:7" x14ac:dyDescent="0.35">
      <c r="C267" s="943" t="s">
        <v>8524</v>
      </c>
      <c r="D267" s="943" t="s">
        <v>6121</v>
      </c>
      <c r="E267" t="s">
        <v>4257</v>
      </c>
      <c r="F267" s="2903">
        <v>72000</v>
      </c>
      <c r="G267" s="2903"/>
    </row>
    <row r="268" spans="3:7" x14ac:dyDescent="0.35">
      <c r="C268" s="943" t="s">
        <v>8524</v>
      </c>
      <c r="D268" s="943" t="s">
        <v>6124</v>
      </c>
      <c r="E268" t="s">
        <v>4260</v>
      </c>
      <c r="F268" s="2903">
        <v>80000</v>
      </c>
      <c r="G268" s="2903"/>
    </row>
    <row r="269" spans="3:7" x14ac:dyDescent="0.35">
      <c r="C269" s="943" t="s">
        <v>8524</v>
      </c>
      <c r="D269" s="943" t="s">
        <v>6122</v>
      </c>
      <c r="E269" t="s">
        <v>4267</v>
      </c>
      <c r="F269" s="2903">
        <v>18000</v>
      </c>
      <c r="G269" s="2903"/>
    </row>
    <row r="270" spans="3:7" x14ac:dyDescent="0.35">
      <c r="C270" s="943" t="s">
        <v>8524</v>
      </c>
      <c r="D270" s="943" t="s">
        <v>5802</v>
      </c>
      <c r="E270" t="s">
        <v>3646</v>
      </c>
      <c r="F270" s="2903">
        <v>143500</v>
      </c>
      <c r="G270" s="2903"/>
    </row>
    <row r="271" spans="3:7" x14ac:dyDescent="0.35">
      <c r="C271" s="943" t="s">
        <v>8524</v>
      </c>
      <c r="D271" s="943" t="s">
        <v>5802</v>
      </c>
      <c r="E271" t="s">
        <v>3646</v>
      </c>
      <c r="F271" s="2903">
        <v>46500</v>
      </c>
      <c r="G271" s="2903"/>
    </row>
    <row r="272" spans="3:7" x14ac:dyDescent="0.35">
      <c r="C272" s="943" t="s">
        <v>8524</v>
      </c>
      <c r="D272" s="943" t="s">
        <v>6367</v>
      </c>
      <c r="E272" t="s">
        <v>4355</v>
      </c>
      <c r="F272" s="2903">
        <v>388000</v>
      </c>
      <c r="G272" s="2903"/>
    </row>
    <row r="273" spans="3:7" x14ac:dyDescent="0.35">
      <c r="C273" s="943" t="s">
        <v>8524</v>
      </c>
      <c r="D273" s="943" t="s">
        <v>5992</v>
      </c>
      <c r="E273" t="s">
        <v>4136</v>
      </c>
      <c r="F273" s="2903">
        <v>263000</v>
      </c>
      <c r="G273" s="2903"/>
    </row>
    <row r="274" spans="3:7" x14ac:dyDescent="0.35">
      <c r="C274" s="943" t="s">
        <v>8524</v>
      </c>
      <c r="D274" s="943" t="s">
        <v>5992</v>
      </c>
      <c r="E274" t="s">
        <v>4136</v>
      </c>
      <c r="F274" s="2903">
        <v>43000</v>
      </c>
      <c r="G274" s="2903"/>
    </row>
    <row r="275" spans="3:7" x14ac:dyDescent="0.35">
      <c r="C275" s="943" t="s">
        <v>8524</v>
      </c>
      <c r="D275" s="943" t="s">
        <v>5818</v>
      </c>
      <c r="E275" t="s">
        <v>4115</v>
      </c>
      <c r="F275" s="2903">
        <v>30000</v>
      </c>
      <c r="G275" s="2903"/>
    </row>
    <row r="276" spans="3:7" x14ac:dyDescent="0.35">
      <c r="C276" s="943" t="s">
        <v>8524</v>
      </c>
      <c r="D276" s="943" t="s">
        <v>5817</v>
      </c>
      <c r="E276" t="s">
        <v>4114</v>
      </c>
      <c r="F276" s="2903">
        <v>2000</v>
      </c>
      <c r="G276" s="2903"/>
    </row>
    <row r="277" spans="3:7" x14ac:dyDescent="0.35">
      <c r="C277" s="943" t="s">
        <v>8524</v>
      </c>
      <c r="D277" s="943" t="s">
        <v>5999</v>
      </c>
      <c r="E277" t="s">
        <v>4141</v>
      </c>
      <c r="F277" s="2903">
        <v>14773000</v>
      </c>
      <c r="G277" s="2903"/>
    </row>
    <row r="278" spans="3:7" x14ac:dyDescent="0.35">
      <c r="C278" s="943" t="s">
        <v>8524</v>
      </c>
      <c r="D278" s="943" t="s">
        <v>5747</v>
      </c>
      <c r="E278" t="s">
        <v>3648</v>
      </c>
      <c r="F278" s="2903">
        <v>390000</v>
      </c>
      <c r="G278" s="2903"/>
    </row>
    <row r="279" spans="3:7" x14ac:dyDescent="0.35">
      <c r="C279" s="943" t="s">
        <v>8524</v>
      </c>
      <c r="D279" s="943" t="s">
        <v>5816</v>
      </c>
      <c r="E279" t="s">
        <v>3662</v>
      </c>
      <c r="F279" s="2903">
        <v>150000</v>
      </c>
      <c r="G279" s="2903"/>
    </row>
    <row r="280" spans="3:7" x14ac:dyDescent="0.35">
      <c r="C280" s="943" t="s">
        <v>8524</v>
      </c>
      <c r="D280" s="943" t="s">
        <v>6375</v>
      </c>
      <c r="E280" t="s">
        <v>3325</v>
      </c>
      <c r="F280" s="2903">
        <v>382500</v>
      </c>
      <c r="G280" s="2903"/>
    </row>
    <row r="281" spans="3:7" x14ac:dyDescent="0.35">
      <c r="C281" s="943" t="s">
        <v>8524</v>
      </c>
      <c r="D281" s="943" t="s">
        <v>5741</v>
      </c>
      <c r="E281" t="s">
        <v>3637</v>
      </c>
      <c r="F281" s="2903">
        <v>827000</v>
      </c>
      <c r="G281" s="2903"/>
    </row>
    <row r="282" spans="3:7" x14ac:dyDescent="0.35">
      <c r="C282" s="943" t="s">
        <v>8524</v>
      </c>
      <c r="D282" s="943" t="s">
        <v>5803</v>
      </c>
      <c r="E282" t="s">
        <v>3648</v>
      </c>
      <c r="F282" s="2903">
        <v>720000</v>
      </c>
      <c r="G282" s="2903"/>
    </row>
    <row r="283" spans="3:7" x14ac:dyDescent="0.35">
      <c r="C283" s="943" t="s">
        <v>8524</v>
      </c>
      <c r="D283" s="943" t="s">
        <v>5816</v>
      </c>
      <c r="E283" t="s">
        <v>3662</v>
      </c>
      <c r="F283" s="2903">
        <v>300000</v>
      </c>
      <c r="G283" s="2903"/>
    </row>
    <row r="284" spans="3:7" x14ac:dyDescent="0.35">
      <c r="C284" s="943" t="s">
        <v>8524</v>
      </c>
      <c r="D284" s="943" t="s">
        <v>5971</v>
      </c>
      <c r="E284" t="s">
        <v>3662</v>
      </c>
      <c r="F284" s="2903">
        <v>100000</v>
      </c>
      <c r="G284" s="2903"/>
    </row>
    <row r="285" spans="3:7" x14ac:dyDescent="0.35">
      <c r="C285" s="943" t="s">
        <v>8524</v>
      </c>
      <c r="D285" s="943" t="s">
        <v>5971</v>
      </c>
      <c r="E285" t="s">
        <v>3662</v>
      </c>
      <c r="F285" s="2903">
        <v>27000</v>
      </c>
      <c r="G285" s="2903"/>
    </row>
    <row r="286" spans="3:7" x14ac:dyDescent="0.35">
      <c r="C286" s="943" t="s">
        <v>8524</v>
      </c>
      <c r="D286" s="943" t="s">
        <v>5262</v>
      </c>
      <c r="E286" t="s">
        <v>3966</v>
      </c>
      <c r="F286" s="2903">
        <v>186500</v>
      </c>
      <c r="G286" s="2903"/>
    </row>
    <row r="287" spans="3:7" x14ac:dyDescent="0.35">
      <c r="C287" s="943" t="s">
        <v>8524</v>
      </c>
      <c r="D287" s="943" t="s">
        <v>6367</v>
      </c>
      <c r="E287" t="s">
        <v>4355</v>
      </c>
      <c r="F287" s="2903">
        <v>54400</v>
      </c>
      <c r="G287" s="2903"/>
    </row>
    <row r="288" spans="3:7" x14ac:dyDescent="0.35">
      <c r="C288" s="943" t="s">
        <v>8524</v>
      </c>
      <c r="D288" s="943" t="s">
        <v>6367</v>
      </c>
      <c r="E288" t="s">
        <v>4355</v>
      </c>
      <c r="F288" s="2903">
        <v>47200</v>
      </c>
      <c r="G288" s="2903"/>
    </row>
    <row r="289" spans="3:7" x14ac:dyDescent="0.35">
      <c r="C289" s="943" t="s">
        <v>8524</v>
      </c>
      <c r="D289" s="943" t="s">
        <v>5806</v>
      </c>
      <c r="E289" t="s">
        <v>3654</v>
      </c>
      <c r="F289" s="2903">
        <v>277800</v>
      </c>
      <c r="G289" s="2903"/>
    </row>
    <row r="290" spans="3:7" x14ac:dyDescent="0.35">
      <c r="C290" s="943" t="s">
        <v>8524</v>
      </c>
      <c r="D290" s="943" t="s">
        <v>7896</v>
      </c>
      <c r="E290" t="s">
        <v>7830</v>
      </c>
      <c r="F290" s="2903">
        <v>117400</v>
      </c>
      <c r="G290" s="2903"/>
    </row>
    <row r="291" spans="3:7" x14ac:dyDescent="0.35">
      <c r="C291" s="943" t="s">
        <v>8524</v>
      </c>
      <c r="D291" s="943" t="s">
        <v>6374</v>
      </c>
      <c r="E291" t="s">
        <v>4361</v>
      </c>
      <c r="F291" s="2898">
        <v>50000</v>
      </c>
    </row>
    <row r="292" spans="3:7" x14ac:dyDescent="0.35">
      <c r="C292" s="943" t="s">
        <v>8524</v>
      </c>
      <c r="D292" s="943" t="s">
        <v>6127</v>
      </c>
      <c r="E292" t="s">
        <v>4269</v>
      </c>
      <c r="F292" s="2898">
        <v>80000</v>
      </c>
    </row>
    <row r="293" spans="3:7" x14ac:dyDescent="0.35">
      <c r="C293" s="943" t="s">
        <v>8524</v>
      </c>
      <c r="D293" s="943" t="s">
        <v>5690</v>
      </c>
      <c r="E293" t="s">
        <v>3640</v>
      </c>
      <c r="F293" s="2898">
        <v>34500</v>
      </c>
    </row>
    <row r="294" spans="3:7" x14ac:dyDescent="0.35">
      <c r="C294" s="943" t="s">
        <v>8524</v>
      </c>
      <c r="D294" s="943" t="s">
        <v>7894</v>
      </c>
      <c r="E294" t="s">
        <v>7831</v>
      </c>
      <c r="F294" s="2898">
        <v>150500</v>
      </c>
    </row>
    <row r="295" spans="3:7" x14ac:dyDescent="0.35">
      <c r="C295" s="943" t="s">
        <v>8524</v>
      </c>
      <c r="D295" s="943" t="s">
        <v>5817</v>
      </c>
      <c r="E295" t="s">
        <v>4114</v>
      </c>
      <c r="F295" s="2898">
        <v>20000</v>
      </c>
    </row>
    <row r="296" spans="3:7" x14ac:dyDescent="0.35">
      <c r="C296" s="943" t="s">
        <v>8524</v>
      </c>
      <c r="D296" s="943" t="s">
        <v>5818</v>
      </c>
      <c r="E296" t="s">
        <v>4115</v>
      </c>
      <c r="F296" s="2898">
        <v>25000</v>
      </c>
    </row>
    <row r="297" spans="3:7" x14ac:dyDescent="0.35">
      <c r="C297" s="943" t="s">
        <v>8524</v>
      </c>
      <c r="D297" s="943" t="s">
        <v>5816</v>
      </c>
      <c r="E297" t="s">
        <v>3662</v>
      </c>
      <c r="F297" s="2898">
        <v>100000</v>
      </c>
    </row>
    <row r="298" spans="3:7" x14ac:dyDescent="0.35">
      <c r="C298" s="943" t="s">
        <v>8524</v>
      </c>
      <c r="D298" s="943" t="s">
        <v>5999</v>
      </c>
      <c r="E298" t="s">
        <v>4141</v>
      </c>
      <c r="F298" s="2898">
        <v>28479500</v>
      </c>
    </row>
    <row r="299" spans="3:7" x14ac:dyDescent="0.35">
      <c r="C299" s="943" t="s">
        <v>8524</v>
      </c>
      <c r="D299" s="943" t="s">
        <v>6374</v>
      </c>
      <c r="E299" s="2008" t="s">
        <v>4361</v>
      </c>
      <c r="F299" s="2901">
        <v>7559833</v>
      </c>
      <c r="G299" s="2901"/>
    </row>
    <row r="300" spans="3:7" x14ac:dyDescent="0.35">
      <c r="C300" s="943" t="s">
        <v>8524</v>
      </c>
      <c r="D300" s="943" t="s">
        <v>5733</v>
      </c>
      <c r="E300" t="s">
        <v>8533</v>
      </c>
      <c r="F300" s="2898">
        <v>1720000</v>
      </c>
    </row>
    <row r="301" spans="3:7" x14ac:dyDescent="0.35">
      <c r="C301" s="943" t="s">
        <v>8524</v>
      </c>
      <c r="D301" s="943" t="s">
        <v>825</v>
      </c>
      <c r="E301" t="s">
        <v>8534</v>
      </c>
      <c r="G301" s="2898">
        <v>104048233</v>
      </c>
    </row>
  </sheetData>
  <autoFilter ref="A11:I323"/>
  <phoneticPr fontId="174"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EE699EF-BF96-45AA-9D99-6FD7B66CE13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91</vt:i4>
      </vt:variant>
    </vt:vector>
  </HeadingPairs>
  <TitlesOfParts>
    <vt:vector size="124" baseType="lpstr">
      <vt:lpstr>IN</vt:lpstr>
      <vt:lpstr>Cover Dp</vt:lpstr>
      <vt:lpstr>Cover Blkg</vt:lpstr>
      <vt:lpstr>TC</vt:lpstr>
      <vt:lpstr>Grafik</vt:lpstr>
      <vt:lpstr>NRC</vt:lpstr>
      <vt:lpstr>LR</vt:lpstr>
      <vt:lpstr>PAB</vt:lpstr>
      <vt:lpstr>AK</vt:lpstr>
      <vt:lpstr>CLK</vt:lpstr>
      <vt:lpstr>1</vt:lpstr>
      <vt:lpstr>2</vt:lpstr>
      <vt:lpstr>3</vt:lpstr>
      <vt:lpstr>4</vt:lpstr>
      <vt:lpstr>5</vt:lpstr>
      <vt:lpstr>6</vt:lpstr>
      <vt:lpstr>7</vt:lpstr>
      <vt:lpstr>8</vt:lpstr>
      <vt:lpstr>9</vt:lpstr>
      <vt:lpstr>10</vt:lpstr>
      <vt:lpstr>11</vt:lpstr>
      <vt:lpstr>12</vt:lpstr>
      <vt:lpstr>13</vt:lpstr>
      <vt:lpstr>14</vt:lpstr>
      <vt:lpstr>16</vt:lpstr>
      <vt:lpstr>20</vt:lpstr>
      <vt:lpstr>21</vt:lpstr>
      <vt:lpstr>BS</vt:lpstr>
      <vt:lpstr>RL</vt:lpstr>
      <vt:lpstr>GL</vt:lpstr>
      <vt:lpstr>CR</vt:lpstr>
      <vt:lpstr>CD</vt:lpstr>
      <vt:lpstr>JM</vt:lpstr>
      <vt:lpstr>AdministrasiS</vt:lpstr>
      <vt:lpstr>Aktkeu</vt:lpstr>
      <vt:lpstr>ASF</vt:lpstr>
      <vt:lpstr>Audio</vt:lpstr>
      <vt:lpstr>Bakademik1</vt:lpstr>
      <vt:lpstr>Bakademik2</vt:lpstr>
      <vt:lpstr>BBantuan1</vt:lpstr>
      <vt:lpstr>BBantuan2</vt:lpstr>
      <vt:lpstr>BDaksos1</vt:lpstr>
      <vt:lpstr>BDaksos2</vt:lpstr>
      <vt:lpstr>BDepresiasi1</vt:lpstr>
      <vt:lpstr>BDepresiasi2</vt:lpstr>
      <vt:lpstr>BDukunganAka1</vt:lpstr>
      <vt:lpstr>BDukunganAka2</vt:lpstr>
      <vt:lpstr>BeasiswaSa</vt:lpstr>
      <vt:lpstr>Bimbangankonseling</vt:lpstr>
      <vt:lpstr>BKegiatanSantri1</vt:lpstr>
      <vt:lpstr>BKegiatanSantri2</vt:lpstr>
      <vt:lpstr>BLayananAsrama1</vt:lpstr>
      <vt:lpstr>BlayananAsrama2</vt:lpstr>
      <vt:lpstr>BPemeliharaan1</vt:lpstr>
      <vt:lpstr>BPemeliharaan2</vt:lpstr>
      <vt:lpstr>BPenjualan1</vt:lpstr>
      <vt:lpstr>BPenjualan2</vt:lpstr>
      <vt:lpstr>Buku</vt:lpstr>
      <vt:lpstr>CDAK1</vt:lpstr>
      <vt:lpstr>CDAK2</vt:lpstr>
      <vt:lpstr>CRAK1</vt:lpstr>
      <vt:lpstr>CRAK2</vt:lpstr>
      <vt:lpstr>IN!Criteria</vt:lpstr>
      <vt:lpstr>Daksan</vt:lpstr>
      <vt:lpstr>Dakwah</vt:lpstr>
      <vt:lpstr>DepB</vt:lpstr>
      <vt:lpstr>DepEq</vt:lpstr>
      <vt:lpstr>DepFu</vt:lpstr>
      <vt:lpstr>DepInf</vt:lpstr>
      <vt:lpstr>DepLi</vt:lpstr>
      <vt:lpstr>Depoth</vt:lpstr>
      <vt:lpstr>Depv</vt:lpstr>
      <vt:lpstr>DukunganInstitusi1</vt:lpstr>
      <vt:lpstr>DukunganInstitusi2</vt:lpstr>
      <vt:lpstr>Executive</vt:lpstr>
      <vt:lpstr>Humas</vt:lpstr>
      <vt:lpstr>InformasiTeknologi</vt:lpstr>
      <vt:lpstr>JMAK1</vt:lpstr>
      <vt:lpstr>JMAK2</vt:lpstr>
      <vt:lpstr>JMAK3</vt:lpstr>
      <vt:lpstr>Jummiyah</vt:lpstr>
      <vt:lpstr>Keamanan</vt:lpstr>
      <vt:lpstr>KepengasuhanMA</vt:lpstr>
      <vt:lpstr>Kepengasuhanmts</vt:lpstr>
      <vt:lpstr>KepengasuhanSDITQ</vt:lpstr>
      <vt:lpstr>Kesehatansantri</vt:lpstr>
      <vt:lpstr>KK</vt:lpstr>
      <vt:lpstr>KODEAK</vt:lpstr>
      <vt:lpstr>Layanankamar</vt:lpstr>
      <vt:lpstr>layananlaundry</vt:lpstr>
      <vt:lpstr>Layananmakanan</vt:lpstr>
      <vt:lpstr>Litbang</vt:lpstr>
      <vt:lpstr>Logistik</vt:lpstr>
      <vt:lpstr>Lomba</vt:lpstr>
      <vt:lpstr>MA</vt:lpstr>
      <vt:lpstr>MTS</vt:lpstr>
      <vt:lpstr>ORsan</vt:lpstr>
      <vt:lpstr>PemeliharaanGedung</vt:lpstr>
      <vt:lpstr>PemeliharaanInfrastruktur</vt:lpstr>
      <vt:lpstr>PemeliharaanNonge</vt:lpstr>
      <vt:lpstr>Perpustakaan</vt:lpstr>
      <vt:lpstr>Personalia</vt:lpstr>
      <vt:lpstr>PKL</vt:lpstr>
      <vt:lpstr>'13'!Print_Area</vt:lpstr>
      <vt:lpstr>'14'!Print_Area</vt:lpstr>
      <vt:lpstr>'20'!Print_Area</vt:lpstr>
      <vt:lpstr>'21'!Print_Area</vt:lpstr>
      <vt:lpstr>'5'!Print_Area</vt:lpstr>
      <vt:lpstr>'8'!Print_Area</vt:lpstr>
      <vt:lpstr>AK!Print_Area</vt:lpstr>
      <vt:lpstr>'Cover Blkg'!Print_Area</vt:lpstr>
      <vt:lpstr>'Cover Dp'!Print_Area</vt:lpstr>
      <vt:lpstr>LR!Print_Area</vt:lpstr>
      <vt:lpstr>NRC!Print_Area</vt:lpstr>
      <vt:lpstr>PAB!Print_Area</vt:lpstr>
      <vt:lpstr>PSB</vt:lpstr>
      <vt:lpstr>Radio</vt:lpstr>
      <vt:lpstr>Rumahtangga</vt:lpstr>
      <vt:lpstr>SalesOth</vt:lpstr>
      <vt:lpstr>SDITQ</vt:lpstr>
      <vt:lpstr>Seragam</vt:lpstr>
      <vt:lpstr>Sosial</vt:lpstr>
      <vt:lpstr>TANGGAL_NERACA</vt:lpstr>
      <vt:lpstr>Utilitas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Mudir Keuangan</dc:creator>
  <cp:lastModifiedBy>ASUS</cp:lastModifiedBy>
  <cp:lastPrinted>2025-01-06T06:54:31Z</cp:lastPrinted>
  <dcterms:created xsi:type="dcterms:W3CDTF">2023-09-07T00:58:30Z</dcterms:created>
  <dcterms:modified xsi:type="dcterms:W3CDTF">2026-08-10T05:25:56Z</dcterms:modified>
</cp:coreProperties>
</file>